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D:\auditReport\project\"/>
    </mc:Choice>
  </mc:AlternateContent>
  <xr:revisionPtr revIDLastSave="0" documentId="13_ncr:1_{552C348E-6836-4B27-B9E6-5426176AF983}" xr6:coauthVersionLast="47" xr6:coauthVersionMax="47" xr10:uidLastSave="{00000000-0000-0000-0000-000000000000}"/>
  <bookViews>
    <workbookView xWindow="-108" yWindow="-108" windowWidth="23256" windowHeight="12576" firstSheet="416" activeTab="420"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r:id="rId33"/>
    <sheet name="新旧金融工具调节表" sheetId="2" r:id="rId34"/>
    <sheet name="金融资产减值准备调节表" sheetId="3" r:id="rId35"/>
    <sheet name="新金融工具准则对期初留存收益和其他综合收益的影响" sheetId="4" r:id="rId36"/>
    <sheet name="新收入准则对期初财务报表的影响" sheetId="5" r:id="rId37"/>
    <sheet name="新收入准则对期末资产负债表的影响" sheetId="11" r:id="rId38"/>
    <sheet name="新收入准则对利润表的影响" sheetId="14" r:id="rId39"/>
    <sheet name="新租赁准则对期初报表的影响" sheetId="15" r:id="rId40"/>
    <sheet name="最低经营租赁付款额与租赁负债调节表" sheetId="17"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r:id="rId59"/>
    <sheet name="交易性金融资产明细表" sheetId="363"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新金融工具准则" sheetId="46" r:id="rId65"/>
    <sheet name="已质押应收票据" sheetId="43" r:id="rId66"/>
    <sheet name="已质押票据明细表" sheetId="367" r:id="rId67"/>
    <sheet name="已背书或贴现且在资产负债表日尚未到期的应收票据" sheetId="44" r:id="rId68"/>
    <sheet name="已背书或贴现且在资产负债表日尚未到期的应收票据明细表" sheetId="368" r:id="rId69"/>
    <sheet name="因出票人未履约而转为应收账款的票据" sheetId="45" r:id="rId70"/>
    <sheet name="因出票人未履约而转为应收账款的票据明细表" sheetId="369" r:id="rId71"/>
    <sheet name="期末单项计提坏账准备的应收票据新金融工具准则" sheetId="47" r:id="rId72"/>
    <sheet name="采用组合计提坏账准备的应收票据新金融工具准则" sheetId="48" r:id="rId73"/>
    <sheet name="应收票据坏账准备变动明细情况新金融工具准则" sheetId="49" r:id="rId74"/>
    <sheet name="本期重要的应收票据坏账准备收回或转回情况新金融工具准则" sheetId="50" r:id="rId75"/>
    <sheet name="本期实际核销的应收票据情况新金融工具准则" sheetId="51" r:id="rId76"/>
    <sheet name="应收票据明细表" sheetId="365" r:id="rId77"/>
    <sheet name="应收账款期末数首次新金融工具准则" sheetId="56" r:id="rId78"/>
    <sheet name="应收账款期初数新金融工具准则" sheetId="55" r:id="rId79"/>
    <sheet name="应收账款期末数新金融工具准则" sheetId="54" r:id="rId80"/>
    <sheet name="应收账款期初数首次新金融工具准则" sheetId="57" r:id="rId81"/>
    <sheet name="期末单项计提坏账准备的应收账款" sheetId="58" r:id="rId82"/>
    <sheet name="采用账龄分析法计提坏账准备的应收账款原准则" sheetId="59" r:id="rId83"/>
    <sheet name="采用其他组合方法计提坏账准备的应收账款原准则" sheetId="60" r:id="rId84"/>
    <sheet name="期末单项金额虽不重大但单项计提坏账准备的应收账款原准则" sheetId="61" r:id="rId85"/>
    <sheet name="收回或转回的坏账准备情况" sheetId="62" r:id="rId86"/>
    <sheet name="本年实际核销的应收账款情况" sheetId="63" r:id="rId87"/>
    <sheet name="按欠款方归集的年末余额前五名的应收账款情况" sheetId="64" r:id="rId88"/>
    <sheet name="由金融资产转移而终止确认的应收账款" sheetId="65" r:id="rId89"/>
    <sheet name="转移应收账款且继续涉入形成的资产负债" sheetId="66" r:id="rId90"/>
    <sheet name="采用组合计提坏账准备的应收账款首次执行" sheetId="67" r:id="rId91"/>
    <sheet name="应收政府组合首次执行" sheetId="70" r:id="rId92"/>
    <sheet name="账龄组合首次执行" sheetId="71" r:id="rId93"/>
    <sheet name="采用组合计提坏账准备的应收账款新金融工具" sheetId="68" r:id="rId94"/>
    <sheet name="组合1名称新金融工具" sheetId="69" r:id="rId95"/>
    <sheet name="组合2名称新金融工具" sheetId="72" r:id="rId96"/>
    <sheet name="应收账款坏账准备变动明细情况新金融工具准则" sheetId="74" r:id="rId97"/>
    <sheet name="应收账款明细表" sheetId="359" r:id="rId98"/>
    <sheet name="应收款项融资" sheetId="75" r:id="rId99"/>
    <sheet name="应收款项融资明细表" sheetId="434" r:id="rId100"/>
    <sheet name="应收款项融资已转让已背书或已贴现未到期" sheetId="76" r:id="rId101"/>
    <sheet name="应收款项融资已转让已背书或已贴现未到期明细表" sheetId="435" r:id="rId102"/>
    <sheet name="预付账款账龄明细" sheetId="77" r:id="rId103"/>
    <sheet name="账龄超过1年的大额预付款项情况" sheetId="78" r:id="rId104"/>
    <sheet name="按欠款方归集的年末余额前五名的预付账款情况" sheetId="79" r:id="rId105"/>
    <sheet name="预付账款明细表" sheetId="360" r:id="rId106"/>
    <sheet name="其他应收款原准则" sheetId="80" r:id="rId107"/>
    <sheet name="其他应收款期末数首次新金融工具准则" sheetId="97" r:id="rId108"/>
    <sheet name="其他应收款期初数首次新金融工具准则" sheetId="98" r:id="rId109"/>
    <sheet name="其他应收款期末数新金融工具准则" sheetId="104" r:id="rId110"/>
    <sheet name="其他应收款期初数新金融工具准则" sheetId="105" r:id="rId111"/>
    <sheet name="应收利息分类" sheetId="82" r:id="rId112"/>
    <sheet name="重要逾期利息" sheetId="83" r:id="rId113"/>
    <sheet name="应收利息明细表" sheetId="436" r:id="rId114"/>
    <sheet name="应收股利明细" sheetId="84" r:id="rId115"/>
    <sheet name="应收股利明细表" sheetId="437" r:id="rId116"/>
    <sheet name="期末单项计提坏账准备的其他应收款" sheetId="87" r:id="rId117"/>
    <sheet name="采用组合计提坏账准备的其他应收款首次执行" sheetId="425" r:id="rId118"/>
    <sheet name="采用组合计提坏账准备的其他应收款新金融工具准则" sheetId="99" r:id="rId119"/>
    <sheet name="其他应收款账龄情况新金融工具准则" sheetId="100" r:id="rId120"/>
    <sheet name="其他应收款坏账准备变动情况新金融工具准则" sheetId="454" r:id="rId121"/>
    <sheet name="其他应收款减值准备明细表新金融工具准则" sheetId="455" r:id="rId122"/>
    <sheet name="其他应收款收回或转回的坏账准备情况" sheetId="91" r:id="rId123"/>
    <sheet name="本年实际核销的其他应收款情况" sheetId="92" r:id="rId124"/>
    <sheet name="其他应收款按性质分类情况" sheetId="102" r:id="rId125"/>
    <sheet name="按欠款方归集的年末金额前五名的其他应收款项情况" sheetId="93" r:id="rId126"/>
    <sheet name="按应收金额确认的政府补助" sheetId="103" r:id="rId127"/>
    <sheet name="由金融资产转移而终止确认的其他应收款项" sheetId="94" r:id="rId128"/>
    <sheet name="转移其他应收款且继续涉入形成的资产负债" sheetId="95" r:id="rId129"/>
    <sheet name="其他应收款明细表" sheetId="361" r:id="rId130"/>
    <sheet name="存货明细情况" sheetId="96" r:id="rId131"/>
    <sheet name="房地产开发成本" sheetId="107" r:id="rId132"/>
    <sheet name="房地产开发产品" sheetId="108" r:id="rId133"/>
    <sheet name="合同履约成本" sheetId="122" r:id="rId134"/>
    <sheet name="合同履约明细表" sheetId="438" r:id="rId135"/>
    <sheet name="存货跌价准备明细情况" sheetId="106" r:id="rId136"/>
    <sheet name="确定可变现净值的具体依据" sheetId="109" r:id="rId137"/>
    <sheet name="存货期末余额中借款费用资本化情况" sheetId="110" r:id="rId138"/>
    <sheet name="存货明细表" sheetId="370" r:id="rId139"/>
    <sheet name="存货成本倒闸表" sheetId="396" r:id="rId140"/>
    <sheet name="合同资产情况" sheetId="111" r:id="rId141"/>
    <sheet name="合同资产本期的重大变动" sheetId="114" r:id="rId142"/>
    <sheet name="期末单项计提坏账准备的合同资产" sheetId="112" r:id="rId143"/>
    <sheet name="采用组合计提坏账准备的合同资产" sheetId="113" r:id="rId144"/>
    <sheet name="合同资产明细表" sheetId="439" r:id="rId145"/>
    <sheet name="持有待售资产的基本情况" sheetId="115" r:id="rId146"/>
    <sheet name="持有待售资产减值准备情况" sheetId="116" r:id="rId147"/>
    <sheet name="持有待售资产明细表" sheetId="440" r:id="rId148"/>
    <sheet name="一年内到期的非流动资产" sheetId="119" r:id="rId149"/>
    <sheet name="一年内到期的非流动资产明细表" sheetId="441" r:id="rId150"/>
    <sheet name="其他流动资产" sheetId="120" r:id="rId151"/>
    <sheet name="其他流动资产明细表" sheetId="442" r:id="rId152"/>
    <sheet name="合同取得成本" sheetId="121" r:id="rId153"/>
    <sheet name="合同取得成本明细表" sheetId="443" r:id="rId154"/>
    <sheet name="债权投资" sheetId="445" r:id="rId155"/>
    <sheet name="债权投资明细表" sheetId="444" r:id="rId156"/>
    <sheet name="债权投资减值准备" sheetId="125" r:id="rId157"/>
    <sheet name="债权投资减值准备明细表" sheetId="446" r:id="rId158"/>
    <sheet name="期末重要的债权投资" sheetId="126" r:id="rId159"/>
    <sheet name="可供出售金融资产情况" sheetId="127" r:id="rId160"/>
    <sheet name="期末按公允价值计量的可供出售金融资产" sheetId="128" r:id="rId161"/>
    <sheet name="可供出售权益工具严重下跌但未计提减值" sheetId="129" r:id="rId162"/>
    <sheet name="可供出售债务工具明细表" sheetId="373" r:id="rId163"/>
    <sheet name="可供出售权益工具明细表" sheetId="374" r:id="rId164"/>
    <sheet name="其他债权投资期末数" sheetId="130" r:id="rId165"/>
    <sheet name="其他债权投资期初数" sheetId="131" r:id="rId166"/>
    <sheet name="其他债权投资明细表" sheetId="447" r:id="rId167"/>
    <sheet name="其他债权投资减值准备" sheetId="450" r:id="rId168"/>
    <sheet name="其他债权投资减值准备明细表" sheetId="451" r:id="rId169"/>
    <sheet name="期末重要的其他债权投资" sheetId="133" r:id="rId170"/>
    <sheet name="持有至到期投资明细情况" sheetId="134" r:id="rId171"/>
    <sheet name="期末重要的持有至到期投资" sheetId="135" r:id="rId172"/>
    <sheet name="长期应收款明细情况" sheetId="138" r:id="rId173"/>
    <sheet name="长期应收款明细表" sheetId="452" r:id="rId174"/>
    <sheet name="长期应收款坏账准备变动情况新金融工具准则" sheetId="489" r:id="rId175"/>
    <sheet name="长期应收款减值准备明细表新金融工具" sheetId="490" r:id="rId176"/>
    <sheet name="因金融资产转移而终止确认的长期应收款" sheetId="140" r:id="rId177"/>
    <sheet name="因金融资产转移而终止确认的长期应收款明细表" sheetId="456" r:id="rId178"/>
    <sheet name="转移长期应收款且继续涉入形成的资产负债金额" sheetId="141" r:id="rId179"/>
    <sheet name="长期股权投资分类情况" sheetId="142" r:id="rId180"/>
    <sheet name="长期股权投资子公司明细情况" sheetId="431" r:id="rId181"/>
    <sheet name="长期股权投资合营企业明细情况" sheetId="143" r:id="rId182"/>
    <sheet name="长期股权投资联营企业明细情况" sheetId="430" r:id="rId183"/>
    <sheet name="对合营企业投资和联营企业投资国有企业" sheetId="426" r:id="rId184"/>
    <sheet name="向投资企业转移资金的能力受到限制的有关情况国有企业" sheetId="427" r:id="rId185"/>
    <sheet name="长期股权投资明细表" sheetId="375" r:id="rId186"/>
    <sheet name="合营企业和联营企业主要财务信息明细表" sheetId="376" r:id="rId187"/>
    <sheet name="其他权益工具投资明细" sheetId="150" r:id="rId188"/>
    <sheet name="期末重要的其他权益工具投资国有企业" sheetId="428" r:id="rId189"/>
    <sheet name="非交易性权益工具投资情况上市公司" sheetId="151" r:id="rId190"/>
    <sheet name="其他权益工具投资明细表" sheetId="457" r:id="rId191"/>
    <sheet name="其他非流动金融资产" sheetId="152" r:id="rId192"/>
    <sheet name="其他非流动金融资产明细表" sheetId="458" r:id="rId193"/>
    <sheet name="采用成本计量模式的投资性房地产国有企业" sheetId="378" r:id="rId194"/>
    <sheet name="采用成本计量模式的投资性房地产上市公司" sheetId="153" r:id="rId195"/>
    <sheet name="成本法核算投资性房地产明细表" sheetId="377" r:id="rId196"/>
    <sheet name="采用公允价值计量模式的投资性房地产" sheetId="154" r:id="rId197"/>
    <sheet name="采用公允价值计量模式的投资性房地产明细表" sheetId="459" r:id="rId198"/>
    <sheet name="未办妥产权证书的投资性房地产金额及原因" sheetId="155" r:id="rId199"/>
    <sheet name="未办妥权证的投资性房地产明细表" sheetId="460" r:id="rId200"/>
    <sheet name="固定资产汇总" sheetId="156" r:id="rId201"/>
    <sheet name="固定资产情况" sheetId="410" r:id="rId202"/>
    <sheet name="固定资产明细表" sheetId="411" r:id="rId203"/>
    <sheet name="暂时闲置的固定资产情况" sheetId="158" r:id="rId204"/>
    <sheet name="暂时闲置的固定资产明细表" sheetId="461" r:id="rId205"/>
    <sheet name="通过经营租赁租出的固定资产" sheetId="160" r:id="rId206"/>
    <sheet name="经营租赁租出固定资产明细表" sheetId="462" r:id="rId207"/>
    <sheet name="未办妥产权证书的固定资产情况" sheetId="159" r:id="rId208"/>
    <sheet name="未办妥权证的固定资产明细表" sheetId="463" r:id="rId209"/>
    <sheet name="固定资产清理" sheetId="161" r:id="rId210"/>
    <sheet name="固定资产清理明细表" sheetId="464" r:id="rId211"/>
    <sheet name="在建工程汇总" sheetId="162" r:id="rId212"/>
    <sheet name="在建工程情况" sheetId="163" r:id="rId213"/>
    <sheet name="重要在建工程项目本期变动情况" sheetId="164" r:id="rId214"/>
    <sheet name="本期计提在建工程减值准备情况" sheetId="165" r:id="rId215"/>
    <sheet name="在建工程明细表" sheetId="465" r:id="rId216"/>
    <sheet name="工程物资" sheetId="166" r:id="rId217"/>
    <sheet name="工程物资明细表" sheetId="466" r:id="rId218"/>
    <sheet name="生产性生物资产" sheetId="167" r:id="rId219"/>
    <sheet name="生产性生物资产明细表" sheetId="413" r:id="rId220"/>
    <sheet name="油气资产" sheetId="168" r:id="rId221"/>
    <sheet name="油气资产国有企业" sheetId="416" r:id="rId222"/>
    <sheet name="油气资产明细表" sheetId="417" r:id="rId223"/>
    <sheet name="使用权资产" sheetId="169" r:id="rId224"/>
    <sheet name="使用权资产明细表" sheetId="420" r:id="rId225"/>
    <sheet name="无形资产" sheetId="170" r:id="rId226"/>
    <sheet name="无形资产明细表" sheetId="424" r:id="rId227"/>
    <sheet name="未办妥产权证书的土地使用权情况" sheetId="171" r:id="rId228"/>
    <sheet name="未办妥产权证书的无形资产明细表" sheetId="467" r:id="rId229"/>
    <sheet name="开发支出" sheetId="172" r:id="rId230"/>
    <sheet name="开发支出明细表" sheetId="468" r:id="rId231"/>
    <sheet name="商誉账面价值" sheetId="173" r:id="rId232"/>
    <sheet name="商誉减值准备" sheetId="174" r:id="rId233"/>
    <sheet name="商誉明细表" sheetId="469" r:id="rId234"/>
    <sheet name="长期待摊费用" sheetId="175" r:id="rId235"/>
    <sheet name="长期待摊费用明细表" sheetId="470" r:id="rId236"/>
    <sheet name="未经抵销的递延所得税资产" sheetId="176" r:id="rId237"/>
    <sheet name="未经抵销的递延所得税负债" sheetId="177" r:id="rId238"/>
    <sheet name="未确认递延所得税资产明细" sheetId="178" r:id="rId239"/>
    <sheet name="未确认递延所得税资产的可抵扣亏损将于以下年度到期" sheetId="179" r:id="rId240"/>
    <sheet name="其他非流动资产" sheetId="180" r:id="rId241"/>
    <sheet name="其他非流动资产明细表" sheetId="471" r:id="rId242"/>
    <sheet name="短期借款明细情况" sheetId="181" r:id="rId243"/>
    <sheet name="已逾期未偿还的短期借款情况" sheetId="182" r:id="rId244"/>
    <sheet name="短期借款明细表" sheetId="472" r:id="rId245"/>
    <sheet name="交易性金融负债" sheetId="183" r:id="rId246"/>
    <sheet name="以公允价值计量且其变动计入当期损益的金融负债" sheetId="184" r:id="rId247"/>
    <sheet name="衍生金融负债" sheetId="185" r:id="rId248"/>
    <sheet name="应付票据" sheetId="186" r:id="rId249"/>
    <sheet name="应付账款" sheetId="187" r:id="rId250"/>
    <sheet name="账龄超过一年的重要应付账款" sheetId="188" r:id="rId251"/>
    <sheet name="应付账款明细表" sheetId="385" r:id="rId252"/>
    <sheet name="预收款项" sheetId="189" r:id="rId253"/>
    <sheet name="预收款项账龄表" sheetId="388" r:id="rId254"/>
    <sheet name="账龄一年以上重要的预收款项" sheetId="190" r:id="rId255"/>
    <sheet name="预收账款明细表" sheetId="386" r:id="rId256"/>
    <sheet name="合同负债" sheetId="191" r:id="rId257"/>
    <sheet name="应付职工薪酬明细情况" sheetId="192" r:id="rId258"/>
    <sheet name="短期薪酬列示" sheetId="193" r:id="rId259"/>
    <sheet name="设定提存计划列示" sheetId="194" r:id="rId260"/>
    <sheet name="应付职工薪酬明细表" sheetId="474" r:id="rId261"/>
    <sheet name="应交税费" sheetId="195" r:id="rId262"/>
    <sheet name="应交税费明细表" sheetId="477" r:id="rId263"/>
    <sheet name="应交增值税计提" sheetId="476" r:id="rId264"/>
    <sheet name="其他应付款汇总" sheetId="196" r:id="rId265"/>
    <sheet name="应付利息" sheetId="197" r:id="rId266"/>
    <sheet name="重要的已逾期未支付的利息情况" sheetId="198" r:id="rId267"/>
    <sheet name="应付利息明细表" sheetId="478" r:id="rId268"/>
    <sheet name="应付股利" sheetId="199" r:id="rId269"/>
    <sheet name="账龄一年以上重要的应付股利" sheetId="200" r:id="rId270"/>
    <sheet name="应付股利明细表" sheetId="479" r:id="rId271"/>
    <sheet name="其他应付款项" sheetId="201" r:id="rId272"/>
    <sheet name="账龄超过一年的重要其他应付款项" sheetId="202" r:id="rId273"/>
    <sheet name="其他应付款明细表" sheetId="387" r:id="rId274"/>
    <sheet name="持有待售负债" sheetId="203" r:id="rId275"/>
    <sheet name="一年内到期的非流动负债" sheetId="204" r:id="rId276"/>
    <sheet name="其他流动负债" sheetId="205" r:id="rId277"/>
    <sheet name="短期应付债券" sheetId="206" r:id="rId278"/>
    <sheet name="长期借款" sheetId="207" r:id="rId279"/>
    <sheet name="长期借款明细表" sheetId="480" r:id="rId280"/>
    <sheet name="应付债券" sheetId="209" r:id="rId281"/>
    <sheet name="应付债券的增减变动" sheetId="208" r:id="rId282"/>
    <sheet name="应付债券明细表" sheetId="499" r:id="rId283"/>
    <sheet name="期末发行在外的优先股永续债等金融工具情况" sheetId="210" r:id="rId284"/>
    <sheet name="发行在外的优先股永续债等金融工具变动情况" sheetId="211" r:id="rId285"/>
    <sheet name="归属于权益工具持有者的信息" sheetId="212" r:id="rId286"/>
    <sheet name="租赁负债" sheetId="216" r:id="rId287"/>
    <sheet name="租赁负债明细表" sheetId="491" r:id="rId288"/>
    <sheet name="长期应付款汇总" sheetId="213" r:id="rId289"/>
    <sheet name="长期应付款" sheetId="214" r:id="rId290"/>
    <sheet name="长期应付款明细表" sheetId="492" r:id="rId291"/>
    <sheet name="专项应付款" sheetId="215" r:id="rId292"/>
    <sheet name="专项应付款明细表" sheetId="493" r:id="rId293"/>
    <sheet name="长期应付职工薪酬明细情况" sheetId="217" r:id="rId294"/>
    <sheet name="设定受益计划义务现值" sheetId="218" r:id="rId295"/>
    <sheet name="计划资产" sheetId="219" r:id="rId296"/>
    <sheet name="设定受益计划净负债" sheetId="220" r:id="rId297"/>
    <sheet name="预计负债" sheetId="221" r:id="rId298"/>
    <sheet name="预计负债明细表" sheetId="496" r:id="rId299"/>
    <sheet name="递延收益" sheetId="222" r:id="rId300"/>
    <sheet name="递延收益中政府补助项目" sheetId="223" r:id="rId301"/>
    <sheet name="递延收益明细表" sheetId="497" r:id="rId302"/>
    <sheet name="未实现售后回租损益明细表" sheetId="498" r:id="rId303"/>
    <sheet name="其他非流动负债" sheetId="224" r:id="rId304"/>
    <sheet name="实收资本" sheetId="225" r:id="rId305"/>
    <sheet name="股本" sheetId="226" r:id="rId306"/>
    <sheet name="其他权益工具" sheetId="227" r:id="rId307"/>
    <sheet name="资本公积" sheetId="228" r:id="rId308"/>
    <sheet name="其他综合收益" sheetId="229" r:id="rId309"/>
    <sheet name="专项储备" sheetId="230" r:id="rId310"/>
    <sheet name="盈余公积" sheetId="231" r:id="rId311"/>
    <sheet name="未分配利润" sheetId="232" r:id="rId312"/>
    <sheet name="营业收入与营业成本" sheetId="233" r:id="rId313"/>
    <sheet name="主营业务收入与主营业务成本" sheetId="234" r:id="rId314"/>
    <sheet name="主营业务明细表" sheetId="481" r:id="rId315"/>
    <sheet name="其他业务收入与其他业务成本" sheetId="235" r:id="rId316"/>
    <sheet name="其他业务明细表" sheetId="482" r:id="rId317"/>
    <sheet name="税金及附加" sheetId="236" r:id="rId318"/>
    <sheet name="销售费用" sheetId="237" r:id="rId319"/>
    <sheet name="管理费用" sheetId="238" r:id="rId320"/>
    <sheet name="研发费用" sheetId="240" r:id="rId321"/>
    <sheet name="财务费用" sheetId="239" r:id="rId322"/>
    <sheet name="财务费用分类表" sheetId="395" r:id="rId323"/>
    <sheet name="其他收益" sheetId="241" r:id="rId324"/>
    <sheet name="投资收益" sheetId="242" r:id="rId325"/>
    <sheet name="净敞口套期收益" sheetId="243" r:id="rId326"/>
    <sheet name="公允价值变动损益" sheetId="244" r:id="rId327"/>
    <sheet name="信用减值损失" sheetId="245" r:id="rId328"/>
    <sheet name="资产减值损失" sheetId="246" r:id="rId329"/>
    <sheet name="资产处置收益" sheetId="247" r:id="rId330"/>
    <sheet name="营业外收入" sheetId="248" r:id="rId331"/>
    <sheet name="营业外支出" sheetId="249" r:id="rId332"/>
    <sheet name="所得税费用" sheetId="250" r:id="rId333"/>
    <sheet name="会计利润与所得税费用调整过程" sheetId="251" r:id="rId334"/>
    <sheet name="可抵扣暂时性差异明细表" sheetId="501" r:id="rId335"/>
    <sheet name="应纳税暂时性差异明细表" sheetId="500" r:id="rId336"/>
    <sheet name="可抵扣亏损" sheetId="407" r:id="rId337"/>
    <sheet name="当期所得税费用计算表" sheetId="403" r:id="rId338"/>
    <sheet name="所得税项目计算" sheetId="406" r:id="rId339"/>
    <sheet name="收到其他与经营活动有关的现金" sheetId="252" r:id="rId340"/>
    <sheet name="支付其他与经营活动有关的现金" sheetId="253" r:id="rId341"/>
    <sheet name="收到其他与投资活动有关的现金" sheetId="254" r:id="rId342"/>
    <sheet name="支付其他与投资活动有关的现金" sheetId="255" r:id="rId343"/>
    <sheet name="收到其他与筹资活动有关的现金" sheetId="256" r:id="rId344"/>
    <sheet name="支付其他与筹资活动有关的现金" sheetId="257" r:id="rId345"/>
    <sheet name="将净利润调节为经营活动现金流量" sheetId="258" r:id="rId346"/>
    <sheet name="不涉及现金收支的重大投资和筹资活动" sheetId="503" r:id="rId347"/>
    <sheet name="现金及现金等价物净变动情况" sheetId="504" r:id="rId348"/>
    <sheet name="现金流补充资料计算" sheetId="394" r:id="rId349"/>
    <sheet name="本期支付的取得子公司的现金净额" sheetId="259" r:id="rId350"/>
    <sheet name="本期收到的处置子公司的现金净额" sheetId="260" r:id="rId351"/>
    <sheet name="现金及现金等价物的构成" sheetId="261" r:id="rId352"/>
    <sheet name="所有权或使用权受到限制的资产" sheetId="262" r:id="rId353"/>
    <sheet name="外币货币性项目" sheetId="263" r:id="rId354"/>
    <sheet name="股份支付总体情况" sheetId="291" r:id="rId355"/>
    <sheet name="以权益结算的股份支付情况" sheetId="292" r:id="rId356"/>
    <sheet name="以现金结算的股份支付情况" sheetId="293" r:id="rId357"/>
    <sheet name="对外担保明细表" sheetId="494" r:id="rId358"/>
    <sheet name="其他或有事项明细表" sheetId="495" r:id="rId359"/>
    <sheet name="母公司基本情况" sheetId="294" r:id="rId360"/>
    <sheet name="其他关联方情况" sheetId="295" r:id="rId361"/>
    <sheet name="采购商品接收劳务" sheetId="296" r:id="rId362"/>
    <sheet name="出售商品提供劳务" sheetId="297" r:id="rId363"/>
    <sheet name="本公司作为出租方" sheetId="299" r:id="rId364"/>
    <sheet name="本公司作为承租方" sheetId="298" r:id="rId365"/>
    <sheet name="本公司作为承租方当期承担的租赁负债利息支出" sheetId="300" r:id="rId366"/>
    <sheet name="本公司作为担保方" sheetId="301" r:id="rId367"/>
    <sheet name="本公司作为被担保方" sheetId="302" r:id="rId368"/>
    <sheet name="关联方资金拆借" sheetId="304" r:id="rId369"/>
    <sheet name="关键管理人员薪酬" sheetId="303" r:id="rId370"/>
    <sheet name="其他关联交易" sheetId="506" r:id="rId371"/>
    <sheet name="应收关联方款项" sheetId="305" r:id="rId372"/>
    <sheet name="应付关联方款项" sheetId="306" r:id="rId373"/>
    <sheet name="关联方承诺上市公司" sheetId="344" r:id="rId374"/>
    <sheet name="非同一控制下企业合并上市公司" sheetId="307" r:id="rId375"/>
    <sheet name="合并成本及商誉上市公司" sheetId="308" r:id="rId376"/>
    <sheet name="被购买方于购买日可辨认资产负债上市公司" sheetId="309" r:id="rId377"/>
    <sheet name="同一控制下企业合并上市公司" sheetId="310" r:id="rId378"/>
    <sheet name="合并成本上市公司" sheetId="311" r:id="rId379"/>
    <sheet name="合并日被合并方资产负债的账面价值上市公司" sheetId="312" r:id="rId380"/>
    <sheet name="单次处置对子公司投资即丧失控制权上市公司" sheetId="313" r:id="rId381"/>
    <sheet name="多次处置构成一揽子交易上市公司" sheetId="314" r:id="rId382"/>
    <sheet name="多次处置不构成一揽子交易上市公司" sheetId="315" r:id="rId383"/>
    <sheet name="其他合并范围增加上市公司" sheetId="316" r:id="rId384"/>
    <sheet name=" 其他合并范围减少上市公司" sheetId="317" r:id="rId385"/>
    <sheet name="企业集团的构成上市公司" sheetId="318" r:id="rId386"/>
    <sheet name="重要的非全资子公司上市公司" sheetId="319" r:id="rId387"/>
    <sheet name="重要非全资子企业期末资产负债上市公司" sheetId="321" r:id="rId388"/>
    <sheet name="重要非全资子企业期初资产负债上市公司" sheetId="322" r:id="rId389"/>
    <sheet name="重要非全资子企业本期损益和现金流量情况上市公司" sheetId="323" r:id="rId390"/>
    <sheet name="重要非全资子企业上期损益和现金流量情况上市公司" sheetId="324" r:id="rId391"/>
    <sheet name="在子公司的所有者权益份额发生变化的情况说明上市公司" sheetId="325" r:id="rId392"/>
    <sheet name="交易对于少数股东权益及归属于母公司所有者权益的影响上市公司" sheetId="326" r:id="rId393"/>
    <sheet name="重要的合营企业或联营企业上市公司" sheetId="327" r:id="rId394"/>
    <sheet name="重要合营企业财务信息本期数上市公司" sheetId="329" r:id="rId395"/>
    <sheet name="重要合营企业财务信息上期数上市公司" sheetId="330" r:id="rId396"/>
    <sheet name="重要联营企业财务信息本期数上市公司" sheetId="331" r:id="rId397"/>
    <sheet name="重要联营企业财务信息上期数上市公司" sheetId="332" r:id="rId398"/>
    <sheet name="不重要合营企业和联营企业的汇总信息上市公司" sheetId="333" r:id="rId399"/>
    <sheet name="合营企业或联营企业发生的超额亏损上市公司" sheetId="334" r:id="rId400"/>
    <sheet name="重要的共同经营上市公司" sheetId="335" r:id="rId401"/>
    <sheet name="金融负债按剩余到期日分类期末数上市公司" sheetId="337" r:id="rId402"/>
    <sheet name="金融负债按剩余到期日分类期初数上市公司" sheetId="336" r:id="rId403"/>
    <sheet name="利率敏感性分析上市公司" sheetId="338" r:id="rId404"/>
    <sheet name="外币货币性项目上市公司" sheetId="339" r:id="rId405"/>
    <sheet name="外汇风险敏感性分析" sheetId="340" r:id="rId406"/>
    <sheet name="以公允价值计量的资产和负债的期末公允价值明细情况上市公司" sheetId="341" r:id="rId407"/>
    <sheet name="第三层次公允价值计量项目期初与期末账面价值间的调节信息上市公司" sheetId="342" r:id="rId408"/>
    <sheet name="不以公允价值计量的金融资产和金融负债的公允价值情况上市公司" sheetId="343" r:id="rId409"/>
    <sheet name="资本承诺上市公司" sheetId="345" r:id="rId410"/>
    <sheet name="分部信息业务分部期末数" sheetId="347" r:id="rId411"/>
    <sheet name="分部信息业务分部期初数" sheetId="349" r:id="rId412"/>
    <sheet name="按收入来源地划分的对外交易收入" sheetId="348" r:id="rId413"/>
    <sheet name="按资产所在地划分的非流动资产" sheetId="350" r:id="rId414"/>
    <sheet name="本公司对主要客户的依赖程度" sheetId="351" r:id="rId415"/>
    <sheet name="非经常性损益上市公司" sheetId="352" r:id="rId416"/>
    <sheet name="净资产收益率及每股收益上市公司" sheetId="353" r:id="rId417"/>
    <sheet name="净资产收益率计算表" sheetId="397" r:id="rId418"/>
    <sheet name="每股收益计算表" sheetId="398" r:id="rId419"/>
    <sheet name="分类表" sheetId="358" r:id="rId420"/>
    <sheet name="信息分类表" sheetId="429" r:id="rId421"/>
    <sheet name="setting" sheetId="505" r:id="rId422"/>
  </sheets>
  <externalReferences>
    <externalReference r:id="rId423"/>
    <externalReference r:id="rId424"/>
    <externalReference r:id="rId425"/>
    <externalReference r:id="rId426"/>
  </externalReferences>
  <definedNames>
    <definedName name="_xlnm._FilterDatabase" localSheetId="2" hidden="1">科目余额表!$A$1:$M$807</definedName>
    <definedName name="_xlnm._FilterDatabase" localSheetId="17" hidden="1">现金流量表计算表!$A$1:$K$390</definedName>
    <definedName name="ExternalData_1" localSheetId="419" hidden="1">分类表!$A$1:$FH$109</definedName>
    <definedName name="ExternalData_1" localSheetId="420" hidden="1">信息分类表!$A$1:$E$12</definedName>
    <definedName name="_xlnm.Print_Area" localSheetId="4">本期ETY!$A$1:$I$225</definedName>
    <definedName name="_xlnm.Print_Area" localSheetId="3">本期TB!$A$1:$H$255</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0" i="263" l="1"/>
  <c r="E19" i="263"/>
  <c r="E18" i="263"/>
  <c r="E17" i="263"/>
  <c r="E16" i="263"/>
  <c r="E15" i="263"/>
  <c r="E14" i="263"/>
  <c r="E13" i="263"/>
  <c r="E12" i="263"/>
  <c r="E11" i="263"/>
  <c r="E10" i="263"/>
  <c r="E9" i="263"/>
  <c r="E8" i="263"/>
  <c r="E7" i="263"/>
  <c r="E6" i="263"/>
  <c r="E5" i="263"/>
  <c r="E4" i="263"/>
  <c r="E3" i="263"/>
  <c r="E2" i="263"/>
  <c r="B2" i="262"/>
  <c r="B11" i="262" s="1"/>
  <c r="C5" i="261"/>
  <c r="B5" i="261"/>
  <c r="C4" i="261"/>
  <c r="B4" i="261"/>
  <c r="C3" i="261"/>
  <c r="B3" i="261"/>
  <c r="C2" i="261"/>
  <c r="C11" i="261" s="1"/>
  <c r="B11" i="260"/>
  <c r="B11" i="259"/>
  <c r="B3" i="504"/>
  <c r="C2" i="504"/>
  <c r="C6" i="504" s="1"/>
  <c r="C5" i="503"/>
  <c r="B5" i="503"/>
  <c r="B21" i="258"/>
  <c r="B20" i="258"/>
  <c r="B19" i="258"/>
  <c r="B18" i="258"/>
  <c r="B17" i="258"/>
  <c r="B16" i="258"/>
  <c r="B15" i="258"/>
  <c r="B14" i="258"/>
  <c r="B13" i="258"/>
  <c r="B12" i="258"/>
  <c r="B11" i="258"/>
  <c r="B10" i="258"/>
  <c r="B9" i="258"/>
  <c r="B8" i="258"/>
  <c r="B7" i="258"/>
  <c r="B6" i="258"/>
  <c r="B5" i="258"/>
  <c r="B4" i="258"/>
  <c r="B22" i="258" s="1"/>
  <c r="B3" i="258"/>
  <c r="B2" i="258"/>
  <c r="C11" i="258"/>
  <c r="C4" i="258"/>
  <c r="C3" i="258"/>
  <c r="C2" i="258"/>
  <c r="C22" i="258" s="1"/>
  <c r="C175" i="273" s="1"/>
  <c r="C9" i="257"/>
  <c r="B9" i="257"/>
  <c r="C8" i="256"/>
  <c r="B8" i="256"/>
  <c r="C9" i="255"/>
  <c r="B9" i="255"/>
  <c r="C9" i="254"/>
  <c r="B9" i="254"/>
  <c r="C11" i="253"/>
  <c r="B11" i="253"/>
  <c r="B3" i="252"/>
  <c r="B2" i="252"/>
  <c r="B11" i="252" s="1"/>
  <c r="C2" i="252"/>
  <c r="C11" i="252" s="1"/>
  <c r="B10" i="251"/>
  <c r="B9" i="251"/>
  <c r="B8" i="251"/>
  <c r="B7" i="251"/>
  <c r="B6" i="251"/>
  <c r="B5" i="251"/>
  <c r="C3" i="251"/>
  <c r="C12" i="251" s="1"/>
  <c r="C169" i="273" s="1"/>
  <c r="C2" i="251"/>
  <c r="B2" i="251"/>
  <c r="B3" i="251" s="1"/>
  <c r="B12" i="251" s="1"/>
  <c r="C5" i="250"/>
  <c r="B2" i="250"/>
  <c r="B5" i="250" s="1"/>
  <c r="D5" i="249"/>
  <c r="C5" i="249"/>
  <c r="B5" i="249"/>
  <c r="D6" i="248"/>
  <c r="C6" i="248"/>
  <c r="B6" i="248"/>
  <c r="B164" i="273" s="1"/>
  <c r="D8" i="247"/>
  <c r="C8" i="247"/>
  <c r="B8" i="247"/>
  <c r="C17" i="246"/>
  <c r="B17" i="246"/>
  <c r="C6" i="245"/>
  <c r="B6" i="245"/>
  <c r="C9" i="244"/>
  <c r="B9" i="244"/>
  <c r="C4" i="243"/>
  <c r="B4" i="243"/>
  <c r="C12" i="242"/>
  <c r="B12" i="242"/>
  <c r="C5" i="241"/>
  <c r="B5" i="241"/>
  <c r="C5" i="239"/>
  <c r="C10" i="239" s="1"/>
  <c r="C148" i="273" s="1"/>
  <c r="B5" i="239"/>
  <c r="B10" i="239" s="1"/>
  <c r="B148" i="273" s="1"/>
  <c r="C24" i="240"/>
  <c r="B24" i="240"/>
  <c r="C28" i="238"/>
  <c r="B28" i="238"/>
  <c r="C21" i="237"/>
  <c r="B21" i="237"/>
  <c r="C12" i="236"/>
  <c r="B12" i="236"/>
  <c r="E10" i="235"/>
  <c r="D10" i="235"/>
  <c r="C10" i="235"/>
  <c r="B10" i="235"/>
  <c r="E9" i="235"/>
  <c r="D9" i="235"/>
  <c r="C9" i="235"/>
  <c r="B9" i="235"/>
  <c r="E8" i="235"/>
  <c r="D8" i="235"/>
  <c r="C8" i="235"/>
  <c r="B8" i="235"/>
  <c r="E7" i="235"/>
  <c r="D7" i="235"/>
  <c r="C7" i="235"/>
  <c r="B7" i="235"/>
  <c r="E6" i="235"/>
  <c r="D6" i="235"/>
  <c r="C6" i="235"/>
  <c r="B6" i="235"/>
  <c r="E5" i="235"/>
  <c r="D5" i="235"/>
  <c r="C5" i="235"/>
  <c r="B5" i="235"/>
  <c r="E4" i="235"/>
  <c r="D4" i="235"/>
  <c r="C4" i="235"/>
  <c r="B4" i="235"/>
  <c r="E3" i="235"/>
  <c r="D3" i="235"/>
  <c r="C3" i="235"/>
  <c r="B3" i="235"/>
  <c r="E2" i="235"/>
  <c r="E11" i="235" s="1"/>
  <c r="E3" i="233" s="1"/>
  <c r="D2" i="235"/>
  <c r="D11" i="235" s="1"/>
  <c r="D3" i="233" s="1"/>
  <c r="C2" i="235"/>
  <c r="C11" i="235" s="1"/>
  <c r="C3" i="233" s="1"/>
  <c r="B2" i="235"/>
  <c r="B11" i="235" s="1"/>
  <c r="B3" i="233" s="1"/>
  <c r="E6" i="234"/>
  <c r="D6" i="234"/>
  <c r="C6" i="234"/>
  <c r="B6" i="234"/>
  <c r="E5" i="234"/>
  <c r="D5" i="234"/>
  <c r="C5" i="234"/>
  <c r="B5" i="234"/>
  <c r="E4" i="234"/>
  <c r="D4" i="234"/>
  <c r="C4" i="234"/>
  <c r="B4" i="234"/>
  <c r="E3" i="234"/>
  <c r="D3" i="234"/>
  <c r="C3" i="234"/>
  <c r="B3" i="234"/>
  <c r="E2" i="234"/>
  <c r="E7" i="234" s="1"/>
  <c r="E2" i="233" s="1"/>
  <c r="D2" i="234"/>
  <c r="D7" i="234" s="1"/>
  <c r="D2" i="233" s="1"/>
  <c r="C2" i="234"/>
  <c r="C7" i="234" s="1"/>
  <c r="C2" i="233" s="1"/>
  <c r="B2" i="234"/>
  <c r="B7" i="234" s="1"/>
  <c r="B2" i="233" s="1"/>
  <c r="C9" i="232"/>
  <c r="B9" i="232"/>
  <c r="C6" i="232"/>
  <c r="B6" i="232"/>
  <c r="C5" i="232"/>
  <c r="B5" i="232"/>
  <c r="C2" i="232"/>
  <c r="C4" i="232" s="1"/>
  <c r="C11" i="232" s="1"/>
  <c r="B2" i="232" s="1"/>
  <c r="B4" i="232" s="1"/>
  <c r="B11" i="232" s="1"/>
  <c r="D7" i="231"/>
  <c r="C7" i="231"/>
  <c r="E6" i="231"/>
  <c r="E5" i="231"/>
  <c r="E4" i="231"/>
  <c r="E3" i="231"/>
  <c r="C2" i="231"/>
  <c r="B2" i="231"/>
  <c r="E2" i="231" s="1"/>
  <c r="E7" i="231" s="1"/>
  <c r="B119" i="273" s="1"/>
  <c r="D3" i="230"/>
  <c r="C3" i="230"/>
  <c r="B3" i="230"/>
  <c r="E2" i="230"/>
  <c r="E3" i="230" s="1"/>
  <c r="B118" i="273" s="1"/>
  <c r="B14" i="229"/>
  <c r="C116" i="273" s="1"/>
  <c r="I13" i="229"/>
  <c r="I12" i="229"/>
  <c r="I11" i="229"/>
  <c r="I10" i="229"/>
  <c r="I9" i="229"/>
  <c r="I8" i="229"/>
  <c r="I7" i="229" s="1"/>
  <c r="I6" i="229"/>
  <c r="I2" i="229" s="1"/>
  <c r="I14" i="229" s="1"/>
  <c r="I5" i="229"/>
  <c r="I4" i="229"/>
  <c r="I3" i="229"/>
  <c r="H7" i="229"/>
  <c r="G7" i="229"/>
  <c r="F7" i="229"/>
  <c r="E7" i="229"/>
  <c r="D7" i="229"/>
  <c r="C7" i="229"/>
  <c r="B7" i="229"/>
  <c r="H2" i="229"/>
  <c r="H14" i="229" s="1"/>
  <c r="G2" i="229"/>
  <c r="G14" i="229" s="1"/>
  <c r="F2" i="229"/>
  <c r="F14" i="229" s="1"/>
  <c r="E2" i="229"/>
  <c r="E14" i="229" s="1"/>
  <c r="D2" i="229"/>
  <c r="D14" i="229" s="1"/>
  <c r="C2" i="229"/>
  <c r="C14" i="229" s="1"/>
  <c r="B2" i="229"/>
  <c r="D4" i="228"/>
  <c r="C4" i="228"/>
  <c r="B4" i="228"/>
  <c r="E3" i="228"/>
  <c r="E4" i="228" s="1"/>
  <c r="B114" i="273" s="1"/>
  <c r="E2" i="228"/>
  <c r="G4" i="227"/>
  <c r="F4" i="227"/>
  <c r="E4" i="227"/>
  <c r="D4" i="227"/>
  <c r="C4" i="227"/>
  <c r="B4" i="227"/>
  <c r="I3" i="227"/>
  <c r="H3" i="227"/>
  <c r="I2" i="227"/>
  <c r="I4" i="227" s="1"/>
  <c r="B111" i="273" s="1"/>
  <c r="H2" i="227"/>
  <c r="H4" i="227" s="1"/>
  <c r="E6" i="225"/>
  <c r="D6" i="225"/>
  <c r="B6" i="225"/>
  <c r="F5" i="225"/>
  <c r="F4" i="225"/>
  <c r="F3" i="225"/>
  <c r="F2" i="225"/>
  <c r="F6" i="225" s="1"/>
  <c r="B109" i="273" s="1"/>
  <c r="C5" i="224"/>
  <c r="B5" i="224"/>
  <c r="E3" i="222"/>
  <c r="D3" i="222"/>
  <c r="C3" i="222"/>
  <c r="B3" i="222"/>
  <c r="D2" i="222"/>
  <c r="D5" i="222" s="1"/>
  <c r="C2" i="222"/>
  <c r="C5" i="222" s="1"/>
  <c r="B2" i="222"/>
  <c r="E2" i="222" s="1"/>
  <c r="E5" i="222" s="1"/>
  <c r="B98" i="273" s="1"/>
  <c r="C7" i="221"/>
  <c r="B7" i="221"/>
  <c r="C6" i="221"/>
  <c r="B6" i="221"/>
  <c r="C5" i="221"/>
  <c r="B5" i="221"/>
  <c r="C4" i="221"/>
  <c r="B4" i="221"/>
  <c r="C3" i="221"/>
  <c r="B3" i="221"/>
  <c r="C2" i="221"/>
  <c r="C8" i="221" s="1"/>
  <c r="C97" i="273" s="1"/>
  <c r="B2" i="221"/>
  <c r="B8" i="221" s="1"/>
  <c r="B97" i="273" s="1"/>
  <c r="C6" i="220"/>
  <c r="B6" i="220"/>
  <c r="C12" i="219"/>
  <c r="B12" i="219"/>
  <c r="C11" i="218"/>
  <c r="B11" i="218"/>
  <c r="C8" i="218"/>
  <c r="B8" i="218"/>
  <c r="C3" i="218"/>
  <c r="C15" i="218" s="1"/>
  <c r="B3" i="218"/>
  <c r="B15" i="218" s="1"/>
  <c r="C5" i="217"/>
  <c r="B5" i="217"/>
  <c r="C3" i="213"/>
  <c r="B3" i="213"/>
  <c r="C2" i="213"/>
  <c r="C4" i="213" s="1"/>
  <c r="C95" i="273" s="1"/>
  <c r="B2" i="213"/>
  <c r="B4" i="213" s="1"/>
  <c r="B95" i="273" s="1"/>
  <c r="C5" i="216"/>
  <c r="B4" i="216"/>
  <c r="B3" i="216"/>
  <c r="B2" i="216"/>
  <c r="B5" i="216" s="1"/>
  <c r="B94" i="273" s="1"/>
  <c r="J7" i="208"/>
  <c r="I7" i="208"/>
  <c r="H7" i="208"/>
  <c r="G7" i="208"/>
  <c r="F7" i="208"/>
  <c r="K6" i="208"/>
  <c r="K5" i="208"/>
  <c r="K4" i="208"/>
  <c r="K3" i="208"/>
  <c r="K2" i="208"/>
  <c r="K7" i="208" s="1"/>
  <c r="C6" i="207"/>
  <c r="B6" i="207"/>
  <c r="C5" i="207"/>
  <c r="B5" i="207"/>
  <c r="C4" i="207"/>
  <c r="B4" i="207"/>
  <c r="C3" i="207"/>
  <c r="B3" i="207"/>
  <c r="C2" i="207"/>
  <c r="C7" i="207" s="1"/>
  <c r="C90" i="273" s="1"/>
  <c r="B2" i="207"/>
  <c r="B7" i="207" s="1"/>
  <c r="B90" i="273" s="1"/>
  <c r="C6" i="205"/>
  <c r="B6" i="205"/>
  <c r="C6" i="204"/>
  <c r="B6" i="204"/>
  <c r="C5" i="203"/>
  <c r="B5" i="203"/>
  <c r="B4" i="202"/>
  <c r="C6" i="201"/>
  <c r="B5" i="201"/>
  <c r="B4" i="201"/>
  <c r="B3" i="201"/>
  <c r="B2" i="201"/>
  <c r="B6" i="201" s="1"/>
  <c r="B4" i="196" s="1"/>
  <c r="C4" i="199"/>
  <c r="B4" i="199"/>
  <c r="C3" i="199"/>
  <c r="B3" i="199"/>
  <c r="C2" i="199"/>
  <c r="C5" i="199" s="1"/>
  <c r="C3" i="196" s="1"/>
  <c r="B2" i="199"/>
  <c r="B5" i="199" s="1"/>
  <c r="B3" i="196" s="1"/>
  <c r="C7" i="197"/>
  <c r="B6" i="197"/>
  <c r="B5" i="197"/>
  <c r="B4" i="197"/>
  <c r="B3" i="197"/>
  <c r="B2" i="197"/>
  <c r="B7" i="197" s="1"/>
  <c r="B2" i="196" s="1"/>
  <c r="C4" i="196"/>
  <c r="C2" i="196"/>
  <c r="D16" i="195"/>
  <c r="C16" i="195"/>
  <c r="B16" i="195"/>
  <c r="E16" i="195" s="1"/>
  <c r="D15" i="195"/>
  <c r="C15" i="195"/>
  <c r="B15" i="195"/>
  <c r="E15" i="195" s="1"/>
  <c r="D14" i="195"/>
  <c r="C14" i="195"/>
  <c r="B14" i="195"/>
  <c r="E14" i="195" s="1"/>
  <c r="D13" i="195"/>
  <c r="C13" i="195"/>
  <c r="B13" i="195"/>
  <c r="E13" i="195" s="1"/>
  <c r="D12" i="195"/>
  <c r="C12" i="195"/>
  <c r="B12" i="195"/>
  <c r="E12" i="195" s="1"/>
  <c r="D11" i="195"/>
  <c r="C11" i="195"/>
  <c r="B11" i="195"/>
  <c r="E11" i="195" s="1"/>
  <c r="D10" i="195"/>
  <c r="C10" i="195"/>
  <c r="B10" i="195"/>
  <c r="E10" i="195" s="1"/>
  <c r="D9" i="195"/>
  <c r="C9" i="195"/>
  <c r="B9" i="195"/>
  <c r="E9" i="195" s="1"/>
  <c r="D8" i="195"/>
  <c r="C8" i="195"/>
  <c r="B8" i="195"/>
  <c r="E8" i="195" s="1"/>
  <c r="D7" i="195"/>
  <c r="C7" i="195"/>
  <c r="B7" i="195"/>
  <c r="E7" i="195" s="1"/>
  <c r="D6" i="195"/>
  <c r="C6" i="195"/>
  <c r="B6" i="195"/>
  <c r="E6" i="195" s="1"/>
  <c r="D5" i="195"/>
  <c r="C5" i="195"/>
  <c r="B5" i="195"/>
  <c r="E5" i="195" s="1"/>
  <c r="D4" i="195"/>
  <c r="C4" i="195"/>
  <c r="B4" i="195"/>
  <c r="E4" i="195" s="1"/>
  <c r="D3" i="195"/>
  <c r="C3" i="195"/>
  <c r="B3" i="195"/>
  <c r="E3" i="195" s="1"/>
  <c r="D2" i="195"/>
  <c r="D17" i="195" s="1"/>
  <c r="C2" i="195"/>
  <c r="C17" i="195" s="1"/>
  <c r="B2" i="195"/>
  <c r="B17" i="195" s="1"/>
  <c r="C81" i="273" s="1"/>
  <c r="D4" i="194"/>
  <c r="C4" i="194"/>
  <c r="B4" i="194"/>
  <c r="E4" i="194" s="1"/>
  <c r="D3" i="194"/>
  <c r="C3" i="194"/>
  <c r="B3" i="194"/>
  <c r="E3" i="194" s="1"/>
  <c r="D2" i="194"/>
  <c r="D5" i="194" s="1"/>
  <c r="D3" i="192" s="1"/>
  <c r="C2" i="194"/>
  <c r="C5" i="194" s="1"/>
  <c r="C3" i="192" s="1"/>
  <c r="B2" i="194"/>
  <c r="B5" i="194" s="1"/>
  <c r="B3" i="192" s="1"/>
  <c r="D13" i="193"/>
  <c r="C13" i="193"/>
  <c r="B13" i="193"/>
  <c r="E13" i="193" s="1"/>
  <c r="D12" i="193"/>
  <c r="C12" i="193"/>
  <c r="B12" i="193"/>
  <c r="E12" i="193" s="1"/>
  <c r="D11" i="193"/>
  <c r="C11" i="193"/>
  <c r="B11" i="193"/>
  <c r="E11" i="193" s="1"/>
  <c r="D10" i="193"/>
  <c r="C10" i="193"/>
  <c r="B10" i="193"/>
  <c r="E10" i="193" s="1"/>
  <c r="D9" i="193"/>
  <c r="C9" i="193"/>
  <c r="B9" i="193"/>
  <c r="E9" i="193" s="1"/>
  <c r="D8" i="193"/>
  <c r="C8" i="193"/>
  <c r="B8" i="193"/>
  <c r="E8" i="193" s="1"/>
  <c r="D7" i="193"/>
  <c r="C7" i="193"/>
  <c r="B7" i="193"/>
  <c r="E7" i="193" s="1"/>
  <c r="D6" i="193"/>
  <c r="C6" i="193"/>
  <c r="B6" i="193"/>
  <c r="E6" i="193" s="1"/>
  <c r="D5" i="193"/>
  <c r="D4" i="193" s="1"/>
  <c r="D14" i="193" s="1"/>
  <c r="D2" i="192" s="1"/>
  <c r="C5" i="193"/>
  <c r="B5" i="193"/>
  <c r="E5" i="193" s="1"/>
  <c r="C4" i="193"/>
  <c r="C14" i="193" s="1"/>
  <c r="C2" i="192" s="1"/>
  <c r="B4" i="193"/>
  <c r="E4" i="193" s="1"/>
  <c r="D3" i="193"/>
  <c r="C3" i="193"/>
  <c r="B3" i="193"/>
  <c r="E3" i="193" s="1"/>
  <c r="D2" i="193"/>
  <c r="C2" i="193"/>
  <c r="B2" i="193"/>
  <c r="E2" i="193" s="1"/>
  <c r="E6" i="192"/>
  <c r="E5" i="192"/>
  <c r="E4" i="192"/>
  <c r="C4" i="191"/>
  <c r="B4" i="191"/>
  <c r="B5" i="190"/>
  <c r="C6" i="388"/>
  <c r="B5" i="388"/>
  <c r="B4" i="388"/>
  <c r="B3" i="388"/>
  <c r="B2" i="388"/>
  <c r="B6" i="388" s="1"/>
  <c r="B71" i="273" s="1"/>
  <c r="C4" i="189"/>
  <c r="B3" i="189"/>
  <c r="B2" i="189"/>
  <c r="B4" i="189" s="1"/>
  <c r="B70" i="273" s="1"/>
  <c r="B5" i="188"/>
  <c r="C6" i="187"/>
  <c r="B5" i="187"/>
  <c r="B4" i="187"/>
  <c r="B3" i="187"/>
  <c r="B2" i="187"/>
  <c r="B6" i="187" s="1"/>
  <c r="B69" i="273" s="1"/>
  <c r="C4" i="186"/>
  <c r="B4" i="186"/>
  <c r="C6" i="185"/>
  <c r="B6" i="185"/>
  <c r="B67" i="273" s="1"/>
  <c r="C8" i="184"/>
  <c r="B8" i="184"/>
  <c r="C10" i="183"/>
  <c r="B10" i="183"/>
  <c r="B4" i="182"/>
  <c r="C5" i="181"/>
  <c r="B5" i="181"/>
  <c r="C4" i="181"/>
  <c r="B4" i="181"/>
  <c r="C3" i="181"/>
  <c r="B3" i="181"/>
  <c r="C2" i="181"/>
  <c r="C7" i="181" s="1"/>
  <c r="C62" i="273" s="1"/>
  <c r="B2" i="181"/>
  <c r="B7" i="181" s="1"/>
  <c r="B62" i="273" s="1"/>
  <c r="C7" i="180"/>
  <c r="B7" i="180"/>
  <c r="C6" i="180"/>
  <c r="B6" i="180"/>
  <c r="C5" i="180"/>
  <c r="B5" i="180"/>
  <c r="C4" i="180"/>
  <c r="B4" i="180"/>
  <c r="C3" i="180"/>
  <c r="B3" i="180"/>
  <c r="C2" i="180"/>
  <c r="C8" i="180" s="1"/>
  <c r="C61" i="273" s="1"/>
  <c r="B2" i="180"/>
  <c r="B8" i="180" s="1"/>
  <c r="B61" i="273" s="1"/>
  <c r="C3" i="178"/>
  <c r="C2" i="178" s="1"/>
  <c r="C4" i="178" s="1"/>
  <c r="B3" i="178"/>
  <c r="B2" i="178" s="1"/>
  <c r="B4" i="178" s="1"/>
  <c r="E24" i="177"/>
  <c r="D24" i="177"/>
  <c r="C24" i="177"/>
  <c r="B24" i="177"/>
  <c r="E23" i="177"/>
  <c r="D23" i="177"/>
  <c r="C23" i="177"/>
  <c r="B23" i="177"/>
  <c r="E22" i="177"/>
  <c r="D22" i="177"/>
  <c r="C22" i="177"/>
  <c r="B22" i="177"/>
  <c r="E21" i="177"/>
  <c r="D21" i="177"/>
  <c r="C21" i="177"/>
  <c r="B21" i="177"/>
  <c r="E20" i="177"/>
  <c r="D20" i="177"/>
  <c r="C20" i="177"/>
  <c r="B20" i="177"/>
  <c r="E19" i="177"/>
  <c r="D19" i="177"/>
  <c r="C19" i="177"/>
  <c r="B19" i="177"/>
  <c r="E18" i="177"/>
  <c r="D18" i="177"/>
  <c r="C18" i="177"/>
  <c r="B18" i="177"/>
  <c r="E17" i="177"/>
  <c r="D17" i="177"/>
  <c r="C17" i="177"/>
  <c r="B17" i="177"/>
  <c r="E16" i="177"/>
  <c r="D16" i="177"/>
  <c r="C16" i="177"/>
  <c r="B16" i="177"/>
  <c r="E15" i="177"/>
  <c r="D15" i="177"/>
  <c r="C15" i="177"/>
  <c r="B15" i="177"/>
  <c r="E14" i="177"/>
  <c r="D14" i="177"/>
  <c r="C14" i="177"/>
  <c r="B14" i="177"/>
  <c r="E13" i="177"/>
  <c r="D13" i="177"/>
  <c r="C13" i="177"/>
  <c r="B13" i="177"/>
  <c r="E12" i="177"/>
  <c r="D12" i="177"/>
  <c r="C12" i="177"/>
  <c r="B12" i="177"/>
  <c r="E11" i="177"/>
  <c r="D11" i="177"/>
  <c r="C11" i="177"/>
  <c r="B11" i="177"/>
  <c r="E10" i="177"/>
  <c r="D10" i="177"/>
  <c r="C10" i="177"/>
  <c r="B10" i="177"/>
  <c r="E9" i="177"/>
  <c r="D9" i="177"/>
  <c r="C9" i="177"/>
  <c r="B9" i="177"/>
  <c r="E8" i="177"/>
  <c r="D8" i="177"/>
  <c r="C8" i="177"/>
  <c r="B8" i="177"/>
  <c r="E7" i="177"/>
  <c r="D7" i="177"/>
  <c r="C7" i="177"/>
  <c r="B7" i="177"/>
  <c r="E6" i="177"/>
  <c r="D6" i="177"/>
  <c r="C6" i="177"/>
  <c r="B6" i="177"/>
  <c r="E5" i="177"/>
  <c r="D5" i="177"/>
  <c r="C5" i="177"/>
  <c r="B5" i="177"/>
  <c r="E4" i="177"/>
  <c r="D4" i="177"/>
  <c r="C4" i="177"/>
  <c r="B4" i="177"/>
  <c r="E3" i="177"/>
  <c r="D3" i="177"/>
  <c r="C3" i="177"/>
  <c r="B3" i="177"/>
  <c r="E2" i="177"/>
  <c r="E25" i="177" s="1"/>
  <c r="C99" i="273" s="1"/>
  <c r="D2" i="177"/>
  <c r="D25" i="177" s="1"/>
  <c r="C2" i="177"/>
  <c r="C25" i="177" s="1"/>
  <c r="B99" i="273" s="1"/>
  <c r="B2" i="177"/>
  <c r="B25" i="177" s="1"/>
  <c r="E44" i="176"/>
  <c r="D44" i="176"/>
  <c r="C44" i="176"/>
  <c r="B44" i="176"/>
  <c r="E43" i="176"/>
  <c r="D43" i="176"/>
  <c r="C43" i="176"/>
  <c r="B43" i="176"/>
  <c r="E42" i="176"/>
  <c r="D42" i="176"/>
  <c r="C42" i="176"/>
  <c r="B42" i="176"/>
  <c r="E41" i="176"/>
  <c r="D41" i="176"/>
  <c r="C41" i="176"/>
  <c r="B41" i="176"/>
  <c r="E40" i="176"/>
  <c r="D40" i="176"/>
  <c r="C40" i="176"/>
  <c r="B40" i="176"/>
  <c r="E39" i="176"/>
  <c r="D39" i="176"/>
  <c r="C39" i="176"/>
  <c r="B39" i="176"/>
  <c r="E38" i="176"/>
  <c r="D38" i="176"/>
  <c r="C38" i="176"/>
  <c r="B38" i="176"/>
  <c r="E37" i="176"/>
  <c r="D37" i="176"/>
  <c r="C37" i="176"/>
  <c r="B37" i="176"/>
  <c r="E36" i="176"/>
  <c r="D36" i="176"/>
  <c r="C36" i="176"/>
  <c r="B36" i="176"/>
  <c r="E35" i="176"/>
  <c r="D35" i="176"/>
  <c r="C35" i="176"/>
  <c r="B35" i="176"/>
  <c r="E34" i="176"/>
  <c r="D34" i="176"/>
  <c r="C34" i="176"/>
  <c r="B34" i="176"/>
  <c r="E33" i="176"/>
  <c r="D33" i="176"/>
  <c r="C33" i="176"/>
  <c r="B33" i="176"/>
  <c r="E32" i="176"/>
  <c r="D32" i="176"/>
  <c r="C32" i="176"/>
  <c r="B32" i="176"/>
  <c r="E31" i="176"/>
  <c r="D31" i="176"/>
  <c r="C31" i="176"/>
  <c r="B31" i="176"/>
  <c r="E30" i="176"/>
  <c r="D30" i="176"/>
  <c r="C30" i="176"/>
  <c r="B30" i="176"/>
  <c r="E29" i="176"/>
  <c r="D29" i="176"/>
  <c r="C29" i="176"/>
  <c r="B29" i="176"/>
  <c r="E28" i="176"/>
  <c r="D28" i="176"/>
  <c r="C28" i="176"/>
  <c r="B28" i="176"/>
  <c r="E27" i="176"/>
  <c r="D27" i="176"/>
  <c r="C27" i="176"/>
  <c r="B27" i="176"/>
  <c r="E26" i="176"/>
  <c r="D26" i="176"/>
  <c r="C26" i="176"/>
  <c r="B26" i="176"/>
  <c r="E25" i="176"/>
  <c r="D25" i="176"/>
  <c r="C25" i="176"/>
  <c r="B25" i="176"/>
  <c r="E24" i="176"/>
  <c r="D24" i="176"/>
  <c r="C24" i="176"/>
  <c r="B24" i="176"/>
  <c r="E23" i="176"/>
  <c r="D23" i="176"/>
  <c r="C23" i="176"/>
  <c r="B23" i="176"/>
  <c r="E22" i="176"/>
  <c r="D22" i="176"/>
  <c r="C22" i="176"/>
  <c r="B22" i="176"/>
  <c r="E21" i="176"/>
  <c r="D21" i="176"/>
  <c r="C21" i="176"/>
  <c r="B21" i="176"/>
  <c r="E20" i="176"/>
  <c r="D20" i="176"/>
  <c r="C20" i="176"/>
  <c r="B20" i="176"/>
  <c r="E19" i="176"/>
  <c r="D19" i="176"/>
  <c r="C19" i="176"/>
  <c r="B19" i="176"/>
  <c r="E18" i="176"/>
  <c r="D18" i="176"/>
  <c r="C18" i="176"/>
  <c r="B18" i="176"/>
  <c r="E17" i="176"/>
  <c r="D17" i="176"/>
  <c r="C17" i="176"/>
  <c r="B17" i="176"/>
  <c r="E16" i="176"/>
  <c r="D16" i="176"/>
  <c r="C16" i="176"/>
  <c r="B16" i="176"/>
  <c r="E15" i="176"/>
  <c r="D15" i="176"/>
  <c r="C15" i="176"/>
  <c r="B15" i="176"/>
  <c r="E14" i="176"/>
  <c r="D14" i="176"/>
  <c r="C14" i="176"/>
  <c r="B14" i="176"/>
  <c r="E13" i="176"/>
  <c r="D13" i="176"/>
  <c r="C13" i="176"/>
  <c r="B13" i="176"/>
  <c r="E12" i="176"/>
  <c r="D12" i="176"/>
  <c r="C12" i="176"/>
  <c r="B12" i="176"/>
  <c r="E11" i="176"/>
  <c r="D11" i="176"/>
  <c r="C11" i="176"/>
  <c r="B11" i="176"/>
  <c r="E10" i="176"/>
  <c r="D10" i="176"/>
  <c r="C10" i="176"/>
  <c r="B10" i="176"/>
  <c r="E9" i="176"/>
  <c r="D9" i="176"/>
  <c r="C9" i="176"/>
  <c r="B9" i="176"/>
  <c r="E8" i="176"/>
  <c r="D8" i="176"/>
  <c r="C8" i="176"/>
  <c r="B8" i="176"/>
  <c r="E7" i="176"/>
  <c r="D7" i="176"/>
  <c r="C7" i="176"/>
  <c r="B7" i="176"/>
  <c r="E6" i="176"/>
  <c r="D6" i="176"/>
  <c r="C6" i="176"/>
  <c r="B6" i="176"/>
  <c r="E5" i="176"/>
  <c r="D5" i="176"/>
  <c r="C5" i="176"/>
  <c r="B5" i="176"/>
  <c r="E4" i="176"/>
  <c r="D4" i="176"/>
  <c r="C4" i="176"/>
  <c r="B4" i="176"/>
  <c r="E3" i="176"/>
  <c r="D3" i="176"/>
  <c r="C3" i="176"/>
  <c r="B3" i="176"/>
  <c r="E2" i="176"/>
  <c r="E53" i="176" s="1"/>
  <c r="C60" i="273" s="1"/>
  <c r="D2" i="176"/>
  <c r="D53" i="176" s="1"/>
  <c r="C2" i="176"/>
  <c r="C53" i="176" s="1"/>
  <c r="B60" i="273" s="1"/>
  <c r="B2" i="176"/>
  <c r="B53" i="176" s="1"/>
  <c r="E9" i="175"/>
  <c r="D9" i="175"/>
  <c r="C9" i="175"/>
  <c r="B9" i="175"/>
  <c r="F9" i="175" s="1"/>
  <c r="E8" i="175"/>
  <c r="D8" i="175"/>
  <c r="C8" i="175"/>
  <c r="B8" i="175"/>
  <c r="F8" i="175" s="1"/>
  <c r="F7" i="175"/>
  <c r="E7" i="175"/>
  <c r="D7" i="175"/>
  <c r="C7" i="175"/>
  <c r="B7" i="175"/>
  <c r="E6" i="175"/>
  <c r="D6" i="175"/>
  <c r="C6" i="175"/>
  <c r="B6" i="175"/>
  <c r="F6" i="175" s="1"/>
  <c r="E5" i="175"/>
  <c r="D5" i="175"/>
  <c r="C5" i="175"/>
  <c r="B5" i="175"/>
  <c r="F5" i="175" s="1"/>
  <c r="E4" i="175"/>
  <c r="D4" i="175"/>
  <c r="C4" i="175"/>
  <c r="B4" i="175"/>
  <c r="F4" i="175" s="1"/>
  <c r="E3" i="175"/>
  <c r="D3" i="175"/>
  <c r="C3" i="175"/>
  <c r="B3" i="175"/>
  <c r="F3" i="175" s="1"/>
  <c r="E2" i="175"/>
  <c r="E10" i="175" s="1"/>
  <c r="D2" i="175"/>
  <c r="F2" i="175" s="1"/>
  <c r="C2" i="175"/>
  <c r="C10" i="175" s="1"/>
  <c r="B2" i="175"/>
  <c r="B10" i="175" s="1"/>
  <c r="C59" i="273" s="1"/>
  <c r="D4" i="174"/>
  <c r="C4" i="174"/>
  <c r="B4" i="174"/>
  <c r="E3" i="174"/>
  <c r="E4" i="174" s="1"/>
  <c r="C225" i="273" s="1"/>
  <c r="D225" i="273" s="1"/>
  <c r="E2" i="174"/>
  <c r="D4" i="173"/>
  <c r="C4" i="173"/>
  <c r="B4" i="173"/>
  <c r="E3" i="173"/>
  <c r="E2" i="173"/>
  <c r="E4" i="173" s="1"/>
  <c r="B58" i="273" s="1"/>
  <c r="F31" i="170"/>
  <c r="E31" i="170"/>
  <c r="D31" i="170"/>
  <c r="C31" i="170"/>
  <c r="B31" i="170"/>
  <c r="E30" i="170"/>
  <c r="D30" i="170"/>
  <c r="C30" i="170"/>
  <c r="C29" i="170" s="1"/>
  <c r="B30" i="170"/>
  <c r="F30" i="170" s="1"/>
  <c r="E29" i="170"/>
  <c r="D29" i="170"/>
  <c r="E28" i="170"/>
  <c r="E26" i="170" s="1"/>
  <c r="D28" i="170"/>
  <c r="C28" i="170"/>
  <c r="B28" i="170"/>
  <c r="F28" i="170" s="1"/>
  <c r="E27" i="170"/>
  <c r="D27" i="170"/>
  <c r="D26" i="170" s="1"/>
  <c r="C27" i="170"/>
  <c r="C26" i="170" s="1"/>
  <c r="B27" i="170"/>
  <c r="F27" i="170" s="1"/>
  <c r="E25" i="170"/>
  <c r="E32" i="170" s="1"/>
  <c r="D25" i="170"/>
  <c r="D32" i="170" s="1"/>
  <c r="C25" i="170"/>
  <c r="B25" i="170"/>
  <c r="F22" i="170"/>
  <c r="E22" i="170"/>
  <c r="D22" i="170"/>
  <c r="C22" i="170"/>
  <c r="B22" i="170"/>
  <c r="E21" i="170"/>
  <c r="E20" i="170" s="1"/>
  <c r="D21" i="170"/>
  <c r="D20" i="170" s="1"/>
  <c r="C21" i="170"/>
  <c r="C20" i="170" s="1"/>
  <c r="B21" i="170"/>
  <c r="F21" i="170" s="1"/>
  <c r="E19" i="170"/>
  <c r="D19" i="170"/>
  <c r="C19" i="170"/>
  <c r="B19" i="170"/>
  <c r="F19" i="170" s="1"/>
  <c r="E18" i="170"/>
  <c r="D18" i="170"/>
  <c r="C18" i="170"/>
  <c r="B18" i="170"/>
  <c r="B16" i="170" s="1"/>
  <c r="F16" i="170" s="1"/>
  <c r="F17" i="170"/>
  <c r="E17" i="170"/>
  <c r="E16" i="170" s="1"/>
  <c r="D17" i="170"/>
  <c r="C17" i="170"/>
  <c r="B17" i="170"/>
  <c r="D16" i="170"/>
  <c r="C16" i="170"/>
  <c r="E15" i="170"/>
  <c r="E23" i="170" s="1"/>
  <c r="D15" i="170"/>
  <c r="C15" i="170"/>
  <c r="B15" i="170"/>
  <c r="F15" i="170" s="1"/>
  <c r="E12" i="170"/>
  <c r="D12" i="170"/>
  <c r="C12" i="170"/>
  <c r="C10" i="170" s="1"/>
  <c r="B12" i="170"/>
  <c r="F12" i="170" s="1"/>
  <c r="E11" i="170"/>
  <c r="D11" i="170"/>
  <c r="C11" i="170"/>
  <c r="B11" i="170"/>
  <c r="F11" i="170" s="1"/>
  <c r="E10" i="170"/>
  <c r="D10" i="170"/>
  <c r="E9" i="170"/>
  <c r="D9" i="170"/>
  <c r="C9" i="170"/>
  <c r="B9" i="170"/>
  <c r="B4" i="170" s="1"/>
  <c r="F8" i="170"/>
  <c r="E8" i="170"/>
  <c r="D8" i="170"/>
  <c r="C8" i="170"/>
  <c r="B8" i="170"/>
  <c r="E7" i="170"/>
  <c r="D7" i="170"/>
  <c r="F7" i="170" s="1"/>
  <c r="C7" i="170"/>
  <c r="B7" i="170"/>
  <c r="E6" i="170"/>
  <c r="D6" i="170"/>
  <c r="C6" i="170"/>
  <c r="B6" i="170"/>
  <c r="F6" i="170" s="1"/>
  <c r="F5" i="170"/>
  <c r="E5" i="170"/>
  <c r="D5" i="170"/>
  <c r="C5" i="170"/>
  <c r="B5" i="170"/>
  <c r="E4" i="170"/>
  <c r="C4" i="170"/>
  <c r="E3" i="170"/>
  <c r="E13" i="170" s="1"/>
  <c r="D3" i="170"/>
  <c r="C3" i="170"/>
  <c r="C13" i="170" s="1"/>
  <c r="B3" i="170"/>
  <c r="F3" i="170" s="1"/>
  <c r="D28" i="169"/>
  <c r="C28" i="169"/>
  <c r="B28" i="169"/>
  <c r="E28" i="169" s="1"/>
  <c r="D27" i="169"/>
  <c r="C27" i="169"/>
  <c r="B27" i="169"/>
  <c r="E27" i="169" s="1"/>
  <c r="D26" i="169"/>
  <c r="C26" i="169"/>
  <c r="B26" i="169"/>
  <c r="E26" i="169" s="1"/>
  <c r="D25" i="169"/>
  <c r="C25" i="169"/>
  <c r="B25" i="169"/>
  <c r="E25" i="169" s="1"/>
  <c r="D24" i="169"/>
  <c r="D23" i="169" s="1"/>
  <c r="C24" i="169"/>
  <c r="B24" i="169"/>
  <c r="B23" i="169" s="1"/>
  <c r="E23" i="169" s="1"/>
  <c r="C23" i="169"/>
  <c r="D22" i="169"/>
  <c r="C22" i="169"/>
  <c r="C29" i="169" s="1"/>
  <c r="B22" i="169"/>
  <c r="D19" i="169"/>
  <c r="D17" i="169" s="1"/>
  <c r="C19" i="169"/>
  <c r="B19" i="169"/>
  <c r="E19" i="169" s="1"/>
  <c r="D18" i="169"/>
  <c r="C18" i="169"/>
  <c r="B18" i="169"/>
  <c r="E18" i="169" s="1"/>
  <c r="C17" i="169"/>
  <c r="B17" i="169"/>
  <c r="E17" i="169" s="1"/>
  <c r="D16" i="169"/>
  <c r="C16" i="169"/>
  <c r="B16" i="169"/>
  <c r="E16" i="169" s="1"/>
  <c r="D15" i="169"/>
  <c r="D14" i="169" s="1"/>
  <c r="C15" i="169"/>
  <c r="C14" i="169" s="1"/>
  <c r="B15" i="169"/>
  <c r="B14" i="169" s="1"/>
  <c r="D13" i="169"/>
  <c r="D20" i="169" s="1"/>
  <c r="C13" i="169"/>
  <c r="B13" i="169"/>
  <c r="B20" i="169" s="1"/>
  <c r="D10" i="169"/>
  <c r="D8" i="169" s="1"/>
  <c r="C10" i="169"/>
  <c r="B10" i="169"/>
  <c r="E10" i="169" s="1"/>
  <c r="D9" i="169"/>
  <c r="C9" i="169"/>
  <c r="B9" i="169"/>
  <c r="E9" i="169" s="1"/>
  <c r="C8" i="169"/>
  <c r="B8" i="169"/>
  <c r="D7" i="169"/>
  <c r="C7" i="169"/>
  <c r="B7" i="169"/>
  <c r="E7" i="169" s="1"/>
  <c r="D6" i="169"/>
  <c r="D4" i="169" s="1"/>
  <c r="C6" i="169"/>
  <c r="B6" i="169"/>
  <c r="E6" i="169" s="1"/>
  <c r="D5" i="169"/>
  <c r="C5" i="169"/>
  <c r="B5" i="169"/>
  <c r="E5" i="169" s="1"/>
  <c r="C4" i="169"/>
  <c r="D3" i="169"/>
  <c r="C3" i="169"/>
  <c r="C32" i="169" s="1"/>
  <c r="B3" i="169"/>
  <c r="E3" i="169" s="1"/>
  <c r="E11" i="416"/>
  <c r="E3" i="416"/>
  <c r="B21" i="416"/>
  <c r="E21" i="416" s="1"/>
  <c r="B20" i="416"/>
  <c r="E20" i="416" s="1"/>
  <c r="B19" i="416"/>
  <c r="B18" i="416"/>
  <c r="E18" i="416" s="1"/>
  <c r="B11" i="416"/>
  <c r="B10" i="416"/>
  <c r="E10" i="416" s="1"/>
  <c r="B9" i="416"/>
  <c r="E9" i="416" s="1"/>
  <c r="B8" i="416"/>
  <c r="E8" i="416" s="1"/>
  <c r="B6" i="416"/>
  <c r="B16" i="416" s="1"/>
  <c r="B26" i="416" s="1"/>
  <c r="B5" i="416"/>
  <c r="B15" i="416" s="1"/>
  <c r="B25" i="416" s="1"/>
  <c r="B4" i="416"/>
  <c r="B14" i="416" s="1"/>
  <c r="B24" i="416" s="1"/>
  <c r="B3" i="416"/>
  <c r="B2" i="416" s="1"/>
  <c r="E2" i="416" s="1"/>
  <c r="D21" i="416"/>
  <c r="C21" i="416"/>
  <c r="D20" i="416"/>
  <c r="C20" i="416"/>
  <c r="D19" i="416"/>
  <c r="C19" i="416"/>
  <c r="E19" i="416" s="1"/>
  <c r="D18" i="416"/>
  <c r="C18" i="416"/>
  <c r="C17" i="416" s="1"/>
  <c r="D17" i="416"/>
  <c r="D11" i="416"/>
  <c r="C11" i="416"/>
  <c r="D10" i="416"/>
  <c r="C10" i="416"/>
  <c r="D9" i="416"/>
  <c r="C9" i="416"/>
  <c r="D8" i="416"/>
  <c r="D7" i="416" s="1"/>
  <c r="C8" i="416"/>
  <c r="C7" i="416" s="1"/>
  <c r="D6" i="416"/>
  <c r="C6" i="416"/>
  <c r="C2" i="416" s="1"/>
  <c r="D5" i="416"/>
  <c r="C5" i="416"/>
  <c r="D4" i="416"/>
  <c r="D2" i="416" s="1"/>
  <c r="C4" i="416"/>
  <c r="D3" i="416"/>
  <c r="C3" i="416"/>
  <c r="D28" i="168"/>
  <c r="C28" i="168"/>
  <c r="B28" i="168"/>
  <c r="E28" i="168" s="1"/>
  <c r="D27" i="168"/>
  <c r="C27" i="168"/>
  <c r="C26" i="168" s="1"/>
  <c r="B27" i="168"/>
  <c r="E27" i="168" s="1"/>
  <c r="D26" i="168"/>
  <c r="D25" i="168"/>
  <c r="C25" i="168"/>
  <c r="B25" i="168"/>
  <c r="E25" i="168" s="1"/>
  <c r="D24" i="168"/>
  <c r="D23" i="168" s="1"/>
  <c r="C24" i="168"/>
  <c r="B24" i="168"/>
  <c r="E24" i="168" s="1"/>
  <c r="C23" i="168"/>
  <c r="B23" i="168"/>
  <c r="E23" i="168" s="1"/>
  <c r="D22" i="168"/>
  <c r="D29" i="168" s="1"/>
  <c r="C22" i="168"/>
  <c r="B22" i="168"/>
  <c r="D19" i="168"/>
  <c r="C19" i="168"/>
  <c r="B19" i="168"/>
  <c r="E19" i="168" s="1"/>
  <c r="D18" i="168"/>
  <c r="C18" i="168"/>
  <c r="C17" i="168" s="1"/>
  <c r="B18" i="168"/>
  <c r="E18" i="168" s="1"/>
  <c r="D17" i="168"/>
  <c r="B17" i="168"/>
  <c r="D16" i="168"/>
  <c r="C16" i="168"/>
  <c r="B16" i="168"/>
  <c r="E16" i="168" s="1"/>
  <c r="D15" i="168"/>
  <c r="D14" i="168" s="1"/>
  <c r="C15" i="168"/>
  <c r="B15" i="168"/>
  <c r="B14" i="168" s="1"/>
  <c r="E14" i="168" s="1"/>
  <c r="C14" i="168"/>
  <c r="D13" i="168"/>
  <c r="C13" i="168"/>
  <c r="B13" i="168"/>
  <c r="D10" i="168"/>
  <c r="C10" i="168"/>
  <c r="B10" i="168"/>
  <c r="E10" i="168" s="1"/>
  <c r="D9" i="168"/>
  <c r="C9" i="168"/>
  <c r="B9" i="168"/>
  <c r="E9" i="168" s="1"/>
  <c r="D8" i="168"/>
  <c r="C8" i="168"/>
  <c r="B8" i="168"/>
  <c r="E8" i="168" s="1"/>
  <c r="D7" i="168"/>
  <c r="C7" i="168"/>
  <c r="B7" i="168"/>
  <c r="E7" i="168" s="1"/>
  <c r="D6" i="168"/>
  <c r="D4" i="168" s="1"/>
  <c r="C6" i="168"/>
  <c r="B6" i="168"/>
  <c r="E6" i="168" s="1"/>
  <c r="D5" i="168"/>
  <c r="C5" i="168"/>
  <c r="B5" i="168"/>
  <c r="E5" i="168" s="1"/>
  <c r="C4" i="168"/>
  <c r="B4" i="168"/>
  <c r="E4" i="168" s="1"/>
  <c r="D3" i="168"/>
  <c r="D32" i="168" s="1"/>
  <c r="C3" i="168"/>
  <c r="C32" i="168" s="1"/>
  <c r="B3" i="168"/>
  <c r="E3" i="168" s="1"/>
  <c r="F28" i="167"/>
  <c r="E28" i="167"/>
  <c r="D28" i="167"/>
  <c r="C28" i="167"/>
  <c r="B28" i="167"/>
  <c r="E27" i="167"/>
  <c r="D27" i="167"/>
  <c r="C27" i="167"/>
  <c r="C26" i="167" s="1"/>
  <c r="B27" i="167"/>
  <c r="F27" i="167" s="1"/>
  <c r="E26" i="167"/>
  <c r="D26" i="167"/>
  <c r="E25" i="167"/>
  <c r="E23" i="167" s="1"/>
  <c r="D25" i="167"/>
  <c r="C25" i="167"/>
  <c r="B25" i="167"/>
  <c r="F25" i="167" s="1"/>
  <c r="E24" i="167"/>
  <c r="D24" i="167"/>
  <c r="D23" i="167" s="1"/>
  <c r="C24" i="167"/>
  <c r="C23" i="167" s="1"/>
  <c r="B24" i="167"/>
  <c r="F24" i="167" s="1"/>
  <c r="E22" i="167"/>
  <c r="E29" i="167" s="1"/>
  <c r="D22" i="167"/>
  <c r="D29" i="167" s="1"/>
  <c r="C22" i="167"/>
  <c r="B22" i="167"/>
  <c r="F22" i="167" s="1"/>
  <c r="F19" i="167"/>
  <c r="E19" i="167"/>
  <c r="D19" i="167"/>
  <c r="C19" i="167"/>
  <c r="B19" i="167"/>
  <c r="E18" i="167"/>
  <c r="E17" i="167" s="1"/>
  <c r="D18" i="167"/>
  <c r="D17" i="167" s="1"/>
  <c r="C18" i="167"/>
  <c r="C17" i="167" s="1"/>
  <c r="B18" i="167"/>
  <c r="F18" i="167" s="1"/>
  <c r="E16" i="167"/>
  <c r="E14" i="167" s="1"/>
  <c r="D16" i="167"/>
  <c r="D14" i="167" s="1"/>
  <c r="C16" i="167"/>
  <c r="B16" i="167"/>
  <c r="F16" i="167" s="1"/>
  <c r="E15" i="167"/>
  <c r="D15" i="167"/>
  <c r="C15" i="167"/>
  <c r="C14" i="167" s="1"/>
  <c r="B15" i="167"/>
  <c r="F15" i="167" s="1"/>
  <c r="E13" i="167"/>
  <c r="D13" i="167"/>
  <c r="C13" i="167"/>
  <c r="B13" i="167"/>
  <c r="F13" i="167" s="1"/>
  <c r="F10" i="167"/>
  <c r="E10" i="167"/>
  <c r="E8" i="167" s="1"/>
  <c r="D10" i="167"/>
  <c r="C10" i="167"/>
  <c r="B10" i="167"/>
  <c r="E9" i="167"/>
  <c r="D9" i="167"/>
  <c r="D8" i="167" s="1"/>
  <c r="D4" i="167" s="1"/>
  <c r="C9" i="167"/>
  <c r="C8" i="167" s="1"/>
  <c r="C4" i="167" s="1"/>
  <c r="B9" i="167"/>
  <c r="F9" i="167" s="1"/>
  <c r="E7" i="167"/>
  <c r="D7" i="167"/>
  <c r="C7" i="167"/>
  <c r="F7" i="167" s="1"/>
  <c r="B7" i="167"/>
  <c r="E6" i="167"/>
  <c r="D6" i="167"/>
  <c r="C6" i="167"/>
  <c r="B6" i="167"/>
  <c r="F5" i="167"/>
  <c r="E5" i="167"/>
  <c r="E4" i="167" s="1"/>
  <c r="D5" i="167"/>
  <c r="C5" i="167"/>
  <c r="B5" i="167"/>
  <c r="E3" i="167"/>
  <c r="E32" i="167" s="1"/>
  <c r="D3" i="167"/>
  <c r="D32" i="167" s="1"/>
  <c r="C3" i="167"/>
  <c r="C32" i="167" s="1"/>
  <c r="B3" i="167"/>
  <c r="F3" i="167" s="1"/>
  <c r="C4" i="166"/>
  <c r="B4" i="166"/>
  <c r="C3" i="166"/>
  <c r="B3" i="166"/>
  <c r="C2" i="166"/>
  <c r="C5" i="166" s="1"/>
  <c r="C3" i="162" s="1"/>
  <c r="B2" i="166"/>
  <c r="B5" i="166" s="1"/>
  <c r="B3" i="162" s="1"/>
  <c r="C4" i="161"/>
  <c r="C3" i="156" s="1"/>
  <c r="B3" i="161"/>
  <c r="B2" i="161"/>
  <c r="B4" i="161" s="1"/>
  <c r="B3" i="156" s="1"/>
  <c r="B4" i="159"/>
  <c r="B3" i="159"/>
  <c r="B2" i="159"/>
  <c r="B6" i="160"/>
  <c r="B5" i="160"/>
  <c r="B4" i="160"/>
  <c r="B3" i="160"/>
  <c r="B2" i="160"/>
  <c r="B7" i="160" s="1"/>
  <c r="D5" i="158"/>
  <c r="C5" i="158"/>
  <c r="B5" i="158"/>
  <c r="E5" i="158" s="1"/>
  <c r="D4" i="158"/>
  <c r="C4" i="158"/>
  <c r="B4" i="158"/>
  <c r="E4" i="158" s="1"/>
  <c r="D3" i="158"/>
  <c r="C3" i="158"/>
  <c r="B3" i="158"/>
  <c r="E3" i="158" s="1"/>
  <c r="D2" i="158"/>
  <c r="D6" i="158" s="1"/>
  <c r="C2" i="158"/>
  <c r="C6" i="158" s="1"/>
  <c r="B2" i="158"/>
  <c r="E2" i="158" s="1"/>
  <c r="F29" i="410"/>
  <c r="E29" i="410"/>
  <c r="E27" i="410" s="1"/>
  <c r="D29" i="410"/>
  <c r="C29" i="410"/>
  <c r="B29" i="410"/>
  <c r="E28" i="410"/>
  <c r="D28" i="410"/>
  <c r="C28" i="410"/>
  <c r="C27" i="410" s="1"/>
  <c r="B28" i="410"/>
  <c r="F28" i="410" s="1"/>
  <c r="D27" i="410"/>
  <c r="E26" i="410"/>
  <c r="E24" i="410" s="1"/>
  <c r="D26" i="410"/>
  <c r="D24" i="410" s="1"/>
  <c r="C26" i="410"/>
  <c r="B26" i="410"/>
  <c r="F26" i="410" s="1"/>
  <c r="E25" i="410"/>
  <c r="D25" i="410"/>
  <c r="C25" i="410"/>
  <c r="C24" i="410" s="1"/>
  <c r="B25" i="410"/>
  <c r="F25" i="410" s="1"/>
  <c r="E23" i="410"/>
  <c r="E30" i="410" s="1"/>
  <c r="D23" i="410"/>
  <c r="D30" i="410" s="1"/>
  <c r="C23" i="410"/>
  <c r="B23" i="410"/>
  <c r="F23" i="410" s="1"/>
  <c r="F20" i="410"/>
  <c r="E20" i="410"/>
  <c r="D20" i="410"/>
  <c r="C20" i="410"/>
  <c r="B20" i="410"/>
  <c r="E19" i="410"/>
  <c r="E18" i="410" s="1"/>
  <c r="D19" i="410"/>
  <c r="D18" i="410" s="1"/>
  <c r="C19" i="410"/>
  <c r="C18" i="410" s="1"/>
  <c r="B19" i="410"/>
  <c r="F19" i="410" s="1"/>
  <c r="E17" i="410"/>
  <c r="E15" i="410" s="1"/>
  <c r="D17" i="410"/>
  <c r="D15" i="410" s="1"/>
  <c r="C17" i="410"/>
  <c r="B17" i="410"/>
  <c r="F17" i="410" s="1"/>
  <c r="E16" i="410"/>
  <c r="D16" i="410"/>
  <c r="C16" i="410"/>
  <c r="C15" i="410" s="1"/>
  <c r="B16" i="410"/>
  <c r="F16" i="410" s="1"/>
  <c r="E14" i="410"/>
  <c r="E21" i="410" s="1"/>
  <c r="D14" i="410"/>
  <c r="C14" i="410"/>
  <c r="B14" i="410"/>
  <c r="F14" i="410" s="1"/>
  <c r="F11" i="410"/>
  <c r="E11" i="410"/>
  <c r="E9" i="410" s="1"/>
  <c r="D11" i="410"/>
  <c r="C11" i="410"/>
  <c r="B11" i="410"/>
  <c r="E10" i="410"/>
  <c r="D10" i="410"/>
  <c r="D9" i="410" s="1"/>
  <c r="C10" i="410"/>
  <c r="C9" i="410" s="1"/>
  <c r="B10" i="410"/>
  <c r="F10" i="410" s="1"/>
  <c r="E8" i="410"/>
  <c r="D8" i="410"/>
  <c r="C8" i="410"/>
  <c r="B8" i="410"/>
  <c r="F8" i="410" s="1"/>
  <c r="E7" i="410"/>
  <c r="D7" i="410"/>
  <c r="C7" i="410"/>
  <c r="B7" i="410"/>
  <c r="F7" i="410" s="1"/>
  <c r="F6" i="410"/>
  <c r="E6" i="410"/>
  <c r="D6" i="410"/>
  <c r="C6" i="410"/>
  <c r="B6" i="410"/>
  <c r="E5" i="410"/>
  <c r="E4" i="410" s="1"/>
  <c r="D5" i="410"/>
  <c r="D4" i="410" s="1"/>
  <c r="C5" i="410"/>
  <c r="C4" i="410" s="1"/>
  <c r="B5" i="410"/>
  <c r="F5" i="410" s="1"/>
  <c r="E3" i="410"/>
  <c r="E33" i="410" s="1"/>
  <c r="D3" i="410"/>
  <c r="D33" i="410" s="1"/>
  <c r="C3" i="410"/>
  <c r="C33" i="410" s="1"/>
  <c r="B3" i="410"/>
  <c r="B33" i="410" s="1"/>
  <c r="B3" i="155"/>
  <c r="B2" i="155"/>
  <c r="C9" i="154"/>
  <c r="B9" i="154"/>
  <c r="D9" i="154" s="1"/>
  <c r="C8" i="154"/>
  <c r="C7" i="154" s="1"/>
  <c r="B8" i="154"/>
  <c r="B7" i="154" s="1"/>
  <c r="D6" i="154"/>
  <c r="D5" i="154"/>
  <c r="C5" i="154"/>
  <c r="B5" i="154"/>
  <c r="C4" i="154"/>
  <c r="B4" i="154"/>
  <c r="D4" i="154" s="1"/>
  <c r="D3" i="154" s="1"/>
  <c r="C3" i="154"/>
  <c r="C2" i="154"/>
  <c r="C10" i="154" s="1"/>
  <c r="B2" i="154"/>
  <c r="D2" i="154" s="1"/>
  <c r="C29" i="153"/>
  <c r="B29" i="153"/>
  <c r="D29" i="153" s="1"/>
  <c r="C28" i="153"/>
  <c r="C27" i="153" s="1"/>
  <c r="B28" i="153"/>
  <c r="B27" i="153" s="1"/>
  <c r="D27" i="153" s="1"/>
  <c r="D26" i="153"/>
  <c r="C26" i="153"/>
  <c r="B26" i="153"/>
  <c r="C25" i="153"/>
  <c r="C24" i="153" s="1"/>
  <c r="B25" i="153"/>
  <c r="B24" i="153"/>
  <c r="D24" i="153" s="1"/>
  <c r="D23" i="153"/>
  <c r="C23" i="153"/>
  <c r="B23" i="153"/>
  <c r="B30" i="153" s="1"/>
  <c r="C20" i="153"/>
  <c r="B20" i="153"/>
  <c r="D20" i="153" s="1"/>
  <c r="C19" i="153"/>
  <c r="C18" i="153" s="1"/>
  <c r="B19" i="153"/>
  <c r="B18" i="153" s="1"/>
  <c r="D17" i="153"/>
  <c r="C17" i="153"/>
  <c r="B17" i="153"/>
  <c r="C16" i="153"/>
  <c r="C15" i="153" s="1"/>
  <c r="B16" i="153"/>
  <c r="B15" i="153"/>
  <c r="D15" i="153" s="1"/>
  <c r="D14" i="153"/>
  <c r="C14" i="153"/>
  <c r="B14" i="153"/>
  <c r="B21" i="153" s="1"/>
  <c r="C11" i="153"/>
  <c r="B11" i="153"/>
  <c r="D11" i="153" s="1"/>
  <c r="C10" i="153"/>
  <c r="C9" i="153" s="1"/>
  <c r="B10" i="153"/>
  <c r="B9" i="153" s="1"/>
  <c r="D9" i="153" s="1"/>
  <c r="C8" i="153"/>
  <c r="B8" i="153"/>
  <c r="D8" i="153" s="1"/>
  <c r="C7" i="153"/>
  <c r="D7" i="153" s="1"/>
  <c r="B7" i="153"/>
  <c r="C6" i="153"/>
  <c r="B6" i="153"/>
  <c r="D6" i="153" s="1"/>
  <c r="D5" i="153"/>
  <c r="C5" i="153"/>
  <c r="C4" i="153" s="1"/>
  <c r="B5" i="153"/>
  <c r="B4" i="153" s="1"/>
  <c r="D4" i="153" s="1"/>
  <c r="C3" i="153"/>
  <c r="C33" i="153" s="1"/>
  <c r="B3" i="153"/>
  <c r="B13" i="378"/>
  <c r="E13" i="378" s="1"/>
  <c r="B12" i="378"/>
  <c r="E12" i="378" s="1"/>
  <c r="B7" i="378"/>
  <c r="E7" i="378" s="1"/>
  <c r="B6" i="378"/>
  <c r="E6" i="378" s="1"/>
  <c r="B5" i="378"/>
  <c r="B4" i="378"/>
  <c r="E4" i="378" s="1"/>
  <c r="E10" i="378" s="1"/>
  <c r="B3" i="378"/>
  <c r="E3" i="378" s="1"/>
  <c r="D13" i="378"/>
  <c r="C13" i="378"/>
  <c r="D12" i="378"/>
  <c r="D11" i="378" s="1"/>
  <c r="D14" i="378" s="1"/>
  <c r="C12" i="378"/>
  <c r="C11" i="378" s="1"/>
  <c r="C14" i="378" s="1"/>
  <c r="D7" i="378"/>
  <c r="C7" i="378"/>
  <c r="D6" i="378"/>
  <c r="D5" i="378" s="1"/>
  <c r="C6" i="378"/>
  <c r="C5" i="378" s="1"/>
  <c r="D4" i="378"/>
  <c r="C4" i="378"/>
  <c r="D3" i="378"/>
  <c r="C3" i="378"/>
  <c r="C2" i="378" s="1"/>
  <c r="D2" i="378"/>
  <c r="C11" i="152"/>
  <c r="B11" i="152"/>
  <c r="C10" i="152"/>
  <c r="B10" i="152"/>
  <c r="C9" i="152"/>
  <c r="B9" i="152"/>
  <c r="C8" i="152"/>
  <c r="B8" i="152"/>
  <c r="C7" i="152"/>
  <c r="B7" i="152"/>
  <c r="C6" i="152"/>
  <c r="B6" i="152"/>
  <c r="C5" i="152"/>
  <c r="B5" i="152"/>
  <c r="C4" i="152"/>
  <c r="B4" i="152"/>
  <c r="C3" i="152"/>
  <c r="B3" i="152"/>
  <c r="C2" i="152"/>
  <c r="C12" i="152" s="1"/>
  <c r="C47" i="273" s="1"/>
  <c r="B2" i="152"/>
  <c r="B12" i="152" s="1"/>
  <c r="B47" i="273" s="1"/>
  <c r="A3" i="151"/>
  <c r="A4" i="151"/>
  <c r="A2" i="151"/>
  <c r="C5" i="151"/>
  <c r="G4" i="151"/>
  <c r="F4" i="151"/>
  <c r="E4" i="151"/>
  <c r="D4" i="151"/>
  <c r="C4" i="151"/>
  <c r="B4" i="151"/>
  <c r="G3" i="151"/>
  <c r="F3" i="151"/>
  <c r="E3" i="151"/>
  <c r="D3" i="151"/>
  <c r="C3" i="151"/>
  <c r="B3" i="151"/>
  <c r="G2" i="151"/>
  <c r="G5" i="151" s="1"/>
  <c r="F2" i="151"/>
  <c r="F5" i="151" s="1"/>
  <c r="E2" i="151"/>
  <c r="E5" i="151" s="1"/>
  <c r="D2" i="151"/>
  <c r="D5" i="151" s="1"/>
  <c r="C2" i="151"/>
  <c r="B2" i="151"/>
  <c r="B5" i="151" s="1"/>
  <c r="D4" i="428"/>
  <c r="C4" i="428"/>
  <c r="B4" i="428"/>
  <c r="C3" i="150"/>
  <c r="B3" i="150"/>
  <c r="C2" i="150"/>
  <c r="C4" i="150" s="1"/>
  <c r="C46" i="273" s="1"/>
  <c r="B2" i="150"/>
  <c r="B4" i="150" s="1"/>
  <c r="B46" i="273" s="1"/>
  <c r="J4" i="430"/>
  <c r="I4" i="430"/>
  <c r="H4" i="430"/>
  <c r="G4" i="430"/>
  <c r="F4" i="430"/>
  <c r="E4" i="430"/>
  <c r="D4" i="430"/>
  <c r="C4" i="430"/>
  <c r="B4" i="430"/>
  <c r="K3" i="430"/>
  <c r="K2" i="430"/>
  <c r="K4" i="430" s="1"/>
  <c r="L4" i="143"/>
  <c r="J4" i="143"/>
  <c r="I4" i="143"/>
  <c r="H4" i="143"/>
  <c r="G4" i="143"/>
  <c r="F4" i="143"/>
  <c r="E4" i="143"/>
  <c r="D4" i="143"/>
  <c r="C4" i="143"/>
  <c r="B4" i="143"/>
  <c r="K3" i="143"/>
  <c r="K2" i="143"/>
  <c r="K4" i="143" s="1"/>
  <c r="G6" i="431"/>
  <c r="F6" i="431"/>
  <c r="E6" i="431"/>
  <c r="D6" i="431"/>
  <c r="C6" i="431"/>
  <c r="B6" i="431"/>
  <c r="D6" i="142"/>
  <c r="C6" i="142"/>
  <c r="B6" i="142"/>
  <c r="E6" i="142" s="1"/>
  <c r="C220" i="273" s="1"/>
  <c r="D220" i="273" s="1"/>
  <c r="D4" i="142"/>
  <c r="C4" i="142"/>
  <c r="B4" i="142"/>
  <c r="E4" i="142" s="1"/>
  <c r="D3" i="142"/>
  <c r="C3" i="142"/>
  <c r="B3" i="142"/>
  <c r="E3" i="142" s="1"/>
  <c r="D2" i="142"/>
  <c r="D5" i="142" s="1"/>
  <c r="D7" i="142" s="1"/>
  <c r="C2" i="142"/>
  <c r="C5" i="142" s="1"/>
  <c r="C7" i="142" s="1"/>
  <c r="B2" i="142"/>
  <c r="B5" i="142" s="1"/>
  <c r="B7" i="142" s="1"/>
  <c r="C45" i="273" s="1"/>
  <c r="C4" i="140"/>
  <c r="B4" i="140"/>
  <c r="C3" i="140"/>
  <c r="B3" i="140"/>
  <c r="C2" i="140"/>
  <c r="C5" i="140" s="1"/>
  <c r="B2" i="140"/>
  <c r="B5" i="140" s="1"/>
  <c r="D12" i="489"/>
  <c r="C12" i="489"/>
  <c r="B12" i="489"/>
  <c r="E12" i="489" s="1"/>
  <c r="D11" i="489"/>
  <c r="C11" i="489"/>
  <c r="B11" i="489"/>
  <c r="E11" i="489" s="1"/>
  <c r="D10" i="489"/>
  <c r="C10" i="489"/>
  <c r="B10" i="489"/>
  <c r="E10" i="489" s="1"/>
  <c r="D9" i="489"/>
  <c r="C9" i="489"/>
  <c r="B9" i="489"/>
  <c r="E9" i="489" s="1"/>
  <c r="D8" i="489"/>
  <c r="C8" i="489"/>
  <c r="B8" i="489"/>
  <c r="E8" i="489" s="1"/>
  <c r="D7" i="489"/>
  <c r="C7" i="489"/>
  <c r="B7" i="489"/>
  <c r="E7" i="489" s="1"/>
  <c r="D6" i="489"/>
  <c r="C6" i="489"/>
  <c r="B6" i="489"/>
  <c r="E6" i="489" s="1"/>
  <c r="D5" i="489"/>
  <c r="C5" i="489"/>
  <c r="B5" i="489"/>
  <c r="E5" i="489" s="1"/>
  <c r="D4" i="489"/>
  <c r="D13" i="489" s="1"/>
  <c r="C4" i="489"/>
  <c r="C13" i="489" s="1"/>
  <c r="B4" i="489"/>
  <c r="B13" i="489" s="1"/>
  <c r="D3" i="489"/>
  <c r="C3" i="489"/>
  <c r="B3" i="489"/>
  <c r="E3" i="489" s="1"/>
  <c r="D2" i="489"/>
  <c r="C2" i="489"/>
  <c r="B2" i="489"/>
  <c r="E2" i="489" s="1"/>
  <c r="F6" i="138"/>
  <c r="E6" i="138"/>
  <c r="G6" i="138" s="1"/>
  <c r="C6" i="138"/>
  <c r="B6" i="138"/>
  <c r="D6" i="138" s="1"/>
  <c r="F5" i="138"/>
  <c r="E5" i="138"/>
  <c r="G5" i="138" s="1"/>
  <c r="D5" i="138"/>
  <c r="C5" i="138"/>
  <c r="B5" i="138"/>
  <c r="F4" i="138"/>
  <c r="F7" i="138" s="1"/>
  <c r="E4" i="138"/>
  <c r="E7" i="138" s="1"/>
  <c r="C4" i="138"/>
  <c r="C7" i="138" s="1"/>
  <c r="C216" i="273" s="1"/>
  <c r="B4" i="138"/>
  <c r="B7" i="138" s="1"/>
  <c r="G3" i="138"/>
  <c r="F3" i="138"/>
  <c r="E3" i="138"/>
  <c r="D3" i="138"/>
  <c r="C3" i="138"/>
  <c r="B3" i="138"/>
  <c r="F2" i="138"/>
  <c r="E2" i="138"/>
  <c r="G2" i="138" s="1"/>
  <c r="C2" i="138"/>
  <c r="B2" i="138"/>
  <c r="D2" i="138" s="1"/>
  <c r="F4" i="134"/>
  <c r="E4" i="134"/>
  <c r="C4" i="134"/>
  <c r="B4" i="134"/>
  <c r="G3" i="134"/>
  <c r="G2" i="134"/>
  <c r="G4" i="134" s="1"/>
  <c r="C43" i="273" s="1"/>
  <c r="D3" i="134"/>
  <c r="D2" i="134"/>
  <c r="D4" i="134" s="1"/>
  <c r="B43" i="273" s="1"/>
  <c r="C4" i="133"/>
  <c r="B4" i="133"/>
  <c r="D12" i="450"/>
  <c r="C12" i="450"/>
  <c r="B12" i="450"/>
  <c r="E12" i="450" s="1"/>
  <c r="D11" i="450"/>
  <c r="C11" i="450"/>
  <c r="B11" i="450"/>
  <c r="E11" i="450" s="1"/>
  <c r="D10" i="450"/>
  <c r="C10" i="450"/>
  <c r="B10" i="450"/>
  <c r="E10" i="450" s="1"/>
  <c r="D9" i="450"/>
  <c r="C9" i="450"/>
  <c r="B9" i="450"/>
  <c r="E9" i="450" s="1"/>
  <c r="D8" i="450"/>
  <c r="C8" i="450"/>
  <c r="B8" i="450"/>
  <c r="E8" i="450" s="1"/>
  <c r="D7" i="450"/>
  <c r="C7" i="450"/>
  <c r="B7" i="450"/>
  <c r="E7" i="450" s="1"/>
  <c r="D6" i="450"/>
  <c r="C6" i="450"/>
  <c r="B6" i="450"/>
  <c r="E6" i="450" s="1"/>
  <c r="D5" i="450"/>
  <c r="C5" i="450"/>
  <c r="B5" i="450"/>
  <c r="E5" i="450" s="1"/>
  <c r="D4" i="450"/>
  <c r="D13" i="450" s="1"/>
  <c r="C4" i="450"/>
  <c r="C13" i="450" s="1"/>
  <c r="B4" i="450"/>
  <c r="B13" i="450" s="1"/>
  <c r="D3" i="450"/>
  <c r="C3" i="450"/>
  <c r="B3" i="450"/>
  <c r="E3" i="450" s="1"/>
  <c r="D2" i="450"/>
  <c r="C2" i="450"/>
  <c r="B2" i="450"/>
  <c r="E2" i="450" s="1"/>
  <c r="G5" i="131"/>
  <c r="E5" i="131"/>
  <c r="D5" i="131"/>
  <c r="C5" i="131"/>
  <c r="B5" i="131"/>
  <c r="F5" i="131" s="1"/>
  <c r="G4" i="131"/>
  <c r="E4" i="131"/>
  <c r="D4" i="131"/>
  <c r="C4" i="131"/>
  <c r="B4" i="131"/>
  <c r="F4" i="131" s="1"/>
  <c r="G3" i="131"/>
  <c r="F3" i="131"/>
  <c r="E3" i="131"/>
  <c r="D3" i="131"/>
  <c r="C3" i="131"/>
  <c r="B3" i="131"/>
  <c r="G2" i="131"/>
  <c r="G6" i="131" s="1"/>
  <c r="E2" i="131"/>
  <c r="E6" i="131" s="1"/>
  <c r="D2" i="131"/>
  <c r="D6" i="131" s="1"/>
  <c r="C2" i="131"/>
  <c r="F2" i="131" s="1"/>
  <c r="B2" i="131"/>
  <c r="B6" i="131" s="1"/>
  <c r="G5" i="130"/>
  <c r="F5" i="130"/>
  <c r="E5" i="130"/>
  <c r="D5" i="130"/>
  <c r="C5" i="130"/>
  <c r="B5" i="130"/>
  <c r="G4" i="130"/>
  <c r="E4" i="130"/>
  <c r="D4" i="130"/>
  <c r="C4" i="130"/>
  <c r="B4" i="130"/>
  <c r="F4" i="130" s="1"/>
  <c r="G3" i="130"/>
  <c r="E3" i="130"/>
  <c r="D3" i="130"/>
  <c r="C3" i="130"/>
  <c r="B3" i="130"/>
  <c r="F3" i="130" s="1"/>
  <c r="G2" i="130"/>
  <c r="G6" i="130" s="1"/>
  <c r="C214" i="273" s="1"/>
  <c r="F2" i="130"/>
  <c r="E2" i="130"/>
  <c r="E6" i="130" s="1"/>
  <c r="D2" i="130"/>
  <c r="D6" i="130" s="1"/>
  <c r="C2" i="130"/>
  <c r="C6" i="130" s="1"/>
  <c r="B2" i="130"/>
  <c r="B6" i="130" s="1"/>
  <c r="C5" i="129"/>
  <c r="B5" i="129"/>
  <c r="B5" i="128"/>
  <c r="E5" i="128" s="1"/>
  <c r="B4" i="128"/>
  <c r="E4" i="128" s="1"/>
  <c r="B3" i="128"/>
  <c r="E3" i="128" s="1"/>
  <c r="B2" i="128"/>
  <c r="E2" i="128" s="1"/>
  <c r="C3" i="128"/>
  <c r="C2" i="128"/>
  <c r="E7" i="127"/>
  <c r="G6" i="127"/>
  <c r="G5" i="127"/>
  <c r="G4" i="127"/>
  <c r="G2" i="127"/>
  <c r="D6" i="127"/>
  <c r="F3" i="127"/>
  <c r="F7" i="127" s="1"/>
  <c r="E3" i="127"/>
  <c r="G3" i="127" s="1"/>
  <c r="G7" i="127" s="1"/>
  <c r="C5" i="127"/>
  <c r="B5" i="127"/>
  <c r="D5" i="127" s="1"/>
  <c r="C4" i="127"/>
  <c r="C3" i="127" s="1"/>
  <c r="C7" i="127" s="1"/>
  <c r="B4" i="127"/>
  <c r="D4" i="127" s="1"/>
  <c r="B2" i="127"/>
  <c r="D2" i="127" s="1"/>
  <c r="E5" i="126"/>
  <c r="D5" i="126"/>
  <c r="C5" i="126"/>
  <c r="B5" i="126"/>
  <c r="D12" i="125"/>
  <c r="C12" i="125"/>
  <c r="B12" i="125"/>
  <c r="E12" i="125" s="1"/>
  <c r="D11" i="125"/>
  <c r="C11" i="125"/>
  <c r="B11" i="125"/>
  <c r="E11" i="125" s="1"/>
  <c r="D10" i="125"/>
  <c r="C10" i="125"/>
  <c r="B10" i="125"/>
  <c r="E10" i="125" s="1"/>
  <c r="D9" i="125"/>
  <c r="C9" i="125"/>
  <c r="B9" i="125"/>
  <c r="E9" i="125" s="1"/>
  <c r="D8" i="125"/>
  <c r="C8" i="125"/>
  <c r="B8" i="125"/>
  <c r="E8" i="125" s="1"/>
  <c r="D7" i="125"/>
  <c r="C7" i="125"/>
  <c r="B7" i="125"/>
  <c r="E7" i="125" s="1"/>
  <c r="D6" i="125"/>
  <c r="C6" i="125"/>
  <c r="B6" i="125"/>
  <c r="E6" i="125" s="1"/>
  <c r="D5" i="125"/>
  <c r="C5" i="125"/>
  <c r="B5" i="125"/>
  <c r="E5" i="125" s="1"/>
  <c r="D4" i="125"/>
  <c r="D13" i="125" s="1"/>
  <c r="C4" i="125"/>
  <c r="C13" i="125" s="1"/>
  <c r="B4" i="125"/>
  <c r="B13" i="125" s="1"/>
  <c r="D3" i="125"/>
  <c r="C3" i="125"/>
  <c r="B3" i="125"/>
  <c r="E3" i="125" s="1"/>
  <c r="D2" i="125"/>
  <c r="C2" i="125"/>
  <c r="B2" i="125"/>
  <c r="E2" i="125" s="1"/>
  <c r="B4" i="445"/>
  <c r="F3" i="445"/>
  <c r="E3" i="445"/>
  <c r="G3" i="445" s="1"/>
  <c r="C3" i="445"/>
  <c r="B3" i="445"/>
  <c r="D3" i="445" s="1"/>
  <c r="F2" i="445"/>
  <c r="F4" i="445" s="1"/>
  <c r="E2" i="445"/>
  <c r="E4" i="445" s="1"/>
  <c r="D2" i="445"/>
  <c r="D4" i="445" s="1"/>
  <c r="C2" i="445"/>
  <c r="C4" i="445" s="1"/>
  <c r="C213" i="273" s="1"/>
  <c r="B2" i="445"/>
  <c r="C8" i="120"/>
  <c r="B8" i="120"/>
  <c r="C7" i="120"/>
  <c r="B7" i="120"/>
  <c r="C6" i="120"/>
  <c r="B6" i="120"/>
  <c r="C5" i="120"/>
  <c r="B5" i="120"/>
  <c r="C4" i="120"/>
  <c r="B4" i="120"/>
  <c r="C3" i="120"/>
  <c r="B3" i="120"/>
  <c r="C2" i="120"/>
  <c r="C9" i="120" s="1"/>
  <c r="C38" i="273" s="1"/>
  <c r="B2" i="120"/>
  <c r="B9" i="120" s="1"/>
  <c r="B38" i="273" s="1"/>
  <c r="C7" i="119"/>
  <c r="B7" i="119"/>
  <c r="C6" i="119"/>
  <c r="B6" i="119"/>
  <c r="C5" i="119"/>
  <c r="B5" i="119"/>
  <c r="C4" i="119"/>
  <c r="B4" i="119"/>
  <c r="C3" i="119"/>
  <c r="B3" i="119"/>
  <c r="C2" i="119"/>
  <c r="C8" i="119" s="1"/>
  <c r="C37" i="273" s="1"/>
  <c r="B2" i="119"/>
  <c r="B8" i="119" s="1"/>
  <c r="B37" i="273" s="1"/>
  <c r="C5" i="113"/>
  <c r="D5" i="113" s="1"/>
  <c r="B5" i="113"/>
  <c r="C4" i="113"/>
  <c r="D4" i="113" s="1"/>
  <c r="B4" i="113"/>
  <c r="C3" i="113"/>
  <c r="D3" i="113" s="1"/>
  <c r="B3" i="113"/>
  <c r="C2" i="113"/>
  <c r="C6" i="113" s="1"/>
  <c r="B2" i="113"/>
  <c r="B6" i="113" s="1"/>
  <c r="C5" i="112"/>
  <c r="B5" i="112"/>
  <c r="B5" i="114"/>
  <c r="B4" i="114"/>
  <c r="B3" i="114"/>
  <c r="B2" i="114"/>
  <c r="B6" i="114" s="1"/>
  <c r="G4" i="111"/>
  <c r="C35" i="273" s="1"/>
  <c r="F4" i="111"/>
  <c r="E4" i="111"/>
  <c r="G3" i="111"/>
  <c r="G2" i="111"/>
  <c r="C3" i="111"/>
  <c r="B3" i="111"/>
  <c r="D3" i="111" s="1"/>
  <c r="C2" i="111"/>
  <c r="D2" i="111" s="1"/>
  <c r="D4" i="111" s="1"/>
  <c r="B35" i="273" s="1"/>
  <c r="B2" i="111"/>
  <c r="B4" i="111" s="1"/>
  <c r="B3" i="110"/>
  <c r="B2" i="110"/>
  <c r="B4" i="110" s="1"/>
  <c r="F18" i="106"/>
  <c r="D18" i="106"/>
  <c r="E17" i="106"/>
  <c r="E16" i="106"/>
  <c r="E15" i="106"/>
  <c r="E14" i="106"/>
  <c r="E13" i="106"/>
  <c r="E12" i="106"/>
  <c r="E11" i="106"/>
  <c r="E10" i="106"/>
  <c r="E9" i="106"/>
  <c r="E8" i="106"/>
  <c r="E7" i="106"/>
  <c r="E6" i="106"/>
  <c r="E5" i="106"/>
  <c r="E4" i="106"/>
  <c r="E3" i="106"/>
  <c r="E2" i="106"/>
  <c r="E18" i="106" s="1"/>
  <c r="C17" i="106"/>
  <c r="B17" i="106"/>
  <c r="G17" i="106" s="1"/>
  <c r="C16" i="106"/>
  <c r="B16" i="106"/>
  <c r="G16" i="106" s="1"/>
  <c r="C15" i="106"/>
  <c r="B15" i="106"/>
  <c r="G15" i="106" s="1"/>
  <c r="C14" i="106"/>
  <c r="B14" i="106"/>
  <c r="G14" i="106" s="1"/>
  <c r="C13" i="106"/>
  <c r="B13" i="106"/>
  <c r="G13" i="106" s="1"/>
  <c r="C12" i="106"/>
  <c r="B12" i="106"/>
  <c r="G12" i="106" s="1"/>
  <c r="C11" i="106"/>
  <c r="B11" i="106"/>
  <c r="G11" i="106" s="1"/>
  <c r="C10" i="106"/>
  <c r="B10" i="106"/>
  <c r="G10" i="106" s="1"/>
  <c r="C9" i="106"/>
  <c r="B9" i="106"/>
  <c r="G9" i="106" s="1"/>
  <c r="C8" i="106"/>
  <c r="B8" i="106"/>
  <c r="G8" i="106" s="1"/>
  <c r="C7" i="106"/>
  <c r="B7" i="106"/>
  <c r="G7" i="106" s="1"/>
  <c r="C6" i="106"/>
  <c r="B6" i="106"/>
  <c r="G6" i="106" s="1"/>
  <c r="C5" i="106"/>
  <c r="B5" i="106"/>
  <c r="G5" i="106" s="1"/>
  <c r="C4" i="106"/>
  <c r="B4" i="106"/>
  <c r="G4" i="106" s="1"/>
  <c r="C3" i="106"/>
  <c r="B3" i="106"/>
  <c r="G3" i="106" s="1"/>
  <c r="C2" i="106"/>
  <c r="C18" i="106" s="1"/>
  <c r="B2" i="106"/>
  <c r="B18" i="106" s="1"/>
  <c r="E4" i="122"/>
  <c r="D4" i="122"/>
  <c r="C4" i="122"/>
  <c r="B4" i="122"/>
  <c r="F3" i="122"/>
  <c r="F2" i="122"/>
  <c r="F4" i="122" s="1"/>
  <c r="F12" i="96"/>
  <c r="E12" i="96"/>
  <c r="G11" i="96"/>
  <c r="G10" i="96"/>
  <c r="G9" i="96"/>
  <c r="G8" i="96"/>
  <c r="G7" i="96"/>
  <c r="G6" i="96"/>
  <c r="G5" i="96"/>
  <c r="G4" i="96"/>
  <c r="G3" i="96"/>
  <c r="G2" i="96"/>
  <c r="G12" i="96" s="1"/>
  <c r="C34" i="273" s="1"/>
  <c r="C11" i="96"/>
  <c r="B11" i="96"/>
  <c r="D11" i="96" s="1"/>
  <c r="C10" i="96"/>
  <c r="B10" i="96"/>
  <c r="D10" i="96" s="1"/>
  <c r="C9" i="96"/>
  <c r="B9" i="96"/>
  <c r="D9" i="96" s="1"/>
  <c r="C8" i="96"/>
  <c r="D8" i="96" s="1"/>
  <c r="B8" i="96"/>
  <c r="C7" i="96"/>
  <c r="D7" i="96" s="1"/>
  <c r="B7" i="96"/>
  <c r="C6" i="96"/>
  <c r="B6" i="96"/>
  <c r="D6" i="96" s="1"/>
  <c r="C5" i="96"/>
  <c r="B5" i="96"/>
  <c r="D5" i="96" s="1"/>
  <c r="C4" i="96"/>
  <c r="B4" i="96"/>
  <c r="D4" i="96" s="1"/>
  <c r="C3" i="96"/>
  <c r="B3" i="96"/>
  <c r="D3" i="96" s="1"/>
  <c r="C2" i="96"/>
  <c r="C12" i="96" s="1"/>
  <c r="C217" i="273" s="1"/>
  <c r="D217" i="273" s="1"/>
  <c r="B2" i="96"/>
  <c r="D2" i="96" s="1"/>
  <c r="D12" i="96" s="1"/>
  <c r="B9" i="95"/>
  <c r="B5" i="95"/>
  <c r="C6" i="94"/>
  <c r="B6" i="94"/>
  <c r="C5" i="103"/>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8" i="102"/>
  <c r="B7" i="102"/>
  <c r="B6" i="102"/>
  <c r="B5" i="102"/>
  <c r="B4" i="102"/>
  <c r="B3" i="102"/>
  <c r="B2" i="102"/>
  <c r="B36" i="102" s="1"/>
  <c r="C3" i="102"/>
  <c r="C2" i="102"/>
  <c r="C36" i="102" s="1"/>
  <c r="C8" i="92"/>
  <c r="C4" i="91"/>
  <c r="B4" i="91"/>
  <c r="D12" i="454"/>
  <c r="C12" i="454"/>
  <c r="B12" i="454"/>
  <c r="E12" i="454" s="1"/>
  <c r="D11" i="454"/>
  <c r="C11" i="454"/>
  <c r="B11" i="454"/>
  <c r="E11" i="454" s="1"/>
  <c r="D10" i="454"/>
  <c r="C10" i="454"/>
  <c r="B10" i="454"/>
  <c r="E10" i="454" s="1"/>
  <c r="D9" i="454"/>
  <c r="C9" i="454"/>
  <c r="B9" i="454"/>
  <c r="E9" i="454" s="1"/>
  <c r="D8" i="454"/>
  <c r="C8" i="454"/>
  <c r="B8" i="454"/>
  <c r="E8" i="454" s="1"/>
  <c r="D7" i="454"/>
  <c r="C7" i="454"/>
  <c r="B7" i="454"/>
  <c r="E7" i="454" s="1"/>
  <c r="D6" i="454"/>
  <c r="C6" i="454"/>
  <c r="B6" i="454"/>
  <c r="E6" i="454" s="1"/>
  <c r="D5" i="454"/>
  <c r="C5" i="454"/>
  <c r="B5" i="454"/>
  <c r="E5" i="454" s="1"/>
  <c r="D4" i="454"/>
  <c r="D13" i="454" s="1"/>
  <c r="C4" i="454"/>
  <c r="C13" i="454" s="1"/>
  <c r="B4" i="454"/>
  <c r="B13" i="454" s="1"/>
  <c r="D3" i="454"/>
  <c r="C3" i="454"/>
  <c r="B3" i="454"/>
  <c r="E3" i="454" s="1"/>
  <c r="D2" i="454"/>
  <c r="C2" i="454"/>
  <c r="B2" i="454"/>
  <c r="E2" i="454" s="1"/>
  <c r="C8" i="100"/>
  <c r="B8" i="100"/>
  <c r="G4" i="99"/>
  <c r="E4" i="99"/>
  <c r="D4" i="99"/>
  <c r="B4" i="99"/>
  <c r="C5" i="425"/>
  <c r="B5" i="425"/>
  <c r="C8" i="87"/>
  <c r="B8" i="87"/>
  <c r="C6" i="84"/>
  <c r="C10" i="84" s="1"/>
  <c r="C3" i="80" s="1"/>
  <c r="B6" i="84"/>
  <c r="B10" i="84" s="1"/>
  <c r="B3" i="80" s="1"/>
  <c r="C2" i="84"/>
  <c r="B2" i="84"/>
  <c r="B7" i="83"/>
  <c r="C6" i="82"/>
  <c r="B5" i="82"/>
  <c r="B4" i="82"/>
  <c r="B3" i="82"/>
  <c r="B2" i="82"/>
  <c r="B6" i="82" s="1"/>
  <c r="B2" i="80" s="1"/>
  <c r="F9" i="105"/>
  <c r="F8" i="105"/>
  <c r="F7" i="105"/>
  <c r="F6" i="105" s="1"/>
  <c r="F5" i="105"/>
  <c r="F4" i="105"/>
  <c r="F3" i="105"/>
  <c r="F2" i="105"/>
  <c r="F10" i="105" s="1"/>
  <c r="C31" i="273" s="1"/>
  <c r="B10" i="105"/>
  <c r="D6" i="105"/>
  <c r="B6" i="105"/>
  <c r="D2" i="105"/>
  <c r="D10" i="105" s="1"/>
  <c r="B2" i="105"/>
  <c r="F9" i="104"/>
  <c r="F8" i="104"/>
  <c r="F7" i="104"/>
  <c r="F6" i="104"/>
  <c r="F5" i="104"/>
  <c r="F4" i="104"/>
  <c r="F3" i="104"/>
  <c r="F2" i="104" s="1"/>
  <c r="F10" i="104" s="1"/>
  <c r="B31" i="273" s="1"/>
  <c r="E6" i="104"/>
  <c r="D6" i="104"/>
  <c r="B6" i="104"/>
  <c r="E2" i="104"/>
  <c r="E10" i="104" s="1"/>
  <c r="D2" i="104"/>
  <c r="D10" i="104" s="1"/>
  <c r="B2" i="104"/>
  <c r="B10" i="104" s="1"/>
  <c r="E5" i="98"/>
  <c r="D5" i="98"/>
  <c r="B5" i="98"/>
  <c r="F4" i="98"/>
  <c r="F3" i="98"/>
  <c r="F2" i="98"/>
  <c r="F5" i="98" s="1"/>
  <c r="C4" i="80" s="1"/>
  <c r="F9" i="97"/>
  <c r="F8" i="97"/>
  <c r="F7" i="97"/>
  <c r="F6" i="97" s="1"/>
  <c r="F5" i="97"/>
  <c r="F4" i="97"/>
  <c r="F3" i="97"/>
  <c r="F2" i="97" s="1"/>
  <c r="F10" i="97" s="1"/>
  <c r="D6" i="97"/>
  <c r="B6" i="97"/>
  <c r="D2" i="97"/>
  <c r="D10" i="97" s="1"/>
  <c r="B2" i="97"/>
  <c r="B10" i="97" s="1"/>
  <c r="C2" i="80"/>
  <c r="D7" i="79"/>
  <c r="B7" i="79"/>
  <c r="C8" i="78"/>
  <c r="H6" i="77"/>
  <c r="F6" i="77"/>
  <c r="B6" i="77"/>
  <c r="B5" i="77"/>
  <c r="B4" i="77"/>
  <c r="B3" i="77"/>
  <c r="E3" i="77" s="1"/>
  <c r="B2" i="77"/>
  <c r="I5" i="77"/>
  <c r="I4" i="77"/>
  <c r="I3" i="77"/>
  <c r="I2" i="77"/>
  <c r="I6" i="77" s="1"/>
  <c r="C27" i="273" s="1"/>
  <c r="D5" i="77"/>
  <c r="E5" i="77" s="1"/>
  <c r="E4" i="77"/>
  <c r="D4" i="77"/>
  <c r="D3" i="77"/>
  <c r="D2" i="77"/>
  <c r="D6" i="77" s="1"/>
  <c r="C3" i="76"/>
  <c r="B3" i="76"/>
  <c r="C2" i="76"/>
  <c r="C4" i="76" s="1"/>
  <c r="B2" i="76"/>
  <c r="B4" i="76" s="1"/>
  <c r="C4" i="75"/>
  <c r="B3" i="75"/>
  <c r="B2" i="75"/>
  <c r="B4" i="75" s="1"/>
  <c r="B26" i="273" s="1"/>
  <c r="G4" i="74"/>
  <c r="D4" i="74"/>
  <c r="F3" i="74"/>
  <c r="E3" i="74"/>
  <c r="F2" i="74"/>
  <c r="F4" i="74" s="1"/>
  <c r="E2" i="74"/>
  <c r="E4" i="74" s="1"/>
  <c r="C3" i="74"/>
  <c r="B3" i="74"/>
  <c r="H3" i="74" s="1"/>
  <c r="C2" i="74"/>
  <c r="C4" i="74" s="1"/>
  <c r="B2" i="74"/>
  <c r="H2" i="74" s="1"/>
  <c r="F8" i="72"/>
  <c r="E8" i="72"/>
  <c r="C8" i="72"/>
  <c r="B8" i="72"/>
  <c r="F8" i="69"/>
  <c r="E8" i="69"/>
  <c r="C8" i="69"/>
  <c r="B8" i="69"/>
  <c r="F5" i="68"/>
  <c r="E5" i="68"/>
  <c r="C4" i="68"/>
  <c r="B4" i="68"/>
  <c r="C3" i="68"/>
  <c r="B3" i="68"/>
  <c r="C2" i="68"/>
  <c r="C5" i="68" s="1"/>
  <c r="B2" i="68"/>
  <c r="B5" i="68" s="1"/>
  <c r="C8" i="71"/>
  <c r="B8" i="71"/>
  <c r="C8" i="70"/>
  <c r="B8" i="70"/>
  <c r="C3" i="67"/>
  <c r="B3" i="67"/>
  <c r="C2" i="67"/>
  <c r="C4" i="67" s="1"/>
  <c r="B2" i="67"/>
  <c r="B4" i="67" s="1"/>
  <c r="C6" i="65"/>
  <c r="B6" i="65"/>
  <c r="A3" i="64"/>
  <c r="A4" i="64"/>
  <c r="A5" i="64"/>
  <c r="A6" i="64"/>
  <c r="A2" i="64"/>
  <c r="B6" i="64"/>
  <c r="C6" i="64" s="1"/>
  <c r="B5" i="64"/>
  <c r="B4" i="64"/>
  <c r="C4" i="64" s="1"/>
  <c r="C3" i="64"/>
  <c r="B3" i="64"/>
  <c r="B2" i="64"/>
  <c r="C6" i="63"/>
  <c r="C4" i="62"/>
  <c r="B4" i="62"/>
  <c r="C6" i="61"/>
  <c r="B6" i="61"/>
  <c r="G4" i="60"/>
  <c r="E4" i="60"/>
  <c r="B3" i="60"/>
  <c r="B2" i="60"/>
  <c r="B4" i="60" s="1"/>
  <c r="D3" i="60"/>
  <c r="D2" i="60"/>
  <c r="D4" i="60" s="1"/>
  <c r="G8" i="59"/>
  <c r="E8" i="59"/>
  <c r="B7" i="59"/>
  <c r="B6" i="59"/>
  <c r="B5" i="59"/>
  <c r="B4" i="59"/>
  <c r="B180" i="273" s="1"/>
  <c r="B3" i="59"/>
  <c r="B2" i="59"/>
  <c r="B8" i="59" s="1"/>
  <c r="D7" i="59"/>
  <c r="D6" i="59"/>
  <c r="D5" i="59"/>
  <c r="D4" i="59"/>
  <c r="D3" i="59"/>
  <c r="D2" i="59"/>
  <c r="D8" i="59" s="1"/>
  <c r="C9" i="58"/>
  <c r="B9" i="58"/>
  <c r="F4" i="57"/>
  <c r="F3" i="57"/>
  <c r="F2" i="57"/>
  <c r="F5" i="57" s="1"/>
  <c r="C25" i="273" s="1"/>
  <c r="D5" i="57"/>
  <c r="B5" i="57"/>
  <c r="B3" i="54"/>
  <c r="F3" i="54" s="1"/>
  <c r="B2" i="54"/>
  <c r="B4" i="54" s="1"/>
  <c r="D3" i="54"/>
  <c r="D2" i="54"/>
  <c r="D4" i="54" s="1"/>
  <c r="C210" i="273" s="1"/>
  <c r="D210" i="273" s="1"/>
  <c r="F3" i="55"/>
  <c r="F2" i="55"/>
  <c r="F4" i="55" s="1"/>
  <c r="C24" i="273" s="1"/>
  <c r="D4" i="55"/>
  <c r="B4" i="55"/>
  <c r="D3" i="56"/>
  <c r="D2" i="56"/>
  <c r="D4" i="56" s="1"/>
  <c r="B3" i="56"/>
  <c r="F3" i="56" s="1"/>
  <c r="B2" i="56"/>
  <c r="F2" i="56" s="1"/>
  <c r="F4" i="56" s="1"/>
  <c r="B25" i="273" s="1"/>
  <c r="G4" i="49"/>
  <c r="D4" i="49"/>
  <c r="F3" i="49"/>
  <c r="E3" i="49"/>
  <c r="C3" i="49"/>
  <c r="H3" i="49" s="1"/>
  <c r="B3" i="49"/>
  <c r="F2" i="49"/>
  <c r="F4" i="49" s="1"/>
  <c r="E2" i="49"/>
  <c r="E4" i="49" s="1"/>
  <c r="C2" i="49"/>
  <c r="C4" i="49" s="1"/>
  <c r="B2" i="49"/>
  <c r="H2" i="49" s="1"/>
  <c r="C3" i="48"/>
  <c r="B3" i="48"/>
  <c r="C2" i="48"/>
  <c r="C4" i="48" s="1"/>
  <c r="B2" i="48"/>
  <c r="B4" i="48" s="1"/>
  <c r="C5" i="47"/>
  <c r="C8" i="47" s="1"/>
  <c r="B5" i="47"/>
  <c r="B8" i="47" s="1"/>
  <c r="C2" i="47"/>
  <c r="B2" i="47"/>
  <c r="D2" i="47"/>
  <c r="D3" i="47"/>
  <c r="D4" i="47"/>
  <c r="D6" i="47"/>
  <c r="D7" i="47"/>
  <c r="B3" i="45"/>
  <c r="B2" i="45"/>
  <c r="B4" i="45" s="1"/>
  <c r="C3" i="44"/>
  <c r="B3" i="44"/>
  <c r="C2" i="44"/>
  <c r="C4" i="44" s="1"/>
  <c r="B2" i="44"/>
  <c r="B4" i="44" s="1"/>
  <c r="B3" i="43"/>
  <c r="B2" i="43"/>
  <c r="B4" i="43" s="1"/>
  <c r="F4" i="46"/>
  <c r="E4" i="46"/>
  <c r="G3" i="46"/>
  <c r="C3" i="46"/>
  <c r="B3" i="46"/>
  <c r="D3" i="46" s="1"/>
  <c r="G2" i="46"/>
  <c r="G4" i="46" s="1"/>
  <c r="C23" i="273" s="1"/>
  <c r="D2" i="46"/>
  <c r="D4" i="46" s="1"/>
  <c r="C2" i="46"/>
  <c r="C4" i="46" s="1"/>
  <c r="C208" i="273" s="1"/>
  <c r="B2" i="46"/>
  <c r="B4" i="46" s="1"/>
  <c r="C9" i="41"/>
  <c r="B9" i="41"/>
  <c r="C8" i="41"/>
  <c r="B8" i="41"/>
  <c r="C7" i="41"/>
  <c r="B7" i="41"/>
  <c r="C6" i="41"/>
  <c r="B6" i="41"/>
  <c r="C5" i="41"/>
  <c r="B5" i="41"/>
  <c r="C4" i="41"/>
  <c r="B4" i="41"/>
  <c r="C3" i="41"/>
  <c r="B3" i="41"/>
  <c r="C2" i="41"/>
  <c r="C10" i="41" s="1"/>
  <c r="C22" i="273" s="1"/>
  <c r="B2" i="41"/>
  <c r="B10" i="41" s="1"/>
  <c r="B22" i="273" s="1"/>
  <c r="C7" i="40"/>
  <c r="B7" i="40"/>
  <c r="C6" i="40"/>
  <c r="B6" i="40"/>
  <c r="C5" i="40"/>
  <c r="B5" i="40"/>
  <c r="C4" i="40"/>
  <c r="B4" i="40"/>
  <c r="C3" i="40"/>
  <c r="B3" i="40"/>
  <c r="C2" i="40"/>
  <c r="C8" i="40" s="1"/>
  <c r="C21" i="273" s="1"/>
  <c r="B2" i="40"/>
  <c r="B8" i="40" s="1"/>
  <c r="B21" i="273" s="1"/>
  <c r="C9" i="39"/>
  <c r="B9" i="39"/>
  <c r="C8" i="39"/>
  <c r="B8" i="39"/>
  <c r="C7" i="39"/>
  <c r="B7" i="39"/>
  <c r="C6" i="39"/>
  <c r="B6" i="39"/>
  <c r="C5" i="39"/>
  <c r="B5" i="39"/>
  <c r="C4" i="39"/>
  <c r="B4" i="39"/>
  <c r="C3" i="39"/>
  <c r="B3" i="39"/>
  <c r="C2" i="39"/>
  <c r="C10" i="39" s="1"/>
  <c r="C20" i="273" s="1"/>
  <c r="B2" i="39"/>
  <c r="B10" i="39" s="1"/>
  <c r="B20" i="273" s="1"/>
  <c r="C8" i="38"/>
  <c r="B8" i="38"/>
  <c r="C7" i="38"/>
  <c r="B7" i="38"/>
  <c r="C6" i="38"/>
  <c r="B6" i="38"/>
  <c r="C5" i="38"/>
  <c r="B5" i="38"/>
  <c r="C4" i="38"/>
  <c r="B4" i="38"/>
  <c r="C3" i="38"/>
  <c r="B3" i="38"/>
  <c r="C2" i="38"/>
  <c r="C9" i="38" s="1"/>
  <c r="C172" i="273" s="1"/>
  <c r="B2" i="38"/>
  <c r="B9" i="38" s="1"/>
  <c r="B172" i="273" s="1"/>
  <c r="C5" i="37"/>
  <c r="B4" i="37"/>
  <c r="B3" i="37"/>
  <c r="B2" i="37"/>
  <c r="B5" i="37" s="1"/>
  <c r="B19" i="273" s="1"/>
  <c r="B320" i="273"/>
  <c r="B319" i="273"/>
  <c r="B318" i="273"/>
  <c r="B317" i="273"/>
  <c r="B316" i="273"/>
  <c r="B315" i="273"/>
  <c r="B314" i="273"/>
  <c r="B313" i="273"/>
  <c r="B312" i="273"/>
  <c r="B311" i="273"/>
  <c r="B310" i="273"/>
  <c r="B309" i="273"/>
  <c r="B308" i="273"/>
  <c r="B307" i="273"/>
  <c r="B306" i="273"/>
  <c r="B305" i="273"/>
  <c r="B304" i="273"/>
  <c r="B303" i="273"/>
  <c r="B302" i="273"/>
  <c r="B301" i="273"/>
  <c r="B300" i="273"/>
  <c r="B299" i="273"/>
  <c r="B298" i="273"/>
  <c r="B297" i="273"/>
  <c r="B296" i="273"/>
  <c r="B295" i="273"/>
  <c r="B294" i="273"/>
  <c r="B293" i="273"/>
  <c r="B292" i="273"/>
  <c r="B291" i="273"/>
  <c r="B290" i="273"/>
  <c r="B288" i="273"/>
  <c r="B287" i="273"/>
  <c r="B286" i="273"/>
  <c r="B285" i="273"/>
  <c r="B284" i="273"/>
  <c r="B283" i="273"/>
  <c r="B282" i="273"/>
  <c r="B281" i="273"/>
  <c r="B280" i="273"/>
  <c r="B279" i="273"/>
  <c r="B278" i="273"/>
  <c r="B277" i="273"/>
  <c r="B276" i="273"/>
  <c r="B275" i="273"/>
  <c r="B274" i="273"/>
  <c r="B273" i="273"/>
  <c r="B272" i="273"/>
  <c r="B271" i="273"/>
  <c r="B270" i="273"/>
  <c r="B269" i="273"/>
  <c r="B268" i="273"/>
  <c r="B267" i="273"/>
  <c r="B266" i="273"/>
  <c r="B265" i="273"/>
  <c r="B264" i="273"/>
  <c r="B260" i="273"/>
  <c r="B259" i="273"/>
  <c r="B258" i="273"/>
  <c r="B257" i="273"/>
  <c r="B256" i="273"/>
  <c r="B255" i="273"/>
  <c r="B254" i="273"/>
  <c r="B253" i="273"/>
  <c r="B252" i="273"/>
  <c r="B251" i="273"/>
  <c r="B250" i="273"/>
  <c r="B249" i="273"/>
  <c r="B248" i="273"/>
  <c r="B247" i="273"/>
  <c r="B246" i="273"/>
  <c r="B245" i="273"/>
  <c r="B244" i="273"/>
  <c r="B243" i="273"/>
  <c r="B242" i="273"/>
  <c r="B241" i="273"/>
  <c r="B240" i="273"/>
  <c r="B239" i="273"/>
  <c r="B238" i="273"/>
  <c r="B237" i="273"/>
  <c r="B236" i="273"/>
  <c r="B235" i="273"/>
  <c r="B234" i="273"/>
  <c r="B233" i="273"/>
  <c r="B232" i="273"/>
  <c r="B225" i="273"/>
  <c r="B224" i="273"/>
  <c r="D223" i="273"/>
  <c r="C223" i="273"/>
  <c r="B223" i="273"/>
  <c r="B222" i="273"/>
  <c r="B221" i="273"/>
  <c r="B220" i="273"/>
  <c r="B219" i="273"/>
  <c r="C218" i="273"/>
  <c r="D218" i="273" s="1"/>
  <c r="B218" i="273"/>
  <c r="B217" i="273"/>
  <c r="B216" i="273"/>
  <c r="B215" i="273"/>
  <c r="B214" i="273"/>
  <c r="B213" i="273"/>
  <c r="C212" i="273"/>
  <c r="C211" i="273"/>
  <c r="B211" i="273"/>
  <c r="B212" i="273" s="1"/>
  <c r="D212" i="273" s="1"/>
  <c r="B210" i="273"/>
  <c r="C209" i="273"/>
  <c r="D209" i="273" s="1"/>
  <c r="B209" i="273"/>
  <c r="B208" i="273"/>
  <c r="B205" i="273"/>
  <c r="B204" i="273"/>
  <c r="B203" i="273"/>
  <c r="B200" i="273"/>
  <c r="B199" i="273"/>
  <c r="B198" i="273"/>
  <c r="B190" i="273"/>
  <c r="B189" i="273"/>
  <c r="B188" i="273"/>
  <c r="B187" i="273"/>
  <c r="B186" i="273"/>
  <c r="B183" i="273"/>
  <c r="B182" i="273"/>
  <c r="B181" i="273"/>
  <c r="B179" i="273"/>
  <c r="C171" i="273"/>
  <c r="C168" i="273"/>
  <c r="C166" i="273"/>
  <c r="B166" i="273"/>
  <c r="C164" i="273"/>
  <c r="C162" i="273"/>
  <c r="B162" i="273"/>
  <c r="C161" i="273"/>
  <c r="B161" i="273"/>
  <c r="C160" i="273"/>
  <c r="B160" i="273"/>
  <c r="C159" i="273"/>
  <c r="B159" i="273"/>
  <c r="C154" i="273"/>
  <c r="B154" i="273"/>
  <c r="C153" i="273"/>
  <c r="B153" i="273"/>
  <c r="C147" i="273"/>
  <c r="B147" i="273"/>
  <c r="C145" i="273"/>
  <c r="B145" i="273"/>
  <c r="C144" i="273"/>
  <c r="B144" i="273"/>
  <c r="C143" i="273"/>
  <c r="B143" i="273"/>
  <c r="C118" i="273"/>
  <c r="C114" i="273"/>
  <c r="C111" i="273"/>
  <c r="C110" i="273"/>
  <c r="B110" i="273"/>
  <c r="C109" i="273"/>
  <c r="C100" i="273"/>
  <c r="B100" i="273"/>
  <c r="C96" i="273"/>
  <c r="B96" i="273"/>
  <c r="C94" i="273"/>
  <c r="C91" i="273"/>
  <c r="B91" i="273"/>
  <c r="C88" i="273"/>
  <c r="B88" i="273"/>
  <c r="C87" i="273"/>
  <c r="B87" i="273"/>
  <c r="C86" i="273"/>
  <c r="B86" i="273"/>
  <c r="C72" i="273"/>
  <c r="B72" i="273"/>
  <c r="C71" i="273"/>
  <c r="C70" i="273"/>
  <c r="C69" i="273"/>
  <c r="C68" i="273"/>
  <c r="B68" i="273"/>
  <c r="C67" i="273"/>
  <c r="C66" i="273"/>
  <c r="B66" i="273"/>
  <c r="C65" i="273"/>
  <c r="B65" i="273"/>
  <c r="C58" i="273"/>
  <c r="C57" i="273"/>
  <c r="B57" i="273"/>
  <c r="B36" i="273"/>
  <c r="C26" i="273"/>
  <c r="C19" i="273"/>
  <c r="C17" i="273"/>
  <c r="B17" i="273"/>
  <c r="C16" i="273"/>
  <c r="B16" i="273"/>
  <c r="C15" i="273"/>
  <c r="B15" i="273"/>
  <c r="C14" i="273"/>
  <c r="B14" i="273"/>
  <c r="C13" i="273"/>
  <c r="B13" i="273"/>
  <c r="C12" i="273"/>
  <c r="B12" i="273"/>
  <c r="C11" i="273"/>
  <c r="B11" i="273"/>
  <c r="C10" i="273"/>
  <c r="B10" i="273"/>
  <c r="C9" i="273"/>
  <c r="B9" i="273"/>
  <c r="C8" i="273"/>
  <c r="B8" i="273"/>
  <c r="C7" i="273"/>
  <c r="B7" i="273"/>
  <c r="C6" i="273"/>
  <c r="B6" i="273"/>
  <c r="C5" i="273"/>
  <c r="B5" i="273"/>
  <c r="C4" i="273"/>
  <c r="B4" i="273"/>
  <c r="C3" i="273"/>
  <c r="B3" i="273"/>
  <c r="L25" i="287"/>
  <c r="J23" i="287"/>
  <c r="L23" i="287" s="1"/>
  <c r="J22" i="287"/>
  <c r="L22" i="287" s="1"/>
  <c r="J21" i="287"/>
  <c r="L21" i="287" s="1"/>
  <c r="L20" i="287"/>
  <c r="J20" i="287"/>
  <c r="J19" i="287"/>
  <c r="L19" i="287" s="1"/>
  <c r="N8" i="287"/>
  <c r="L8" i="287"/>
  <c r="L25" i="286"/>
  <c r="J23" i="286"/>
  <c r="L23" i="286" s="1"/>
  <c r="L22" i="286"/>
  <c r="J22" i="286"/>
  <c r="J21" i="286"/>
  <c r="L21" i="286" s="1"/>
  <c r="J20" i="286"/>
  <c r="L20" i="286" s="1"/>
  <c r="J19" i="286"/>
  <c r="L19" i="286" s="1"/>
  <c r="N8" i="286"/>
  <c r="L8" i="286"/>
  <c r="H8" i="286"/>
  <c r="I2" i="286"/>
  <c r="H2" i="286"/>
  <c r="G2" i="286"/>
  <c r="F2" i="286"/>
  <c r="E2" i="286"/>
  <c r="D2" i="286"/>
  <c r="C2" i="286"/>
  <c r="B2" i="286"/>
  <c r="B59" i="283"/>
  <c r="B54" i="283"/>
  <c r="B52" i="283"/>
  <c r="B51" i="283"/>
  <c r="B49" i="283"/>
  <c r="B47" i="283"/>
  <c r="B41" i="283"/>
  <c r="B40" i="283"/>
  <c r="B38" i="283"/>
  <c r="B35" i="283"/>
  <c r="B34" i="283"/>
  <c r="B32" i="283"/>
  <c r="B31" i="283"/>
  <c r="B18" i="283"/>
  <c r="B15" i="283"/>
  <c r="B3" i="283"/>
  <c r="C67" i="282"/>
  <c r="B67" i="282"/>
  <c r="C66" i="282"/>
  <c r="B66" i="282"/>
  <c r="C65" i="282"/>
  <c r="B65" i="282"/>
  <c r="C64" i="282"/>
  <c r="B64" i="282"/>
  <c r="C63" i="282"/>
  <c r="B63" i="282"/>
  <c r="C62" i="282"/>
  <c r="B62" i="282"/>
  <c r="C61" i="282"/>
  <c r="B61" i="282"/>
  <c r="C60" i="282"/>
  <c r="B60" i="282"/>
  <c r="C59" i="282"/>
  <c r="B59" i="282"/>
  <c r="C58" i="282"/>
  <c r="B58" i="282"/>
  <c r="C56" i="282"/>
  <c r="B56" i="282"/>
  <c r="C55" i="282"/>
  <c r="B55" i="282"/>
  <c r="C54" i="282"/>
  <c r="B54" i="282"/>
  <c r="C53" i="282"/>
  <c r="B53" i="282"/>
  <c r="C52" i="282"/>
  <c r="B52" i="282"/>
  <c r="C48" i="282"/>
  <c r="B48" i="282"/>
  <c r="C45" i="282"/>
  <c r="B45" i="282"/>
  <c r="C41" i="282"/>
  <c r="B41" i="282"/>
  <c r="C39" i="282"/>
  <c r="B39" i="282"/>
  <c r="C38" i="282"/>
  <c r="B38" i="282"/>
  <c r="C37" i="282"/>
  <c r="B37" i="282"/>
  <c r="C35" i="282"/>
  <c r="B35" i="282"/>
  <c r="C34" i="282"/>
  <c r="B34" i="282"/>
  <c r="C33" i="282"/>
  <c r="B33" i="282"/>
  <c r="C32" i="282"/>
  <c r="B32" i="282"/>
  <c r="C31" i="282"/>
  <c r="B31" i="282"/>
  <c r="C30" i="282"/>
  <c r="B30" i="282"/>
  <c r="C29" i="282"/>
  <c r="B29" i="282"/>
  <c r="C28" i="282"/>
  <c r="B28" i="282"/>
  <c r="C27" i="282"/>
  <c r="B27" i="282"/>
  <c r="C26" i="282"/>
  <c r="B26" i="282"/>
  <c r="C24" i="282"/>
  <c r="B24" i="282"/>
  <c r="C23" i="282"/>
  <c r="B23" i="282"/>
  <c r="C22" i="282"/>
  <c r="B22" i="282"/>
  <c r="C21" i="282"/>
  <c r="B21" i="282"/>
  <c r="C20" i="282"/>
  <c r="B20" i="282"/>
  <c r="C18" i="282"/>
  <c r="B18" i="282"/>
  <c r="C17" i="282"/>
  <c r="B17" i="282"/>
  <c r="C16" i="282"/>
  <c r="B16" i="282"/>
  <c r="C15" i="282"/>
  <c r="B15" i="282"/>
  <c r="C14" i="282"/>
  <c r="B14" i="282"/>
  <c r="C13" i="282"/>
  <c r="B13" i="282"/>
  <c r="C12" i="282"/>
  <c r="B12" i="282"/>
  <c r="C11" i="282"/>
  <c r="B11" i="282"/>
  <c r="C10" i="282"/>
  <c r="B10" i="282"/>
  <c r="C9" i="282"/>
  <c r="B9" i="282"/>
  <c r="C8" i="282"/>
  <c r="B8" i="282"/>
  <c r="C6" i="282"/>
  <c r="B6" i="282"/>
  <c r="C5" i="282"/>
  <c r="B5" i="282"/>
  <c r="C4" i="282"/>
  <c r="B4" i="282"/>
  <c r="C3" i="282"/>
  <c r="B3" i="282"/>
  <c r="C73" i="281"/>
  <c r="B73" i="281"/>
  <c r="C71" i="281"/>
  <c r="B71" i="281"/>
  <c r="C70" i="281"/>
  <c r="B70" i="281"/>
  <c r="C64" i="281"/>
  <c r="B64" i="281"/>
  <c r="C63" i="281"/>
  <c r="B63" i="281"/>
  <c r="C61" i="281"/>
  <c r="B61" i="281"/>
  <c r="C60" i="281"/>
  <c r="B60" i="281"/>
  <c r="C59" i="281"/>
  <c r="B59" i="281"/>
  <c r="C58" i="281"/>
  <c r="B58" i="281"/>
  <c r="C57" i="281"/>
  <c r="B57" i="281"/>
  <c r="C56" i="281"/>
  <c r="B56" i="281"/>
  <c r="C50" i="281"/>
  <c r="B50" i="281"/>
  <c r="C43" i="281"/>
  <c r="B43" i="281"/>
  <c r="C42" i="281"/>
  <c r="B42" i="281"/>
  <c r="C41" i="281"/>
  <c r="B41" i="281"/>
  <c r="C40" i="281"/>
  <c r="B40" i="281"/>
  <c r="C39" i="281"/>
  <c r="B39" i="281"/>
  <c r="C38" i="281"/>
  <c r="B38" i="281"/>
  <c r="C37" i="281"/>
  <c r="B37" i="281"/>
  <c r="C36" i="281"/>
  <c r="B36" i="281"/>
  <c r="C35" i="281"/>
  <c r="B35" i="281"/>
  <c r="C34" i="281"/>
  <c r="B34" i="281"/>
  <c r="C33" i="281"/>
  <c r="B33" i="281"/>
  <c r="C32" i="281"/>
  <c r="B32" i="281"/>
  <c r="C29" i="281"/>
  <c r="B29" i="281"/>
  <c r="C28" i="281"/>
  <c r="B28" i="281"/>
  <c r="C27" i="281"/>
  <c r="B27" i="281"/>
  <c r="C26" i="281"/>
  <c r="B26" i="281"/>
  <c r="C25" i="281"/>
  <c r="B25" i="281"/>
  <c r="C23" i="281"/>
  <c r="B23" i="281"/>
  <c r="C21" i="281"/>
  <c r="B21" i="281"/>
  <c r="C17" i="281"/>
  <c r="B17" i="281"/>
  <c r="C16" i="281"/>
  <c r="B16" i="281"/>
  <c r="C15" i="281"/>
  <c r="B15" i="281"/>
  <c r="C14" i="281"/>
  <c r="B14" i="281"/>
  <c r="C13" i="281"/>
  <c r="B13" i="281"/>
  <c r="C12" i="281"/>
  <c r="B12" i="281"/>
  <c r="C11" i="281"/>
  <c r="B11" i="281"/>
  <c r="C10" i="281"/>
  <c r="B10" i="281"/>
  <c r="C9" i="281"/>
  <c r="B9" i="281"/>
  <c r="C8" i="281"/>
  <c r="B8" i="281"/>
  <c r="C7" i="281"/>
  <c r="B7" i="281"/>
  <c r="C6" i="281"/>
  <c r="B6" i="281"/>
  <c r="C5" i="281"/>
  <c r="B5" i="281"/>
  <c r="C4" i="281"/>
  <c r="B4" i="281"/>
  <c r="C3" i="281"/>
  <c r="B3" i="281"/>
  <c r="C51" i="280"/>
  <c r="B51" i="280"/>
  <c r="C50" i="280"/>
  <c r="B50" i="280"/>
  <c r="C49" i="280"/>
  <c r="B49" i="280"/>
  <c r="C48" i="280"/>
  <c r="B48" i="280"/>
  <c r="C47" i="280"/>
  <c r="B47" i="280"/>
  <c r="C46" i="280"/>
  <c r="B46" i="280"/>
  <c r="C45" i="280"/>
  <c r="B45" i="280"/>
  <c r="C44" i="280"/>
  <c r="B44" i="280"/>
  <c r="C43" i="280"/>
  <c r="B43" i="280"/>
  <c r="C42" i="280"/>
  <c r="B42" i="280"/>
  <c r="C38" i="280"/>
  <c r="B38" i="280"/>
  <c r="C37" i="280"/>
  <c r="B37" i="280"/>
  <c r="C36" i="280"/>
  <c r="B36" i="280"/>
  <c r="C35" i="280"/>
  <c r="B35" i="280"/>
  <c r="C34" i="280"/>
  <c r="B34" i="280"/>
  <c r="C33" i="280"/>
  <c r="B33" i="280"/>
  <c r="C32" i="280"/>
  <c r="B32" i="280"/>
  <c r="C31" i="280"/>
  <c r="B31" i="280"/>
  <c r="C30" i="280"/>
  <c r="B30" i="280"/>
  <c r="C29" i="280"/>
  <c r="B29" i="280"/>
  <c r="C28" i="280"/>
  <c r="B28" i="280"/>
  <c r="C25" i="280"/>
  <c r="B25" i="280"/>
  <c r="C24" i="280"/>
  <c r="B24" i="280"/>
  <c r="C23" i="280"/>
  <c r="B23" i="280"/>
  <c r="C22" i="280"/>
  <c r="B22" i="280"/>
  <c r="C19" i="280"/>
  <c r="B19" i="280"/>
  <c r="C18" i="280"/>
  <c r="B18" i="280"/>
  <c r="C16" i="280"/>
  <c r="B16" i="280"/>
  <c r="C15" i="280"/>
  <c r="B15" i="280"/>
  <c r="C14" i="280"/>
  <c r="B14" i="280"/>
  <c r="C13" i="280"/>
  <c r="B13" i="280"/>
  <c r="C12" i="280"/>
  <c r="B12" i="280"/>
  <c r="C11" i="280"/>
  <c r="B11" i="280"/>
  <c r="C10" i="280"/>
  <c r="B10" i="280"/>
  <c r="C9" i="280"/>
  <c r="B9" i="280"/>
  <c r="C8" i="280"/>
  <c r="B8" i="280"/>
  <c r="C7" i="280"/>
  <c r="B7" i="280"/>
  <c r="C6" i="280"/>
  <c r="B6" i="280"/>
  <c r="C5" i="280"/>
  <c r="B5" i="280"/>
  <c r="C4" i="280"/>
  <c r="B4" i="280"/>
  <c r="C3" i="280"/>
  <c r="B3" i="280"/>
  <c r="E252" i="432"/>
  <c r="E251" i="432"/>
  <c r="E250" i="432"/>
  <c r="E249" i="432"/>
  <c r="E247" i="432"/>
  <c r="E246" i="432"/>
  <c r="E245" i="432"/>
  <c r="E244" i="432"/>
  <c r="E243" i="432"/>
  <c r="E242" i="432"/>
  <c r="E239" i="432"/>
  <c r="E237" i="432"/>
  <c r="E236" i="432"/>
  <c r="E235" i="432"/>
  <c r="E231" i="432"/>
  <c r="E230" i="432"/>
  <c r="E229" i="432"/>
  <c r="E228" i="432"/>
  <c r="E227" i="432"/>
  <c r="E226" i="432"/>
  <c r="E225" i="432"/>
  <c r="E224" i="432"/>
  <c r="E223" i="432"/>
  <c r="E222" i="432"/>
  <c r="E220" i="432"/>
  <c r="E219" i="432"/>
  <c r="E218" i="432"/>
  <c r="E217" i="432"/>
  <c r="E216" i="432"/>
  <c r="E212" i="432"/>
  <c r="E210" i="432"/>
  <c r="E209" i="432"/>
  <c r="E208" i="432"/>
  <c r="E207" i="432"/>
  <c r="E200" i="432"/>
  <c r="E197" i="432"/>
  <c r="E196" i="432"/>
  <c r="E195" i="432"/>
  <c r="E194" i="432"/>
  <c r="E193" i="432"/>
  <c r="E189" i="432"/>
  <c r="E187" i="432"/>
  <c r="E185" i="432"/>
  <c r="E184" i="432"/>
  <c r="E183" i="432"/>
  <c r="E182" i="432"/>
  <c r="E181" i="432"/>
  <c r="E180" i="432"/>
  <c r="E179" i="432"/>
  <c r="E174" i="432"/>
  <c r="E173" i="432"/>
  <c r="E172" i="432"/>
  <c r="E165" i="432"/>
  <c r="E162" i="432"/>
  <c r="E160" i="432"/>
  <c r="E158" i="432"/>
  <c r="E156" i="432"/>
  <c r="E155" i="432"/>
  <c r="E154" i="432"/>
  <c r="E152" i="432"/>
  <c r="E140" i="432"/>
  <c r="E139" i="432"/>
  <c r="E138" i="432"/>
  <c r="E135" i="432"/>
  <c r="E134" i="432"/>
  <c r="E107" i="432"/>
  <c r="E58" i="432"/>
  <c r="A15" i="163"/>
  <c r="F15" i="163" s="1"/>
  <c r="L9" i="164"/>
  <c r="L8" i="164"/>
  <c r="L7" i="164"/>
  <c r="L6" i="164"/>
  <c r="L5" i="164"/>
  <c r="L4" i="164"/>
  <c r="L3" i="164"/>
  <c r="L2" i="164"/>
  <c r="B6" i="79"/>
  <c r="B5" i="79"/>
  <c r="A5" i="79" s="1"/>
  <c r="D5" i="79" s="1"/>
  <c r="B4" i="79"/>
  <c r="B3" i="79"/>
  <c r="A3" i="79" s="1"/>
  <c r="D3" i="79" s="1"/>
  <c r="B2" i="79"/>
  <c r="K370" i="502"/>
  <c r="B43" i="391"/>
  <c r="B42" i="391"/>
  <c r="B29" i="391"/>
  <c r="B28" i="391"/>
  <c r="B5" i="391"/>
  <c r="B4" i="391"/>
  <c r="B21" i="391"/>
  <c r="K361" i="502"/>
  <c r="K350" i="502"/>
  <c r="K349" i="502"/>
  <c r="K348" i="502"/>
  <c r="K336" i="502"/>
  <c r="K335" i="502"/>
  <c r="K334" i="502"/>
  <c r="K314" i="502"/>
  <c r="K302" i="502"/>
  <c r="K293" i="502"/>
  <c r="K292" i="502"/>
  <c r="K284" i="502"/>
  <c r="K276" i="502"/>
  <c r="K271" i="502"/>
  <c r="K257" i="502"/>
  <c r="K249" i="502"/>
  <c r="K248" i="502"/>
  <c r="K209" i="502"/>
  <c r="K198" i="502"/>
  <c r="K113" i="502"/>
  <c r="K112" i="502"/>
  <c r="K93" i="502"/>
  <c r="K73" i="502"/>
  <c r="K49" i="502"/>
  <c r="K10"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K373" i="502"/>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K357" i="502"/>
  <c r="D348" i="502"/>
  <c r="D347" i="502"/>
  <c r="K346" i="502"/>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K340" i="502"/>
  <c r="D334" i="502"/>
  <c r="D333" i="502"/>
  <c r="J332" i="502"/>
  <c r="I332" i="502"/>
  <c r="H332" i="502"/>
  <c r="G332" i="502"/>
  <c r="F332" i="502"/>
  <c r="E332" i="502"/>
  <c r="D332" i="502"/>
  <c r="D331" i="502"/>
  <c r="D329" i="502"/>
  <c r="D328" i="502"/>
  <c r="D327" i="502"/>
  <c r="D326" i="502"/>
  <c r="K325" i="502"/>
  <c r="J325" i="502"/>
  <c r="I325" i="502"/>
  <c r="H325" i="502"/>
  <c r="G325" i="502"/>
  <c r="F325" i="502"/>
  <c r="E325" i="502"/>
  <c r="D325" i="502"/>
  <c r="D324" i="502"/>
  <c r="D323" i="502"/>
  <c r="D322" i="502"/>
  <c r="D321" i="502"/>
  <c r="D320" i="502"/>
  <c r="D319" i="502"/>
  <c r="D318" i="502"/>
  <c r="K317" i="502"/>
  <c r="J317" i="502"/>
  <c r="I317" i="502"/>
  <c r="H317" i="502"/>
  <c r="G317" i="502"/>
  <c r="F317" i="502"/>
  <c r="E317" i="502"/>
  <c r="D317" i="502"/>
  <c r="D316" i="502"/>
  <c r="D315" i="502"/>
  <c r="D314" i="502"/>
  <c r="D313" i="502"/>
  <c r="D312" i="502"/>
  <c r="J311" i="502"/>
  <c r="I311" i="502"/>
  <c r="H311" i="502"/>
  <c r="G311" i="502"/>
  <c r="F311" i="502"/>
  <c r="E311" i="502"/>
  <c r="D311" i="502"/>
  <c r="D310" i="502"/>
  <c r="D309" i="502"/>
  <c r="D308" i="502"/>
  <c r="D307" i="502"/>
  <c r="D306" i="502"/>
  <c r="D305" i="502"/>
  <c r="D304" i="502"/>
  <c r="D303" i="502"/>
  <c r="K311" i="502"/>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K273" i="502"/>
  <c r="J273" i="502"/>
  <c r="I273" i="502"/>
  <c r="H273" i="502"/>
  <c r="G273" i="502"/>
  <c r="F273" i="502"/>
  <c r="E273" i="502"/>
  <c r="D273" i="502"/>
  <c r="D272" i="502"/>
  <c r="D271" i="502"/>
  <c r="D270" i="502"/>
  <c r="D269" i="502"/>
  <c r="D268" i="502"/>
  <c r="D267" i="502"/>
  <c r="K266" i="502"/>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J244" i="502"/>
  <c r="I244" i="502"/>
  <c r="H244" i="502"/>
  <c r="G244" i="502"/>
  <c r="F244" i="502"/>
  <c r="E244" i="502"/>
  <c r="D244" i="502"/>
  <c r="D243" i="502"/>
  <c r="D242" i="502"/>
  <c r="D241" i="502"/>
  <c r="D240" i="502"/>
  <c r="D239" i="502"/>
  <c r="K238" i="502"/>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24"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B4" i="233" l="1"/>
  <c r="B130" i="273" s="1"/>
  <c r="C4" i="233"/>
  <c r="B135" i="273" s="1"/>
  <c r="D4" i="233"/>
  <c r="C130" i="273" s="1"/>
  <c r="E4" i="233"/>
  <c r="C135" i="273" s="1"/>
  <c r="C126" i="273"/>
  <c r="B126" i="273"/>
  <c r="B7" i="231"/>
  <c r="C119" i="273" s="1"/>
  <c r="B116" i="273"/>
  <c r="B5" i="222"/>
  <c r="C98" i="273"/>
  <c r="B5" i="196"/>
  <c r="B83" i="273" s="1"/>
  <c r="C5" i="196"/>
  <c r="C83" i="273" s="1"/>
  <c r="E2" i="195"/>
  <c r="E17" i="195" s="1"/>
  <c r="B81" i="273" s="1"/>
  <c r="E2" i="194"/>
  <c r="E5" i="194" s="1"/>
  <c r="E14" i="193"/>
  <c r="B14" i="193"/>
  <c r="B2" i="192"/>
  <c r="E2" i="192" s="1"/>
  <c r="C7" i="192"/>
  <c r="E3" i="192"/>
  <c r="D7" i="192"/>
  <c r="F10" i="175"/>
  <c r="D10" i="175"/>
  <c r="B59" i="273"/>
  <c r="E34" i="170"/>
  <c r="C32" i="170"/>
  <c r="C23" i="170"/>
  <c r="C34" i="170" s="1"/>
  <c r="F4" i="170"/>
  <c r="F13" i="170" s="1"/>
  <c r="D23" i="170"/>
  <c r="D4" i="170"/>
  <c r="D13" i="170" s="1"/>
  <c r="D34" i="170" s="1"/>
  <c r="B20" i="170"/>
  <c r="F20" i="170" s="1"/>
  <c r="F25" i="170"/>
  <c r="B29" i="170"/>
  <c r="F29" i="170" s="1"/>
  <c r="B26" i="170"/>
  <c r="F26" i="170" s="1"/>
  <c r="B35" i="170"/>
  <c r="F35" i="170" s="1"/>
  <c r="F9" i="170"/>
  <c r="F18" i="170"/>
  <c r="C35" i="170"/>
  <c r="B10" i="170"/>
  <c r="F10" i="170" s="1"/>
  <c r="D35" i="170"/>
  <c r="E35" i="170"/>
  <c r="C55" i="273"/>
  <c r="D11" i="169"/>
  <c r="D31" i="169" s="1"/>
  <c r="E8" i="169"/>
  <c r="C20" i="169"/>
  <c r="E20" i="169" s="1"/>
  <c r="B29" i="169"/>
  <c r="E29" i="169" s="1"/>
  <c r="E14" i="169"/>
  <c r="D29" i="169"/>
  <c r="B4" i="169"/>
  <c r="E4" i="169" s="1"/>
  <c r="E13" i="169"/>
  <c r="E15" i="169"/>
  <c r="E22" i="169"/>
  <c r="E24" i="169"/>
  <c r="B32" i="169"/>
  <c r="C11" i="169"/>
  <c r="C31" i="169" s="1"/>
  <c r="D32" i="169"/>
  <c r="E13" i="416"/>
  <c r="B13" i="416"/>
  <c r="E4" i="416"/>
  <c r="E14" i="416" s="1"/>
  <c r="E24" i="416" s="1"/>
  <c r="E5" i="416"/>
  <c r="E15" i="416" s="1"/>
  <c r="E25" i="416" s="1"/>
  <c r="B7" i="416"/>
  <c r="E7" i="416" s="1"/>
  <c r="E6" i="416"/>
  <c r="E16" i="416" s="1"/>
  <c r="E26" i="416" s="1"/>
  <c r="B17" i="416"/>
  <c r="E17" i="416" s="1"/>
  <c r="B20" i="168"/>
  <c r="C20" i="168"/>
  <c r="D20" i="168"/>
  <c r="E17" i="168"/>
  <c r="C29" i="168"/>
  <c r="B26" i="168"/>
  <c r="E26" i="168" s="1"/>
  <c r="E13" i="168"/>
  <c r="E15" i="168"/>
  <c r="E22" i="168"/>
  <c r="B11" i="168"/>
  <c r="B32" i="168"/>
  <c r="E32" i="168" s="1"/>
  <c r="C11" i="168"/>
  <c r="D11" i="168"/>
  <c r="D31" i="168" s="1"/>
  <c r="C53" i="273"/>
  <c r="C29" i="167"/>
  <c r="B4" i="167"/>
  <c r="F4" i="167" s="1"/>
  <c r="C20" i="167"/>
  <c r="D20" i="167"/>
  <c r="E20" i="167"/>
  <c r="B11" i="167"/>
  <c r="B20" i="167"/>
  <c r="F20" i="167" s="1"/>
  <c r="B29" i="167"/>
  <c r="F29" i="167" s="1"/>
  <c r="B8" i="167"/>
  <c r="F8" i="167" s="1"/>
  <c r="C11" i="167"/>
  <c r="B17" i="167"/>
  <c r="F17" i="167" s="1"/>
  <c r="B26" i="167"/>
  <c r="F26" i="167" s="1"/>
  <c r="D11" i="167"/>
  <c r="D31" i="167" s="1"/>
  <c r="B14" i="167"/>
  <c r="F14" i="167" s="1"/>
  <c r="B23" i="167"/>
  <c r="F23" i="167" s="1"/>
  <c r="B32" i="167"/>
  <c r="F32" i="167" s="1"/>
  <c r="F6" i="167"/>
  <c r="E11" i="167"/>
  <c r="E6" i="158"/>
  <c r="B6" i="158"/>
  <c r="C30" i="410"/>
  <c r="C21" i="410"/>
  <c r="F33" i="410"/>
  <c r="C2" i="156" s="1"/>
  <c r="C4" i="156" s="1"/>
  <c r="C50" i="273" s="1"/>
  <c r="D21" i="410"/>
  <c r="F3" i="410"/>
  <c r="B4" i="410"/>
  <c r="B30" i="410"/>
  <c r="F30" i="410" s="1"/>
  <c r="B9" i="410"/>
  <c r="F9" i="410" s="1"/>
  <c r="C12" i="410"/>
  <c r="C32" i="410" s="1"/>
  <c r="B18" i="410"/>
  <c r="F18" i="410" s="1"/>
  <c r="B27" i="410"/>
  <c r="F27" i="410" s="1"/>
  <c r="D12" i="410"/>
  <c r="D32" i="410" s="1"/>
  <c r="B15" i="410"/>
  <c r="F15" i="410" s="1"/>
  <c r="B24" i="410"/>
  <c r="F24" i="410" s="1"/>
  <c r="E12" i="410"/>
  <c r="E32" i="410" s="1"/>
  <c r="B3" i="154"/>
  <c r="D8" i="154"/>
  <c r="D7" i="154" s="1"/>
  <c r="D10" i="154" s="1"/>
  <c r="B49" i="273" s="1"/>
  <c r="B10" i="154"/>
  <c r="C49" i="273"/>
  <c r="C30" i="153"/>
  <c r="D30" i="153" s="1"/>
  <c r="C221" i="273" s="1"/>
  <c r="D221" i="273" s="1"/>
  <c r="B12" i="153"/>
  <c r="C21" i="153"/>
  <c r="D21" i="153" s="1"/>
  <c r="D18" i="153"/>
  <c r="C12" i="153"/>
  <c r="C32" i="153" s="1"/>
  <c r="D16" i="153"/>
  <c r="D25" i="153"/>
  <c r="D10" i="153"/>
  <c r="D19" i="153"/>
  <c r="D28" i="153"/>
  <c r="B33" i="153"/>
  <c r="D33" i="153" s="1"/>
  <c r="D3" i="153"/>
  <c r="C48" i="273"/>
  <c r="E9" i="378"/>
  <c r="E8" i="378" s="1"/>
  <c r="E5" i="378"/>
  <c r="B9" i="378"/>
  <c r="B2" i="378"/>
  <c r="E2" i="378" s="1"/>
  <c r="B10" i="378"/>
  <c r="B16" i="378" s="1"/>
  <c r="E16" i="378" s="1"/>
  <c r="B11" i="378"/>
  <c r="E11" i="378" s="1"/>
  <c r="C222" i="273"/>
  <c r="D222" i="273" s="1"/>
  <c r="E2" i="142"/>
  <c r="E5" i="142" s="1"/>
  <c r="E7" i="142" s="1"/>
  <c r="B45" i="273"/>
  <c r="E4" i="489"/>
  <c r="E13" i="489" s="1"/>
  <c r="D4" i="138"/>
  <c r="D7" i="138" s="1"/>
  <c r="G4" i="138"/>
  <c r="G7" i="138" s="1"/>
  <c r="B44" i="273"/>
  <c r="C44" i="273"/>
  <c r="D216" i="273"/>
  <c r="E4" i="450"/>
  <c r="E13" i="450" s="1"/>
  <c r="F6" i="131"/>
  <c r="C6" i="131"/>
  <c r="C42" i="273"/>
  <c r="F6" i="130"/>
  <c r="B42" i="273"/>
  <c r="D214" i="273"/>
  <c r="B3" i="127"/>
  <c r="C41" i="273"/>
  <c r="E4" i="125"/>
  <c r="E13" i="125" s="1"/>
  <c r="G2" i="445"/>
  <c r="G4" i="445" s="1"/>
  <c r="B40" i="273"/>
  <c r="C40" i="273"/>
  <c r="D213" i="273"/>
  <c r="D2" i="113"/>
  <c r="C4" i="111"/>
  <c r="C215" i="273" s="1"/>
  <c r="D215" i="273" s="1"/>
  <c r="G2" i="106"/>
  <c r="G18" i="106" s="1"/>
  <c r="B12" i="96"/>
  <c r="B34" i="273"/>
  <c r="E4" i="454"/>
  <c r="E13" i="454" s="1"/>
  <c r="C32" i="273"/>
  <c r="C5" i="80"/>
  <c r="B4" i="80"/>
  <c r="B5" i="80" s="1"/>
  <c r="B32" i="273"/>
  <c r="B193" i="273"/>
  <c r="E2" i="77"/>
  <c r="E6" i="77" s="1"/>
  <c r="B195" i="273"/>
  <c r="B194" i="273"/>
  <c r="B27" i="273"/>
  <c r="B4" i="74"/>
  <c r="H4" i="74" s="1"/>
  <c r="C2" i="64"/>
  <c r="C5" i="64"/>
  <c r="B7" i="64"/>
  <c r="C7" i="64" s="1"/>
  <c r="F2" i="54"/>
  <c r="F4" i="54" s="1"/>
  <c r="B24" i="273" s="1"/>
  <c r="B4" i="56"/>
  <c r="B4" i="49"/>
  <c r="H4" i="49" s="1"/>
  <c r="D8" i="47"/>
  <c r="D5" i="47"/>
  <c r="B23" i="273"/>
  <c r="D208" i="273"/>
  <c r="D211" i="273"/>
  <c r="B34" i="391"/>
  <c r="B46" i="391"/>
  <c r="K176" i="502"/>
  <c r="H89" i="502"/>
  <c r="I89" i="502"/>
  <c r="K189" i="502"/>
  <c r="C15" i="163"/>
  <c r="E15" i="163"/>
  <c r="G15" i="163" s="1"/>
  <c r="A2" i="79"/>
  <c r="D2" i="79" s="1"/>
  <c r="A4" i="79"/>
  <c r="D4" i="79" s="1"/>
  <c r="A6" i="79"/>
  <c r="D6" i="79" s="1"/>
  <c r="J89" i="502"/>
  <c r="E89" i="502"/>
  <c r="G89" i="502"/>
  <c r="F89" i="502"/>
  <c r="B11" i="391"/>
  <c r="G88" i="266"/>
  <c r="F88" i="266"/>
  <c r="G87" i="266"/>
  <c r="F87" i="266"/>
  <c r="G86" i="266"/>
  <c r="F86" i="266"/>
  <c r="B7" i="192" l="1"/>
  <c r="C77" i="273" s="1"/>
  <c r="E7" i="192"/>
  <c r="B77" i="273" s="1"/>
  <c r="B23" i="170"/>
  <c r="F23" i="170" s="1"/>
  <c r="B32" i="170"/>
  <c r="F32" i="170" s="1"/>
  <c r="B13" i="170"/>
  <c r="B34" i="170" s="1"/>
  <c r="F34" i="170" s="1"/>
  <c r="C224" i="273"/>
  <c r="D224" i="273" s="1"/>
  <c r="E32" i="169"/>
  <c r="C54" i="273" s="1"/>
  <c r="B11" i="169"/>
  <c r="B23" i="416"/>
  <c r="B12" i="416"/>
  <c r="B22" i="416" s="1"/>
  <c r="E23" i="416"/>
  <c r="E12" i="416"/>
  <c r="E22" i="416" s="1"/>
  <c r="B29" i="168"/>
  <c r="E29" i="168" s="1"/>
  <c r="C31" i="168"/>
  <c r="E11" i="168"/>
  <c r="B31" i="168"/>
  <c r="E31" i="168" s="1"/>
  <c r="E20" i="168"/>
  <c r="B53" i="273"/>
  <c r="B31" i="167"/>
  <c r="F11" i="167"/>
  <c r="E31" i="167"/>
  <c r="C31" i="167"/>
  <c r="C52" i="273"/>
  <c r="B21" i="410"/>
  <c r="F21" i="410" s="1"/>
  <c r="F4" i="410"/>
  <c r="B12" i="410"/>
  <c r="C219" i="273"/>
  <c r="D219" i="273" s="1"/>
  <c r="B32" i="153"/>
  <c r="D32" i="153" s="1"/>
  <c r="D12" i="153"/>
  <c r="B15" i="378"/>
  <c r="E15" i="378" s="1"/>
  <c r="B8" i="378"/>
  <c r="B14" i="378" s="1"/>
  <c r="E14" i="378" s="1"/>
  <c r="B7" i="127"/>
  <c r="D3" i="127"/>
  <c r="D7" i="127" s="1"/>
  <c r="B41" i="273"/>
  <c r="B55" i="273" l="1"/>
  <c r="E11" i="169"/>
  <c r="B31" i="169"/>
  <c r="E31" i="169" s="1"/>
  <c r="B54" i="273"/>
  <c r="F31" i="167"/>
  <c r="B52" i="273"/>
  <c r="B32" i="410"/>
  <c r="F32" i="410" s="1"/>
  <c r="B2" i="156" s="1"/>
  <c r="B4" i="156" s="1"/>
  <c r="B50" i="273" s="1"/>
  <c r="F12" i="410"/>
  <c r="B48" i="273"/>
  <c r="E9" i="104" l="1"/>
  <c r="E8" i="104"/>
  <c r="E7" i="104"/>
  <c r="E4" i="104"/>
  <c r="E5" i="104"/>
  <c r="E3" i="104"/>
  <c r="E3" i="98"/>
  <c r="E4" i="98"/>
  <c r="E2" i="98"/>
  <c r="G3" i="72"/>
  <c r="G4" i="72"/>
  <c r="G5" i="72"/>
  <c r="G6" i="72"/>
  <c r="G7" i="72"/>
  <c r="G2" i="72"/>
  <c r="D3" i="72"/>
  <c r="D4" i="72"/>
  <c r="D5" i="72"/>
  <c r="D6" i="72"/>
  <c r="D7" i="72"/>
  <c r="D2" i="72"/>
  <c r="G3" i="69"/>
  <c r="G4" i="69"/>
  <c r="G5" i="69"/>
  <c r="G6" i="69"/>
  <c r="G7" i="69"/>
  <c r="G2" i="69"/>
  <c r="D3" i="69"/>
  <c r="D4" i="69"/>
  <c r="D5" i="69"/>
  <c r="D6" i="69"/>
  <c r="D7" i="69"/>
  <c r="D2" i="69"/>
  <c r="G3" i="68"/>
  <c r="G4" i="68"/>
  <c r="G2" i="68"/>
  <c r="D3" i="71"/>
  <c r="D4" i="71"/>
  <c r="D5" i="71"/>
  <c r="D6" i="71"/>
  <c r="D7" i="71"/>
  <c r="D2" i="71"/>
  <c r="D3" i="70"/>
  <c r="D4" i="70"/>
  <c r="D5" i="70"/>
  <c r="D6" i="70"/>
  <c r="D7" i="70"/>
  <c r="D2" i="70"/>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10" i="401" l="1"/>
  <c r="K163" i="502" l="1"/>
  <c r="K146" i="502"/>
  <c r="A18" i="477"/>
  <c r="A19" i="477"/>
  <c r="A20" i="477"/>
  <c r="A21" i="477"/>
  <c r="A22" i="477"/>
  <c r="A23" i="477"/>
  <c r="A24" i="477"/>
  <c r="A25" i="477"/>
  <c r="F3" i="60" l="1"/>
  <c r="F2" i="60"/>
  <c r="E3" i="61"/>
  <c r="E4" i="61"/>
  <c r="E5" i="61"/>
  <c r="E2" i="61"/>
  <c r="F3" i="99" l="1"/>
  <c r="F2" i="99"/>
  <c r="C3" i="99"/>
  <c r="C2" i="99"/>
  <c r="D3" i="425"/>
  <c r="D4" i="425"/>
  <c r="D2" i="425"/>
  <c r="W28" i="501" l="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C38" i="501"/>
  <c r="G38" i="501"/>
  <c r="F38" i="501" s="1"/>
  <c r="L38" i="501"/>
  <c r="K38" i="501" s="1"/>
  <c r="R38" i="501"/>
  <c r="S38" i="50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1" i="501" l="1"/>
  <c r="V15" i="501"/>
  <c r="Q37" i="501"/>
  <c r="V12" i="501"/>
  <c r="P38" i="501"/>
  <c r="P42" i="501"/>
  <c r="V26" i="501"/>
  <c r="V25" i="501"/>
  <c r="Q42" i="501"/>
  <c r="T42" i="501" s="1"/>
  <c r="Q46" i="501"/>
  <c r="T46" i="501" s="1"/>
  <c r="Q40" i="501"/>
  <c r="T40" i="501" s="1"/>
  <c r="Q45" i="501"/>
  <c r="T45" i="501" s="1"/>
  <c r="Q47" i="501"/>
  <c r="Q41" i="501"/>
  <c r="Q38" i="50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T38" i="501"/>
  <c r="T47" i="501"/>
  <c r="T41" i="501"/>
  <c r="T43" i="501"/>
  <c r="A47" i="501" l="1"/>
  <c r="A46" i="501"/>
  <c r="A45" i="501"/>
  <c r="A44" i="501"/>
  <c r="A43" i="501"/>
  <c r="A42" i="501"/>
  <c r="A41" i="501"/>
  <c r="A40" i="501"/>
  <c r="A39" i="501"/>
  <c r="A38" i="501"/>
  <c r="A37" i="501"/>
  <c r="S36" i="501"/>
  <c r="R36" i="501"/>
  <c r="L36" i="501"/>
  <c r="K36" i="501" s="1"/>
  <c r="G36" i="501"/>
  <c r="S35" i="501"/>
  <c r="R35" i="501"/>
  <c r="L35" i="501"/>
  <c r="K35" i="501" s="1"/>
  <c r="G35" i="501"/>
  <c r="F35" i="501" s="1"/>
  <c r="S34" i="501"/>
  <c r="R34" i="501"/>
  <c r="L34" i="501"/>
  <c r="K34" i="501" s="1"/>
  <c r="G34" i="501"/>
  <c r="S33" i="501"/>
  <c r="R33" i="501"/>
  <c r="L33" i="501"/>
  <c r="K33" i="501" s="1"/>
  <c r="G33" i="501"/>
  <c r="F33" i="501" s="1"/>
  <c r="L32" i="501"/>
  <c r="K32" i="501" s="1"/>
  <c r="G32" i="501"/>
  <c r="F32" i="501" s="1"/>
  <c r="R32" i="501"/>
  <c r="S31" i="501"/>
  <c r="R31" i="501"/>
  <c r="L31" i="501"/>
  <c r="K31" i="501" s="1"/>
  <c r="G31" i="501"/>
  <c r="S30" i="501"/>
  <c r="R30" i="501"/>
  <c r="L30" i="501"/>
  <c r="K30" i="501" s="1"/>
  <c r="G30" i="501"/>
  <c r="S29" i="501"/>
  <c r="R29" i="501"/>
  <c r="L29" i="501"/>
  <c r="K29" i="501" s="1"/>
  <c r="G29" i="501"/>
  <c r="S28" i="501"/>
  <c r="R28" i="501"/>
  <c r="L28" i="501"/>
  <c r="K28" i="501" s="1"/>
  <c r="G28" i="501"/>
  <c r="S27" i="501"/>
  <c r="R27" i="501"/>
  <c r="L27" i="501"/>
  <c r="K27" i="501" s="1"/>
  <c r="G27" i="501"/>
  <c r="F27" i="501" s="1"/>
  <c r="S26" i="501"/>
  <c r="R26" i="501"/>
  <c r="L26" i="501"/>
  <c r="K26" i="501" s="1"/>
  <c r="G26" i="501"/>
  <c r="F26" i="501" s="1"/>
  <c r="S25" i="501"/>
  <c r="R25" i="501"/>
  <c r="L25" i="501"/>
  <c r="K25" i="501" s="1"/>
  <c r="G25" i="501"/>
  <c r="F25" i="501" s="1"/>
  <c r="S24" i="501"/>
  <c r="R24" i="501"/>
  <c r="L24" i="501"/>
  <c r="K24" i="501" s="1"/>
  <c r="G24" i="501"/>
  <c r="F24" i="501" s="1"/>
  <c r="S23" i="501"/>
  <c r="R23" i="501"/>
  <c r="L23" i="501"/>
  <c r="K23" i="501" s="1"/>
  <c r="G23" i="501"/>
  <c r="S22" i="501"/>
  <c r="R22" i="501"/>
  <c r="L22" i="501"/>
  <c r="K22" i="501" s="1"/>
  <c r="G22" i="501"/>
  <c r="S21" i="501"/>
  <c r="R21" i="501"/>
  <c r="L21" i="501"/>
  <c r="K21" i="501" s="1"/>
  <c r="G21" i="501"/>
  <c r="F21" i="501" s="1"/>
  <c r="S20" i="501"/>
  <c r="R20" i="501"/>
  <c r="L20" i="501"/>
  <c r="K20" i="501" s="1"/>
  <c r="G20" i="501"/>
  <c r="S19" i="501"/>
  <c r="R19" i="501"/>
  <c r="L19" i="501"/>
  <c r="G19" i="501"/>
  <c r="F19" i="501" s="1"/>
  <c r="S18" i="501"/>
  <c r="R18" i="501"/>
  <c r="L18" i="501"/>
  <c r="K18" i="501" s="1"/>
  <c r="G18" i="501"/>
  <c r="F18" i="501" s="1"/>
  <c r="S17" i="501"/>
  <c r="R17" i="501"/>
  <c r="L17" i="501"/>
  <c r="K17" i="501" s="1"/>
  <c r="G17" i="501"/>
  <c r="F17" i="501" s="1"/>
  <c r="S16" i="501"/>
  <c r="R16" i="501"/>
  <c r="L16" i="501"/>
  <c r="K16" i="501" s="1"/>
  <c r="G16" i="501"/>
  <c r="F16" i="501" s="1"/>
  <c r="S15" i="501"/>
  <c r="R15" i="501"/>
  <c r="L15" i="501"/>
  <c r="K15" i="501" s="1"/>
  <c r="G15" i="501"/>
  <c r="F15" i="501" s="1"/>
  <c r="S14" i="501"/>
  <c r="R14" i="501"/>
  <c r="L14" i="501"/>
  <c r="G14" i="501"/>
  <c r="F14" i="501" s="1"/>
  <c r="S13" i="501"/>
  <c r="R13" i="501"/>
  <c r="L13" i="501"/>
  <c r="K13" i="501" s="1"/>
  <c r="G13" i="501"/>
  <c r="F13" i="501" s="1"/>
  <c r="S12" i="501"/>
  <c r="R12" i="501"/>
  <c r="L12" i="501"/>
  <c r="K12" i="501" s="1"/>
  <c r="G12" i="501"/>
  <c r="F12" i="501" s="1"/>
  <c r="S11" i="501"/>
  <c r="R11" i="501"/>
  <c r="L11" i="501"/>
  <c r="K11" i="501" s="1"/>
  <c r="G11" i="501"/>
  <c r="S10" i="501"/>
  <c r="R10" i="501"/>
  <c r="L10" i="501"/>
  <c r="K10" i="501" s="1"/>
  <c r="G10" i="501"/>
  <c r="S9" i="501"/>
  <c r="R9" i="501"/>
  <c r="L9" i="501"/>
  <c r="K9" i="501" s="1"/>
  <c r="G9" i="501"/>
  <c r="F9" i="501" s="1"/>
  <c r="S8" i="501"/>
  <c r="R8" i="501"/>
  <c r="L8" i="501"/>
  <c r="K8" i="501" s="1"/>
  <c r="G8" i="501"/>
  <c r="S7" i="501"/>
  <c r="R7" i="501"/>
  <c r="L7" i="501"/>
  <c r="K7" i="501" s="1"/>
  <c r="G7" i="501"/>
  <c r="F7" i="501" s="1"/>
  <c r="S6" i="501"/>
  <c r="R6" i="501"/>
  <c r="L6" i="501"/>
  <c r="K6" i="501" s="1"/>
  <c r="G6" i="501"/>
  <c r="F6" i="501" s="1"/>
  <c r="S5" i="501"/>
  <c r="R5" i="501"/>
  <c r="L5" i="501"/>
  <c r="K5" i="501" s="1"/>
  <c r="G5" i="501"/>
  <c r="F5" i="501" s="1"/>
  <c r="S4" i="501"/>
  <c r="R4" i="501"/>
  <c r="L4" i="501"/>
  <c r="K4" i="501" s="1"/>
  <c r="G4" i="501"/>
  <c r="S3" i="50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Q46" i="500" l="1"/>
  <c r="Q18" i="500"/>
  <c r="P35" i="501"/>
  <c r="A35" i="501" s="1"/>
  <c r="Q12" i="501"/>
  <c r="T12" i="501" s="1"/>
  <c r="Q34" i="501"/>
  <c r="T34" i="501"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F4" i="501"/>
  <c r="Q23" i="501"/>
  <c r="F23" i="501"/>
  <c r="Q31" i="501"/>
  <c r="F31" i="501"/>
  <c r="Q35" i="500"/>
  <c r="Q42" i="500"/>
  <c r="F42" i="500"/>
  <c r="P42" i="500" s="1"/>
  <c r="A42" i="500" s="1"/>
  <c r="Q56" i="500"/>
  <c r="Q20" i="501"/>
  <c r="T20" i="501" s="1"/>
  <c r="F20" i="501"/>
  <c r="Q28" i="501"/>
  <c r="F28" i="501"/>
  <c r="Q52" i="500"/>
  <c r="F52" i="500"/>
  <c r="P52" i="500" s="1"/>
  <c r="A52" i="500" s="1"/>
  <c r="Q29" i="501"/>
  <c r="F29" i="501"/>
  <c r="Q54" i="500"/>
  <c r="F54" i="500"/>
  <c r="P54" i="500" s="1"/>
  <c r="A54" i="500" s="1"/>
  <c r="Q36" i="501"/>
  <c r="T36" i="501" s="1"/>
  <c r="F36" i="501"/>
  <c r="Q16" i="500"/>
  <c r="F16" i="500"/>
  <c r="Q12" i="500"/>
  <c r="F12" i="500"/>
  <c r="Q38" i="500"/>
  <c r="Q41" i="500"/>
  <c r="F41" i="500"/>
  <c r="P41" i="500" s="1"/>
  <c r="A41" i="500" s="1"/>
  <c r="Q50" i="500"/>
  <c r="Q11" i="501"/>
  <c r="F11" i="501"/>
  <c r="Q22" i="501"/>
  <c r="F22" i="501"/>
  <c r="Q30" i="501"/>
  <c r="F30" i="501"/>
  <c r="Q4" i="500"/>
  <c r="Q9" i="500"/>
  <c r="F9" i="500"/>
  <c r="Q17" i="500"/>
  <c r="F17" i="500"/>
  <c r="Q20" i="500"/>
  <c r="Q53" i="500"/>
  <c r="F53" i="500"/>
  <c r="P53" i="500" s="1"/>
  <c r="A53" i="500" s="1"/>
  <c r="Q8" i="501"/>
  <c r="F8" i="501"/>
  <c r="Q14" i="501"/>
  <c r="K14" i="501"/>
  <c r="Q7" i="501"/>
  <c r="Q24" i="501"/>
  <c r="T24" i="501" s="1"/>
  <c r="Q6" i="501"/>
  <c r="Q27" i="501"/>
  <c r="T27" i="501" s="1"/>
  <c r="Q3" i="501"/>
  <c r="Q5" i="501"/>
  <c r="Q26" i="501"/>
  <c r="T26" i="501" s="1"/>
  <c r="Q15" i="500"/>
  <c r="Q23" i="500"/>
  <c r="Q9" i="501"/>
  <c r="Q13" i="501"/>
  <c r="T13" i="501" s="1"/>
  <c r="Q15" i="501"/>
  <c r="Q16" i="501"/>
  <c r="T16" i="501" s="1"/>
  <c r="Q17" i="501"/>
  <c r="Q18" i="501"/>
  <c r="Q25" i="501"/>
  <c r="Q8" i="500"/>
  <c r="Q26" i="500"/>
  <c r="Q47" i="500"/>
  <c r="Q51" i="500"/>
  <c r="Q57" i="500"/>
  <c r="Q10" i="500"/>
  <c r="Q22" i="500"/>
  <c r="Q25" i="500"/>
  <c r="Q37" i="500"/>
  <c r="Q21" i="501"/>
  <c r="Q35" i="501"/>
  <c r="Q2" i="501"/>
  <c r="Q33" i="501"/>
  <c r="Q24" i="500"/>
  <c r="Q30" i="500"/>
  <c r="Q49" i="500"/>
  <c r="Q32" i="501"/>
  <c r="S32" i="501"/>
  <c r="Q5" i="500"/>
  <c r="Q6" i="500"/>
  <c r="Q19" i="500"/>
  <c r="Q43" i="500"/>
  <c r="Q55" i="500"/>
  <c r="Q31" i="500"/>
  <c r="Q13" i="500"/>
  <c r="Q14" i="500"/>
  <c r="Q28" i="500"/>
  <c r="Q11" i="500"/>
  <c r="Q29" i="500"/>
  <c r="Q32" i="500"/>
  <c r="Q34" i="500"/>
  <c r="Q40" i="500"/>
  <c r="Q45" i="500"/>
  <c r="Q3" i="500"/>
  <c r="Q27" i="500"/>
  <c r="Q33" i="500"/>
  <c r="T23" i="501" l="1"/>
  <c r="F9" i="401"/>
  <c r="B10" i="401"/>
  <c r="G8" i="401"/>
  <c r="T14" i="501"/>
  <c r="T18" i="501"/>
  <c r="T4" i="501"/>
  <c r="T30" i="501"/>
  <c r="T22" i="501"/>
  <c r="T7" i="501"/>
  <c r="T29" i="501"/>
  <c r="T21" i="501"/>
  <c r="T3" i="501"/>
  <c r="T28" i="501"/>
  <c r="T10" i="501"/>
  <c r="T25" i="501"/>
  <c r="T6" i="501"/>
  <c r="T17" i="501"/>
  <c r="T11" i="501"/>
  <c r="T19" i="501"/>
  <c r="T2" i="501"/>
  <c r="T31" i="501"/>
  <c r="T35" i="501"/>
  <c r="T15" i="501"/>
  <c r="T9" i="501"/>
  <c r="T8" i="501"/>
  <c r="T33" i="501"/>
  <c r="T5" i="501"/>
  <c r="T32" i="501"/>
  <c r="A3" i="209"/>
  <c r="A4" i="209"/>
  <c r="A5" i="209"/>
  <c r="A6" i="209"/>
  <c r="A2" i="209"/>
  <c r="A7" i="499"/>
  <c r="A8" i="499"/>
  <c r="A9" i="499"/>
  <c r="A10" i="499"/>
  <c r="A11" i="499"/>
  <c r="A12" i="499"/>
  <c r="A13" i="499"/>
  <c r="A14" i="499"/>
  <c r="A15" i="499"/>
  <c r="A16" i="499"/>
  <c r="A17" i="499"/>
  <c r="AG2" i="499"/>
  <c r="AH2" i="499"/>
  <c r="AI2" i="499"/>
  <c r="AG3" i="499"/>
  <c r="AE2" i="499"/>
  <c r="C2" i="209" s="1"/>
  <c r="AE3" i="499"/>
  <c r="C3" i="209" s="1"/>
  <c r="AD2" i="499"/>
  <c r="Z2" i="499"/>
  <c r="V2" i="499"/>
  <c r="R2" i="499"/>
  <c r="K2" i="499"/>
  <c r="N2" i="499" s="1"/>
  <c r="AI6" i="499"/>
  <c r="AH6" i="499"/>
  <c r="AG6" i="499"/>
  <c r="AE6" i="499"/>
  <c r="C6" i="209" s="1"/>
  <c r="AD6" i="499"/>
  <c r="Z6" i="499"/>
  <c r="V6" i="499"/>
  <c r="R6" i="499"/>
  <c r="K6" i="499"/>
  <c r="N6" i="499" s="1"/>
  <c r="AI5" i="499"/>
  <c r="AH5" i="499"/>
  <c r="AG5" i="499"/>
  <c r="AE5" i="499"/>
  <c r="C5" i="209" s="1"/>
  <c r="AD5" i="499"/>
  <c r="Z5" i="499"/>
  <c r="V5" i="499"/>
  <c r="R5" i="499"/>
  <c r="K5" i="499"/>
  <c r="N5" i="499" s="1"/>
  <c r="AI4" i="499"/>
  <c r="AH4" i="499"/>
  <c r="AG4" i="499"/>
  <c r="AE4" i="499"/>
  <c r="C4" i="209" s="1"/>
  <c r="AD4" i="499"/>
  <c r="Z4" i="499"/>
  <c r="V4" i="499"/>
  <c r="R4" i="499"/>
  <c r="K4" i="499"/>
  <c r="N4" i="499" s="1"/>
  <c r="AI3" i="499"/>
  <c r="AH3" i="499"/>
  <c r="AD3" i="499"/>
  <c r="Z3" i="499"/>
  <c r="V3" i="499"/>
  <c r="R3" i="499"/>
  <c r="K3" i="499"/>
  <c r="N3" i="499" s="1"/>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F8" i="401" l="1"/>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8" i="491"/>
  <c r="A19" i="491"/>
  <c r="A20" i="491"/>
  <c r="A21" i="491"/>
  <c r="A22" i="491"/>
  <c r="A23" i="491"/>
  <c r="A24" i="491"/>
  <c r="I3" i="491"/>
  <c r="L3" i="491" s="1"/>
  <c r="P3" i="491" s="1"/>
  <c r="I4" i="491"/>
  <c r="N4" i="491" s="1"/>
  <c r="I5" i="491"/>
  <c r="N5" i="491" s="1"/>
  <c r="I6" i="491"/>
  <c r="A6" i="491" s="1"/>
  <c r="I7" i="491"/>
  <c r="A7" i="491" s="1"/>
  <c r="I2" i="491"/>
  <c r="A2" i="491" s="1"/>
  <c r="A10" i="491" l="1"/>
  <c r="L9" i="49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N6" i="491"/>
  <c r="L10" i="491"/>
  <c r="P10" i="491" s="1"/>
  <c r="N12" i="491"/>
  <c r="L15" i="491"/>
  <c r="P15" i="491" s="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E3" i="58"/>
  <c r="E4" i="58"/>
  <c r="E5" i="58"/>
  <c r="E6" i="58"/>
  <c r="E7" i="58"/>
  <c r="E8" i="58"/>
  <c r="E2" i="58"/>
  <c r="D2" i="68" l="1"/>
  <c r="D4" i="68"/>
  <c r="D3" i="68"/>
  <c r="D2" i="67"/>
  <c r="D3" i="67"/>
  <c r="P2" i="491"/>
  <c r="F8" i="121"/>
  <c r="F5" i="121"/>
  <c r="F4" i="121"/>
  <c r="F3" i="121"/>
  <c r="F2" i="116"/>
  <c r="F7" i="121"/>
  <c r="F6" i="121"/>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E19" i="482" l="1"/>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U2" i="480"/>
  <c r="A2" i="480" s="1"/>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A23" i="479"/>
  <c r="A24" i="47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4" i="474"/>
  <c r="A14" i="474" s="1"/>
  <c r="O6" i="474"/>
  <c r="A6" i="474" s="1"/>
  <c r="O16" i="474"/>
  <c r="A16" i="474" s="1"/>
  <c r="O8" i="474"/>
  <c r="A8" i="474" s="1"/>
  <c r="O23" i="474"/>
  <c r="A23" i="474" s="1"/>
  <c r="O15" i="474"/>
  <c r="A15" i="474" s="1"/>
  <c r="O7" i="474"/>
  <c r="A7" i="474" s="1"/>
  <c r="O21" i="474"/>
  <c r="A21" i="474" s="1"/>
  <c r="O13" i="474"/>
  <c r="A13" i="474" s="1"/>
  <c r="O5" i="474"/>
  <c r="A5" i="474" s="1"/>
  <c r="O20" i="474"/>
  <c r="A20" i="474" s="1"/>
  <c r="O4" i="474"/>
  <c r="A4" i="474" s="1"/>
  <c r="O3" i="474"/>
  <c r="A3" i="474" s="1"/>
  <c r="O2" i="474"/>
  <c r="A2" i="474" s="1"/>
  <c r="O18" i="474"/>
  <c r="A18" i="474" s="1"/>
  <c r="O10" i="474"/>
  <c r="A10" i="474" s="1"/>
  <c r="O24" i="474"/>
  <c r="A24" i="474" s="1"/>
  <c r="O25" i="474"/>
  <c r="A25" i="474" s="1"/>
  <c r="O17" i="474"/>
  <c r="A17" i="474" s="1"/>
  <c r="O9" i="474"/>
  <c r="A9" i="474" s="1"/>
  <c r="O22" i="474"/>
  <c r="A22" i="474" s="1"/>
  <c r="AB2" i="480"/>
  <c r="AB8" i="480"/>
  <c r="M9" i="479"/>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B18" i="476"/>
  <c r="B17" i="476"/>
  <c r="O19" i="474"/>
  <c r="A19" i="474" s="1"/>
  <c r="O12" i="474"/>
  <c r="A12" i="474" s="1"/>
  <c r="O11" i="474"/>
  <c r="A11" i="474" s="1"/>
  <c r="B19" i="476" l="1"/>
  <c r="B25" i="476" s="1"/>
  <c r="B26" i="476" s="1"/>
  <c r="H6" i="471" l="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K3" i="470"/>
  <c r="K4" i="470"/>
  <c r="K5" i="470"/>
  <c r="K6" i="470"/>
  <c r="K7" i="470"/>
  <c r="K8" i="470"/>
  <c r="K9" i="470"/>
  <c r="K2" i="470"/>
  <c r="I3" i="470"/>
  <c r="I4" i="470"/>
  <c r="I5" i="470"/>
  <c r="I6" i="470"/>
  <c r="I7" i="470"/>
  <c r="I8" i="470"/>
  <c r="L8" i="470" s="1"/>
  <c r="I9" i="470"/>
  <c r="I2" i="470"/>
  <c r="G3" i="470"/>
  <c r="G4" i="470"/>
  <c r="G5" i="470"/>
  <c r="G6" i="470"/>
  <c r="G7" i="470"/>
  <c r="G8" i="470"/>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G21" i="462"/>
  <c r="G20" i="462"/>
  <c r="G19" i="462"/>
  <c r="G18" i="462"/>
  <c r="G17" i="462"/>
  <c r="G16" i="462"/>
  <c r="G15" i="462"/>
  <c r="G14" i="462"/>
  <c r="G13" i="462"/>
  <c r="G12" i="462"/>
  <c r="G11" i="462"/>
  <c r="G10" i="462"/>
  <c r="G9" i="462"/>
  <c r="G8" i="462"/>
  <c r="G7" i="462"/>
  <c r="G6" i="462"/>
  <c r="G5" i="462"/>
  <c r="G4" i="462"/>
  <c r="G3" i="462"/>
  <c r="G2" i="462"/>
  <c r="O15" i="465" l="1"/>
  <c r="O18" i="465"/>
  <c r="O10" i="465"/>
  <c r="L7" i="470"/>
  <c r="M7" i="470" s="1"/>
  <c r="A7" i="470" s="1"/>
  <c r="L6" i="469"/>
  <c r="M8" i="470"/>
  <c r="A8" i="470" s="1"/>
  <c r="L8" i="469"/>
  <c r="L10" i="469"/>
  <c r="L9" i="469"/>
  <c r="L9" i="470"/>
  <c r="M9" i="470" s="1"/>
  <c r="A9" i="470" s="1"/>
  <c r="L6" i="470"/>
  <c r="M6" i="470" s="1"/>
  <c r="A6" i="470" s="1"/>
  <c r="L5" i="470"/>
  <c r="M5" i="470" s="1"/>
  <c r="A5" i="470" s="1"/>
  <c r="L13" i="469"/>
  <c r="L4" i="470"/>
  <c r="M4" i="470" s="1"/>
  <c r="A4" i="470" s="1"/>
  <c r="L11" i="469"/>
  <c r="A10" i="469"/>
  <c r="L3" i="470"/>
  <c r="M3" i="470" s="1"/>
  <c r="A3" i="470" s="1"/>
  <c r="A8" i="469"/>
  <c r="L2" i="470"/>
  <c r="M2" i="470" s="1"/>
  <c r="A2" i="470" s="1"/>
  <c r="L12" i="469"/>
  <c r="A12" i="469"/>
  <c r="L5" i="469"/>
  <c r="A5" i="469"/>
  <c r="L2" i="469"/>
  <c r="A2" i="469"/>
  <c r="L4" i="469"/>
  <c r="A4" i="469"/>
  <c r="L3" i="469"/>
  <c r="L14" i="469"/>
  <c r="L7" i="469"/>
  <c r="A7" i="469"/>
  <c r="A14" i="469"/>
  <c r="A6" i="469"/>
  <c r="N9" i="466"/>
  <c r="O16" i="465"/>
  <c r="O8" i="465"/>
  <c r="N2" i="466"/>
  <c r="N13" i="466"/>
  <c r="N10" i="466"/>
  <c r="N11" i="466"/>
  <c r="N3" i="466"/>
  <c r="N14" i="466"/>
  <c r="N6" i="466"/>
  <c r="N16" i="466"/>
  <c r="N8" i="466"/>
  <c r="N5" i="466"/>
  <c r="N15" i="466"/>
  <c r="N7" i="466"/>
  <c r="N12" i="466"/>
  <c r="N4" i="466"/>
  <c r="O12" i="465"/>
  <c r="O4" i="465"/>
  <c r="O2" i="465"/>
  <c r="O11" i="465"/>
  <c r="O3" i="465"/>
  <c r="O17" i="465"/>
  <c r="O9" i="465"/>
  <c r="O7" i="465"/>
  <c r="O13" i="465"/>
  <c r="O5" i="465"/>
  <c r="O14" i="465"/>
  <c r="O6" i="465"/>
  <c r="A14" i="465" l="1"/>
  <c r="P14" i="465"/>
  <c r="A17" i="465"/>
  <c r="P17" i="465"/>
  <c r="A6" i="465"/>
  <c r="P6" i="465"/>
  <c r="A8" i="465"/>
  <c r="P8" i="465"/>
  <c r="A11" i="465"/>
  <c r="P11" i="465"/>
  <c r="A2" i="465"/>
  <c r="B6" i="163"/>
  <c r="B2" i="163"/>
  <c r="G7" i="164"/>
  <c r="A7" i="164" s="1"/>
  <c r="B9" i="163"/>
  <c r="A9" i="163" s="1"/>
  <c r="B5" i="163"/>
  <c r="B12" i="163"/>
  <c r="A12" i="163" s="1"/>
  <c r="G6" i="164"/>
  <c r="A6" i="164" s="1"/>
  <c r="G3" i="164"/>
  <c r="A3" i="164" s="1"/>
  <c r="B8" i="163"/>
  <c r="A8" i="163" s="1"/>
  <c r="G9" i="164"/>
  <c r="A9" i="164" s="1"/>
  <c r="B15" i="163"/>
  <c r="D15" i="163" s="1"/>
  <c r="B11" i="163"/>
  <c r="A11" i="163" s="1"/>
  <c r="B4" i="163"/>
  <c r="G2" i="164"/>
  <c r="A2" i="164" s="1"/>
  <c r="G8" i="164"/>
  <c r="A8" i="164" s="1"/>
  <c r="G5" i="164"/>
  <c r="A5" i="164" s="1"/>
  <c r="B14" i="163"/>
  <c r="B10" i="163"/>
  <c r="A10" i="163" s="1"/>
  <c r="B7" i="163"/>
  <c r="B3" i="163"/>
  <c r="A3" i="163" s="1"/>
  <c r="P2" i="465"/>
  <c r="B13" i="163"/>
  <c r="G4" i="164"/>
  <c r="A4" i="164" s="1"/>
  <c r="A13" i="465"/>
  <c r="P13" i="465"/>
  <c r="A16" i="465"/>
  <c r="P16" i="465"/>
  <c r="A10" i="465"/>
  <c r="P10" i="465"/>
  <c r="A3" i="465"/>
  <c r="P3" i="465"/>
  <c r="A5" i="465"/>
  <c r="P5" i="465"/>
  <c r="A7" i="465"/>
  <c r="P7" i="465"/>
  <c r="A18" i="465"/>
  <c r="P18" i="465"/>
  <c r="A4" i="465"/>
  <c r="P4" i="465"/>
  <c r="A12" i="465"/>
  <c r="P12" i="465"/>
  <c r="A9" i="465"/>
  <c r="P9" i="465"/>
  <c r="A15" i="465"/>
  <c r="P15" i="465"/>
  <c r="G5" i="461"/>
  <c r="G6" i="461"/>
  <c r="G7" i="461"/>
  <c r="G8" i="461"/>
  <c r="G9" i="461"/>
  <c r="G10" i="461"/>
  <c r="G11" i="461"/>
  <c r="G12" i="461"/>
  <c r="G13" i="461"/>
  <c r="G14" i="461"/>
  <c r="G15" i="461"/>
  <c r="G16" i="461"/>
  <c r="G17" i="461"/>
  <c r="G18" i="461"/>
  <c r="G19" i="461"/>
  <c r="G20" i="461"/>
  <c r="G21" i="461"/>
  <c r="A2" i="411"/>
  <c r="G4" i="461"/>
  <c r="G3" i="461"/>
  <c r="G2" i="461"/>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A4" i="163" l="1"/>
  <c r="A5" i="163"/>
  <c r="F3" i="163"/>
  <c r="C3" i="163"/>
  <c r="D3" i="163" s="1"/>
  <c r="E3" i="163"/>
  <c r="F11" i="163"/>
  <c r="C11" i="163"/>
  <c r="D11" i="163" s="1"/>
  <c r="E11" i="163"/>
  <c r="F9" i="163"/>
  <c r="C9" i="163"/>
  <c r="D9" i="163" s="1"/>
  <c r="E9" i="163"/>
  <c r="A7" i="163"/>
  <c r="B7" i="164"/>
  <c r="E7" i="164"/>
  <c r="F7" i="164" s="1"/>
  <c r="J7" i="164"/>
  <c r="H7" i="164"/>
  <c r="I7" i="164" s="1"/>
  <c r="M7" i="164"/>
  <c r="K7" i="164"/>
  <c r="D7" i="164"/>
  <c r="C7" i="164"/>
  <c r="F10" i="163"/>
  <c r="E10" i="163"/>
  <c r="C10" i="163"/>
  <c r="D10" i="163" s="1"/>
  <c r="E9" i="164"/>
  <c r="F9" i="164" s="1"/>
  <c r="K9" i="164"/>
  <c r="B9" i="164"/>
  <c r="J9" i="164"/>
  <c r="C9" i="164"/>
  <c r="H9" i="164"/>
  <c r="I9" i="164" s="1"/>
  <c r="M9" i="164"/>
  <c r="D9" i="164"/>
  <c r="A2" i="163"/>
  <c r="A14" i="163"/>
  <c r="F8" i="163"/>
  <c r="E8" i="163"/>
  <c r="C8" i="163"/>
  <c r="D8" i="163" s="1"/>
  <c r="A6" i="163"/>
  <c r="K5" i="164"/>
  <c r="B5" i="164"/>
  <c r="E5" i="164"/>
  <c r="F5" i="164" s="1"/>
  <c r="J5" i="164"/>
  <c r="H5" i="164"/>
  <c r="I5" i="164" s="1"/>
  <c r="C5" i="164"/>
  <c r="M5" i="164"/>
  <c r="D5" i="164"/>
  <c r="C3" i="164"/>
  <c r="K3" i="164"/>
  <c r="B3" i="164"/>
  <c r="J3" i="164"/>
  <c r="E3" i="164"/>
  <c r="F3" i="164" s="1"/>
  <c r="H3" i="164"/>
  <c r="I3" i="164" s="1"/>
  <c r="M3" i="164"/>
  <c r="D3" i="164"/>
  <c r="H4" i="164"/>
  <c r="I4" i="164" s="1"/>
  <c r="K4" i="164"/>
  <c r="E4" i="164"/>
  <c r="F4" i="164" s="1"/>
  <c r="B4" i="164"/>
  <c r="D4" i="164"/>
  <c r="C4" i="164"/>
  <c r="M4" i="164"/>
  <c r="J4" i="164"/>
  <c r="H8" i="164"/>
  <c r="I8" i="164" s="1"/>
  <c r="C8" i="164"/>
  <c r="J8" i="164"/>
  <c r="D8" i="164"/>
  <c r="E8" i="164"/>
  <c r="F8" i="164" s="1"/>
  <c r="M8" i="164"/>
  <c r="K8" i="164"/>
  <c r="B8" i="164"/>
  <c r="H6" i="164"/>
  <c r="I6" i="164" s="1"/>
  <c r="M6" i="164"/>
  <c r="E6" i="164"/>
  <c r="F6" i="164" s="1"/>
  <c r="J6" i="164"/>
  <c r="K6" i="164"/>
  <c r="B6" i="164"/>
  <c r="D6" i="164"/>
  <c r="C6" i="164"/>
  <c r="A13" i="163"/>
  <c r="H2" i="164"/>
  <c r="I2" i="164" s="1"/>
  <c r="J2" i="164"/>
  <c r="B2" i="164"/>
  <c r="K2" i="164"/>
  <c r="D2" i="164"/>
  <c r="M2" i="164"/>
  <c r="C2" i="164"/>
  <c r="E2" i="164"/>
  <c r="F2" i="164" s="1"/>
  <c r="C12" i="163"/>
  <c r="D12" i="163" s="1"/>
  <c r="F12" i="163"/>
  <c r="E12" i="163"/>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N3" i="457"/>
  <c r="N4" i="457"/>
  <c r="N5" i="457"/>
  <c r="N6" i="457"/>
  <c r="N7" i="457"/>
  <c r="N8" i="457"/>
  <c r="N9" i="457"/>
  <c r="N10" i="457"/>
  <c r="N11" i="457"/>
  <c r="N12" i="457"/>
  <c r="N13" i="457"/>
  <c r="N14" i="457"/>
  <c r="N15" i="457"/>
  <c r="N16" i="457"/>
  <c r="N17" i="457"/>
  <c r="N18" i="457"/>
  <c r="N19" i="457"/>
  <c r="N20" i="457"/>
  <c r="N21" i="457"/>
  <c r="N22" i="457"/>
  <c r="N23" i="457"/>
  <c r="N2" i="457"/>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G10" i="163" l="1"/>
  <c r="G3" i="163"/>
  <c r="G9" i="163"/>
  <c r="F13" i="163"/>
  <c r="E13" i="163"/>
  <c r="C13" i="163"/>
  <c r="D13" i="163" s="1"/>
  <c r="E14" i="163"/>
  <c r="C14" i="163"/>
  <c r="D14" i="163" s="1"/>
  <c r="F14" i="163"/>
  <c r="E7" i="163"/>
  <c r="F7" i="163"/>
  <c r="C7" i="163"/>
  <c r="D7" i="163" s="1"/>
  <c r="F2" i="163"/>
  <c r="E2" i="163"/>
  <c r="C2" i="163"/>
  <c r="D2" i="163" s="1"/>
  <c r="G12" i="163"/>
  <c r="C6" i="163"/>
  <c r="D6" i="163" s="1"/>
  <c r="F6" i="163"/>
  <c r="E6" i="163"/>
  <c r="F5" i="163"/>
  <c r="E5" i="163"/>
  <c r="C5" i="163"/>
  <c r="D5" i="163" s="1"/>
  <c r="G11" i="163"/>
  <c r="G8" i="163"/>
  <c r="C4" i="163"/>
  <c r="D4" i="163" s="1"/>
  <c r="F4" i="163"/>
  <c r="E4" i="163"/>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R2" i="444"/>
  <c r="R11" i="444"/>
  <c r="R3" i="444"/>
  <c r="R12" i="444"/>
  <c r="R4" i="444"/>
  <c r="R8" i="444"/>
  <c r="R17" i="444"/>
  <c r="R9" i="444"/>
  <c r="R18" i="444"/>
  <c r="R10" i="444"/>
  <c r="R16" i="444"/>
  <c r="R15" i="444"/>
  <c r="R7" i="444"/>
  <c r="G5" i="163" l="1"/>
  <c r="G4" i="163"/>
  <c r="G2" i="163"/>
  <c r="G13" i="163"/>
  <c r="G6" i="163"/>
  <c r="G7" i="163"/>
  <c r="G14" i="163"/>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W147" i="437"/>
  <c r="W125" i="437"/>
  <c r="W51" i="437"/>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A21" i="435"/>
  <c r="A20" i="435"/>
  <c r="A19" i="435"/>
  <c r="A18" i="435"/>
  <c r="A17" i="435"/>
  <c r="A16" i="435"/>
  <c r="A15" i="435"/>
  <c r="A14" i="435"/>
  <c r="A13" i="435"/>
  <c r="A12" i="435"/>
  <c r="A11" i="435"/>
  <c r="A10" i="435"/>
  <c r="A9" i="435"/>
  <c r="A8" i="435"/>
  <c r="A7" i="435"/>
  <c r="A6" i="435"/>
  <c r="A5" i="435"/>
  <c r="A4" i="435"/>
  <c r="A3" i="435"/>
  <c r="A2" i="43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K279" i="502" l="1"/>
  <c r="B25" i="399"/>
  <c r="K254" i="502"/>
  <c r="B27" i="399"/>
  <c r="B26" i="399"/>
  <c r="B24" i="399"/>
  <c r="B23" i="399"/>
  <c r="B22" i="399"/>
  <c r="K251" i="502"/>
  <c r="K252" i="502"/>
  <c r="B32" i="399"/>
  <c r="B31" i="399"/>
  <c r="B30" i="399"/>
  <c r="K253" i="502"/>
  <c r="K278" i="502"/>
  <c r="B40" i="391"/>
  <c r="B17" i="391"/>
  <c r="B2" i="391"/>
  <c r="K250" i="502"/>
  <c r="K275" i="502"/>
  <c r="E26" i="404"/>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F84" i="432"/>
  <c r="F97" i="432"/>
  <c r="C26" i="404"/>
  <c r="J24" i="404"/>
  <c r="E25" i="404"/>
  <c r="G84" i="432"/>
  <c r="J22" i="404"/>
  <c r="G150" i="432"/>
  <c r="H26" i="404"/>
  <c r="C24" i="404"/>
  <c r="F133" i="432"/>
  <c r="J26" i="404"/>
  <c r="E24" i="404"/>
  <c r="E20" i="404"/>
  <c r="C25" i="404"/>
  <c r="F169" i="432"/>
  <c r="F168" i="432" s="1"/>
  <c r="C20" i="404"/>
  <c r="C22" i="404"/>
  <c r="D15" i="390"/>
  <c r="J20" i="404"/>
  <c r="E22" i="404"/>
  <c r="G14" i="432"/>
  <c r="G34" i="432"/>
  <c r="G50" i="432" s="1"/>
  <c r="F53" i="432"/>
  <c r="F164" i="432"/>
  <c r="F166" i="432" s="1"/>
  <c r="F14" i="432"/>
  <c r="F34" i="432"/>
  <c r="F50" i="432" s="1"/>
  <c r="G53" i="432"/>
  <c r="F150" i="432"/>
  <c r="G164" i="432"/>
  <c r="G166" i="432" s="1"/>
  <c r="A18" i="434"/>
  <c r="A8" i="434"/>
  <c r="A14" i="434"/>
  <c r="A17" i="434"/>
  <c r="A3" i="434"/>
  <c r="A11" i="434"/>
  <c r="A20" i="434"/>
  <c r="F213" i="432"/>
  <c r="F233" i="432"/>
  <c r="B22" i="391" l="1"/>
  <c r="B48" i="391"/>
  <c r="G151" i="432"/>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3" i="273"/>
  <c r="A314" i="273"/>
  <c r="A315" i="273"/>
  <c r="A316" i="273"/>
  <c r="A317" i="273"/>
  <c r="A318" i="273"/>
  <c r="A319" i="273"/>
  <c r="A320" i="273"/>
  <c r="A291" i="273"/>
  <c r="A292" i="273"/>
  <c r="A293" i="273"/>
  <c r="A294" i="273"/>
  <c r="A295" i="273"/>
  <c r="A296" i="273"/>
  <c r="A297" i="273"/>
  <c r="A298" i="273"/>
  <c r="A299" i="273"/>
  <c r="A300" i="273"/>
  <c r="A301" i="273"/>
  <c r="A302" i="273"/>
  <c r="A303" i="273"/>
  <c r="A304" i="273"/>
  <c r="A305" i="273"/>
  <c r="A306" i="273"/>
  <c r="A307" i="273"/>
  <c r="A308" i="273"/>
  <c r="A309" i="273"/>
  <c r="A310" i="273"/>
  <c r="A311" i="273"/>
  <c r="A312" i="273"/>
  <c r="A290" i="273"/>
  <c r="A232" i="273"/>
  <c r="A285" i="273"/>
  <c r="A264" i="273"/>
  <c r="A265" i="273"/>
  <c r="A266" i="273"/>
  <c r="A267" i="273"/>
  <c r="A268" i="273"/>
  <c r="A269" i="273"/>
  <c r="A270" i="273"/>
  <c r="A271" i="273"/>
  <c r="A272" i="273"/>
  <c r="A273" i="273"/>
  <c r="A274" i="273"/>
  <c r="A275" i="273"/>
  <c r="A276" i="273"/>
  <c r="A277" i="273"/>
  <c r="A278" i="273"/>
  <c r="A279" i="273"/>
  <c r="A280" i="273"/>
  <c r="A281" i="273"/>
  <c r="A282" i="273"/>
  <c r="A283" i="273"/>
  <c r="A284" i="273"/>
  <c r="A286" i="273"/>
  <c r="A287" i="273"/>
  <c r="A288" i="273"/>
  <c r="A289" i="273"/>
  <c r="A263"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A260" i="273"/>
  <c r="A261" i="273"/>
  <c r="A257" i="273"/>
  <c r="A258" i="273"/>
  <c r="A259" i="273"/>
  <c r="A234" i="273"/>
  <c r="A233" i="273"/>
  <c r="A235" i="273"/>
  <c r="A236" i="273"/>
  <c r="A237" i="273"/>
  <c r="A238" i="273"/>
  <c r="A239" i="273"/>
  <c r="A240" i="273"/>
  <c r="A241" i="273"/>
  <c r="A242" i="273"/>
  <c r="A243" i="273"/>
  <c r="A244" i="273"/>
  <c r="A245" i="273"/>
  <c r="A246" i="273"/>
  <c r="A247" i="273"/>
  <c r="A248" i="273"/>
  <c r="A249" i="273"/>
  <c r="A250" i="273"/>
  <c r="A251" i="273"/>
  <c r="A252" i="273"/>
  <c r="A253" i="273"/>
  <c r="A254" i="273"/>
  <c r="A255" i="273"/>
  <c r="A256" i="273"/>
  <c r="E45" i="406" l="1"/>
  <c r="B39" i="403" s="1"/>
  <c r="E28" i="406"/>
  <c r="B22" i="403" s="1"/>
  <c r="P36" i="501" s="1"/>
  <c r="A36" i="501" s="1"/>
  <c r="E44" i="406"/>
  <c r="H3" i="407"/>
  <c r="H4" i="407"/>
  <c r="H5" i="407"/>
  <c r="H6" i="407"/>
  <c r="H7" i="407"/>
  <c r="H8" i="407"/>
  <c r="H9" i="407"/>
  <c r="H10" i="407"/>
  <c r="H11" i="407"/>
  <c r="H2" i="407"/>
  <c r="I3" i="407"/>
  <c r="I4" i="407"/>
  <c r="I5" i="407"/>
  <c r="I6" i="407"/>
  <c r="I7" i="407"/>
  <c r="I8" i="407"/>
  <c r="I9" i="407"/>
  <c r="I10" i="407"/>
  <c r="I11" i="407"/>
  <c r="I2" i="407"/>
  <c r="E29" i="406"/>
  <c r="P31" i="501" l="1"/>
  <c r="A31" i="501" s="1"/>
  <c r="B23" i="403"/>
  <c r="B38" i="403"/>
  <c r="P36" i="500" l="1"/>
  <c r="A36" i="500" s="1"/>
  <c r="P31" i="500"/>
  <c r="A31" i="500" s="1"/>
  <c r="B3" i="391"/>
  <c r="B12" i="391" l="1"/>
  <c r="B13" i="391"/>
  <c r="S6" i="500" l="1"/>
  <c r="S14" i="500"/>
  <c r="S22" i="500"/>
  <c r="S30" i="500"/>
  <c r="S38" i="500"/>
  <c r="S46" i="500"/>
  <c r="S54" i="500"/>
  <c r="S7" i="500"/>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S3" i="500"/>
  <c r="S11" i="500"/>
  <c r="S19" i="500"/>
  <c r="S27" i="500"/>
  <c r="S35" i="500"/>
  <c r="S43" i="500"/>
  <c r="S51" i="500"/>
  <c r="S4" i="500"/>
  <c r="S12" i="500"/>
  <c r="S20" i="500"/>
  <c r="S28" i="500"/>
  <c r="S36" i="500"/>
  <c r="S44" i="500"/>
  <c r="S52" i="500"/>
  <c r="S5" i="500"/>
  <c r="S13" i="500"/>
  <c r="S21" i="500"/>
  <c r="S29" i="500"/>
  <c r="S37" i="500"/>
  <c r="S45" i="500"/>
  <c r="S53" i="500"/>
  <c r="T2" i="500"/>
  <c r="T45" i="500"/>
  <c r="T9" i="500"/>
  <c r="T4" i="500"/>
  <c r="T29" i="500"/>
  <c r="T18" i="500"/>
  <c r="T14" i="500"/>
  <c r="T49" i="500"/>
  <c r="T52" i="500"/>
  <c r="T57" i="500"/>
  <c r="T35" i="500"/>
  <c r="T48" i="500"/>
  <c r="T13" i="500"/>
  <c r="T50" i="500"/>
  <c r="T44" i="500"/>
  <c r="T19" i="500"/>
  <c r="T47" i="500"/>
  <c r="T25" i="500"/>
  <c r="T5" i="500"/>
  <c r="T40" i="500"/>
  <c r="T33" i="500"/>
  <c r="T30" i="500"/>
  <c r="T27" i="500"/>
  <c r="T53" i="500"/>
  <c r="T26" i="500"/>
  <c r="T3" i="500"/>
  <c r="T15" i="500"/>
  <c r="T37" i="500"/>
  <c r="T36" i="500"/>
  <c r="T31" i="500"/>
  <c r="T11" i="500"/>
  <c r="T22" i="500"/>
  <c r="T28" i="500"/>
  <c r="T38" i="500"/>
  <c r="T20" i="500"/>
  <c r="T8" i="500"/>
  <c r="T17" i="500"/>
  <c r="T32" i="500"/>
  <c r="T6" i="500"/>
  <c r="T16" i="500"/>
  <c r="T54" i="500"/>
  <c r="T56" i="500"/>
  <c r="T23" i="500"/>
  <c r="T42" i="500"/>
  <c r="T43" i="500"/>
  <c r="T24" i="500"/>
  <c r="T51" i="500"/>
  <c r="T34" i="500"/>
  <c r="T10" i="500"/>
  <c r="T21" i="500"/>
  <c r="T41" i="500"/>
  <c r="T46" i="500"/>
  <c r="T7" i="500"/>
  <c r="T55" i="500"/>
  <c r="T39" i="500"/>
  <c r="T12" i="500"/>
  <c r="G9" i="401" l="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P30" i="501" l="1"/>
  <c r="A30" i="501" s="1"/>
  <c r="P30" i="500"/>
  <c r="A30" i="500" s="1"/>
  <c r="C3" i="405" l="1"/>
  <c r="B3" i="405"/>
  <c r="A3" i="405"/>
  <c r="C2" i="405"/>
  <c r="B2" i="405"/>
  <c r="A2" i="405"/>
  <c r="B3" i="400"/>
  <c r="C9" i="402"/>
  <c r="B3" i="402"/>
  <c r="B4" i="402"/>
  <c r="B5" i="402"/>
  <c r="B6" i="402"/>
  <c r="B7" i="402"/>
  <c r="B8" i="402"/>
  <c r="B9" i="402"/>
  <c r="B10" i="402"/>
  <c r="B11" i="402"/>
  <c r="B12" i="402"/>
  <c r="B13" i="402"/>
  <c r="B14" i="402"/>
  <c r="B15" i="402"/>
  <c r="B16" i="402"/>
  <c r="B2" i="402"/>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0" i="395"/>
  <c r="B10" i="395"/>
  <c r="C5" i="395"/>
  <c r="C11" i="395" s="1"/>
  <c r="B5" i="395"/>
  <c r="B11" i="395" s="1"/>
  <c r="C77" i="394"/>
  <c r="B15" i="392"/>
  <c r="B6" i="392"/>
  <c r="B17" i="392"/>
  <c r="B16" i="392"/>
  <c r="B8" i="392"/>
  <c r="B7" i="392"/>
  <c r="B21" i="392"/>
  <c r="X15" i="501" l="1"/>
  <c r="N24" i="404"/>
  <c r="W21" i="501"/>
  <c r="X21" i="501" s="1"/>
  <c r="A15" i="501"/>
  <c r="A21" i="500"/>
  <c r="C3" i="398"/>
  <c r="C4" i="397"/>
  <c r="B3" i="393"/>
  <c r="K124" i="502" s="1"/>
  <c r="B3" i="396"/>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C12" i="390"/>
  <c r="K328" i="502"/>
  <c r="K332" i="502" s="1"/>
  <c r="G2" i="223"/>
  <c r="C6" i="223"/>
  <c r="D6" i="223"/>
  <c r="E6" i="223"/>
  <c r="F6" i="223"/>
  <c r="B6" i="223"/>
  <c r="E2" i="215"/>
  <c r="C12" i="215"/>
  <c r="D12" i="215"/>
  <c r="B12" i="215"/>
  <c r="C15" i="214"/>
  <c r="B15" i="214"/>
  <c r="C7" i="209"/>
  <c r="B7" i="209"/>
  <c r="F4" i="206"/>
  <c r="G4" i="206"/>
  <c r="H4" i="206"/>
  <c r="I4" i="206"/>
  <c r="J4" i="206"/>
  <c r="K4" i="206"/>
  <c r="E4" i="206"/>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B6" i="200"/>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C12" i="179"/>
  <c r="B12" i="179"/>
  <c r="C9" i="401"/>
  <c r="H9" i="401" s="1"/>
  <c r="D9" i="401"/>
  <c r="E9" i="401"/>
  <c r="I9" i="401" s="1"/>
  <c r="B9" i="401"/>
  <c r="C8" i="401"/>
  <c r="H8" i="401" s="1"/>
  <c r="D8" i="401"/>
  <c r="E8" i="401"/>
  <c r="I8" i="401" s="1"/>
  <c r="B8" i="401"/>
  <c r="K282" i="502"/>
  <c r="B26" i="391"/>
  <c r="B35" i="391" s="1"/>
  <c r="C27" i="404"/>
  <c r="F27" i="404" s="1"/>
  <c r="H27" i="404"/>
  <c r="K27" i="404" s="1"/>
  <c r="H3" i="172"/>
  <c r="H4" i="172"/>
  <c r="H5" i="172"/>
  <c r="H2" i="172"/>
  <c r="C6" i="172"/>
  <c r="D6" i="172"/>
  <c r="E6" i="172"/>
  <c r="F6" i="172"/>
  <c r="G6" i="172"/>
  <c r="B6" i="172"/>
  <c r="C30" i="404"/>
  <c r="F30" i="404" s="1"/>
  <c r="H30" i="404"/>
  <c r="J30" i="404"/>
  <c r="B25" i="404"/>
  <c r="U22" i="501" s="1"/>
  <c r="V22" i="501" s="1"/>
  <c r="M25" i="404"/>
  <c r="B13" i="165"/>
  <c r="C23" i="404" s="1"/>
  <c r="F23" i="404" s="1"/>
  <c r="K10" i="164"/>
  <c r="B4" i="393" s="1"/>
  <c r="K283" i="502" s="1"/>
  <c r="J10" i="164"/>
  <c r="D10" i="164"/>
  <c r="E10" i="164"/>
  <c r="F10" i="164"/>
  <c r="C10" i="164"/>
  <c r="C16" i="163"/>
  <c r="M23" i="404" s="1"/>
  <c r="E16" i="163"/>
  <c r="F16" i="163"/>
  <c r="B23" i="404" s="1"/>
  <c r="U20" i="501" s="1"/>
  <c r="V20" i="501" s="1"/>
  <c r="B16" i="163"/>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H21" i="404"/>
  <c r="K21" i="404" s="1"/>
  <c r="C21" i="404"/>
  <c r="F21" i="404" s="1"/>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B19" i="404"/>
  <c r="U16" i="501" s="1"/>
  <c r="V16" i="501" s="1"/>
  <c r="F2" i="121"/>
  <c r="C9" i="121"/>
  <c r="D9" i="121"/>
  <c r="E9" i="121"/>
  <c r="C28" i="404" s="1"/>
  <c r="F28" i="404" s="1"/>
  <c r="B9" i="121"/>
  <c r="F4" i="116"/>
  <c r="F5" i="116"/>
  <c r="F6" i="116"/>
  <c r="F7" i="116"/>
  <c r="F8" i="116"/>
  <c r="F9" i="116"/>
  <c r="F10" i="116"/>
  <c r="F11" i="116"/>
  <c r="F3" i="116"/>
  <c r="C12" i="116"/>
  <c r="D12" i="116"/>
  <c r="B12" i="116"/>
  <c r="D3" i="112"/>
  <c r="D4" i="112"/>
  <c r="D2" i="112"/>
  <c r="D5" i="112" s="1"/>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K3" i="360"/>
  <c r="K4" i="360"/>
  <c r="K5" i="360"/>
  <c r="K6" i="360"/>
  <c r="K7" i="360"/>
  <c r="K8" i="360"/>
  <c r="K9" i="360"/>
  <c r="K10" i="360"/>
  <c r="K11" i="360"/>
  <c r="K12" i="360"/>
  <c r="K13" i="360"/>
  <c r="K14" i="360"/>
  <c r="K15" i="360"/>
  <c r="K16" i="360"/>
  <c r="K17" i="360"/>
  <c r="K18" i="360"/>
  <c r="K19" i="360"/>
  <c r="K20" i="360"/>
  <c r="K2" i="360"/>
  <c r="P2" i="360" s="1"/>
  <c r="J2" i="360"/>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C2" i="60"/>
  <c r="K3" i="365"/>
  <c r="K4" i="365"/>
  <c r="K5" i="365"/>
  <c r="K6" i="365"/>
  <c r="K7" i="365"/>
  <c r="K8" i="365"/>
  <c r="K9" i="365"/>
  <c r="K10" i="365"/>
  <c r="K11" i="365"/>
  <c r="K12" i="365"/>
  <c r="K13" i="365"/>
  <c r="K14" i="365"/>
  <c r="K15" i="365"/>
  <c r="K16" i="365"/>
  <c r="K17" i="365"/>
  <c r="K18" i="365"/>
  <c r="K19" i="365"/>
  <c r="K20" i="365"/>
  <c r="K21" i="365"/>
  <c r="K2" i="365"/>
  <c r="D2" i="48"/>
  <c r="A21" i="369"/>
  <c r="A20" i="369"/>
  <c r="A19" i="369"/>
  <c r="A18" i="369"/>
  <c r="A17" i="369"/>
  <c r="A16" i="369"/>
  <c r="A15" i="369"/>
  <c r="A14" i="369"/>
  <c r="A13" i="369"/>
  <c r="A12" i="369"/>
  <c r="A11" i="369"/>
  <c r="A10" i="369"/>
  <c r="A9" i="369"/>
  <c r="A8" i="369"/>
  <c r="A7" i="369"/>
  <c r="A6" i="369"/>
  <c r="A5" i="369"/>
  <c r="A4" i="369"/>
  <c r="A3" i="369"/>
  <c r="A2" i="369"/>
  <c r="A21" i="368"/>
  <c r="A20" i="368"/>
  <c r="A19" i="368"/>
  <c r="A18" i="368"/>
  <c r="A17" i="368"/>
  <c r="A16" i="368"/>
  <c r="A15" i="368"/>
  <c r="A14" i="368"/>
  <c r="A13" i="368"/>
  <c r="A12" i="368"/>
  <c r="A11" i="368"/>
  <c r="A10" i="368"/>
  <c r="A9" i="368"/>
  <c r="A8" i="368"/>
  <c r="A7" i="368"/>
  <c r="A6" i="368"/>
  <c r="A5" i="368"/>
  <c r="A4" i="368"/>
  <c r="A3" i="368"/>
  <c r="A2" i="368"/>
  <c r="A21" i="367"/>
  <c r="A20" i="367"/>
  <c r="A19" i="367"/>
  <c r="A18" i="367"/>
  <c r="A17" i="367"/>
  <c r="A16" i="367"/>
  <c r="A15" i="367"/>
  <c r="A14" i="367"/>
  <c r="A13" i="367"/>
  <c r="A12" i="367"/>
  <c r="A11" i="367"/>
  <c r="A10" i="367"/>
  <c r="A9" i="367"/>
  <c r="A8" i="367"/>
  <c r="A7" i="367"/>
  <c r="A6" i="367"/>
  <c r="A5" i="367"/>
  <c r="A4" i="367"/>
  <c r="A3" i="367"/>
  <c r="A2" i="367"/>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A3" i="366"/>
  <c r="A4" i="366"/>
  <c r="A5" i="366"/>
  <c r="A6" i="366"/>
  <c r="A7" i="366"/>
  <c r="A8" i="366"/>
  <c r="A9" i="366"/>
  <c r="A10" i="366"/>
  <c r="A11" i="366"/>
  <c r="A12" i="366"/>
  <c r="A13" i="366"/>
  <c r="A14" i="366"/>
  <c r="A2" i="366"/>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A3" i="362"/>
  <c r="A4" i="362"/>
  <c r="A5" i="362"/>
  <c r="A6" i="362"/>
  <c r="A7" i="362"/>
  <c r="A8" i="362"/>
  <c r="A9" i="362"/>
  <c r="A10" i="362"/>
  <c r="A11" i="362"/>
  <c r="A12" i="362"/>
  <c r="A13" i="362"/>
  <c r="A14" i="362"/>
  <c r="A2" i="362"/>
  <c r="B45" i="283" l="1"/>
  <c r="B50" i="283" s="1"/>
  <c r="D11" i="401"/>
  <c r="B11" i="401"/>
  <c r="K296" i="502"/>
  <c r="K380" i="502"/>
  <c r="B7" i="393"/>
  <c r="B8" i="393" s="1"/>
  <c r="D5" i="68"/>
  <c r="D3" i="48"/>
  <c r="C3" i="60"/>
  <c r="G5" i="68"/>
  <c r="C4" i="225"/>
  <c r="C2" i="225"/>
  <c r="C3" i="225"/>
  <c r="C5" i="225"/>
  <c r="P25" i="501"/>
  <c r="P20" i="500"/>
  <c r="A20" i="500" s="1"/>
  <c r="P25" i="500"/>
  <c r="A25" i="500" s="1"/>
  <c r="W10" i="375"/>
  <c r="AG144" i="359"/>
  <c r="AG22" i="359"/>
  <c r="W12" i="375"/>
  <c r="G6" i="223"/>
  <c r="AG250" i="359"/>
  <c r="AG330" i="359"/>
  <c r="AG265" i="359"/>
  <c r="AG264" i="359"/>
  <c r="AG263" i="359"/>
  <c r="W8" i="375"/>
  <c r="J6" i="376"/>
  <c r="J10" i="376"/>
  <c r="J14" i="376"/>
  <c r="AG82" i="359"/>
  <c r="AG138" i="359"/>
  <c r="AG96" i="359"/>
  <c r="AG87" i="359"/>
  <c r="AG122" i="359"/>
  <c r="AG329" i="359"/>
  <c r="AG328" i="359"/>
  <c r="AG327" i="359"/>
  <c r="AG326" i="359"/>
  <c r="AG325" i="359"/>
  <c r="AG175" i="359"/>
  <c r="AG255" i="359"/>
  <c r="AG202" i="359"/>
  <c r="L28" i="404"/>
  <c r="AG287" i="359"/>
  <c r="AG223" i="359"/>
  <c r="AG222" i="359"/>
  <c r="AG221" i="359"/>
  <c r="AG220" i="359"/>
  <c r="AG64" i="359"/>
  <c r="AG21" i="359"/>
  <c r="AG170" i="359"/>
  <c r="L23" i="404"/>
  <c r="AG242" i="359"/>
  <c r="K148" i="502"/>
  <c r="AG239" i="359"/>
  <c r="AG199" i="359"/>
  <c r="AG42" i="359"/>
  <c r="AG41" i="359"/>
  <c r="AG40" i="359"/>
  <c r="AG39" i="359"/>
  <c r="AG38" i="359"/>
  <c r="AG37" i="359"/>
  <c r="AG36" i="359"/>
  <c r="AG35" i="359"/>
  <c r="AG34" i="359"/>
  <c r="AG33" i="359"/>
  <c r="AG32" i="359"/>
  <c r="AG31" i="359"/>
  <c r="AG71" i="359"/>
  <c r="W3" i="375"/>
  <c r="AG290" i="359"/>
  <c r="AG271" i="359"/>
  <c r="AG270" i="359"/>
  <c r="AG269" i="359"/>
  <c r="AG268" i="359"/>
  <c r="AG234" i="359"/>
  <c r="AG186" i="359"/>
  <c r="AG165" i="359"/>
  <c r="AG164" i="359"/>
  <c r="AG48" i="359"/>
  <c r="AG47" i="359"/>
  <c r="AG26" i="359"/>
  <c r="AG295" i="359"/>
  <c r="W6" i="375"/>
  <c r="AG312" i="359"/>
  <c r="AG303" i="359"/>
  <c r="AG207" i="359"/>
  <c r="M19" i="404"/>
  <c r="W11" i="375"/>
  <c r="J9" i="376"/>
  <c r="G16" i="163"/>
  <c r="C2" i="162" s="1"/>
  <c r="C4" i="162" s="1"/>
  <c r="C51" i="273" s="1"/>
  <c r="G10" i="164"/>
  <c r="AG335" i="359"/>
  <c r="AG334" i="359"/>
  <c r="AG333" i="359"/>
  <c r="AG266" i="359"/>
  <c r="AG81" i="359"/>
  <c r="AG80" i="359"/>
  <c r="AG79" i="359"/>
  <c r="AG78" i="359"/>
  <c r="AG77" i="359"/>
  <c r="AG76" i="359"/>
  <c r="AG23" i="359"/>
  <c r="W13" i="375"/>
  <c r="Z299" i="359"/>
  <c r="Z283" i="359"/>
  <c r="D2" i="402"/>
  <c r="W9" i="375"/>
  <c r="AG88" i="359"/>
  <c r="J7" i="376"/>
  <c r="AG302" i="359"/>
  <c r="AG301" i="359"/>
  <c r="AG300" i="359"/>
  <c r="AG298" i="359"/>
  <c r="AG258" i="359"/>
  <c r="AG90" i="359"/>
  <c r="Z291" i="359"/>
  <c r="AG216" i="359"/>
  <c r="AG215" i="359"/>
  <c r="AG128" i="359"/>
  <c r="W5" i="375"/>
  <c r="J4" i="376"/>
  <c r="J8" i="376"/>
  <c r="J12" i="376"/>
  <c r="AG58" i="359"/>
  <c r="AG191" i="359"/>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AG194" i="359"/>
  <c r="AG154" i="359"/>
  <c r="AG153" i="359"/>
  <c r="W4" i="375"/>
  <c r="AG112" i="359"/>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A10" i="376"/>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A6" i="376"/>
  <c r="K30" i="404"/>
  <c r="Z339" i="359"/>
  <c r="W7" i="375"/>
  <c r="J2" i="376"/>
  <c r="J5" i="376"/>
  <c r="Z311" i="359"/>
  <c r="Z306" i="359"/>
  <c r="Z274" i="359"/>
  <c r="Z210" i="359"/>
  <c r="Z152" i="359"/>
  <c r="Z146" i="359"/>
  <c r="Z98" i="359"/>
  <c r="Z72" i="359"/>
  <c r="Z50" i="359"/>
  <c r="J13" i="376"/>
  <c r="A7" i="376"/>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K25" i="404"/>
  <c r="P22" i="501" s="1"/>
  <c r="G2" i="225"/>
  <c r="AG25" i="359"/>
  <c r="AG24" i="359"/>
  <c r="F9" i="121"/>
  <c r="J11" i="376"/>
  <c r="J15" i="376"/>
  <c r="K26" i="404"/>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K19" i="404"/>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J16" i="376"/>
  <c r="A9" i="376"/>
  <c r="Z307" i="359"/>
  <c r="Z275" i="359"/>
  <c r="A2" i="376"/>
  <c r="E12" i="215"/>
  <c r="H6" i="172"/>
  <c r="D16" i="163"/>
  <c r="B2" i="162" s="1"/>
  <c r="B4" i="162" s="1"/>
  <c r="B51" i="273" s="1"/>
  <c r="W2" i="375"/>
  <c r="B30" i="3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B37" i="283" l="1"/>
  <c r="B42" i="283" s="1"/>
  <c r="B10" i="389"/>
  <c r="B11" i="389" s="1"/>
  <c r="G4" i="225"/>
  <c r="G5" i="225"/>
  <c r="G3" i="225"/>
  <c r="N23" i="404"/>
  <c r="W20" i="501"/>
  <c r="N28" i="404"/>
  <c r="W25" i="501"/>
  <c r="X25" i="501" s="1"/>
  <c r="A22" i="501"/>
  <c r="A25" i="501"/>
  <c r="P20" i="501"/>
  <c r="P22" i="500"/>
  <c r="A22" i="500" s="1"/>
  <c r="P16" i="500"/>
  <c r="A16" i="500" s="1"/>
  <c r="J15" i="404"/>
  <c r="J31" i="404" s="1"/>
  <c r="E15" i="404"/>
  <c r="E31" i="404" s="1"/>
  <c r="L25" i="404"/>
  <c r="B18" i="399"/>
  <c r="B19" i="399"/>
  <c r="L19" i="404"/>
  <c r="B31" i="396"/>
  <c r="B34" i="396"/>
  <c r="B32" i="396" s="1"/>
  <c r="N25" i="404" l="1"/>
  <c r="W22" i="501"/>
  <c r="X22" i="501" s="1"/>
  <c r="N19" i="404"/>
  <c r="W16" i="501"/>
  <c r="A20" i="501"/>
  <c r="X20" i="501"/>
  <c r="P16" i="501"/>
  <c r="C15" i="404"/>
  <c r="B20" i="399"/>
  <c r="B21" i="399" s="1"/>
  <c r="B36" i="399" s="1"/>
  <c r="A16" i="501" l="1"/>
  <c r="X16" i="501"/>
  <c r="K22" i="404"/>
  <c r="H15" i="404"/>
  <c r="F15" i="404"/>
  <c r="F31" i="404" s="1"/>
  <c r="C31" i="404"/>
  <c r="H31" i="404" l="1"/>
  <c r="K15" i="404"/>
  <c r="K31" i="404" s="1"/>
  <c r="S3" i="359"/>
  <c r="S4" i="359"/>
  <c r="S5" i="359"/>
  <c r="S6" i="359"/>
  <c r="S7" i="359"/>
  <c r="S8" i="359"/>
  <c r="S9" i="359"/>
  <c r="S10" i="359"/>
  <c r="S11" i="359"/>
  <c r="S12" i="359"/>
  <c r="S13" i="359"/>
  <c r="S14" i="359"/>
  <c r="S15" i="359"/>
  <c r="S16" i="359"/>
  <c r="S17" i="359"/>
  <c r="S18" i="359"/>
  <c r="S19" i="359"/>
  <c r="S20" i="359"/>
  <c r="S2" i="359"/>
  <c r="E3" i="57"/>
  <c r="E4" i="57"/>
  <c r="E2" i="57"/>
  <c r="E3" i="55"/>
  <c r="E2" i="55"/>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Z10" i="361" l="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E9" i="105"/>
  <c r="E8" i="105"/>
  <c r="E7" i="105"/>
  <c r="E6" i="105" s="1"/>
  <c r="E5" i="105"/>
  <c r="E4" i="105"/>
  <c r="E3" i="105"/>
  <c r="E2" i="105" s="1"/>
  <c r="E8" i="97"/>
  <c r="E9" i="97"/>
  <c r="E7" i="97"/>
  <c r="E6" i="97" s="1"/>
  <c r="E4" i="97"/>
  <c r="E5" i="97"/>
  <c r="E3" i="97"/>
  <c r="E2" i="97" s="1"/>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K383" i="502"/>
  <c r="K384" i="502"/>
  <c r="K382" i="502"/>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K386" i="502" l="1"/>
  <c r="C3" i="98"/>
  <c r="C4" i="98"/>
  <c r="C2" i="98"/>
  <c r="C5" i="98" s="1"/>
  <c r="C7" i="97"/>
  <c r="C6" i="97" s="1"/>
  <c r="E10" i="105"/>
  <c r="C7" i="105"/>
  <c r="C6" i="105" s="1"/>
  <c r="A2" i="93"/>
  <c r="C7" i="93"/>
  <c r="A3" i="93"/>
  <c r="A4" i="93"/>
  <c r="A5" i="93"/>
  <c r="A6" i="93"/>
  <c r="E2" i="56"/>
  <c r="Z11" i="359"/>
  <c r="A11" i="359"/>
  <c r="Z15" i="359"/>
  <c r="A15" i="359"/>
  <c r="Z18" i="359"/>
  <c r="A18" i="359"/>
  <c r="Z19" i="359"/>
  <c r="A19" i="359"/>
  <c r="E3" i="56"/>
  <c r="Z5" i="359"/>
  <c r="A5" i="359"/>
  <c r="Z3" i="359"/>
  <c r="A3" i="359"/>
  <c r="Z6" i="359"/>
  <c r="Z8" i="359"/>
  <c r="Z12" i="359"/>
  <c r="E2" i="54"/>
  <c r="E3" i="54"/>
  <c r="Z2" i="359"/>
  <c r="Z10" i="359"/>
  <c r="Z4" i="359"/>
  <c r="Z7" i="359"/>
  <c r="Z9" i="359"/>
  <c r="Z13" i="359"/>
  <c r="Z17" i="359"/>
  <c r="Z14" i="359"/>
  <c r="E10" i="97"/>
  <c r="AG4" i="359"/>
  <c r="AG12" i="359"/>
  <c r="Z16" i="359"/>
  <c r="Z20" i="359"/>
  <c r="AG8" i="359"/>
  <c r="D5" i="93" l="1"/>
  <c r="F5" i="93"/>
  <c r="C3" i="104"/>
  <c r="C9" i="104"/>
  <c r="C8" i="104"/>
  <c r="C7" i="104"/>
  <c r="C6" i="104" s="1"/>
  <c r="C4" i="104"/>
  <c r="C5" i="104"/>
  <c r="D4" i="93"/>
  <c r="F4" i="93"/>
  <c r="D3" i="93"/>
  <c r="F3" i="93"/>
  <c r="D6" i="93"/>
  <c r="F6" i="93"/>
  <c r="D2" i="93"/>
  <c r="F2" i="93"/>
  <c r="F7" i="93" s="1"/>
  <c r="C8" i="105"/>
  <c r="C4" i="105"/>
  <c r="C9" i="105"/>
  <c r="C5" i="105"/>
  <c r="C3" i="105"/>
  <c r="C2" i="105" s="1"/>
  <c r="C10" i="105" s="1"/>
  <c r="C4" i="97"/>
  <c r="C9" i="97"/>
  <c r="C3" i="97"/>
  <c r="C2" i="97" s="1"/>
  <c r="C10" i="97" s="1"/>
  <c r="C5" i="97"/>
  <c r="C8" i="97"/>
  <c r="B4" i="93"/>
  <c r="B3" i="93"/>
  <c r="B6" i="93"/>
  <c r="B2" i="93"/>
  <c r="B5" i="93"/>
  <c r="D3" i="64"/>
  <c r="D4" i="64"/>
  <c r="D5" i="64"/>
  <c r="D6" i="64"/>
  <c r="D2" i="64"/>
  <c r="C2" i="104" l="1"/>
  <c r="C10" i="104" s="1"/>
  <c r="D7" i="64"/>
  <c r="D5" i="355"/>
  <c r="D4" i="355" s="1"/>
  <c r="C5" i="355"/>
  <c r="C4" i="355" s="1"/>
  <c r="B12" i="395" l="1"/>
  <c r="C12" i="395"/>
  <c r="K147" i="502"/>
  <c r="K150" i="502" s="1"/>
  <c r="B25" i="283" s="1"/>
  <c r="B173" i="273" s="1"/>
  <c r="K162" i="502"/>
  <c r="C5" i="354"/>
  <c r="B5" i="354"/>
  <c r="K171" i="502" l="1"/>
  <c r="B26" i="283" s="1"/>
  <c r="B174" i="273" s="1"/>
  <c r="B12" i="390"/>
  <c r="D12" i="390" s="1"/>
  <c r="B27" i="391" l="1"/>
  <c r="B36" i="391" s="1"/>
  <c r="B41" i="391"/>
  <c r="B47" i="391" s="1"/>
  <c r="B18" i="391"/>
  <c r="B23" i="391" s="1"/>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D151" i="288"/>
  <c r="E151" i="288" s="1"/>
  <c r="D146" i="288"/>
  <c r="E146" i="288" s="1"/>
  <c r="D114" i="288"/>
  <c r="E114" i="288" s="1"/>
  <c r="D72" i="288"/>
  <c r="E72" i="288" s="1"/>
  <c r="D71" i="288"/>
  <c r="E71" i="288" s="1"/>
  <c r="D103" i="288"/>
  <c r="E103" i="288" s="1"/>
  <c r="D165" i="288"/>
  <c r="E165" i="288" s="1"/>
  <c r="D121" i="288"/>
  <c r="E121" i="288" s="1"/>
  <c r="M17" i="404" l="1"/>
  <c r="B17" i="404"/>
  <c r="U14" i="501" s="1"/>
  <c r="V14" i="501" s="1"/>
  <c r="B9" i="66"/>
  <c r="B5" i="66"/>
  <c r="C5" i="51"/>
  <c r="C2" i="51"/>
  <c r="B4" i="50"/>
  <c r="C5" i="79" l="1"/>
  <c r="C3" i="79"/>
  <c r="C6" i="79"/>
  <c r="C2" i="79"/>
  <c r="C4" i="79"/>
  <c r="C7" i="79"/>
  <c r="C32" i="394"/>
  <c r="C5" i="59"/>
  <c r="C6" i="59"/>
  <c r="C7" i="59"/>
  <c r="C2" i="59"/>
  <c r="C3" i="59"/>
  <c r="C4" i="59"/>
  <c r="F5" i="59"/>
  <c r="F7" i="59"/>
  <c r="F2" i="59"/>
  <c r="F3" i="59"/>
  <c r="F4" i="59"/>
  <c r="F6" i="59"/>
  <c r="P14" i="500"/>
  <c r="A14" i="500" s="1"/>
  <c r="P14" i="501"/>
  <c r="C4" i="55"/>
  <c r="C2" i="55"/>
  <c r="C3" i="55"/>
  <c r="C4" i="57"/>
  <c r="C2" i="57"/>
  <c r="C5" i="57"/>
  <c r="C3" i="57"/>
  <c r="C6" i="77"/>
  <c r="C2" i="77"/>
  <c r="C3" i="77"/>
  <c r="C4" i="77"/>
  <c r="C5" i="77"/>
  <c r="G3" i="77"/>
  <c r="G4" i="77"/>
  <c r="G5" i="77"/>
  <c r="G6" i="77"/>
  <c r="G2" i="77"/>
  <c r="C3" i="56"/>
  <c r="C4" i="56"/>
  <c r="C2" i="56"/>
  <c r="C4" i="54"/>
  <c r="C2" i="54"/>
  <c r="C3" i="54"/>
  <c r="C8" i="51"/>
  <c r="L17" i="404"/>
  <c r="N17" i="404" l="1"/>
  <c r="W14" i="501"/>
  <c r="X14" i="501" s="1"/>
  <c r="A14" i="501"/>
  <c r="C72" i="282"/>
  <c r="C199" i="288" s="1"/>
  <c r="C73" i="282"/>
  <c r="C200" i="288" s="1"/>
  <c r="C175" i="288"/>
  <c r="B73" i="282"/>
  <c r="B200" i="288" s="1"/>
  <c r="B72" i="282"/>
  <c r="B199" i="288" s="1"/>
  <c r="E217" i="266"/>
  <c r="B175" i="288"/>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E234" i="432" s="1"/>
  <c r="H231" i="268"/>
  <c r="H230" i="268"/>
  <c r="C193" i="288" s="1"/>
  <c r="H229" i="268"/>
  <c r="C192" i="288" s="1"/>
  <c r="H228" i="268"/>
  <c r="C191" i="288" s="1"/>
  <c r="H227" i="268"/>
  <c r="C190" i="288" s="1"/>
  <c r="H226" i="268"/>
  <c r="C189" i="288" s="1"/>
  <c r="H225" i="268"/>
  <c r="C188" i="288" s="1"/>
  <c r="H224" i="268"/>
  <c r="C187" i="288" s="1"/>
  <c r="H223" i="268"/>
  <c r="C186" i="288" s="1"/>
  <c r="H222" i="268"/>
  <c r="G221" i="268"/>
  <c r="F221" i="268"/>
  <c r="E221" i="268"/>
  <c r="E221" i="432" s="1"/>
  <c r="H220" i="268"/>
  <c r="C183" i="288" s="1"/>
  <c r="H219" i="268"/>
  <c r="C182" i="288" s="1"/>
  <c r="H218" i="268"/>
  <c r="C181" i="288" s="1"/>
  <c r="H217" i="268"/>
  <c r="C180" i="288" s="1"/>
  <c r="H216" i="268"/>
  <c r="G215" i="268"/>
  <c r="G214" i="268" s="1"/>
  <c r="G213" i="268" s="1"/>
  <c r="F215" i="268"/>
  <c r="F214" i="268" s="1"/>
  <c r="E215" i="268"/>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H232" i="266"/>
  <c r="H231" i="266"/>
  <c r="H230" i="266"/>
  <c r="H229" i="266"/>
  <c r="H228" i="266"/>
  <c r="H227" i="266"/>
  <c r="H226" i="266"/>
  <c r="H225" i="266"/>
  <c r="H224" i="266"/>
  <c r="H222" i="432" s="1"/>
  <c r="G223" i="266"/>
  <c r="F223" i="266"/>
  <c r="E223" i="266"/>
  <c r="H222" i="266"/>
  <c r="H221" i="266"/>
  <c r="H220" i="266"/>
  <c r="H219" i="266"/>
  <c r="H218" i="266"/>
  <c r="H216" i="432" s="1"/>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H194" i="432" s="1"/>
  <c r="H195" i="266"/>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214" i="268" l="1"/>
  <c r="E215" i="432"/>
  <c r="L86" i="266"/>
  <c r="E86" i="266" s="1"/>
  <c r="L88" i="266"/>
  <c r="E200" i="266"/>
  <c r="L87" i="266"/>
  <c r="E87" i="266" s="1"/>
  <c r="H87" i="266" s="1"/>
  <c r="E199" i="266"/>
  <c r="E185" i="266"/>
  <c r="H185" i="266" s="1"/>
  <c r="E174" i="266"/>
  <c r="E198" i="266"/>
  <c r="H198" i="266" s="1"/>
  <c r="E189" i="266"/>
  <c r="E186" i="266"/>
  <c r="E191" i="266"/>
  <c r="H191" i="266" s="1"/>
  <c r="K197" i="502" s="1"/>
  <c r="E175" i="266"/>
  <c r="E190" i="266"/>
  <c r="E187" i="266"/>
  <c r="E181" i="266"/>
  <c r="E184" i="266"/>
  <c r="E182" i="266"/>
  <c r="E176" i="266"/>
  <c r="E197" i="266"/>
  <c r="H197" i="266" s="1"/>
  <c r="E183" i="266"/>
  <c r="H183" i="266" s="1"/>
  <c r="H174" i="268"/>
  <c r="C133" i="288" s="1"/>
  <c r="F169" i="268"/>
  <c r="B180" i="288"/>
  <c r="H217" i="432"/>
  <c r="B186" i="288"/>
  <c r="H223" i="432"/>
  <c r="B194" i="288"/>
  <c r="H231" i="432"/>
  <c r="B181" i="288"/>
  <c r="D181" i="288" s="1"/>
  <c r="E181" i="288" s="1"/>
  <c r="H218" i="432"/>
  <c r="B187" i="288"/>
  <c r="H224" i="432"/>
  <c r="B182" i="288"/>
  <c r="H219" i="432"/>
  <c r="B188" i="288"/>
  <c r="D188" i="288" s="1"/>
  <c r="E188" i="288" s="1"/>
  <c r="H225" i="432"/>
  <c r="B183" i="288"/>
  <c r="H220" i="432"/>
  <c r="B189" i="288"/>
  <c r="H226" i="432"/>
  <c r="B190" i="288"/>
  <c r="H227" i="432"/>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191" i="288"/>
  <c r="D191" i="288" s="1"/>
  <c r="E191" i="288" s="1"/>
  <c r="H228" i="432"/>
  <c r="B192" i="288"/>
  <c r="D192" i="288" s="1"/>
  <c r="E192" i="288" s="1"/>
  <c r="H229" i="432"/>
  <c r="B193" i="288"/>
  <c r="D193" i="288" s="1"/>
  <c r="E193" i="288" s="1"/>
  <c r="H230" i="432"/>
  <c r="H162" i="266"/>
  <c r="H241" i="266"/>
  <c r="H239" i="432" s="1"/>
  <c r="F74" i="266"/>
  <c r="H253" i="266"/>
  <c r="K362" i="502" s="1"/>
  <c r="E177" i="268"/>
  <c r="H186" i="266"/>
  <c r="H199" i="266"/>
  <c r="H246" i="268"/>
  <c r="M22" i="287" s="1"/>
  <c r="O22" i="287" s="1"/>
  <c r="H251" i="268"/>
  <c r="H140" i="268"/>
  <c r="H165" i="268"/>
  <c r="C125" i="288" s="1"/>
  <c r="H183" i="268"/>
  <c r="C140" i="288" s="1"/>
  <c r="H196" i="268"/>
  <c r="C159" i="288" s="1"/>
  <c r="H157" i="266"/>
  <c r="H217" i="266"/>
  <c r="H223" i="266"/>
  <c r="L8" i="268"/>
  <c r="E8" i="268" s="1"/>
  <c r="L13" i="268"/>
  <c r="E13" i="268" s="1"/>
  <c r="L16" i="268"/>
  <c r="E16" i="268" s="1"/>
  <c r="L22" i="268"/>
  <c r="E22" i="268" s="1"/>
  <c r="L41" i="268"/>
  <c r="E41" i="268" s="1"/>
  <c r="L49" i="268"/>
  <c r="E49" i="268" s="1"/>
  <c r="L53" i="268"/>
  <c r="L60" i="268"/>
  <c r="E60" i="268" s="1"/>
  <c r="E64" i="268"/>
  <c r="E70" i="268"/>
  <c r="L73" i="268"/>
  <c r="E73" i="268" s="1"/>
  <c r="L79" i="268"/>
  <c r="E79" i="268" s="1"/>
  <c r="L96" i="268"/>
  <c r="E96" i="268" s="1"/>
  <c r="L110" i="268"/>
  <c r="E110" i="268" s="1"/>
  <c r="L118" i="268"/>
  <c r="E118" i="268" s="1"/>
  <c r="L126" i="268"/>
  <c r="E126" i="268" s="1"/>
  <c r="L138" i="268"/>
  <c r="L147" i="268"/>
  <c r="E147" i="268" s="1"/>
  <c r="L151" i="268"/>
  <c r="L154" i="268"/>
  <c r="L162" i="268"/>
  <c r="E170" i="268"/>
  <c r="E186" i="268"/>
  <c r="E192" i="268"/>
  <c r="L6" i="268"/>
  <c r="E6" i="268" s="1"/>
  <c r="L11" i="268"/>
  <c r="E11" i="268" s="1"/>
  <c r="L14" i="268"/>
  <c r="L17" i="268"/>
  <c r="L25" i="268"/>
  <c r="L30" i="268"/>
  <c r="E30" i="268" s="1"/>
  <c r="L36" i="268"/>
  <c r="E36" i="268" s="1"/>
  <c r="L44" i="268"/>
  <c r="E44" i="268" s="1"/>
  <c r="L50" i="268"/>
  <c r="E61" i="268"/>
  <c r="L67" i="268"/>
  <c r="E67" i="268" s="1"/>
  <c r="L74" i="268"/>
  <c r="L80" i="268"/>
  <c r="L88" i="268"/>
  <c r="E88" i="268" s="1"/>
  <c r="L97" i="268"/>
  <c r="L103" i="268"/>
  <c r="E103" i="268" s="1"/>
  <c r="L113" i="268"/>
  <c r="E113" i="268" s="1"/>
  <c r="L121" i="268"/>
  <c r="E121" i="268" s="1"/>
  <c r="L129" i="268"/>
  <c r="E129" i="268" s="1"/>
  <c r="L141" i="268"/>
  <c r="E141" i="268" s="1"/>
  <c r="L152" i="268"/>
  <c r="L157" i="268"/>
  <c r="E157" i="268" s="1"/>
  <c r="E205" i="268"/>
  <c r="C256" i="288"/>
  <c r="C58" i="283"/>
  <c r="L20" i="268"/>
  <c r="E20" i="268" s="1"/>
  <c r="L33" i="268"/>
  <c r="E33" i="268" s="1"/>
  <c r="L39" i="268"/>
  <c r="E39" i="268" s="1"/>
  <c r="L47" i="268"/>
  <c r="E47" i="268" s="1"/>
  <c r="L56" i="268"/>
  <c r="E56" i="268" s="1"/>
  <c r="L77" i="268"/>
  <c r="E77" i="268" s="1"/>
  <c r="L83" i="268"/>
  <c r="E83" i="268" s="1"/>
  <c r="L86" i="268"/>
  <c r="E86" i="268" s="1"/>
  <c r="L91" i="268"/>
  <c r="E91" i="268" s="1"/>
  <c r="L94" i="268"/>
  <c r="E94" i="268" s="1"/>
  <c r="L100" i="268"/>
  <c r="E100" i="268" s="1"/>
  <c r="L108" i="268"/>
  <c r="E108" i="268" s="1"/>
  <c r="L116" i="268"/>
  <c r="E116" i="268" s="1"/>
  <c r="L124" i="268"/>
  <c r="E124" i="268" s="1"/>
  <c r="L132" i="268"/>
  <c r="E132" i="268" s="1"/>
  <c r="L136" i="268"/>
  <c r="E136" i="268" s="1"/>
  <c r="L145" i="268"/>
  <c r="E145" i="268" s="1"/>
  <c r="L160" i="268"/>
  <c r="E190" i="268"/>
  <c r="C57" i="282"/>
  <c r="C184" i="288" s="1"/>
  <c r="H250" i="268"/>
  <c r="M20" i="287" s="1"/>
  <c r="O20" i="287" s="1"/>
  <c r="L4" i="268"/>
  <c r="E4" i="268" s="1"/>
  <c r="L9" i="268"/>
  <c r="E9" i="268" s="1"/>
  <c r="L23" i="268"/>
  <c r="E23" i="268" s="1"/>
  <c r="L34" i="268"/>
  <c r="L42" i="268"/>
  <c r="E42" i="268" s="1"/>
  <c r="L54" i="268"/>
  <c r="E54" i="268" s="1"/>
  <c r="L57" i="268"/>
  <c r="E65" i="268"/>
  <c r="L84" i="268"/>
  <c r="L101" i="268"/>
  <c r="L111" i="268"/>
  <c r="E111" i="268" s="1"/>
  <c r="L119" i="268"/>
  <c r="E119" i="268" s="1"/>
  <c r="L127" i="268"/>
  <c r="E127" i="268" s="1"/>
  <c r="L133" i="268"/>
  <c r="L139" i="268"/>
  <c r="L148" i="268"/>
  <c r="E148" i="268" s="1"/>
  <c r="L155" i="268"/>
  <c r="L163" i="268"/>
  <c r="E171" i="268"/>
  <c r="E198" i="268"/>
  <c r="E202" i="268"/>
  <c r="D180" i="288"/>
  <c r="E180" i="288" s="1"/>
  <c r="D186" i="288"/>
  <c r="E186" i="288" s="1"/>
  <c r="F53" i="266"/>
  <c r="L18" i="268"/>
  <c r="E18" i="268" s="1"/>
  <c r="L31" i="268"/>
  <c r="L37" i="268"/>
  <c r="E37" i="268" s="1"/>
  <c r="L45" i="268"/>
  <c r="E45" i="268" s="1"/>
  <c r="L51" i="268"/>
  <c r="E51" i="268" s="1"/>
  <c r="L58" i="268"/>
  <c r="L68" i="268"/>
  <c r="E68" i="268" s="1"/>
  <c r="L75" i="268"/>
  <c r="E75" i="268" s="1"/>
  <c r="L81" i="268"/>
  <c r="E81" i="268" s="1"/>
  <c r="L89" i="268"/>
  <c r="E89" i="268" s="1"/>
  <c r="L98" i="268"/>
  <c r="E98" i="268" s="1"/>
  <c r="L104" i="268"/>
  <c r="E104" i="268" s="1"/>
  <c r="L114" i="268"/>
  <c r="E114" i="268" s="1"/>
  <c r="L122" i="268"/>
  <c r="E122" i="268" s="1"/>
  <c r="L130" i="268"/>
  <c r="E130" i="268" s="1"/>
  <c r="L134" i="268"/>
  <c r="L142" i="268"/>
  <c r="E142" i="268" s="1"/>
  <c r="L158" i="268"/>
  <c r="L164" i="268"/>
  <c r="D187" i="288"/>
  <c r="E187" i="288" s="1"/>
  <c r="L26" i="268"/>
  <c r="E26" i="268" s="1"/>
  <c r="E26" i="432" s="1"/>
  <c r="L27" i="268"/>
  <c r="E27" i="268" s="1"/>
  <c r="L26" i="266"/>
  <c r="E26" i="266" s="1"/>
  <c r="L27" i="266"/>
  <c r="E27" i="266" s="1"/>
  <c r="H27" i="266" s="1"/>
  <c r="L7" i="268"/>
  <c r="E7" i="268" s="1"/>
  <c r="L12" i="268"/>
  <c r="E12" i="268" s="1"/>
  <c r="L15" i="268"/>
  <c r="E15" i="268" s="1"/>
  <c r="L21" i="268"/>
  <c r="E21" i="268" s="1"/>
  <c r="L40" i="268"/>
  <c r="E40" i="268" s="1"/>
  <c r="L48" i="268"/>
  <c r="E48" i="268" s="1"/>
  <c r="E69" i="268"/>
  <c r="L72" i="268"/>
  <c r="E72" i="268" s="1"/>
  <c r="E72" i="432" s="1"/>
  <c r="L78" i="268"/>
  <c r="E78" i="268" s="1"/>
  <c r="L95" i="268"/>
  <c r="E95" i="268" s="1"/>
  <c r="E95" i="432" s="1"/>
  <c r="L105" i="268"/>
  <c r="L109" i="268"/>
  <c r="E109" i="268" s="1"/>
  <c r="L117" i="268"/>
  <c r="E117" i="268" s="1"/>
  <c r="L125" i="268"/>
  <c r="E125" i="268" s="1"/>
  <c r="L137" i="268"/>
  <c r="E137" i="268" s="1"/>
  <c r="E143" i="268"/>
  <c r="L146" i="268"/>
  <c r="E146" i="268" s="1"/>
  <c r="L153" i="268"/>
  <c r="E153" i="268" s="1"/>
  <c r="L161" i="268"/>
  <c r="E161" i="268" s="1"/>
  <c r="E188" i="268"/>
  <c r="E191" i="268"/>
  <c r="G233" i="268"/>
  <c r="D182" i="288"/>
  <c r="E182" i="288" s="1"/>
  <c r="E238" i="268"/>
  <c r="E240" i="266"/>
  <c r="L5" i="268"/>
  <c r="E5" i="268" s="1"/>
  <c r="L10" i="268"/>
  <c r="E10" i="268" s="1"/>
  <c r="L24" i="268"/>
  <c r="E24" i="268" s="1"/>
  <c r="E24" i="432" s="1"/>
  <c r="L29" i="268"/>
  <c r="E29" i="268" s="1"/>
  <c r="L35" i="268"/>
  <c r="E35" i="268" s="1"/>
  <c r="L43" i="268"/>
  <c r="E43" i="268" s="1"/>
  <c r="L66" i="268"/>
  <c r="L85" i="268"/>
  <c r="E85" i="268" s="1"/>
  <c r="L87" i="268"/>
  <c r="E87" i="268" s="1"/>
  <c r="L92" i="268"/>
  <c r="E92" i="268" s="1"/>
  <c r="L102" i="268"/>
  <c r="E102" i="268" s="1"/>
  <c r="L106" i="268"/>
  <c r="L112" i="268"/>
  <c r="E112" i="268" s="1"/>
  <c r="L120" i="268"/>
  <c r="E120" i="268" s="1"/>
  <c r="L128" i="268"/>
  <c r="E128" i="268" s="1"/>
  <c r="L140" i="268"/>
  <c r="L149" i="268"/>
  <c r="E149" i="268" s="1"/>
  <c r="L156" i="268"/>
  <c r="H172" i="268"/>
  <c r="C131" i="288" s="1"/>
  <c r="E199" i="268"/>
  <c r="E203" i="268"/>
  <c r="D183" i="288"/>
  <c r="E183" i="288" s="1"/>
  <c r="D189" i="288"/>
  <c r="E189" i="288" s="1"/>
  <c r="L19" i="268"/>
  <c r="E19" i="268" s="1"/>
  <c r="L32" i="268"/>
  <c r="E32" i="268" s="1"/>
  <c r="L38" i="268"/>
  <c r="E38" i="268" s="1"/>
  <c r="L46" i="268"/>
  <c r="E46" i="268" s="1"/>
  <c r="L52" i="268"/>
  <c r="E52" i="268" s="1"/>
  <c r="L55" i="268"/>
  <c r="E55" i="268" s="1"/>
  <c r="L59" i="268"/>
  <c r="E59" i="268" s="1"/>
  <c r="L63" i="268"/>
  <c r="E63" i="268" s="1"/>
  <c r="G74" i="268"/>
  <c r="L76" i="268"/>
  <c r="E76" i="268" s="1"/>
  <c r="L82" i="268"/>
  <c r="E82" i="268" s="1"/>
  <c r="E82" i="432" s="1"/>
  <c r="L90" i="268"/>
  <c r="E90" i="268" s="1"/>
  <c r="L93" i="268"/>
  <c r="L99" i="268"/>
  <c r="E99" i="268" s="1"/>
  <c r="L107" i="268"/>
  <c r="L115" i="268"/>
  <c r="E115" i="268" s="1"/>
  <c r="L123" i="268"/>
  <c r="E123" i="268" s="1"/>
  <c r="L131" i="268"/>
  <c r="E131" i="268" s="1"/>
  <c r="L135" i="268"/>
  <c r="L150" i="268"/>
  <c r="L159" i="268"/>
  <c r="E159" i="268" s="1"/>
  <c r="L165" i="268"/>
  <c r="E178" i="268"/>
  <c r="E178" i="432" s="1"/>
  <c r="D190" i="288"/>
  <c r="E190" i="288" s="1"/>
  <c r="H160" i="266"/>
  <c r="H164" i="266"/>
  <c r="H174" i="266"/>
  <c r="H142" i="266"/>
  <c r="H167" i="266"/>
  <c r="H181" i="266"/>
  <c r="H189" i="266"/>
  <c r="K174" i="502" s="1"/>
  <c r="H202" i="266"/>
  <c r="H245" i="266"/>
  <c r="H243" i="432" s="1"/>
  <c r="F17" i="266"/>
  <c r="G171" i="266"/>
  <c r="G170" i="266" s="1"/>
  <c r="F235" i="266"/>
  <c r="H239" i="268"/>
  <c r="G176" i="268"/>
  <c r="G175" i="268" s="1"/>
  <c r="F101" i="268"/>
  <c r="H180" i="268"/>
  <c r="C137" i="288" s="1"/>
  <c r="H195" i="268"/>
  <c r="C158" i="288" s="1"/>
  <c r="F53" i="268"/>
  <c r="H181" i="268"/>
  <c r="C138" i="288" s="1"/>
  <c r="G84" i="268"/>
  <c r="H179" i="268"/>
  <c r="C136" i="288" s="1"/>
  <c r="H242" i="268"/>
  <c r="H197" i="268"/>
  <c r="H200" i="268"/>
  <c r="C157" i="288" s="1"/>
  <c r="H243" i="268"/>
  <c r="F133" i="268"/>
  <c r="F176" i="268"/>
  <c r="F175" i="268" s="1"/>
  <c r="H215" i="268"/>
  <c r="H221" i="268"/>
  <c r="F80" i="268"/>
  <c r="F84" i="268"/>
  <c r="G133" i="268"/>
  <c r="H184" i="268"/>
  <c r="C141" i="288" s="1"/>
  <c r="H155" i="268"/>
  <c r="C109" i="288" s="1"/>
  <c r="H173" i="268"/>
  <c r="C132" i="288" s="1"/>
  <c r="C194" i="288"/>
  <c r="C185" i="288"/>
  <c r="F14" i="268"/>
  <c r="F17" i="268"/>
  <c r="H158" i="268"/>
  <c r="C112" i="288" s="1"/>
  <c r="G169" i="268"/>
  <c r="G168" i="268" s="1"/>
  <c r="G14" i="268"/>
  <c r="G53" i="268"/>
  <c r="F74" i="268"/>
  <c r="G97" i="268"/>
  <c r="H160" i="268"/>
  <c r="F34" i="268"/>
  <c r="F50" i="268" s="1"/>
  <c r="G80" i="268"/>
  <c r="H139" i="268"/>
  <c r="C88" i="288" s="1"/>
  <c r="F164" i="268"/>
  <c r="F166" i="268" s="1"/>
  <c r="H182" i="268"/>
  <c r="C139" i="288" s="1"/>
  <c r="H244" i="268"/>
  <c r="H249" i="268"/>
  <c r="F93" i="268"/>
  <c r="H154" i="268"/>
  <c r="H189" i="268"/>
  <c r="H245" i="268"/>
  <c r="F97" i="268"/>
  <c r="F150" i="268"/>
  <c r="F168" i="268"/>
  <c r="G34" i="268"/>
  <c r="G50" i="268" s="1"/>
  <c r="G150" i="268"/>
  <c r="H138" i="268"/>
  <c r="C87" i="288" s="1"/>
  <c r="G164" i="268"/>
  <c r="G166" i="268" s="1"/>
  <c r="H187" i="268"/>
  <c r="G93" i="268"/>
  <c r="G101" i="268"/>
  <c r="H162" i="268"/>
  <c r="C122" i="288" s="1"/>
  <c r="H185" i="268"/>
  <c r="C142" i="288" s="1"/>
  <c r="H247" i="268"/>
  <c r="H252" i="268"/>
  <c r="F213" i="268"/>
  <c r="F233" i="268"/>
  <c r="H135" i="268"/>
  <c r="H156" i="268"/>
  <c r="C110" i="288" s="1"/>
  <c r="G53" i="266"/>
  <c r="H158" i="266"/>
  <c r="H247" i="266"/>
  <c r="H252" i="266"/>
  <c r="G103" i="266"/>
  <c r="F84" i="266"/>
  <c r="F95" i="266"/>
  <c r="F99" i="266"/>
  <c r="F103" i="266"/>
  <c r="H140" i="266"/>
  <c r="H176" i="266"/>
  <c r="H182" i="266"/>
  <c r="F14" i="266"/>
  <c r="G74" i="266"/>
  <c r="F178" i="266"/>
  <c r="F177" i="266" s="1"/>
  <c r="G14" i="266"/>
  <c r="E179" i="266"/>
  <c r="H179" i="266" s="1"/>
  <c r="G95" i="266"/>
  <c r="G99" i="266"/>
  <c r="F135" i="266"/>
  <c r="H244" i="266"/>
  <c r="G80" i="266"/>
  <c r="G84" i="266"/>
  <c r="G135" i="266"/>
  <c r="H248" i="266"/>
  <c r="F152" i="266"/>
  <c r="G178" i="266"/>
  <c r="G177" i="266" s="1"/>
  <c r="F34" i="266"/>
  <c r="F50" i="266" s="1"/>
  <c r="G152" i="266"/>
  <c r="F166" i="266"/>
  <c r="F168" i="266" s="1"/>
  <c r="H187" i="266"/>
  <c r="H249" i="266"/>
  <c r="G34" i="266"/>
  <c r="G50" i="266" s="1"/>
  <c r="F80" i="266"/>
  <c r="H137" i="266"/>
  <c r="H141" i="266"/>
  <c r="H175" i="266"/>
  <c r="H184" i="266"/>
  <c r="H246" i="266"/>
  <c r="H244" i="432" s="1"/>
  <c r="H254" i="266"/>
  <c r="H252" i="432" s="1"/>
  <c r="F171" i="266"/>
  <c r="F170" i="266" s="1"/>
  <c r="G166" i="266"/>
  <c r="G168" i="266" s="1"/>
  <c r="H251" i="266"/>
  <c r="H249" i="432" s="1"/>
  <c r="G215" i="266"/>
  <c r="G235" i="266"/>
  <c r="L7" i="266"/>
  <c r="E7" i="266" s="1"/>
  <c r="H7" i="266" s="1"/>
  <c r="L15" i="266"/>
  <c r="E15" i="266" s="1"/>
  <c r="L20" i="266"/>
  <c r="E20" i="266" s="1"/>
  <c r="H20" i="266" s="1"/>
  <c r="L30" i="266"/>
  <c r="E30" i="266" s="1"/>
  <c r="H30" i="266" s="1"/>
  <c r="L38" i="266"/>
  <c r="E38" i="266" s="1"/>
  <c r="H38" i="266" s="1"/>
  <c r="L46" i="266"/>
  <c r="E46" i="266" s="1"/>
  <c r="H46" i="266" s="1"/>
  <c r="L54" i="266"/>
  <c r="E54" i="266" s="1"/>
  <c r="H54" i="266" s="1"/>
  <c r="L58" i="266"/>
  <c r="L60" i="266"/>
  <c r="E60" i="266" s="1"/>
  <c r="E65" i="266"/>
  <c r="H65" i="266" s="1"/>
  <c r="L68" i="266"/>
  <c r="E68" i="266" s="1"/>
  <c r="L77" i="266"/>
  <c r="E77" i="266" s="1"/>
  <c r="L85" i="266"/>
  <c r="E85" i="266" s="1"/>
  <c r="H85" i="266" s="1"/>
  <c r="L95" i="266"/>
  <c r="L103" i="266"/>
  <c r="L115" i="266"/>
  <c r="E115" i="266" s="1"/>
  <c r="H115" i="266" s="1"/>
  <c r="L123" i="266"/>
  <c r="E123" i="266" s="1"/>
  <c r="H123" i="266" s="1"/>
  <c r="L131" i="266"/>
  <c r="E131" i="266" s="1"/>
  <c r="H131" i="266" s="1"/>
  <c r="L151" i="266"/>
  <c r="E151" i="266" s="1"/>
  <c r="H151" i="266" s="1"/>
  <c r="L155" i="266"/>
  <c r="E155" i="266" s="1"/>
  <c r="L157" i="266"/>
  <c r="E204" i="266"/>
  <c r="H204" i="266" s="1"/>
  <c r="L4" i="266"/>
  <c r="E4" i="266" s="1"/>
  <c r="L12" i="266"/>
  <c r="E12" i="266" s="1"/>
  <c r="L17" i="266"/>
  <c r="L25" i="266"/>
  <c r="L35" i="266"/>
  <c r="E35" i="266" s="1"/>
  <c r="L43" i="266"/>
  <c r="E43" i="266" s="1"/>
  <c r="H43" i="266" s="1"/>
  <c r="L51" i="266"/>
  <c r="E51" i="266" s="1"/>
  <c r="E61" i="266"/>
  <c r="H61" i="266" s="1"/>
  <c r="E69" i="266"/>
  <c r="H69" i="266" s="1"/>
  <c r="L74" i="266"/>
  <c r="L82" i="266"/>
  <c r="E82" i="266" s="1"/>
  <c r="H82" i="266" s="1"/>
  <c r="L92" i="266"/>
  <c r="E92" i="266" s="1"/>
  <c r="L100" i="266"/>
  <c r="E100" i="266" s="1"/>
  <c r="H100" i="266" s="1"/>
  <c r="L108" i="266"/>
  <c r="L112" i="266"/>
  <c r="E112" i="266" s="1"/>
  <c r="H112" i="266" s="1"/>
  <c r="L120" i="266"/>
  <c r="E120" i="266" s="1"/>
  <c r="H120" i="266" s="1"/>
  <c r="L128" i="266"/>
  <c r="E128" i="266" s="1"/>
  <c r="H128" i="266" s="1"/>
  <c r="L137" i="266"/>
  <c r="L144" i="266"/>
  <c r="E144" i="266" s="1"/>
  <c r="L148" i="266"/>
  <c r="E148" i="266" s="1"/>
  <c r="H148" i="266" s="1"/>
  <c r="L159" i="266"/>
  <c r="E159" i="266" s="1"/>
  <c r="H159" i="266" s="1"/>
  <c r="L166" i="266"/>
  <c r="H200" i="266"/>
  <c r="L9" i="266"/>
  <c r="E9" i="266" s="1"/>
  <c r="H9" i="266" s="1"/>
  <c r="L22" i="266"/>
  <c r="E22" i="266" s="1"/>
  <c r="H22" i="266" s="1"/>
  <c r="L32" i="266"/>
  <c r="E32" i="266" s="1"/>
  <c r="H32" i="266" s="1"/>
  <c r="L40" i="266"/>
  <c r="E40" i="266" s="1"/>
  <c r="H40" i="266" s="1"/>
  <c r="L48" i="266"/>
  <c r="E48" i="266" s="1"/>
  <c r="H48" i="266" s="1"/>
  <c r="L56" i="266"/>
  <c r="E56" i="266" s="1"/>
  <c r="H56" i="266" s="1"/>
  <c r="L79" i="266"/>
  <c r="E79" i="266" s="1"/>
  <c r="H79" i="266" s="1"/>
  <c r="L89" i="266"/>
  <c r="E89" i="266" s="1"/>
  <c r="H89" i="266" s="1"/>
  <c r="L97" i="266"/>
  <c r="E97" i="266" s="1"/>
  <c r="H97" i="266" s="1"/>
  <c r="H95" i="432" s="1"/>
  <c r="L105" i="266"/>
  <c r="E105" i="266" s="1"/>
  <c r="H105" i="266" s="1"/>
  <c r="L109" i="266"/>
  <c r="L117" i="266"/>
  <c r="E117" i="266" s="1"/>
  <c r="H117" i="266" s="1"/>
  <c r="K109" i="502" s="1"/>
  <c r="L125" i="266"/>
  <c r="E125" i="266" s="1"/>
  <c r="H125" i="266" s="1"/>
  <c r="L133" i="266"/>
  <c r="E133" i="266" s="1"/>
  <c r="H133" i="266" s="1"/>
  <c r="E145" i="266"/>
  <c r="H145" i="266" s="1"/>
  <c r="L153" i="266"/>
  <c r="L161" i="266"/>
  <c r="E161" i="266" s="1"/>
  <c r="H161" i="266" s="1"/>
  <c r="E173" i="266"/>
  <c r="H173" i="266" s="1"/>
  <c r="E192" i="266"/>
  <c r="H192" i="266" s="1"/>
  <c r="E194" i="266"/>
  <c r="H194" i="266" s="1"/>
  <c r="L6" i="266"/>
  <c r="E6" i="266" s="1"/>
  <c r="H6" i="266" s="1"/>
  <c r="L14" i="266"/>
  <c r="L19" i="266"/>
  <c r="E19" i="266" s="1"/>
  <c r="H19" i="266" s="1"/>
  <c r="K106" i="502" s="1"/>
  <c r="L29" i="266"/>
  <c r="E29" i="266" s="1"/>
  <c r="L37" i="266"/>
  <c r="E37" i="266" s="1"/>
  <c r="H37" i="266" s="1"/>
  <c r="L45" i="266"/>
  <c r="E45" i="266" s="1"/>
  <c r="H45" i="266" s="1"/>
  <c r="L53" i="266"/>
  <c r="L63" i="266"/>
  <c r="E63" i="266" s="1"/>
  <c r="H63" i="266" s="1"/>
  <c r="L67" i="266"/>
  <c r="E67" i="266" s="1"/>
  <c r="H67" i="266" s="1"/>
  <c r="L76" i="266"/>
  <c r="E76" i="266" s="1"/>
  <c r="H76" i="266" s="1"/>
  <c r="L84" i="266"/>
  <c r="L94" i="266"/>
  <c r="E94" i="266" s="1"/>
  <c r="H94" i="266" s="1"/>
  <c r="L102" i="266"/>
  <c r="E102" i="266" s="1"/>
  <c r="H102" i="266" s="1"/>
  <c r="L114" i="266"/>
  <c r="E114" i="266" s="1"/>
  <c r="H114" i="266" s="1"/>
  <c r="L122" i="266"/>
  <c r="E122" i="266" s="1"/>
  <c r="H122" i="266" s="1"/>
  <c r="L130" i="266"/>
  <c r="E130" i="266" s="1"/>
  <c r="H130" i="266" s="1"/>
  <c r="L139" i="266"/>
  <c r="E139" i="266" s="1"/>
  <c r="H139" i="266" s="1"/>
  <c r="L141" i="266"/>
  <c r="L150" i="266"/>
  <c r="E150" i="266" s="1"/>
  <c r="H150" i="266" s="1"/>
  <c r="L154" i="266"/>
  <c r="H156" i="266"/>
  <c r="L163" i="266"/>
  <c r="E163" i="266" s="1"/>
  <c r="H163" i="266" s="1"/>
  <c r="E180" i="266"/>
  <c r="H180" i="266" s="1"/>
  <c r="H190" i="266"/>
  <c r="K187" i="502" s="1"/>
  <c r="L11" i="266"/>
  <c r="E11" i="266" s="1"/>
  <c r="H11" i="266" s="1"/>
  <c r="L24" i="266"/>
  <c r="E24" i="266" s="1"/>
  <c r="H24" i="266" s="1"/>
  <c r="L34" i="266"/>
  <c r="L42" i="266"/>
  <c r="E42" i="266" s="1"/>
  <c r="H42" i="266" s="1"/>
  <c r="L50" i="266"/>
  <c r="E64" i="266"/>
  <c r="L73" i="266"/>
  <c r="E73" i="266" s="1"/>
  <c r="H73" i="266" s="1"/>
  <c r="L81" i="266"/>
  <c r="E81" i="266" s="1"/>
  <c r="L91" i="266"/>
  <c r="E91" i="266" s="1"/>
  <c r="H91" i="266" s="1"/>
  <c r="L99" i="266"/>
  <c r="L107" i="266"/>
  <c r="L111" i="266"/>
  <c r="E111" i="266" s="1"/>
  <c r="H111" i="266" s="1"/>
  <c r="L119" i="266"/>
  <c r="E119" i="266" s="1"/>
  <c r="H119" i="266" s="1"/>
  <c r="K16" i="502" s="1"/>
  <c r="L127" i="266"/>
  <c r="E127" i="266" s="1"/>
  <c r="H127" i="266" s="1"/>
  <c r="L135" i="266"/>
  <c r="L143" i="266"/>
  <c r="E143" i="266" s="1"/>
  <c r="H143" i="266" s="1"/>
  <c r="L147" i="266"/>
  <c r="E147" i="266" s="1"/>
  <c r="H147" i="266" s="1"/>
  <c r="L156" i="266"/>
  <c r="L158" i="266"/>
  <c r="L165" i="266"/>
  <c r="E188" i="266"/>
  <c r="H188" i="266" s="1"/>
  <c r="E205" i="266"/>
  <c r="H205" i="266" s="1"/>
  <c r="E207" i="266"/>
  <c r="H207" i="266" s="1"/>
  <c r="F215" i="266"/>
  <c r="L8" i="266"/>
  <c r="E8" i="266" s="1"/>
  <c r="H8" i="266" s="1"/>
  <c r="L16" i="266"/>
  <c r="E16" i="266" s="1"/>
  <c r="H16" i="266" s="1"/>
  <c r="L21" i="266"/>
  <c r="E21" i="266" s="1"/>
  <c r="H21" i="266" s="1"/>
  <c r="L31" i="266"/>
  <c r="L39" i="266"/>
  <c r="E39" i="266" s="1"/>
  <c r="H39" i="266" s="1"/>
  <c r="L47" i="266"/>
  <c r="E47" i="266" s="1"/>
  <c r="H47" i="266" s="1"/>
  <c r="L55" i="266"/>
  <c r="E55" i="266" s="1"/>
  <c r="H55" i="266" s="1"/>
  <c r="L59" i="266"/>
  <c r="E59" i="266" s="1"/>
  <c r="E70" i="266"/>
  <c r="H70" i="266" s="1"/>
  <c r="L78" i="266"/>
  <c r="E78" i="266" s="1"/>
  <c r="H78" i="266" s="1"/>
  <c r="L96" i="266"/>
  <c r="E96" i="266" s="1"/>
  <c r="L104" i="266"/>
  <c r="E104" i="266" s="1"/>
  <c r="H104" i="266" s="1"/>
  <c r="L116" i="266"/>
  <c r="E116" i="266" s="1"/>
  <c r="H116" i="266" s="1"/>
  <c r="L124" i="266"/>
  <c r="E124" i="266" s="1"/>
  <c r="H124" i="266" s="1"/>
  <c r="L132" i="266"/>
  <c r="E132" i="266" s="1"/>
  <c r="H132" i="266" s="1"/>
  <c r="L136" i="266"/>
  <c r="L152" i="266"/>
  <c r="L160" i="266"/>
  <c r="L167" i="266"/>
  <c r="E201" i="266"/>
  <c r="H201" i="266" s="1"/>
  <c r="K247" i="502" s="1"/>
  <c r="K259" i="502" s="1"/>
  <c r="B33" i="283" s="1"/>
  <c r="L5" i="266"/>
  <c r="E5" i="266" s="1"/>
  <c r="H5" i="266" s="1"/>
  <c r="L13" i="266"/>
  <c r="E13" i="266" s="1"/>
  <c r="H13" i="266" s="1"/>
  <c r="L18" i="266"/>
  <c r="E18" i="266" s="1"/>
  <c r="H18" i="266" s="1"/>
  <c r="L36" i="266"/>
  <c r="E36" i="266" s="1"/>
  <c r="H36" i="266" s="1"/>
  <c r="L44" i="266"/>
  <c r="E44" i="266" s="1"/>
  <c r="H44" i="266" s="1"/>
  <c r="L52" i="266"/>
  <c r="E52" i="266" s="1"/>
  <c r="H52" i="266" s="1"/>
  <c r="L66" i="266"/>
  <c r="L75" i="266"/>
  <c r="E75" i="266" s="1"/>
  <c r="H75" i="266" s="1"/>
  <c r="L83" i="266"/>
  <c r="E83" i="266" s="1"/>
  <c r="H83" i="266" s="1"/>
  <c r="L93" i="266"/>
  <c r="E93" i="266" s="1"/>
  <c r="H93" i="266" s="1"/>
  <c r="L101" i="266"/>
  <c r="E101" i="266" s="1"/>
  <c r="L113" i="266"/>
  <c r="E113" i="266" s="1"/>
  <c r="H113" i="266" s="1"/>
  <c r="L121" i="266"/>
  <c r="E121" i="266" s="1"/>
  <c r="H121" i="266" s="1"/>
  <c r="L129" i="266"/>
  <c r="E129" i="266" s="1"/>
  <c r="H129" i="266" s="1"/>
  <c r="L138" i="266"/>
  <c r="E138" i="266" s="1"/>
  <c r="L149" i="266"/>
  <c r="E149" i="266" s="1"/>
  <c r="H149" i="266" s="1"/>
  <c r="K52" i="502" s="1"/>
  <c r="L162" i="266"/>
  <c r="E172" i="266"/>
  <c r="E193" i="266"/>
  <c r="H193" i="266" s="1"/>
  <c r="K45" i="502" s="1"/>
  <c r="L10" i="266"/>
  <c r="E10" i="266" s="1"/>
  <c r="H10" i="266" s="1"/>
  <c r="L23" i="266"/>
  <c r="E23" i="266" s="1"/>
  <c r="L33" i="266"/>
  <c r="E33" i="266" s="1"/>
  <c r="H33" i="266" s="1"/>
  <c r="L41" i="266"/>
  <c r="E41" i="266" s="1"/>
  <c r="H41" i="266" s="1"/>
  <c r="L49" i="266"/>
  <c r="E49" i="266" s="1"/>
  <c r="H49" i="266" s="1"/>
  <c r="L57" i="266"/>
  <c r="L72" i="266"/>
  <c r="E72" i="266" s="1"/>
  <c r="L80" i="266"/>
  <c r="L90" i="266"/>
  <c r="E90" i="266" s="1"/>
  <c r="H90" i="266" s="1"/>
  <c r="L98" i="266"/>
  <c r="E98" i="266" s="1"/>
  <c r="H98" i="266" s="1"/>
  <c r="L106" i="266"/>
  <c r="E106" i="266" s="1"/>
  <c r="H106" i="266" s="1"/>
  <c r="L110" i="266"/>
  <c r="E110" i="266" s="1"/>
  <c r="L118" i="266"/>
  <c r="E118" i="266" s="1"/>
  <c r="H118" i="266" s="1"/>
  <c r="L126" i="266"/>
  <c r="E126" i="266" s="1"/>
  <c r="H126" i="266" s="1"/>
  <c r="L134" i="266"/>
  <c r="E134" i="266" s="1"/>
  <c r="H134" i="266" s="1"/>
  <c r="L140" i="266"/>
  <c r="L142" i="266"/>
  <c r="L164" i="266"/>
  <c r="H29" i="268" l="1"/>
  <c r="K219" i="502" s="1"/>
  <c r="E29" i="432"/>
  <c r="H191" i="268"/>
  <c r="E191" i="432"/>
  <c r="H141" i="268"/>
  <c r="E141" i="432"/>
  <c r="H102" i="268"/>
  <c r="E102" i="432"/>
  <c r="H127" i="268"/>
  <c r="C77" i="288" s="1"/>
  <c r="E127" i="432"/>
  <c r="H129" i="268"/>
  <c r="E129" i="432"/>
  <c r="H177" i="268"/>
  <c r="E177" i="432"/>
  <c r="H177" i="432" s="1"/>
  <c r="H38" i="268"/>
  <c r="C24" i="288" s="1"/>
  <c r="E38" i="432"/>
  <c r="H92" i="268"/>
  <c r="B30" i="404" s="1"/>
  <c r="U27" i="501" s="1"/>
  <c r="V27" i="501" s="1"/>
  <c r="E92" i="432"/>
  <c r="H10" i="268"/>
  <c r="E10" i="432"/>
  <c r="H161" i="268"/>
  <c r="E161" i="432"/>
  <c r="H15" i="268"/>
  <c r="K14" i="502" s="1"/>
  <c r="E15" i="432"/>
  <c r="H104" i="268"/>
  <c r="C51" i="288" s="1"/>
  <c r="E104" i="432"/>
  <c r="H45" i="268"/>
  <c r="E45" i="432"/>
  <c r="H45" i="432" s="1"/>
  <c r="H198" i="268"/>
  <c r="E198" i="432"/>
  <c r="H119" i="268"/>
  <c r="C67" i="288" s="1"/>
  <c r="E119" i="432"/>
  <c r="H145" i="268"/>
  <c r="E145" i="432"/>
  <c r="H91" i="268"/>
  <c r="E91" i="432"/>
  <c r="H20" i="268"/>
  <c r="C17" i="288" s="1"/>
  <c r="E20" i="432"/>
  <c r="H121" i="268"/>
  <c r="C69" i="288" s="1"/>
  <c r="E121" i="432"/>
  <c r="H61" i="268"/>
  <c r="B8" i="404" s="1"/>
  <c r="U7" i="501" s="1"/>
  <c r="V7" i="501" s="1"/>
  <c r="E61" i="432"/>
  <c r="H11" i="268"/>
  <c r="E11" i="432"/>
  <c r="H147" i="268"/>
  <c r="K53" i="502" s="1"/>
  <c r="K83" i="502" s="1"/>
  <c r="E147" i="432"/>
  <c r="H70" i="268"/>
  <c r="B11" i="404" s="1"/>
  <c r="U10" i="501" s="1"/>
  <c r="V10" i="501" s="1"/>
  <c r="E70" i="432"/>
  <c r="H13" i="268"/>
  <c r="B3" i="404" s="1"/>
  <c r="U2" i="501" s="1"/>
  <c r="V2" i="501" s="1"/>
  <c r="E13" i="432"/>
  <c r="H117" i="268"/>
  <c r="K17" i="502" s="1"/>
  <c r="E117" i="432"/>
  <c r="H117" i="432" s="1"/>
  <c r="H79" i="268"/>
  <c r="B22" i="404" s="1"/>
  <c r="U19" i="501" s="1"/>
  <c r="V19" i="501" s="1"/>
  <c r="E79" i="432"/>
  <c r="H90" i="268"/>
  <c r="E90" i="432"/>
  <c r="H109" i="268"/>
  <c r="E109" i="432"/>
  <c r="H94" i="268"/>
  <c r="E94" i="432"/>
  <c r="H70" i="432"/>
  <c r="H131" i="268"/>
  <c r="E131" i="432"/>
  <c r="H131" i="432" s="1"/>
  <c r="H149" i="268"/>
  <c r="E149" i="432"/>
  <c r="H149" i="432" s="1"/>
  <c r="H98" i="268"/>
  <c r="E98" i="432"/>
  <c r="H111" i="268"/>
  <c r="E111" i="432"/>
  <c r="H23" i="268"/>
  <c r="E23" i="432"/>
  <c r="H136" i="268"/>
  <c r="B4" i="392" s="1"/>
  <c r="E136" i="432"/>
  <c r="H86" i="268"/>
  <c r="E86" i="432"/>
  <c r="H113" i="268"/>
  <c r="E113" i="432"/>
  <c r="H113" i="432" s="1"/>
  <c r="H6" i="268"/>
  <c r="E6" i="432"/>
  <c r="H6" i="432" s="1"/>
  <c r="H64" i="268"/>
  <c r="E64" i="432"/>
  <c r="H8" i="268"/>
  <c r="C9" i="288" s="1"/>
  <c r="E8" i="432"/>
  <c r="H159" i="268"/>
  <c r="E159" i="432"/>
  <c r="H159" i="432" s="1"/>
  <c r="H190" i="268"/>
  <c r="E190" i="432"/>
  <c r="H190" i="432" s="1"/>
  <c r="H51" i="268"/>
  <c r="E51" i="432"/>
  <c r="H33" i="268"/>
  <c r="E33" i="432"/>
  <c r="H32" i="268"/>
  <c r="C21" i="288" s="1"/>
  <c r="E32" i="432"/>
  <c r="H5" i="268"/>
  <c r="E5" i="432"/>
  <c r="H5" i="432" s="1"/>
  <c r="H12" i="268"/>
  <c r="K12" i="502" s="1"/>
  <c r="E12" i="432"/>
  <c r="H171" i="268"/>
  <c r="E171" i="432"/>
  <c r="H171" i="432" s="1"/>
  <c r="H123" i="268"/>
  <c r="E123" i="432"/>
  <c r="H123" i="432" s="1"/>
  <c r="H19" i="268"/>
  <c r="K107" i="502" s="1"/>
  <c r="E19" i="432"/>
  <c r="H19" i="432" s="1"/>
  <c r="H85" i="268"/>
  <c r="E85" i="432"/>
  <c r="H85" i="432" s="1"/>
  <c r="H146" i="268"/>
  <c r="E146" i="432"/>
  <c r="H78" i="268"/>
  <c r="E78" i="432"/>
  <c r="H7" i="268"/>
  <c r="C8" i="288" s="1"/>
  <c r="E7" i="432"/>
  <c r="H7" i="432" s="1"/>
  <c r="H89" i="268"/>
  <c r="E89" i="432"/>
  <c r="H89" i="432" s="1"/>
  <c r="H9" i="268"/>
  <c r="E9" i="432"/>
  <c r="H132" i="268"/>
  <c r="E132" i="432"/>
  <c r="H132" i="432" s="1"/>
  <c r="H83" i="268"/>
  <c r="E83" i="432"/>
  <c r="H83" i="432" s="1"/>
  <c r="H103" i="268"/>
  <c r="E103" i="432"/>
  <c r="H44" i="268"/>
  <c r="E44" i="432"/>
  <c r="H192" i="268"/>
  <c r="C154" i="288" s="1"/>
  <c r="E192" i="432"/>
  <c r="H126" i="268"/>
  <c r="K220" i="502" s="1"/>
  <c r="E126" i="432"/>
  <c r="H126" i="432" s="1"/>
  <c r="H60" i="268"/>
  <c r="E60" i="432"/>
  <c r="H199" i="268"/>
  <c r="E199" i="432"/>
  <c r="H199" i="432" s="1"/>
  <c r="H122" i="268"/>
  <c r="C70" i="288" s="1"/>
  <c r="E122" i="432"/>
  <c r="H100" i="268"/>
  <c r="B27" i="404" s="1"/>
  <c r="U24" i="501" s="1"/>
  <c r="V24" i="501" s="1"/>
  <c r="E100" i="432"/>
  <c r="H100" i="432" s="1"/>
  <c r="H46" i="268"/>
  <c r="E46" i="432"/>
  <c r="H46" i="432" s="1"/>
  <c r="H188" i="268"/>
  <c r="E188" i="432"/>
  <c r="H188" i="432" s="1"/>
  <c r="H42" i="268"/>
  <c r="E42" i="432"/>
  <c r="H42" i="432" s="1"/>
  <c r="H73" i="268"/>
  <c r="B21" i="404" s="1"/>
  <c r="U18" i="501" s="1"/>
  <c r="V18" i="501" s="1"/>
  <c r="E73" i="432"/>
  <c r="H73" i="432" s="1"/>
  <c r="H76" i="268"/>
  <c r="E76" i="432"/>
  <c r="H76" i="432" s="1"/>
  <c r="H87" i="268"/>
  <c r="E87" i="432"/>
  <c r="H153" i="268"/>
  <c r="E153" i="432"/>
  <c r="H37" i="268"/>
  <c r="E37" i="432"/>
  <c r="H37" i="432" s="1"/>
  <c r="H115" i="268"/>
  <c r="K108" i="502" s="1"/>
  <c r="E115" i="432"/>
  <c r="H63" i="268"/>
  <c r="C33" i="288" s="1"/>
  <c r="E63" i="432"/>
  <c r="H128" i="268"/>
  <c r="C78" i="288" s="1"/>
  <c r="E128" i="432"/>
  <c r="H128" i="432" s="1"/>
  <c r="E240" i="268"/>
  <c r="E240" i="432" s="1"/>
  <c r="E238" i="432"/>
  <c r="H143" i="268"/>
  <c r="H144" i="268" s="1"/>
  <c r="E143" i="432"/>
  <c r="H143" i="432" s="1"/>
  <c r="H142" i="268"/>
  <c r="E142" i="432"/>
  <c r="H81" i="268"/>
  <c r="E81" i="432"/>
  <c r="H18" i="268"/>
  <c r="E18" i="432"/>
  <c r="H18" i="432" s="1"/>
  <c r="H4" i="268"/>
  <c r="E4" i="432"/>
  <c r="H124" i="268"/>
  <c r="E124" i="432"/>
  <c r="H77" i="268"/>
  <c r="E77" i="432"/>
  <c r="H205" i="268"/>
  <c r="E205" i="432"/>
  <c r="H205" i="432" s="1"/>
  <c r="H36" i="268"/>
  <c r="E36" i="432"/>
  <c r="H186" i="268"/>
  <c r="C143" i="288" s="1"/>
  <c r="E186" i="432"/>
  <c r="H186" i="432" s="1"/>
  <c r="H118" i="268"/>
  <c r="C66" i="288" s="1"/>
  <c r="E118" i="432"/>
  <c r="H40" i="268"/>
  <c r="E40" i="432"/>
  <c r="H40" i="432" s="1"/>
  <c r="H39" i="268"/>
  <c r="E39" i="432"/>
  <c r="H21" i="268"/>
  <c r="C18" i="288" s="1"/>
  <c r="E21" i="432"/>
  <c r="H202" i="268"/>
  <c r="E202" i="432"/>
  <c r="H202" i="432" s="1"/>
  <c r="H67" i="268"/>
  <c r="E67" i="432"/>
  <c r="H61" i="432"/>
  <c r="H59" i="268"/>
  <c r="C31" i="288" s="1"/>
  <c r="E59" i="432"/>
  <c r="H120" i="268"/>
  <c r="C68" i="288" s="1"/>
  <c r="E120" i="432"/>
  <c r="H120" i="432" s="1"/>
  <c r="H43" i="268"/>
  <c r="E43" i="432"/>
  <c r="H43" i="432" s="1"/>
  <c r="H137" i="268"/>
  <c r="B5" i="392" s="1"/>
  <c r="E137" i="432"/>
  <c r="H69" i="268"/>
  <c r="E69" i="432"/>
  <c r="H69" i="432" s="1"/>
  <c r="H75" i="268"/>
  <c r="E75" i="432"/>
  <c r="H75" i="432" s="1"/>
  <c r="H148" i="268"/>
  <c r="E148" i="432"/>
  <c r="H65" i="268"/>
  <c r="B9" i="404" s="1"/>
  <c r="U8" i="501" s="1"/>
  <c r="V8" i="501" s="1"/>
  <c r="E65" i="432"/>
  <c r="H65" i="432" s="1"/>
  <c r="H116" i="268"/>
  <c r="E116" i="432"/>
  <c r="H116" i="432" s="1"/>
  <c r="H56" i="268"/>
  <c r="E56" i="432"/>
  <c r="H56" i="432" s="1"/>
  <c r="H157" i="268"/>
  <c r="E157" i="432"/>
  <c r="H88" i="268"/>
  <c r="E88" i="432"/>
  <c r="H30" i="268"/>
  <c r="E30" i="432"/>
  <c r="H30" i="432" s="1"/>
  <c r="H170" i="268"/>
  <c r="E170" i="432"/>
  <c r="H110" i="268"/>
  <c r="C58" i="288" s="1"/>
  <c r="E110" i="432"/>
  <c r="H49" i="268"/>
  <c r="B16" i="404" s="1"/>
  <c r="U13" i="501" s="1"/>
  <c r="V13" i="501" s="1"/>
  <c r="E49" i="432"/>
  <c r="H52" i="268"/>
  <c r="B10" i="404" s="1"/>
  <c r="U9" i="501" s="1"/>
  <c r="V9" i="501" s="1"/>
  <c r="E52" i="432"/>
  <c r="H54" i="268"/>
  <c r="C26" i="288" s="1"/>
  <c r="E54" i="432"/>
  <c r="H22" i="268"/>
  <c r="C19" i="288" s="1"/>
  <c r="E22" i="432"/>
  <c r="H114" i="268"/>
  <c r="E114" i="432"/>
  <c r="H16" i="268"/>
  <c r="E16" i="432"/>
  <c r="H16" i="432" s="1"/>
  <c r="H39" i="432"/>
  <c r="H87" i="432"/>
  <c r="H38" i="432"/>
  <c r="H99" i="268"/>
  <c r="H101" i="268" s="1"/>
  <c r="E99" i="432"/>
  <c r="H55" i="268"/>
  <c r="E55" i="432"/>
  <c r="H203" i="268"/>
  <c r="C166" i="288" s="1"/>
  <c r="E203" i="432"/>
  <c r="H203" i="432" s="1"/>
  <c r="H112" i="268"/>
  <c r="C60" i="288" s="1"/>
  <c r="E112" i="432"/>
  <c r="H35" i="268"/>
  <c r="C23" i="288" s="1"/>
  <c r="E35" i="432"/>
  <c r="H125" i="268"/>
  <c r="E125" i="432"/>
  <c r="H48" i="268"/>
  <c r="E48" i="432"/>
  <c r="H48" i="432" s="1"/>
  <c r="H27" i="268"/>
  <c r="E27" i="432"/>
  <c r="H130" i="268"/>
  <c r="C79" i="288" s="1"/>
  <c r="E130" i="432"/>
  <c r="H68" i="268"/>
  <c r="E68" i="432"/>
  <c r="H108" i="268"/>
  <c r="C56" i="288" s="1"/>
  <c r="E108" i="432"/>
  <c r="H47" i="268"/>
  <c r="E47" i="432"/>
  <c r="H96" i="268"/>
  <c r="B26" i="404" s="1"/>
  <c r="U23" i="501" s="1"/>
  <c r="V23" i="501" s="1"/>
  <c r="E96" i="432"/>
  <c r="H41" i="268"/>
  <c r="E41" i="432"/>
  <c r="E213" i="268"/>
  <c r="E213" i="432" s="1"/>
  <c r="E214" i="432"/>
  <c r="K221" i="502"/>
  <c r="K3" i="502"/>
  <c r="K91" i="502"/>
  <c r="K359" i="502"/>
  <c r="H178" i="432"/>
  <c r="K92" i="502"/>
  <c r="B36" i="283"/>
  <c r="B43" i="283" s="1"/>
  <c r="B52" i="399"/>
  <c r="B53" i="399" s="1"/>
  <c r="B233" i="288"/>
  <c r="D233" i="288" s="1"/>
  <c r="E233" i="288" s="1"/>
  <c r="K360" i="502"/>
  <c r="H215" i="432"/>
  <c r="H86" i="266"/>
  <c r="H88" i="266" s="1"/>
  <c r="E88" i="266"/>
  <c r="D194" i="288"/>
  <c r="E194" i="288" s="1"/>
  <c r="C50" i="288"/>
  <c r="M25" i="287"/>
  <c r="O25" i="287" s="1"/>
  <c r="M19" i="287"/>
  <c r="O19" i="287" s="1"/>
  <c r="C57" i="288"/>
  <c r="P13" i="501"/>
  <c r="A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H82" i="432"/>
  <c r="H125" i="432"/>
  <c r="E97" i="268"/>
  <c r="E97" i="432" s="1"/>
  <c r="H221" i="432"/>
  <c r="C89" i="288"/>
  <c r="B139" i="288"/>
  <c r="D139" i="288" s="1"/>
  <c r="E139" i="288" s="1"/>
  <c r="H182" i="432"/>
  <c r="B168" i="288"/>
  <c r="B132" i="288"/>
  <c r="D132" i="288" s="1"/>
  <c r="E132" i="288" s="1"/>
  <c r="H173" i="432"/>
  <c r="H140" i="432"/>
  <c r="H124" i="432"/>
  <c r="H112" i="432"/>
  <c r="B2" i="401"/>
  <c r="H103" i="432"/>
  <c r="B157" i="288"/>
  <c r="D157" i="288" s="1"/>
  <c r="E157" i="288" s="1"/>
  <c r="H200" i="432"/>
  <c r="B131" i="288"/>
  <c r="D131" i="288" s="1"/>
  <c r="E131" i="288" s="1"/>
  <c r="H172" i="432"/>
  <c r="E25" i="268"/>
  <c r="E25" i="432" s="1"/>
  <c r="H47" i="432"/>
  <c r="B33" i="288"/>
  <c r="H63" i="432"/>
  <c r="B69" i="288"/>
  <c r="H121" i="432"/>
  <c r="H55" i="432"/>
  <c r="B68" i="288"/>
  <c r="B110" i="288"/>
  <c r="D110" i="288" s="1"/>
  <c r="E110" i="288" s="1"/>
  <c r="H156" i="432"/>
  <c r="H251" i="432"/>
  <c r="H114" i="432"/>
  <c r="B117" i="288"/>
  <c r="H161" i="432"/>
  <c r="B19" i="288"/>
  <c r="H22" i="432"/>
  <c r="H54" i="432"/>
  <c r="B88" i="288"/>
  <c r="D88" i="288" s="1"/>
  <c r="E88" i="288" s="1"/>
  <c r="H139" i="432"/>
  <c r="H147" i="432"/>
  <c r="B38" i="288"/>
  <c r="H102" i="432"/>
  <c r="H154" i="432"/>
  <c r="H9" i="432"/>
  <c r="B66" i="288"/>
  <c r="H118" i="432"/>
  <c r="B84" i="288"/>
  <c r="H135" i="432"/>
  <c r="M19" i="286"/>
  <c r="O19" i="286" s="1"/>
  <c r="H242" i="432"/>
  <c r="C148" i="288"/>
  <c r="H187" i="432"/>
  <c r="B122" i="288"/>
  <c r="D122" i="288" s="1"/>
  <c r="E122" i="288" s="1"/>
  <c r="H162" i="432"/>
  <c r="B15" i="288"/>
  <c r="B21" i="288"/>
  <c r="H32" i="432"/>
  <c r="B138" i="288"/>
  <c r="D138" i="288" s="1"/>
  <c r="E138" i="288" s="1"/>
  <c r="H181" i="432"/>
  <c r="H109" i="432"/>
  <c r="M30" i="404"/>
  <c r="H92" i="432"/>
  <c r="H198" i="432"/>
  <c r="B57" i="288"/>
  <c r="H110" i="432"/>
  <c r="H196" i="432"/>
  <c r="B140" i="288"/>
  <c r="D140" i="288" s="1"/>
  <c r="E140" i="288" s="1"/>
  <c r="H183" i="432"/>
  <c r="B136" i="288"/>
  <c r="D136" i="288" s="1"/>
  <c r="E136" i="288" s="1"/>
  <c r="H179" i="432"/>
  <c r="B112" i="288"/>
  <c r="D112" i="288" s="1"/>
  <c r="E112" i="288" s="1"/>
  <c r="H158" i="432"/>
  <c r="H91" i="432"/>
  <c r="H192" i="432"/>
  <c r="B142" i="288"/>
  <c r="D142" i="288" s="1"/>
  <c r="E142" i="288" s="1"/>
  <c r="H185" i="432"/>
  <c r="H122" i="432"/>
  <c r="B77" i="288"/>
  <c r="H127" i="432"/>
  <c r="B18" i="288"/>
  <c r="D18" i="288" s="1"/>
  <c r="E18" i="288" s="1"/>
  <c r="H21" i="432"/>
  <c r="B16" i="288"/>
  <c r="B125" i="288"/>
  <c r="D125" i="288" s="1"/>
  <c r="E125" i="288" s="1"/>
  <c r="H165" i="432"/>
  <c r="H160" i="432"/>
  <c r="H86" i="432"/>
  <c r="H141" i="432"/>
  <c r="B2" i="400"/>
  <c r="H191" i="432"/>
  <c r="B78" i="288"/>
  <c r="B8" i="288"/>
  <c r="D8" i="288" s="1"/>
  <c r="E8" i="288" s="1"/>
  <c r="H96" i="432"/>
  <c r="B67" i="288"/>
  <c r="H119" i="432"/>
  <c r="M5" i="404"/>
  <c r="H24" i="432"/>
  <c r="B28" i="288"/>
  <c r="H157" i="432"/>
  <c r="H98" i="432"/>
  <c r="B95" i="288"/>
  <c r="B17" i="288"/>
  <c r="H20" i="432"/>
  <c r="M23" i="286"/>
  <c r="O23" i="286" s="1"/>
  <c r="H247" i="432"/>
  <c r="B133" i="288"/>
  <c r="D133" i="288" s="1"/>
  <c r="E133" i="288" s="1"/>
  <c r="H174" i="432"/>
  <c r="M20" i="286"/>
  <c r="O20" i="286" s="1"/>
  <c r="H250" i="432"/>
  <c r="H197" i="432"/>
  <c r="H78" i="432"/>
  <c r="H130" i="432"/>
  <c r="H115" i="432"/>
  <c r="H104" i="432"/>
  <c r="H148" i="432"/>
  <c r="H79" i="432"/>
  <c r="B137" i="288"/>
  <c r="D137" i="288" s="1"/>
  <c r="E137" i="288" s="1"/>
  <c r="H180" i="432"/>
  <c r="H88" i="432"/>
  <c r="H10" i="432"/>
  <c r="B58" i="288"/>
  <c r="H111" i="432"/>
  <c r="B9" i="288"/>
  <c r="D9" i="288" s="1"/>
  <c r="E9" i="288" s="1"/>
  <c r="H8" i="432"/>
  <c r="H145" i="432"/>
  <c r="B44" i="288"/>
  <c r="H11" i="432"/>
  <c r="H137" i="432"/>
  <c r="H67" i="432"/>
  <c r="C70" i="394"/>
  <c r="H146" i="432"/>
  <c r="H129" i="432"/>
  <c r="B147" i="288"/>
  <c r="H189" i="432"/>
  <c r="M22" i="286"/>
  <c r="O22" i="286" s="1"/>
  <c r="H246" i="432"/>
  <c r="B87" i="288"/>
  <c r="D87" i="288" s="1"/>
  <c r="E87" i="288" s="1"/>
  <c r="H138" i="432"/>
  <c r="M21" i="286"/>
  <c r="O21" i="286" s="1"/>
  <c r="H245" i="432"/>
  <c r="E176" i="268"/>
  <c r="E74" i="268"/>
  <c r="E74" i="432" s="1"/>
  <c r="M6" i="404"/>
  <c r="H27" i="432"/>
  <c r="B109" i="288"/>
  <c r="D109" i="288" s="1"/>
  <c r="E109" i="288" s="1"/>
  <c r="H155" i="432"/>
  <c r="B141" i="288"/>
  <c r="D141" i="288" s="1"/>
  <c r="E141" i="288" s="1"/>
  <c r="H184" i="432"/>
  <c r="H33" i="432"/>
  <c r="H44" i="432"/>
  <c r="B158" i="288"/>
  <c r="D158" i="288" s="1"/>
  <c r="E158" i="288" s="1"/>
  <c r="H195" i="432"/>
  <c r="H36" i="432"/>
  <c r="H13" i="432"/>
  <c r="H49" i="432"/>
  <c r="H41" i="432"/>
  <c r="H52" i="432"/>
  <c r="E80" i="268"/>
  <c r="E80" i="432" s="1"/>
  <c r="H238" i="268"/>
  <c r="H240" i="268" s="1"/>
  <c r="L10" i="404"/>
  <c r="W9" i="501" s="1"/>
  <c r="L22" i="404"/>
  <c r="W19" i="501" s="1"/>
  <c r="L21" i="404"/>
  <c r="W18" i="501" s="1"/>
  <c r="L27" i="404"/>
  <c r="W24" i="501" s="1"/>
  <c r="L30" i="404"/>
  <c r="W27" i="501" s="1"/>
  <c r="H72" i="268"/>
  <c r="H74" i="268" s="1"/>
  <c r="H178" i="268"/>
  <c r="G203" i="266"/>
  <c r="G206" i="266" s="1"/>
  <c r="G243" i="266" s="1"/>
  <c r="G250" i="266" s="1"/>
  <c r="G255" i="266" s="1"/>
  <c r="E14" i="268"/>
  <c r="E14" i="432" s="1"/>
  <c r="E169" i="268"/>
  <c r="E84" i="268"/>
  <c r="E84" i="432" s="1"/>
  <c r="C162" i="288"/>
  <c r="E71" i="268"/>
  <c r="E71" i="432" s="1"/>
  <c r="F153" i="266"/>
  <c r="F169" i="266" s="1"/>
  <c r="C94" i="288"/>
  <c r="E101" i="268"/>
  <c r="E101" i="432" s="1"/>
  <c r="E31" i="268"/>
  <c r="E31" i="432" s="1"/>
  <c r="H95" i="268"/>
  <c r="H97" i="268" s="1"/>
  <c r="C46" i="288" s="1"/>
  <c r="G57" i="266"/>
  <c r="C39" i="288"/>
  <c r="C49" i="288"/>
  <c r="G151" i="268"/>
  <c r="G167" i="268" s="1"/>
  <c r="H24" i="268"/>
  <c r="H25" i="268" s="1"/>
  <c r="E3" i="268"/>
  <c r="E3" i="432" s="1"/>
  <c r="E144" i="268"/>
  <c r="C65" i="288"/>
  <c r="H53" i="268"/>
  <c r="C25" i="288" s="1"/>
  <c r="F57" i="266"/>
  <c r="C27" i="288"/>
  <c r="C145" i="288"/>
  <c r="C80" i="288"/>
  <c r="C11" i="288"/>
  <c r="C48" i="281"/>
  <c r="C100" i="288" s="1"/>
  <c r="C102" i="288"/>
  <c r="C44" i="288"/>
  <c r="C10" i="288"/>
  <c r="M26" i="404"/>
  <c r="M3" i="404"/>
  <c r="F57" i="268"/>
  <c r="M8" i="404"/>
  <c r="E17" i="268"/>
  <c r="E17" i="432" s="1"/>
  <c r="E53" i="268"/>
  <c r="E53" i="432" s="1"/>
  <c r="E93" i="268"/>
  <c r="E93" i="432" s="1"/>
  <c r="C95" i="288"/>
  <c r="C258" i="288"/>
  <c r="C60" i="283"/>
  <c r="M10" i="404"/>
  <c r="E34" i="268"/>
  <c r="M4" i="404"/>
  <c r="H82" i="268"/>
  <c r="M11" i="404"/>
  <c r="M9" i="404"/>
  <c r="F105" i="268"/>
  <c r="G201" i="268"/>
  <c r="G204" i="268" s="1"/>
  <c r="G241" i="268" s="1"/>
  <c r="G248" i="268" s="1"/>
  <c r="G253" i="268" s="1"/>
  <c r="H214" i="268"/>
  <c r="H8" i="287" s="1"/>
  <c r="H7" i="287" s="1"/>
  <c r="M20" i="404"/>
  <c r="M16" i="404"/>
  <c r="M27" i="404"/>
  <c r="E133" i="268"/>
  <c r="E133" i="432" s="1"/>
  <c r="G57" i="268"/>
  <c r="E28" i="268"/>
  <c r="E28" i="432" s="1"/>
  <c r="H26" i="268"/>
  <c r="H28" i="268" s="1"/>
  <c r="E66" i="268"/>
  <c r="E66" i="432" s="1"/>
  <c r="E62" i="268"/>
  <c r="E62" i="432" s="1"/>
  <c r="B57" i="282"/>
  <c r="B184" i="288" s="1"/>
  <c r="D184" i="288" s="1"/>
  <c r="E184" i="288" s="1"/>
  <c r="B185" i="288"/>
  <c r="D185" i="288" s="1"/>
  <c r="E185" i="288" s="1"/>
  <c r="B179" i="288"/>
  <c r="B51" i="282"/>
  <c r="H216" i="266"/>
  <c r="M22" i="404"/>
  <c r="M7" i="404"/>
  <c r="G105" i="268"/>
  <c r="M21" i="404"/>
  <c r="C111" i="288"/>
  <c r="H31" i="268"/>
  <c r="B7" i="404"/>
  <c r="U6" i="501" s="1"/>
  <c r="V6" i="501" s="1"/>
  <c r="E28" i="266"/>
  <c r="H26" i="266"/>
  <c r="B24" i="288"/>
  <c r="F107" i="266"/>
  <c r="C160" i="288"/>
  <c r="C168" i="288"/>
  <c r="C92" i="288"/>
  <c r="F151" i="268"/>
  <c r="F167" i="268" s="1"/>
  <c r="C11" i="394"/>
  <c r="B4" i="404"/>
  <c r="U3" i="501" s="1"/>
  <c r="V3" i="501" s="1"/>
  <c r="C153" i="288"/>
  <c r="C179" i="288"/>
  <c r="C51" i="282"/>
  <c r="H14" i="268"/>
  <c r="H3" i="268"/>
  <c r="C147" i="288"/>
  <c r="C91" i="288"/>
  <c r="C35" i="288"/>
  <c r="C144" i="288"/>
  <c r="C115" i="288"/>
  <c r="H62" i="268"/>
  <c r="C85" i="288"/>
  <c r="C12" i="288"/>
  <c r="C81" i="288"/>
  <c r="M23" i="287"/>
  <c r="O23" i="287" s="1"/>
  <c r="C47" i="288"/>
  <c r="M21" i="287"/>
  <c r="O21" i="287" s="1"/>
  <c r="J18" i="287"/>
  <c r="C108" i="288"/>
  <c r="F201" i="268"/>
  <c r="F204" i="268" s="1"/>
  <c r="C15" i="288"/>
  <c r="G107" i="266"/>
  <c r="G153" i="266"/>
  <c r="G169" i="266" s="1"/>
  <c r="F203" i="266"/>
  <c r="F206" i="266" s="1"/>
  <c r="F234" i="266" s="1"/>
  <c r="H72" i="266"/>
  <c r="E74" i="266"/>
  <c r="H64" i="266"/>
  <c r="E66" i="266"/>
  <c r="H138" i="266"/>
  <c r="H110" i="266"/>
  <c r="B12" i="392" s="1"/>
  <c r="E135" i="266"/>
  <c r="H23" i="266"/>
  <c r="E25" i="266"/>
  <c r="H96" i="266"/>
  <c r="E99" i="266"/>
  <c r="H29" i="266"/>
  <c r="K218" i="502" s="1"/>
  <c r="E31" i="266"/>
  <c r="E53" i="266"/>
  <c r="H51" i="266"/>
  <c r="H155" i="266"/>
  <c r="H77" i="266"/>
  <c r="E80" i="266"/>
  <c r="H35" i="266"/>
  <c r="H35" i="432" s="1"/>
  <c r="E34" i="266"/>
  <c r="E50" i="266" s="1"/>
  <c r="H68" i="266"/>
  <c r="E71" i="266"/>
  <c r="H178" i="266"/>
  <c r="E95" i="266"/>
  <c r="H92" i="266"/>
  <c r="H15" i="266"/>
  <c r="K15" i="502" s="1"/>
  <c r="E17" i="266"/>
  <c r="E178" i="266"/>
  <c r="E177" i="266" s="1"/>
  <c r="H101" i="266"/>
  <c r="E103" i="266"/>
  <c r="E171" i="266"/>
  <c r="H171" i="266" s="1"/>
  <c r="H172" i="266"/>
  <c r="H59" i="266"/>
  <c r="E84" i="266"/>
  <c r="H81" i="266"/>
  <c r="E146" i="266"/>
  <c r="E152" i="266" s="1"/>
  <c r="H144" i="266"/>
  <c r="H60" i="266"/>
  <c r="H60" i="432" s="1"/>
  <c r="H62" i="432" s="1"/>
  <c r="E62" i="266"/>
  <c r="E242" i="266"/>
  <c r="H240" i="266"/>
  <c r="E14" i="266"/>
  <c r="H12" i="266"/>
  <c r="K13" i="502" s="1"/>
  <c r="E3" i="266"/>
  <c r="H4" i="266"/>
  <c r="H4" i="432" s="1"/>
  <c r="B16" i="283" l="1"/>
  <c r="B216" i="288" s="1"/>
  <c r="D216" i="288" s="1"/>
  <c r="E216" i="288" s="1"/>
  <c r="D66" i="288"/>
  <c r="E66" i="288" s="1"/>
  <c r="C62" i="288"/>
  <c r="C38" i="394"/>
  <c r="C64" i="288"/>
  <c r="L3" i="404"/>
  <c r="W2" i="501" s="1"/>
  <c r="X2" i="501" s="1"/>
  <c r="C86" i="288"/>
  <c r="L8" i="404"/>
  <c r="W7" i="501" s="1"/>
  <c r="C73" i="394"/>
  <c r="D33" i="288"/>
  <c r="E33" i="288" s="1"/>
  <c r="H93" i="268"/>
  <c r="C45" i="288" s="1"/>
  <c r="L16" i="404"/>
  <c r="W13" i="501" s="1"/>
  <c r="X13" i="501" s="1"/>
  <c r="L26" i="404"/>
  <c r="W23" i="501" s="1"/>
  <c r="D77" i="288"/>
  <c r="E77" i="288" s="1"/>
  <c r="C117" i="288"/>
  <c r="C43" i="288"/>
  <c r="D78" i="288"/>
  <c r="E78" i="288" s="1"/>
  <c r="H66" i="268"/>
  <c r="C34" i="288" s="1"/>
  <c r="D19" i="288"/>
  <c r="E19" i="288" s="1"/>
  <c r="C164" i="288"/>
  <c r="H176" i="432"/>
  <c r="H34" i="268"/>
  <c r="K97" i="502" s="1"/>
  <c r="C38" i="288"/>
  <c r="D38" i="288" s="1"/>
  <c r="E38" i="288" s="1"/>
  <c r="H71" i="268"/>
  <c r="D67" i="288"/>
  <c r="E67" i="288" s="1"/>
  <c r="D68" i="288"/>
  <c r="E68" i="288" s="1"/>
  <c r="B3" i="392"/>
  <c r="B2" i="392" s="1"/>
  <c r="H80" i="268"/>
  <c r="C40" i="288" s="1"/>
  <c r="C28" i="288"/>
  <c r="D28" i="288" s="1"/>
  <c r="E28" i="288" s="1"/>
  <c r="H17" i="268"/>
  <c r="L11" i="404"/>
  <c r="W10" i="501" s="1"/>
  <c r="D69" i="288"/>
  <c r="E69" i="288" s="1"/>
  <c r="H133" i="268"/>
  <c r="E50" i="268"/>
  <c r="E50" i="432" s="1"/>
  <c r="E34" i="432"/>
  <c r="H150" i="268"/>
  <c r="C113" i="288"/>
  <c r="D17" i="288"/>
  <c r="E17" i="288" s="1"/>
  <c r="D21" i="288"/>
  <c r="E21" i="288" s="1"/>
  <c r="C44" i="394"/>
  <c r="C74" i="288"/>
  <c r="C161" i="288"/>
  <c r="E168" i="268"/>
  <c r="E168" i="432" s="1"/>
  <c r="E169" i="432"/>
  <c r="C65" i="394"/>
  <c r="K84" i="502"/>
  <c r="K89" i="502" s="1"/>
  <c r="E150" i="268"/>
  <c r="E150" i="432" s="1"/>
  <c r="E144" i="432"/>
  <c r="E175" i="268"/>
  <c r="E175" i="432" s="1"/>
  <c r="E176" i="432"/>
  <c r="D19" i="355"/>
  <c r="D15" i="355" s="1"/>
  <c r="H214" i="432"/>
  <c r="H213" i="432" s="1"/>
  <c r="C61" i="288"/>
  <c r="C62" i="394"/>
  <c r="C31" i="394"/>
  <c r="H170" i="432"/>
  <c r="K2" i="502"/>
  <c r="K31" i="502" s="1"/>
  <c r="K365" i="502"/>
  <c r="C59" i="288"/>
  <c r="H50" i="268"/>
  <c r="H176" i="268"/>
  <c r="H175" i="268" s="1"/>
  <c r="B22" i="392"/>
  <c r="B251" i="288"/>
  <c r="D251" i="288" s="1"/>
  <c r="E251" i="288" s="1"/>
  <c r="B232" i="288"/>
  <c r="D232" i="288" s="1"/>
  <c r="E232" i="288" s="1"/>
  <c r="C35" i="394"/>
  <c r="C116" i="288"/>
  <c r="C34" i="404"/>
  <c r="B94" i="288"/>
  <c r="D94" i="288" s="1"/>
  <c r="E94" i="288" s="1"/>
  <c r="C35" i="406"/>
  <c r="D35" i="406" s="1"/>
  <c r="B30" i="281"/>
  <c r="B82" i="288" s="1"/>
  <c r="C13" i="288"/>
  <c r="B164" i="288"/>
  <c r="C35" i="404"/>
  <c r="C63" i="288"/>
  <c r="H29" i="432"/>
  <c r="H31" i="432" s="1"/>
  <c r="E5" i="93"/>
  <c r="E2" i="93"/>
  <c r="E3" i="93"/>
  <c r="E4" i="93"/>
  <c r="E6" i="93"/>
  <c r="C30" i="281"/>
  <c r="C82" i="288" s="1"/>
  <c r="D57" i="288"/>
  <c r="E57" i="288" s="1"/>
  <c r="D58" i="288"/>
  <c r="E58" i="288" s="1"/>
  <c r="P17" i="501"/>
  <c r="U17" i="501"/>
  <c r="V17" i="501" s="1"/>
  <c r="A2" i="501"/>
  <c r="A9" i="501"/>
  <c r="X9" i="501"/>
  <c r="A8" i="501"/>
  <c r="X8" i="501"/>
  <c r="A17" i="501"/>
  <c r="B15" i="404"/>
  <c r="L20" i="404"/>
  <c r="W17" i="501" s="1"/>
  <c r="X17" i="501" s="1"/>
  <c r="P3" i="500"/>
  <c r="A3" i="500" s="1"/>
  <c r="P3" i="501"/>
  <c r="P7" i="501"/>
  <c r="P23" i="501"/>
  <c r="P6" i="501"/>
  <c r="P18" i="501"/>
  <c r="P27" i="501"/>
  <c r="P19" i="501"/>
  <c r="P10" i="501"/>
  <c r="P24" i="501"/>
  <c r="P6" i="500"/>
  <c r="A6" i="500" s="1"/>
  <c r="P13" i="500"/>
  <c r="A13" i="500" s="1"/>
  <c r="B27" i="288"/>
  <c r="D27" i="288" s="1"/>
  <c r="E27" i="288" s="1"/>
  <c r="H84" i="268"/>
  <c r="B26" i="288"/>
  <c r="D26" i="288" s="1"/>
  <c r="E26" i="288" s="1"/>
  <c r="B145" i="288"/>
  <c r="D145" i="288" s="1"/>
  <c r="E145" i="288" s="1"/>
  <c r="B60" i="288"/>
  <c r="D60" i="288" s="1"/>
  <c r="E60" i="288" s="1"/>
  <c r="C43" i="394"/>
  <c r="B10" i="288"/>
  <c r="D10" i="288" s="1"/>
  <c r="E10" i="288" s="1"/>
  <c r="B79" i="288"/>
  <c r="D79" i="288" s="1"/>
  <c r="E79" i="288" s="1"/>
  <c r="B51" i="288"/>
  <c r="D51" i="288" s="1"/>
  <c r="E51" i="288" s="1"/>
  <c r="B50" i="288"/>
  <c r="D50" i="288" s="1"/>
  <c r="E50" i="288" s="1"/>
  <c r="B89" i="288"/>
  <c r="D89" i="288" s="1"/>
  <c r="E89" i="288" s="1"/>
  <c r="H213" i="268"/>
  <c r="B39" i="288"/>
  <c r="D39" i="288" s="1"/>
  <c r="E39" i="288" s="1"/>
  <c r="G106" i="268"/>
  <c r="B81" i="288"/>
  <c r="D81" i="288" s="1"/>
  <c r="E81" i="288" s="1"/>
  <c r="B76" i="288"/>
  <c r="B86" i="288"/>
  <c r="B143" i="288"/>
  <c r="D143" i="288" s="1"/>
  <c r="E143" i="288" s="1"/>
  <c r="B93" i="288"/>
  <c r="B161" i="288"/>
  <c r="B47" i="288"/>
  <c r="D47" i="288" s="1"/>
  <c r="E47" i="288" s="1"/>
  <c r="B59" i="288"/>
  <c r="B14" i="392"/>
  <c r="B4" i="400"/>
  <c r="B92" i="288"/>
  <c r="D92" i="288" s="1"/>
  <c r="E92" i="288" s="1"/>
  <c r="B80" i="288"/>
  <c r="D80" i="288" s="1"/>
  <c r="E80" i="288" s="1"/>
  <c r="N30" i="404"/>
  <c r="C23" i="406"/>
  <c r="E23" i="406" s="1"/>
  <c r="B17" i="403" s="1"/>
  <c r="G232" i="268"/>
  <c r="B148" i="288"/>
  <c r="D148" i="288" s="1"/>
  <c r="E148" i="288" s="1"/>
  <c r="B11" i="288"/>
  <c r="D11" i="288" s="1"/>
  <c r="E11" i="288" s="1"/>
  <c r="F108" i="266"/>
  <c r="C14" i="288"/>
  <c r="C49" i="394"/>
  <c r="B37" i="399"/>
  <c r="B47" i="399" s="1"/>
  <c r="B48" i="399" s="1"/>
  <c r="B162" i="288"/>
  <c r="D162" i="288" s="1"/>
  <c r="E162" i="288" s="1"/>
  <c r="B144" i="288"/>
  <c r="D144" i="288" s="1"/>
  <c r="E144" i="288" s="1"/>
  <c r="B3" i="401"/>
  <c r="B5" i="401" s="1"/>
  <c r="C24" i="406"/>
  <c r="E24" i="406" s="1"/>
  <c r="B18" i="403" s="1"/>
  <c r="C55" i="281"/>
  <c r="B108" i="288"/>
  <c r="D108" i="288" s="1"/>
  <c r="E108" i="288" s="1"/>
  <c r="B166" i="288"/>
  <c r="D166" i="288" s="1"/>
  <c r="E166" i="288" s="1"/>
  <c r="B159" i="288"/>
  <c r="D159" i="288" s="1"/>
  <c r="E159" i="288" s="1"/>
  <c r="H34" i="432"/>
  <c r="H50" i="432" s="1"/>
  <c r="B35" i="288"/>
  <c r="D35" i="288" s="1"/>
  <c r="E35" i="288" s="1"/>
  <c r="B111" i="288"/>
  <c r="D111" i="288" s="1"/>
  <c r="E111" i="288" s="1"/>
  <c r="G234" i="266"/>
  <c r="B116" i="288"/>
  <c r="B62" i="288"/>
  <c r="D62" i="288" s="1"/>
  <c r="E62" i="288" s="1"/>
  <c r="J18" i="286"/>
  <c r="J17" i="286" s="1"/>
  <c r="B56" i="288"/>
  <c r="D56" i="288" s="1"/>
  <c r="E56" i="288" s="1"/>
  <c r="B63" i="288"/>
  <c r="H3" i="432"/>
  <c r="D117" i="288"/>
  <c r="E117" i="288" s="1"/>
  <c r="H175" i="432"/>
  <c r="C42" i="288"/>
  <c r="H169" i="268"/>
  <c r="C130" i="288" s="1"/>
  <c r="B113" i="288"/>
  <c r="B12" i="288"/>
  <c r="D12" i="288" s="1"/>
  <c r="E12" i="288" s="1"/>
  <c r="B64" i="288"/>
  <c r="B61" i="288"/>
  <c r="D61" i="288" s="1"/>
  <c r="E61" i="288" s="1"/>
  <c r="B74" i="288"/>
  <c r="B91" i="288"/>
  <c r="D91" i="288" s="1"/>
  <c r="E91" i="288" s="1"/>
  <c r="B70" i="288"/>
  <c r="D70" i="288" s="1"/>
  <c r="E70" i="288" s="1"/>
  <c r="G108" i="266"/>
  <c r="B43" i="288"/>
  <c r="B49" i="288"/>
  <c r="D49" i="288" s="1"/>
  <c r="E49" i="288" s="1"/>
  <c r="B65" i="288"/>
  <c r="D65" i="288" s="1"/>
  <c r="E65" i="288" s="1"/>
  <c r="G212" i="268"/>
  <c r="G234" i="268" s="1"/>
  <c r="D179" i="288"/>
  <c r="E179" i="288" s="1"/>
  <c r="B154" i="288"/>
  <c r="D154" i="288" s="1"/>
  <c r="E154" i="288" s="1"/>
  <c r="B153" i="288"/>
  <c r="D153" i="288" s="1"/>
  <c r="E153" i="288" s="1"/>
  <c r="E201" i="268"/>
  <c r="B2" i="406"/>
  <c r="D17" i="406" s="1"/>
  <c r="E17" i="406" s="1"/>
  <c r="B11" i="403" s="1"/>
  <c r="H169" i="432"/>
  <c r="H168" i="432" s="1"/>
  <c r="H135" i="266"/>
  <c r="H108" i="432"/>
  <c r="H133" i="432" s="1"/>
  <c r="H146" i="266"/>
  <c r="H152" i="266" s="1"/>
  <c r="H142" i="432"/>
  <c r="H144" i="432" s="1"/>
  <c r="H71" i="266"/>
  <c r="H68" i="432"/>
  <c r="H71" i="432" s="1"/>
  <c r="H14" i="266"/>
  <c r="H12" i="432"/>
  <c r="H14" i="432" s="1"/>
  <c r="H84" i="266"/>
  <c r="H81" i="432"/>
  <c r="H84" i="432" s="1"/>
  <c r="H66" i="266"/>
  <c r="H64" i="432"/>
  <c r="H66" i="432" s="1"/>
  <c r="N9" i="404"/>
  <c r="N10" i="404"/>
  <c r="H53" i="266"/>
  <c r="H51" i="432"/>
  <c r="H53" i="432" s="1"/>
  <c r="H103" i="266"/>
  <c r="H99" i="432"/>
  <c r="H101" i="432" s="1"/>
  <c r="B13" i="392"/>
  <c r="H136" i="432"/>
  <c r="C3" i="394"/>
  <c r="H15" i="432"/>
  <c r="H17" i="432" s="1"/>
  <c r="H99" i="266"/>
  <c r="H94" i="432"/>
  <c r="H97" i="432" s="1"/>
  <c r="H28" i="266"/>
  <c r="H26" i="432"/>
  <c r="H28" i="432" s="1"/>
  <c r="H238" i="432"/>
  <c r="H240" i="432" s="1"/>
  <c r="H59" i="432"/>
  <c r="H95" i="266"/>
  <c r="H90" i="432"/>
  <c r="H93" i="432" s="1"/>
  <c r="H80" i="266"/>
  <c r="H77" i="432"/>
  <c r="H80" i="432" s="1"/>
  <c r="H74" i="266"/>
  <c r="H72" i="432"/>
  <c r="H74" i="432" s="1"/>
  <c r="D168" i="288"/>
  <c r="E168" i="288" s="1"/>
  <c r="D11" i="397"/>
  <c r="C19" i="355"/>
  <c r="C15" i="355" s="1"/>
  <c r="M25" i="286"/>
  <c r="O25" i="286" s="1"/>
  <c r="B102" i="288"/>
  <c r="D102" i="288" s="1"/>
  <c r="E102" i="288" s="1"/>
  <c r="H153" i="432"/>
  <c r="H25" i="266"/>
  <c r="H23" i="432"/>
  <c r="H25" i="432" s="1"/>
  <c r="B160" i="288"/>
  <c r="D160" i="288" s="1"/>
  <c r="E160" i="288" s="1"/>
  <c r="B115" i="288"/>
  <c r="D115" i="288" s="1"/>
  <c r="E115" i="288" s="1"/>
  <c r="E151" i="268"/>
  <c r="E151" i="432" s="1"/>
  <c r="B42" i="288"/>
  <c r="N21" i="404"/>
  <c r="N11" i="404"/>
  <c r="N26" i="404"/>
  <c r="N8" i="404"/>
  <c r="D24" i="288"/>
  <c r="E24" i="288" s="1"/>
  <c r="N22" i="404"/>
  <c r="B5" i="404"/>
  <c r="U4" i="501" s="1"/>
  <c r="V4" i="501" s="1"/>
  <c r="F106" i="268"/>
  <c r="D44" i="288"/>
  <c r="E44" i="288" s="1"/>
  <c r="C76" i="288"/>
  <c r="E105" i="268"/>
  <c r="E105" i="432" s="1"/>
  <c r="C37" i="288"/>
  <c r="N3" i="404"/>
  <c r="L7" i="404"/>
  <c r="E57" i="268"/>
  <c r="E57" i="432" s="1"/>
  <c r="N27" i="404"/>
  <c r="L4" i="404"/>
  <c r="D95" i="288"/>
  <c r="E95" i="288" s="1"/>
  <c r="B6" i="404"/>
  <c r="U5" i="501" s="1"/>
  <c r="V5" i="501" s="1"/>
  <c r="D15" i="288"/>
  <c r="E15" i="288" s="1"/>
  <c r="G214" i="266"/>
  <c r="G236" i="266" s="1"/>
  <c r="C48" i="288"/>
  <c r="H57" i="268"/>
  <c r="D147" i="288"/>
  <c r="E147" i="288" s="1"/>
  <c r="H151" i="268"/>
  <c r="H215" i="266"/>
  <c r="H7" i="286"/>
  <c r="N16" i="404"/>
  <c r="B178" i="288"/>
  <c r="B50" i="282"/>
  <c r="C260" i="288"/>
  <c r="C21" i="394"/>
  <c r="H62" i="266"/>
  <c r="H177" i="266"/>
  <c r="C7" i="394"/>
  <c r="E57" i="266"/>
  <c r="E153" i="266"/>
  <c r="H31" i="266"/>
  <c r="C13" i="394"/>
  <c r="E107" i="266"/>
  <c r="H3" i="266"/>
  <c r="H34" i="266"/>
  <c r="K96" i="502" s="1"/>
  <c r="K130" i="502" s="1"/>
  <c r="B23" i="288"/>
  <c r="D23" i="288" s="1"/>
  <c r="E23" i="288" s="1"/>
  <c r="H17" i="266"/>
  <c r="L18" i="286"/>
  <c r="L17" i="286" s="1"/>
  <c r="C16" i="288"/>
  <c r="D16" i="288" s="1"/>
  <c r="E16" i="288" s="1"/>
  <c r="C53" i="394"/>
  <c r="C178" i="288"/>
  <c r="C50" i="282"/>
  <c r="J17" i="287"/>
  <c r="F241" i="268"/>
  <c r="F248" i="268" s="1"/>
  <c r="F253" i="268" s="1"/>
  <c r="F212" i="268"/>
  <c r="F234" i="268" s="1"/>
  <c r="F232" i="268"/>
  <c r="L18" i="287"/>
  <c r="L17" i="287" s="1"/>
  <c r="C84" i="288"/>
  <c r="D84" i="288" s="1"/>
  <c r="E84" i="288" s="1"/>
  <c r="C7" i="288"/>
  <c r="C32" i="288"/>
  <c r="E170" i="266"/>
  <c r="E203" i="266" s="1"/>
  <c r="E206" i="266" s="1"/>
  <c r="E208" i="266" s="1"/>
  <c r="F243" i="266"/>
  <c r="F250" i="266" s="1"/>
  <c r="F255" i="266" s="1"/>
  <c r="F214" i="266"/>
  <c r="H170" i="266"/>
  <c r="H242" i="266"/>
  <c r="D161" i="288" l="1"/>
  <c r="E161" i="288" s="1"/>
  <c r="D113" i="288"/>
  <c r="E113" i="288" s="1"/>
  <c r="D86" i="288"/>
  <c r="E86" i="288" s="1"/>
  <c r="D43" i="288"/>
  <c r="E43" i="288" s="1"/>
  <c r="D64" i="288"/>
  <c r="E64" i="288" s="1"/>
  <c r="D164" i="288"/>
  <c r="E164" i="288" s="1"/>
  <c r="X23" i="501"/>
  <c r="C36" i="288"/>
  <c r="D74" i="288"/>
  <c r="E74" i="288" s="1"/>
  <c r="B5" i="400"/>
  <c r="B9" i="400" s="1"/>
  <c r="B10" i="400" s="1"/>
  <c r="B11" i="400" s="1"/>
  <c r="C93" i="288"/>
  <c r="D93" i="288"/>
  <c r="E93" i="288" s="1"/>
  <c r="E204" i="268"/>
  <c r="E201" i="432"/>
  <c r="D116" i="288"/>
  <c r="E116" i="288" s="1"/>
  <c r="E35" i="406"/>
  <c r="B29" i="403" s="1"/>
  <c r="C36" i="404"/>
  <c r="D59" i="288"/>
  <c r="E59" i="288" s="1"/>
  <c r="B55" i="283"/>
  <c r="B56" i="283" s="1"/>
  <c r="B252" i="288"/>
  <c r="D252" i="288" s="1"/>
  <c r="E252" i="288" s="1"/>
  <c r="K224" i="502"/>
  <c r="K228" i="502" s="1"/>
  <c r="B27" i="283" s="1"/>
  <c r="C135" i="288"/>
  <c r="B243" i="288"/>
  <c r="D243" i="288" s="1"/>
  <c r="E243" i="288" s="1"/>
  <c r="B236" i="288"/>
  <c r="D236" i="288" s="1"/>
  <c r="E236" i="288" s="1"/>
  <c r="D63" i="288"/>
  <c r="E63" i="288" s="1"/>
  <c r="B259" i="288"/>
  <c r="D259" i="288" s="1"/>
  <c r="E259" i="288" s="1"/>
  <c r="D82" i="288"/>
  <c r="E82" i="288" s="1"/>
  <c r="E7" i="93"/>
  <c r="C53" i="280"/>
  <c r="C53" i="288" s="1"/>
  <c r="B31" i="288"/>
  <c r="D31" i="288" s="1"/>
  <c r="E31"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D76" i="288"/>
  <c r="E76" i="288" s="1"/>
  <c r="B130" i="288"/>
  <c r="D130" i="288" s="1"/>
  <c r="E130" i="288" s="1"/>
  <c r="D18" i="406"/>
  <c r="E18" i="406" s="1"/>
  <c r="B12" i="403" s="1"/>
  <c r="B11" i="392"/>
  <c r="B23" i="392" s="1"/>
  <c r="B2" i="282"/>
  <c r="B129" i="288" s="1"/>
  <c r="H201" i="432"/>
  <c r="H204" i="432" s="1"/>
  <c r="H206" i="432" s="1"/>
  <c r="H241" i="432" s="1"/>
  <c r="H248" i="432" s="1"/>
  <c r="H253" i="432" s="1"/>
  <c r="H163" i="432" s="1"/>
  <c r="H164" i="432" s="1"/>
  <c r="H166" i="432" s="1"/>
  <c r="C107" i="288"/>
  <c r="C34" i="394"/>
  <c r="B48" i="281"/>
  <c r="B55" i="281" s="1"/>
  <c r="B2" i="404"/>
  <c r="L2" i="404" s="1"/>
  <c r="D42" i="288"/>
  <c r="E42" i="288" s="1"/>
  <c r="C2" i="282"/>
  <c r="C129" i="288" s="1"/>
  <c r="H150" i="432"/>
  <c r="H151" i="432" s="1"/>
  <c r="C45" i="281"/>
  <c r="C46" i="281" s="1"/>
  <c r="C98" i="288" s="1"/>
  <c r="D178" i="288"/>
  <c r="E178" i="288" s="1"/>
  <c r="H168" i="268"/>
  <c r="H201" i="268" s="1"/>
  <c r="H204" i="268" s="1"/>
  <c r="H206" i="268" s="1"/>
  <c r="C90" i="288"/>
  <c r="B18" i="356"/>
  <c r="D18" i="356" s="1"/>
  <c r="H57" i="432"/>
  <c r="H105" i="432"/>
  <c r="B85" i="288"/>
  <c r="D85" i="288" s="1"/>
  <c r="E85" i="288" s="1"/>
  <c r="H153" i="266"/>
  <c r="H107" i="266"/>
  <c r="H50" i="266"/>
  <c r="H57" i="266" s="1"/>
  <c r="H203" i="266"/>
  <c r="H212" i="268"/>
  <c r="H234" i="268" s="1"/>
  <c r="N7" i="287" s="1"/>
  <c r="E106" i="268"/>
  <c r="E106" i="432" s="1"/>
  <c r="L6" i="404"/>
  <c r="C20" i="288"/>
  <c r="C26" i="280"/>
  <c r="C29" i="288" s="1"/>
  <c r="C2" i="394"/>
  <c r="B49" i="282"/>
  <c r="B176" i="288" s="1"/>
  <c r="B177" i="288"/>
  <c r="B32" i="288"/>
  <c r="D32" i="288" s="1"/>
  <c r="E32" i="288" s="1"/>
  <c r="E108" i="266"/>
  <c r="M18" i="286"/>
  <c r="O18" i="286" s="1"/>
  <c r="J7" i="286"/>
  <c r="M17" i="286"/>
  <c r="O17" i="286" s="1"/>
  <c r="B135" i="288"/>
  <c r="B7" i="282"/>
  <c r="B134" i="288" s="1"/>
  <c r="C22" i="288"/>
  <c r="C49" i="282"/>
  <c r="C176" i="288" s="1"/>
  <c r="C177" i="288"/>
  <c r="M18" i="287"/>
  <c r="O18" i="287" s="1"/>
  <c r="J7" i="287"/>
  <c r="M17" i="287"/>
  <c r="O17" i="287" s="1"/>
  <c r="F236" i="266"/>
  <c r="H214" i="266"/>
  <c r="H212" i="432" s="1"/>
  <c r="H234" i="432" s="1"/>
  <c r="E213" i="266"/>
  <c r="E234" i="266"/>
  <c r="E206" i="268" l="1"/>
  <c r="E204" i="432"/>
  <c r="C7" i="282"/>
  <c r="C36" i="282" s="1"/>
  <c r="E235" i="266"/>
  <c r="E243" i="266"/>
  <c r="E250" i="266" s="1"/>
  <c r="E255" i="266" s="1"/>
  <c r="E165" i="266" s="1"/>
  <c r="E166" i="266" s="1"/>
  <c r="E168" i="266" s="1"/>
  <c r="E169" i="266" s="1"/>
  <c r="E256" i="266" s="1"/>
  <c r="B255" i="288"/>
  <c r="D255" i="288" s="1"/>
  <c r="E255" i="288" s="1"/>
  <c r="K388" i="502"/>
  <c r="B28" i="283"/>
  <c r="B227" i="288"/>
  <c r="D227" i="288" s="1"/>
  <c r="E227" i="288" s="1"/>
  <c r="B17" i="283"/>
  <c r="B217" i="288" s="1"/>
  <c r="D217" i="288" s="1"/>
  <c r="E217" i="288" s="1"/>
  <c r="B203" i="288"/>
  <c r="D203" i="288" s="1"/>
  <c r="E203" i="288" s="1"/>
  <c r="B218" i="288"/>
  <c r="D218" i="288" s="1"/>
  <c r="E218" i="288" s="1"/>
  <c r="B256" i="288"/>
  <c r="D256" i="288" s="1"/>
  <c r="E256" i="288" s="1"/>
  <c r="B53" i="280"/>
  <c r="B53" i="288" s="1"/>
  <c r="D53" i="288" s="1"/>
  <c r="E53" i="288" s="1"/>
  <c r="B9" i="356"/>
  <c r="D9" i="356" s="1"/>
  <c r="L31" i="404"/>
  <c r="N5" i="404"/>
  <c r="W4" i="501"/>
  <c r="X4" i="501" s="1"/>
  <c r="N6" i="404"/>
  <c r="W5" i="501"/>
  <c r="X5" i="501" s="1"/>
  <c r="A4" i="501"/>
  <c r="A5" i="501"/>
  <c r="C172" i="288"/>
  <c r="D41" i="406"/>
  <c r="E41" i="406" s="1"/>
  <c r="B35" i="403" s="1"/>
  <c r="P28" i="501" s="1"/>
  <c r="A28" i="501" s="1"/>
  <c r="H167" i="432"/>
  <c r="D176" i="288"/>
  <c r="E176" i="288" s="1"/>
  <c r="B10" i="356"/>
  <c r="D10" i="356" s="1"/>
  <c r="H232" i="432"/>
  <c r="B100" i="288"/>
  <c r="D100" i="288" s="1"/>
  <c r="E100" i="288" s="1"/>
  <c r="D129" i="288"/>
  <c r="E129" i="288" s="1"/>
  <c r="B31" i="404"/>
  <c r="C54" i="280"/>
  <c r="C54" i="288" s="1"/>
  <c r="C97" i="288"/>
  <c r="H106" i="432"/>
  <c r="B14" i="288"/>
  <c r="D14" i="288" s="1"/>
  <c r="E14" i="288" s="1"/>
  <c r="B7" i="288"/>
  <c r="D7" i="288" s="1"/>
  <c r="E7" i="288" s="1"/>
  <c r="B20" i="288"/>
  <c r="D20" i="288" s="1"/>
  <c r="E20" i="288" s="1"/>
  <c r="D177" i="288"/>
  <c r="E177" i="288" s="1"/>
  <c r="B34" i="288"/>
  <c r="D34" i="288" s="1"/>
  <c r="E34" i="288" s="1"/>
  <c r="B90" i="288"/>
  <c r="D90" i="288" s="1"/>
  <c r="E90" i="288" s="1"/>
  <c r="B45" i="281"/>
  <c r="B48" i="288"/>
  <c r="D48" i="288" s="1"/>
  <c r="E48" i="288" s="1"/>
  <c r="B37" i="288"/>
  <c r="D37" i="288" s="1"/>
  <c r="E37" i="288" s="1"/>
  <c r="B25" i="288"/>
  <c r="D25" i="288" s="1"/>
  <c r="E25" i="288" s="1"/>
  <c r="B41" i="288"/>
  <c r="D41" i="288" s="1"/>
  <c r="E41" i="288" s="1"/>
  <c r="B40" i="288"/>
  <c r="D40" i="288" s="1"/>
  <c r="E40" i="288" s="1"/>
  <c r="B46" i="288"/>
  <c r="D46" i="288" s="1"/>
  <c r="E46" i="288" s="1"/>
  <c r="H108" i="266"/>
  <c r="B13" i="288"/>
  <c r="D13" i="288" s="1"/>
  <c r="E13" i="288" s="1"/>
  <c r="H211" i="432"/>
  <c r="H233" i="432" s="1"/>
  <c r="H206" i="266"/>
  <c r="B36" i="288"/>
  <c r="D36" i="288" s="1"/>
  <c r="E36" i="288" s="1"/>
  <c r="B45" i="288"/>
  <c r="D45" i="288" s="1"/>
  <c r="E45" i="288" s="1"/>
  <c r="B36" i="282"/>
  <c r="C2" i="397" s="1"/>
  <c r="C18" i="397" s="1"/>
  <c r="D135" i="288"/>
  <c r="E135" i="288" s="1"/>
  <c r="B107" i="288"/>
  <c r="D107" i="288" s="1"/>
  <c r="E107" i="288" s="1"/>
  <c r="H236" i="266"/>
  <c r="H241" i="268"/>
  <c r="H248" i="268" s="1"/>
  <c r="H253" i="268" s="1"/>
  <c r="H232" i="268"/>
  <c r="H211" i="268"/>
  <c r="H233" i="268" s="1"/>
  <c r="C134" i="288" l="1"/>
  <c r="D134" i="288" s="1"/>
  <c r="E134" i="288" s="1"/>
  <c r="E211" i="268"/>
  <c r="E206" i="432"/>
  <c r="E241" i="268"/>
  <c r="E232" i="268"/>
  <c r="E232" i="432" s="1"/>
  <c r="B29" i="283"/>
  <c r="B228" i="288"/>
  <c r="D228" i="288" s="1"/>
  <c r="E228" i="288" s="1"/>
  <c r="H163" i="268"/>
  <c r="H257" i="266"/>
  <c r="P28" i="500"/>
  <c r="A28" i="500" s="1"/>
  <c r="C70" i="282"/>
  <c r="C197" i="288" s="1"/>
  <c r="H254" i="432"/>
  <c r="B97" i="288"/>
  <c r="D97" i="288" s="1"/>
  <c r="E97" i="288" s="1"/>
  <c r="B46" i="281"/>
  <c r="H208" i="266"/>
  <c r="N7" i="286"/>
  <c r="B26" i="280"/>
  <c r="B22" i="288"/>
  <c r="D22" i="288" s="1"/>
  <c r="E22" i="288" s="1"/>
  <c r="B163" i="288"/>
  <c r="B20" i="356"/>
  <c r="D20" i="356" s="1"/>
  <c r="B4" i="356"/>
  <c r="D4" i="356" s="1"/>
  <c r="B40" i="282"/>
  <c r="B2" i="403" s="1"/>
  <c r="M8" i="287"/>
  <c r="O8" i="287" s="1"/>
  <c r="B172" i="288"/>
  <c r="D172" i="288" s="1"/>
  <c r="E172" i="288" s="1"/>
  <c r="B70" i="282"/>
  <c r="B197" i="288" s="1"/>
  <c r="C163" i="288"/>
  <c r="C40" i="282"/>
  <c r="B58" i="283" l="1"/>
  <c r="B60" i="283" s="1"/>
  <c r="E248" i="268"/>
  <c r="E241" i="432"/>
  <c r="E233" i="268"/>
  <c r="E233" i="432" s="1"/>
  <c r="E211" i="432"/>
  <c r="H164" i="268"/>
  <c r="H166" i="268" s="1"/>
  <c r="H167" i="268" s="1"/>
  <c r="H254" i="268" s="1"/>
  <c r="B229" i="288"/>
  <c r="D229" i="288" s="1"/>
  <c r="E229" i="288" s="1"/>
  <c r="B16" i="356"/>
  <c r="D16" i="356" s="1"/>
  <c r="D197" i="288"/>
  <c r="E197" i="288" s="1"/>
  <c r="B42" i="282"/>
  <c r="B54" i="280"/>
  <c r="B3" i="356" s="1"/>
  <c r="D3" i="356" s="1"/>
  <c r="B15" i="356"/>
  <c r="D15" i="356" s="1"/>
  <c r="B11" i="356"/>
  <c r="D11" i="356" s="1"/>
  <c r="B29" i="288"/>
  <c r="D29" i="288" s="1"/>
  <c r="E29" i="288" s="1"/>
  <c r="H234" i="266"/>
  <c r="H213" i="266"/>
  <c r="H243" i="266" s="1"/>
  <c r="B98" i="288"/>
  <c r="D98" i="288" s="1"/>
  <c r="E98" i="288" s="1"/>
  <c r="B17" i="356"/>
  <c r="D17" i="356" s="1"/>
  <c r="L7" i="287"/>
  <c r="M7" i="287" s="1"/>
  <c r="O7" i="287" s="1"/>
  <c r="D163" i="288"/>
  <c r="E163" i="288" s="1"/>
  <c r="B167" i="288"/>
  <c r="B6" i="356"/>
  <c r="D6" i="356" s="1"/>
  <c r="B3" i="406"/>
  <c r="D19" i="406" s="1"/>
  <c r="E19" i="406" s="1"/>
  <c r="B13" i="403" s="1"/>
  <c r="B14" i="356"/>
  <c r="D14" i="356" s="1"/>
  <c r="C167" i="288"/>
  <c r="C72" i="281"/>
  <c r="C9" i="397" s="1"/>
  <c r="C123" i="288"/>
  <c r="C42" i="282"/>
  <c r="E6" i="287"/>
  <c r="E34" i="287" s="1"/>
  <c r="E6" i="286" s="1"/>
  <c r="E34" i="286" s="1"/>
  <c r="J6" i="287"/>
  <c r="J34" i="287" s="1"/>
  <c r="M2" i="287"/>
  <c r="I6" i="287"/>
  <c r="I34" i="287" s="1"/>
  <c r="H6" i="287"/>
  <c r="H34" i="287" s="1"/>
  <c r="G6" i="287"/>
  <c r="G34" i="287" s="1"/>
  <c r="F6" i="287"/>
  <c r="F34" i="287" s="1"/>
  <c r="D6" i="287"/>
  <c r="D34" i="287" s="1"/>
  <c r="D6" i="286" s="1"/>
  <c r="D34" i="286" s="1"/>
  <c r="L6" i="287"/>
  <c r="K6" i="287"/>
  <c r="K34" i="287" s="1"/>
  <c r="C6" i="287"/>
  <c r="C34" i="287" s="1"/>
  <c r="B6" i="287"/>
  <c r="K6" i="286" l="1"/>
  <c r="K34" i="286" s="1"/>
  <c r="K2" i="286"/>
  <c r="J2" i="286"/>
  <c r="E253" i="268"/>
  <c r="E248" i="432"/>
  <c r="B258" i="288"/>
  <c r="D258" i="288" s="1"/>
  <c r="E258" i="288" s="1"/>
  <c r="K387" i="502"/>
  <c r="B5" i="356"/>
  <c r="D5" i="356" s="1"/>
  <c r="B3" i="403"/>
  <c r="L34" i="287"/>
  <c r="D167" i="288"/>
  <c r="E167" i="288" s="1"/>
  <c r="B47" i="282"/>
  <c r="B174" i="288" s="1"/>
  <c r="B44" i="282"/>
  <c r="C2" i="398" s="1"/>
  <c r="B7" i="356"/>
  <c r="D7" i="356" s="1"/>
  <c r="B175" i="273"/>
  <c r="B169" i="288"/>
  <c r="H250" i="266"/>
  <c r="B13" i="356"/>
  <c r="D13" i="356" s="1"/>
  <c r="B8" i="356"/>
  <c r="D8" i="356" s="1"/>
  <c r="B21" i="356"/>
  <c r="D21" i="356" s="1"/>
  <c r="B12" i="356"/>
  <c r="D12" i="356" s="1"/>
  <c r="B54" i="288"/>
  <c r="D54" i="288" s="1"/>
  <c r="E54" i="288" s="1"/>
  <c r="H235" i="266"/>
  <c r="D43" i="406"/>
  <c r="E43" i="406" s="1"/>
  <c r="B37" i="403" s="1"/>
  <c r="M6" i="287"/>
  <c r="D2" i="355" s="1"/>
  <c r="F6" i="286"/>
  <c r="F34" i="286" s="1"/>
  <c r="B34" i="287"/>
  <c r="B6" i="286" s="1"/>
  <c r="C5" i="398" s="1"/>
  <c r="C74" i="281"/>
  <c r="C124" i="288"/>
  <c r="C47" i="282"/>
  <c r="C174" i="288" s="1"/>
  <c r="C169" i="288"/>
  <c r="C44" i="282"/>
  <c r="C6" i="286"/>
  <c r="C34" i="286" s="1"/>
  <c r="H6" i="286"/>
  <c r="H34" i="286" s="1"/>
  <c r="I6" i="286"/>
  <c r="I34" i="286" s="1"/>
  <c r="G6" i="286"/>
  <c r="G34" i="286" s="1"/>
  <c r="J6" i="286"/>
  <c r="J34" i="286" s="1"/>
  <c r="L2" i="286" l="1"/>
  <c r="E163" i="268"/>
  <c r="E253" i="432"/>
  <c r="B260" i="288"/>
  <c r="D260" i="288" s="1"/>
  <c r="E260" i="288" s="1"/>
  <c r="B2" i="504"/>
  <c r="B6" i="504" s="1"/>
  <c r="B2" i="261"/>
  <c r="B171" i="273" s="1"/>
  <c r="P29" i="501"/>
  <c r="A29" i="501" s="1"/>
  <c r="B24" i="403"/>
  <c r="B44" i="403" s="1"/>
  <c r="B45" i="403" s="1"/>
  <c r="P29" i="500"/>
  <c r="A29" i="500" s="1"/>
  <c r="C3" i="397"/>
  <c r="C5" i="397" s="1"/>
  <c r="B69" i="282"/>
  <c r="B68" i="282" s="1"/>
  <c r="B195" i="288" s="1"/>
  <c r="B171" i="288"/>
  <c r="D174" i="288"/>
  <c r="E174" i="288" s="1"/>
  <c r="D169" i="288"/>
  <c r="E169" i="288" s="1"/>
  <c r="L7" i="286"/>
  <c r="M7" i="286" s="1"/>
  <c r="O7" i="286" s="1"/>
  <c r="M8" i="286"/>
  <c r="O8" i="286" s="1"/>
  <c r="H255" i="266"/>
  <c r="M34" i="287"/>
  <c r="D3" i="355" s="1"/>
  <c r="D21" i="355" s="1"/>
  <c r="D22" i="355" s="1"/>
  <c r="M2" i="286"/>
  <c r="C4" i="398"/>
  <c r="C20" i="398"/>
  <c r="C14" i="398"/>
  <c r="C126" i="288"/>
  <c r="C75" i="281"/>
  <c r="C69" i="282"/>
  <c r="C171" i="288"/>
  <c r="B34" i="286"/>
  <c r="L6" i="286" l="1"/>
  <c r="M6" i="286" s="1"/>
  <c r="C2" i="355" s="1"/>
  <c r="E164" i="268"/>
  <c r="E163" i="432"/>
  <c r="B11" i="261"/>
  <c r="D171" i="288"/>
  <c r="E171" i="288" s="1"/>
  <c r="B196" i="288"/>
  <c r="H165" i="266"/>
  <c r="B46" i="403"/>
  <c r="C19" i="397"/>
  <c r="C21" i="398"/>
  <c r="C15" i="398"/>
  <c r="C127" i="288"/>
  <c r="C68" i="282"/>
  <c r="C195" i="288" s="1"/>
  <c r="D195" i="288" s="1"/>
  <c r="E195" i="288" s="1"/>
  <c r="C196" i="288"/>
  <c r="L34" i="286" l="1"/>
  <c r="M34" i="286" s="1"/>
  <c r="C3" i="355" s="1"/>
  <c r="C21" i="355" s="1"/>
  <c r="C22" i="355" s="1"/>
  <c r="B19" i="356" s="1"/>
  <c r="D19" i="356" s="1"/>
  <c r="E166" i="268"/>
  <c r="E164" i="432"/>
  <c r="P32" i="501"/>
  <c r="A32" i="501" s="1"/>
  <c r="P32" i="500"/>
  <c r="A32" i="500" s="1"/>
  <c r="B48" i="403"/>
  <c r="B50" i="403" s="1"/>
  <c r="D196" i="288"/>
  <c r="E196" i="288" s="1"/>
  <c r="H166" i="266"/>
  <c r="O2" i="287"/>
  <c r="N6" i="287"/>
  <c r="O6" i="287" s="1"/>
  <c r="B168" i="273" l="1"/>
  <c r="B169" i="273"/>
  <c r="E167" i="268"/>
  <c r="E166" i="432"/>
  <c r="B52" i="403"/>
  <c r="H168" i="266"/>
  <c r="B72" i="281"/>
  <c r="B123" i="288"/>
  <c r="D123" i="288" s="1"/>
  <c r="E123" i="288" s="1"/>
  <c r="N34" i="287"/>
  <c r="N2" i="286" l="1"/>
  <c r="O2" i="286" s="1"/>
  <c r="E167" i="432"/>
  <c r="E254" i="268"/>
  <c r="O34" i="287"/>
  <c r="C6" i="397"/>
  <c r="B124" i="288"/>
  <c r="D124" i="288" s="1"/>
  <c r="E124" i="288" s="1"/>
  <c r="C7" i="289"/>
  <c r="A13" i="289" s="1"/>
  <c r="E13" i="289" s="1"/>
  <c r="C17" i="289" s="1"/>
  <c r="B74" i="281"/>
  <c r="H169" i="266"/>
  <c r="N6" i="286" l="1"/>
  <c r="N34" i="286" s="1"/>
  <c r="O6" i="286"/>
  <c r="B27" i="289"/>
  <c r="E27" i="289" s="1"/>
  <c r="C30" i="289" s="1"/>
  <c r="B41" i="289"/>
  <c r="E41" i="289" s="1"/>
  <c r="C42" i="289" s="1"/>
  <c r="B40" i="289"/>
  <c r="E40" i="289" s="1"/>
  <c r="H256" i="266"/>
  <c r="E254" i="432"/>
  <c r="C7" i="397"/>
  <c r="C8" i="397"/>
  <c r="B126" i="288"/>
  <c r="D126" i="288" s="1"/>
  <c r="E126" i="288" s="1"/>
  <c r="B75" i="281"/>
  <c r="B2" i="356"/>
  <c r="D2" i="356" s="1"/>
  <c r="O34" i="286"/>
  <c r="B127" i="288" l="1"/>
  <c r="D127" i="288" s="1"/>
  <c r="E127" i="28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<sst xmlns="http://schemas.openxmlformats.org/spreadsheetml/2006/main" count="13045" uniqueCount="5687">
  <si>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</si>
  <si>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</si>
  <si>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</si>
  <si>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</si>
  <si>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</si>
  <si>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</si>
  <si>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</si>
  <si>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</si>
  <si>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</si>
  <si>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</si>
  <si>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</si>
  <si>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</si>
  <si>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</si>
  <si>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</si>
  <si>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</si>
  <si>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</si>
  <si>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</si>
  <si>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</si>
  <si>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</si>
  <si>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</si>
  <si>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</si>
  <si>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</si>
  <si>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</si>
  <si>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</si>
  <si>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</si>
  <si>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</si>
  <si>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</si>
  <si>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</si>
  <si>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</si>
  <si>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</si>
  <si>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</si>
  <si>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</si>
  <si>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</si>
  <si>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</si>
  <si>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</si>
  <si>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</si>
  <si>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</si>
  <si>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</si>
  <si>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</si>
  <si>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</si>
  <si>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</si>
  <si>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</si>
  <si>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</si>
  <si>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</si>
  <si>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</si>
  <si>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</si>
  <si>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</si>
  <si>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</si>
  <si>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</si>
  <si>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</si>
  <si>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</si>
  <si>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</si>
  <si>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</si>
  <si>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</si>
  <si>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</si>
  <si>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</si>
  <si>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</si>
  <si>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</si>
  <si>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</si>
  <si>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</si>
  <si>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</si>
  <si>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</si>
  <si>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</si>
  <si>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</si>
  <si>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</si>
  <si>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</si>
  <si>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</si>
  <si>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</si>
  <si>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</si>
  <si>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</si>
  <si>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</si>
  <si>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</si>
  <si>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</si>
  <si>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</si>
  <si>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</si>
  <si>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</si>
  <si>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</si>
  <si>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</si>
  <si>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</si>
  <si>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</si>
  <si>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</si>
  <si>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</si>
  <si>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</si>
  <si>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</si>
  <si>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</si>
  <si>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</si>
  <si>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</si>
  <si>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</si>
  <si>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</si>
  <si>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</si>
  <si>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</si>
  <si>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</si>
  <si>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</si>
  <si>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</si>
  <si>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</si>
  <si>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</si>
  <si>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</si>
  <si>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</si>
  <si>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</si>
  <si>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</si>
  <si>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</si>
  <si>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</si>
  <si>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</si>
  <si>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</si>
  <si>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</si>
  <si>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</si>
  <si>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</si>
  <si>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</si>
  <si>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</si>
  <si>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</si>
  <si>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</si>
  <si>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</si>
  <si>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</si>
  <si>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</si>
  <si>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</si>
  <si>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</si>
  <si>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</si>
  <si>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</si>
  <si>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</si>
  <si>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</si>
  <si>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</si>
  <si>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</si>
  <si>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</si>
  <si>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</si>
  <si>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</si>
  <si>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</si>
  <si>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</si>
  <si>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</si>
  <si>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</si>
  <si>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</si>
  <si>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</si>
  <si>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</si>
  <si>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</si>
  <si>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</si>
  <si>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</si>
  <si>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</si>
  <si>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</si>
  <si>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</si>
  <si>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</si>
  <si>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</si>
  <si>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</si>
  <si>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</si>
  <si>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</si>
  <si>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</si>
  <si>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</si>
  <si>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</si>
  <si>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</si>
  <si>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</si>
  <si>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</si>
  <si>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</si>
  <si>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</si>
  <si>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</si>
  <si>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</si>
  <si>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</si>
  <si>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</si>
  <si>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</si>
  <si>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</si>
  <si>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</si>
  <si>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</si>
  <si>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</si>
  <si>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</si>
  <si>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</si>
  <si>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</si>
  <si>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</si>
  <si>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</si>
  <si>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</si>
  <si>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</si>
  <si>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</si>
  <si>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</si>
  <si>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</si>
  <si>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</si>
  <si>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</si>
  <si>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</si>
  <si>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</si>
  <si>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</si>
  <si>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</si>
  <si>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</si>
  <si>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</si>
  <si>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</si>
  <si>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</si>
  <si>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</si>
  <si>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</si>
  <si>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</si>
  <si>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</si>
  <si>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</si>
  <si>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</si>
  <si>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</si>
  <si>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</si>
  <si>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</si>
  <si>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</si>
  <si>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</si>
  <si>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</si>
  <si>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</si>
  <si>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</si>
  <si>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</si>
  <si>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</si>
  <si>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</si>
  <si>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</si>
  <si>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</si>
  <si>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</si>
  <si>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</si>
  <si>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</si>
  <si>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</si>
  <si>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</si>
  <si>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</si>
  <si>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</si>
  <si>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</si>
  <si>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</si>
  <si>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</si>
  <si>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</si>
  <si>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</si>
  <si>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</si>
  <si>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</si>
  <si>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</si>
  <si>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</si>
  <si>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</si>
  <si>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</si>
  <si>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</si>
  <si>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</si>
  <si>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</si>
  <si>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</si>
  <si>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</si>
  <si>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</si>
  <si>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</si>
  <si>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</si>
  <si>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</si>
  <si>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</si>
  <si>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</si>
  <si>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</si>
  <si>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</si>
  <si>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</si>
  <si>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</si>
  <si>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</si>
  <si>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</si>
  <si>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</si>
  <si>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</si>
  <si>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</si>
  <si>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</si>
  <si>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</si>
  <si>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</si>
  <si>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</si>
  <si>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</si>
  <si>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</si>
  <si>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</si>
  <si>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</si>
  <si>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</si>
  <si>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</si>
  <si>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</si>
  <si>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</si>
  <si>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</si>
  <si>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</si>
  <si>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</si>
  <si>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</si>
  <si>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</si>
  <si>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</si>
  <si>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</si>
  <si>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</si>
  <si>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</si>
  <si>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</si>
  <si>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</si>
  <si>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</si>
  <si>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</si>
  <si>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</si>
  <si>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</si>
  <si>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</si>
  <si>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</si>
  <si>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</si>
  <si>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</si>
  <si>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</si>
  <si>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</si>
  <si>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</si>
  <si>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</si>
  <si>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</si>
  <si>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</si>
  <si>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</si>
  <si>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</si>
  <si>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</si>
  <si>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</si>
  <si>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</si>
  <si>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</si>
  <si>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</si>
  <si>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</si>
  <si>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</si>
  <si>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</si>
  <si>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</si>
  <si>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</si>
  <si>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</si>
  <si>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</si>
  <si>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</si>
  <si>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</si>
  <si>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</si>
  <si>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</si>
  <si>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</si>
  <si>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</si>
  <si>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</si>
  <si>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</si>
  <si>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</si>
  <si>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</si>
  <si>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</si>
  <si>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</si>
  <si>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</si>
  <si>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</si>
  <si>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</si>
  <si>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</si>
  <si>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</si>
  <si>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</si>
  <si>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</si>
  <si>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</si>
  <si>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</si>
  <si>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</si>
  <si>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</si>
  <si>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</si>
  <si>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</si>
  <si>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</si>
  <si>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</si>
  <si>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</si>
  <si>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</si>
  <si>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</si>
  <si>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</si>
  <si>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</si>
  <si>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</si>
  <si>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</si>
  <si>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</si>
  <si>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</si>
  <si>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</si>
  <si>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</si>
  <si>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</si>
  <si>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</si>
  <si>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</si>
  <si>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</si>
  <si>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</si>
  <si>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</si>
  <si>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</si>
  <si>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</si>
  <si>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</si>
  <si>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</si>
  <si>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</si>
  <si>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</si>
  <si>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</si>
  <si>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</si>
  <si>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</si>
  <si>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</si>
  <si>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</si>
  <si>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</si>
  <si>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</si>
  <si>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</si>
  <si>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</si>
  <si>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</si>
  <si>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</si>
  <si>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</si>
  <si>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</si>
  <si>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</si>
  <si>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</si>
  <si>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</si>
  <si>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</si>
  <si>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</si>
  <si>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</si>
  <si>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</si>
  <si>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</si>
  <si>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</si>
  <si>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</si>
  <si>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</si>
  <si>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</si>
  <si>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</si>
  <si>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</si>
  <si>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</si>
  <si>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</si>
  <si>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</si>
  <si>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</si>
  <si>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</si>
  <si>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</si>
  <si>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</si>
  <si>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</si>
  <si>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</si>
  <si>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</si>
  <si>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</si>
  <si>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</si>
  <si>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</si>
  <si>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</si>
  <si>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</si>
  <si>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</si>
  <si>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</si>
  <si>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</si>
  <si>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</si>
  <si>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</si>
  <si>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</si>
  <si>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</si>
  <si>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</si>
  <si>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</si>
  <si>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</si>
  <si>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</si>
  <si>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</si>
  <si>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</si>
  <si>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</si>
  <si>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</si>
  <si>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</si>
  <si>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</si>
  <si>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</si>
  <si>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</si>
  <si>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</si>
  <si>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</si>
  <si>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</si>
  <si>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</si>
  <si>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</si>
  <si>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</si>
  <si>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</si>
  <si>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</si>
  <si>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</si>
  <si>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</si>
  <si>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</si>
  <si>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</si>
  <si>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</si>
  <si>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</si>
  <si>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</si>
  <si>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</si>
  <si>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</si>
  <si>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</si>
  <si>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</si>
  <si>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</si>
  <si>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</si>
  <si>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</si>
  <si>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</si>
  <si>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</si>
  <si>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</si>
  <si>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</si>
  <si>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</si>
  <si>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</si>
  <si>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</si>
  <si>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</si>
  <si>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</si>
  <si>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</si>
  <si>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</si>
  <si>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</si>
  <si>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</si>
  <si>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</si>
  <si>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</si>
  <si>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</si>
  <si>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</si>
  <si>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</si>
  <si>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</si>
  <si>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</si>
  <si>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</si>
  <si>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</si>
  <si>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</si>
  <si>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</si>
  <si>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</si>
  <si>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</si>
  <si>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</si>
  <si>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</si>
  <si>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</si>
  <si>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</si>
  <si>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</si>
  <si>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</si>
  <si>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</si>
  <si>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</si>
  <si>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</si>
  <si>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</si>
  <si>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</si>
  <si>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</si>
  <si>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</si>
  <si>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</si>
  <si>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</si>
  <si>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</si>
  <si>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</si>
  <si>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</si>
  <si>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</si>
  <si>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</si>
  <si>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</si>
  <si>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</si>
  <si>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</si>
  <si>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</si>
  <si>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</si>
  <si>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</si>
  <si>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</si>
  <si>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</si>
  <si>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</si>
  <si>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</si>
  <si>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</si>
  <si>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</si>
  <si>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</si>
  <si>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</si>
  <si>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</si>
  <si>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</si>
  <si>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</si>
  <si>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</si>
  <si>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</si>
  <si>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</si>
  <si>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</si>
  <si>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</si>
  <si>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</si>
  <si>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</si>
  <si>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</si>
  <si>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</si>
  <si>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</si>
  <si>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</si>
  <si>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</si>
  <si>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</si>
  <si>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</si>
  <si>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</si>
  <si>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</si>
  <si>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</si>
  <si>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</si>
  <si>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</si>
  <si>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</si>
  <si>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</si>
  <si>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</si>
  <si>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</si>
  <si>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</si>
  <si>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</si>
  <si>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</si>
  <si>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</si>
  <si>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</si>
  <si>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</si>
  <si>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</si>
  <si>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</si>
  <si>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</si>
  <si>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</si>
  <si>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</si>
  <si>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</si>
  <si>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</si>
  <si>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</si>
  <si>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</si>
  <si>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</si>
  <si>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</si>
  <si>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</si>
  <si>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</si>
  <si>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</si>
  <si>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</si>
  <si>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</si>
  <si>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</si>
  <si>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</si>
  <si>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</si>
  <si>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</si>
  <si>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</si>
  <si>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</si>
  <si>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</si>
  <si>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</si>
  <si>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</si>
  <si>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</si>
  <si>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</si>
  <si>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</si>
  <si>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</si>
  <si>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</si>
  <si>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</si>
  <si>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</si>
  <si>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</si>
  <si>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</si>
  <si>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</si>
  <si>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</si>
  <si>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</si>
  <si>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</si>
  <si>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</si>
  <si>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</si>
  <si>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</si>
  <si>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</si>
  <si>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</si>
  <si>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</si>
  <si>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</si>
  <si>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</si>
  <si>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</si>
  <si>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</si>
  <si>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</si>
  <si>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</si>
  <si>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</si>
  <si>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</si>
  <si>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</si>
  <si>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</si>
  <si>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</si>
  <si>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</si>
  <si>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</si>
  <si>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</si>
  <si>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</si>
  <si>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</si>
  <si>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</si>
  <si>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</si>
  <si>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</si>
  <si>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</si>
  <si>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</si>
  <si>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</si>
  <si>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</si>
  <si>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</si>
  <si>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</si>
  <si>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</si>
  <si>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</si>
  <si>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</si>
  <si>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</si>
  <si>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</si>
  <si>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</si>
  <si>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</si>
  <si>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</si>
  <si>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</si>
  <si>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</si>
  <si>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</si>
  <si>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</si>
  <si>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</si>
  <si>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</si>
  <si>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</si>
  <si>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</si>
  <si>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</si>
  <si>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</si>
  <si>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</si>
  <si>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</si>
  <si>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</si>
  <si>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</si>
  <si>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</si>
  <si>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</si>
  <si>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</si>
  <si>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</si>
  <si>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</si>
  <si>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</si>
  <si>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</si>
  <si>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</si>
  <si>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</si>
  <si>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</si>
  <si>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</si>
  <si>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</si>
  <si>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</si>
  <si>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</si>
  <si>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</si>
  <si>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</si>
  <si>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</si>
  <si>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</si>
  <si>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</si>
  <si>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</si>
  <si>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</si>
  <si>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</si>
  <si>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</si>
  <si>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</si>
  <si>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</si>
  <si>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</si>
  <si>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</si>
  <si>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</si>
  <si>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</si>
  <si>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</si>
  <si>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</si>
  <si>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</si>
  <si>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</si>
  <si>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</si>
  <si>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</si>
  <si>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</si>
  <si>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</si>
  <si>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</si>
  <si>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</si>
  <si>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</si>
  <si>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</si>
  <si>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</si>
  <si>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</si>
  <si>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</si>
  <si>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</si>
  <si>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</si>
  <si>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</si>
  <si>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</si>
  <si>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</si>
  <si>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</si>
  <si>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</si>
  <si>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</si>
  <si>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</si>
  <si>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</si>
  <si>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</si>
  <si>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</si>
  <si>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</si>
  <si>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</si>
  <si>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</si>
  <si>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</si>
  <si>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</si>
  <si>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</si>
  <si>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</si>
  <si>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</si>
  <si>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</si>
  <si>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</si>
  <si>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</si>
  <si>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</si>
  <si>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</si>
  <si>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</si>
  <si>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</si>
  <si>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</si>
  <si>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</si>
  <si>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</si>
  <si>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</si>
  <si>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</si>
  <si>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</si>
  <si>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</si>
  <si>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</si>
  <si>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</si>
  <si>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</si>
  <si>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</si>
  <si>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</si>
  <si>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</si>
  <si>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</si>
  <si>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</si>
  <si>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</si>
  <si>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</si>
  <si>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</si>
  <si>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</si>
  <si>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</si>
  <si>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</si>
  <si>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</si>
  <si>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</si>
  <si>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</si>
  <si>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</si>
  <si>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</si>
  <si>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</si>
  <si>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</si>
  <si>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</si>
  <si>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</si>
  <si>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</si>
  <si>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</si>
  <si>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</si>
  <si>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</si>
  <si>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</si>
  <si>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</si>
  <si>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</si>
  <si>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</si>
  <si>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</si>
  <si>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</si>
  <si>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</si>
  <si>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</si>
  <si>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</si>
  <si>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</si>
  <si>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</si>
  <si>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</si>
  <si>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</si>
  <si>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</si>
  <si>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</si>
  <si>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</si>
  <si>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</si>
  <si>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</si>
  <si>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</si>
  <si>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</si>
  <si>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</si>
  <si>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</si>
  <si>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</si>
  <si>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</si>
  <si>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</si>
  <si>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</si>
  <si>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</si>
  <si>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</si>
  <si>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</si>
  <si>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</si>
  <si>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</si>
  <si>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</si>
  <si>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</si>
  <si>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</si>
  <si>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</si>
  <si>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</si>
  <si>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</si>
  <si>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</si>
  <si>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</si>
  <si>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</si>
  <si>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</si>
  <si>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</si>
  <si>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</si>
  <si>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</si>
  <si>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</si>
  <si>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</si>
  <si>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</si>
  <si>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</si>
  <si>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</si>
  <si>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</si>
  <si>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</si>
  <si>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</si>
  <si>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</si>
  <si>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</si>
  <si>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</si>
  <si>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</si>
  <si>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</si>
  <si>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</si>
  <si>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</si>
  <si>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</si>
  <si>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</si>
  <si>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</si>
  <si>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</si>
  <si>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</si>
  <si>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</si>
  <si>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</si>
  <si>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</si>
  <si>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</si>
  <si>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</si>
  <si>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</si>
  <si>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</si>
  <si>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</si>
  <si>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</si>
  <si>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</si>
  <si>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</si>
  <si>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</si>
  <si>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</si>
  <si>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</si>
  <si>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</si>
  <si>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</si>
  <si>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</si>
  <si>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</si>
  <si>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</si>
  <si>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</si>
  <si>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</si>
  <si>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</si>
  <si>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</si>
  <si>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</si>
  <si>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</si>
  <si>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</si>
  <si>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</si>
  <si>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</si>
  <si>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</si>
  <si>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</si>
  <si>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</si>
  <si>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</si>
  <si>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</si>
  <si>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</si>
  <si>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</si>
  <si>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</si>
  <si>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</si>
  <si>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</si>
  <si>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</si>
  <si>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</si>
  <si>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</si>
  <si>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</si>
  <si>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</si>
  <si>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</si>
  <si>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</si>
  <si>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</si>
  <si>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</si>
  <si>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</si>
  <si>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</si>
  <si>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</si>
  <si>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</si>
  <si>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</si>
  <si>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</si>
  <si>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</si>
  <si>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</si>
  <si>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</si>
  <si>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</si>
  <si>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</si>
  <si>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</si>
  <si>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</si>
  <si>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</si>
  <si>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</si>
  <si>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</si>
  <si>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</si>
  <si>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</si>
  <si>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</si>
  <si>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</si>
  <si>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</si>
  <si>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</si>
  <si>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</si>
  <si>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</si>
  <si>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</si>
  <si>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</si>
  <si>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</si>
  <si>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</si>
  <si>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</si>
  <si>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</si>
  <si>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</si>
  <si>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</si>
  <si>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</si>
  <si>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</si>
  <si>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</si>
  <si>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</si>
  <si>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</si>
  <si>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</si>
  <si>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</si>
  <si>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</si>
  <si>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</si>
  <si>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</si>
  <si>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</si>
  <si>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</si>
  <si>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</si>
  <si>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</si>
  <si>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</si>
  <si>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</si>
  <si>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</si>
  <si>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</si>
  <si>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</si>
  <si>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</si>
  <si>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</si>
  <si>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</si>
  <si>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</si>
  <si>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</si>
  <si>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</si>
  <si>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</si>
  <si>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</si>
  <si>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</si>
  <si>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</si>
  <si>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</si>
  <si>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</si>
  <si>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</si>
  <si>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</si>
  <si>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</si>
  <si>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</si>
  <si>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</si>
  <si>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</si>
  <si>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</si>
  <si>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</si>
  <si>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</si>
  <si>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</si>
  <si>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</si>
  <si>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</si>
  <si>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</si>
  <si>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</si>
  <si>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</si>
  <si>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</si>
  <si>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</si>
  <si>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</si>
  <si>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</si>
  <si>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</si>
  <si>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</si>
  <si>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</si>
  <si>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</si>
  <si>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</si>
  <si>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</si>
  <si>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</si>
  <si>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</si>
  <si>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</si>
  <si>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</si>
  <si>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</si>
  <si>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</si>
  <si>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</si>
  <si>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</si>
  <si>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</si>
  <si>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</si>
  <si>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</si>
  <si>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</si>
  <si>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</si>
  <si>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</si>
  <si>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</si>
  <si>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</si>
  <si>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</si>
  <si>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</si>
  <si>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</si>
  <si>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</si>
  <si>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</si>
  <si>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</si>
  <si>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</si>
  <si>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</si>
  <si>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</si>
  <si>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</si>
  <si>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</si>
  <si>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</si>
  <si>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</si>
  <si>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</si>
  <si>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</si>
  <si>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</si>
  <si>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</si>
  <si>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</si>
  <si>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</si>
  <si>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</si>
  <si>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</si>
  <si>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</si>
  <si>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</si>
  <si>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</si>
  <si>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</si>
  <si>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</si>
  <si>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</si>
  <si>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</si>
  <si>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</si>
  <si>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</si>
  <si>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</si>
  <si>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</si>
  <si>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</si>
  <si>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</si>
  <si>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</si>
  <si>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</si>
  <si>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</si>
  <si>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</si>
  <si>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</si>
  <si>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</si>
  <si>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</si>
  <si>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</si>
  <si>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</si>
  <si>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</si>
  <si>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</si>
  <si>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</si>
  <si>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</si>
  <si>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</si>
  <si>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</si>
  <si>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</si>
  <si>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</si>
  <si>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</si>
  <si>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</si>
  <si>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</si>
  <si>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</si>
  <si>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</si>
  <si>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</si>
  <si>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</si>
  <si>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</si>
  <si>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</si>
  <si>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</si>
  <si>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</si>
  <si>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</si>
  <si>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</si>
  <si>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</si>
  <si>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</si>
  <si>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</si>
  <si>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</si>
  <si>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</si>
  <si>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</si>
  <si>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</si>
  <si>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</si>
  <si>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</si>
  <si>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</si>
  <si>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</si>
  <si>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</si>
  <si>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</si>
  <si>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</si>
  <si>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</si>
  <si>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</si>
  <si>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</si>
  <si>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</si>
  <si>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</si>
  <si>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</si>
  <si>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</si>
  <si>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</si>
  <si>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</si>
  <si>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</si>
  <si>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</si>
  <si>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</si>
  <si>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</si>
  <si>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</si>
  <si>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</si>
  <si>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</si>
  <si>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</si>
  <si>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</si>
  <si>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</si>
  <si>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</si>
  <si>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</si>
  <si>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</si>
  <si>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</si>
  <si>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</si>
  <si>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</si>
  <si>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</si>
  <si>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</si>
  <si>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</si>
  <si>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</si>
  <si>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</si>
  <si>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</si>
  <si>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</si>
  <si>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</si>
  <si>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</si>
  <si>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</si>
  <si>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</si>
  <si>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</si>
  <si>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</si>
  <si>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</si>
  <si>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</si>
  <si>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</si>
  <si>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</si>
  <si>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</si>
  <si>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</si>
  <si>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</si>
  <si>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</si>
  <si>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</si>
  <si>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</si>
  <si>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</si>
  <si>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</si>
  <si>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</si>
  <si>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</si>
  <si>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</si>
  <si>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</si>
  <si>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</si>
  <si>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</si>
  <si>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</si>
  <si>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</si>
  <si>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</si>
  <si>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</si>
  <si>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</si>
  <si>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</si>
  <si>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</si>
  <si>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</si>
  <si>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</si>
  <si>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</si>
  <si>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</si>
  <si>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</si>
  <si>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</si>
  <si>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</si>
  <si>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</si>
  <si>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</si>
  <si>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</si>
  <si>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</si>
  <si>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</si>
  <si>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</si>
  <si>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</si>
  <si>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</si>
  <si>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</si>
  <si>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</si>
  <si>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</si>
  <si>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</si>
  <si>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</si>
  <si>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</si>
  <si>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</si>
  <si>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</si>
  <si>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</si>
  <si>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</si>
  <si>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</si>
  <si>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</si>
  <si>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</si>
  <si>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</si>
  <si>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</si>
  <si>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</si>
  <si>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</si>
  <si>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</si>
  <si>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</si>
  <si>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</si>
  <si>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</si>
  <si>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</si>
  <si>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</si>
  <si>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</si>
  <si>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</si>
  <si>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</si>
  <si>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</si>
  <si>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</si>
  <si>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</si>
  <si>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</si>
  <si>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</si>
  <si>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</si>
  <si>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</si>
  <si>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</si>
  <si>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</si>
  <si>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</si>
  <si>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</si>
  <si>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</si>
  <si>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</si>
  <si>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</si>
  <si>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</si>
  <si>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</si>
  <si>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</si>
  <si>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</si>
  <si>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</si>
  <si>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</si>
  <si>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</si>
  <si>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</si>
  <si>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</si>
  <si>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</si>
  <si>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</si>
  <si>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</si>
  <si>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</si>
  <si>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</si>
  <si>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</si>
  <si>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</si>
  <si>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</si>
  <si>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</si>
  <si>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</si>
  <si>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</si>
  <si>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</si>
  <si>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</si>
  <si>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</si>
  <si>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</si>
  <si>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</si>
  <si>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</si>
  <si>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</si>
  <si>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</si>
  <si>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</si>
  <si>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</si>
  <si>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</si>
  <si>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</si>
  <si>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</si>
  <si>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</si>
  <si>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</si>
  <si>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</si>
  <si>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</si>
  <si>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</si>
  <si>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</si>
  <si>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</si>
  <si>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</si>
  <si>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</si>
  <si>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</si>
  <si>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</si>
  <si>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</si>
  <si>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</si>
  <si>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</si>
  <si>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</si>
  <si>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</si>
  <si>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</si>
  <si>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</si>
  <si>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</si>
  <si>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</si>
  <si>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</si>
  <si>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</si>
  <si>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</si>
  <si>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</si>
  <si>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</si>
  <si>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</si>
  <si>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</si>
  <si>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</si>
  <si>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</si>
  <si>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</si>
  <si>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</si>
  <si>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</si>
  <si>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</si>
  <si>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</si>
  <si>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</si>
  <si>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</si>
  <si>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</si>
  <si>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</si>
  <si>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</si>
  <si>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</si>
  <si>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</si>
  <si>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</si>
  <si>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</si>
  <si>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</si>
  <si>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</si>
  <si>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</si>
  <si>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</si>
  <si>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</si>
  <si>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</si>
  <si>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</si>
  <si>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</si>
  <si>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</si>
  <si>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</si>
  <si>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</si>
  <si>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</si>
  <si>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</si>
  <si>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</si>
  <si>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</si>
  <si>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</si>
  <si>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</si>
  <si>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</si>
  <si>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</si>
  <si>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</si>
  <si>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</si>
  <si>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</si>
  <si>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</si>
  <si>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</si>
  <si>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</si>
  <si>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</si>
  <si>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</si>
  <si>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</si>
  <si>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</si>
  <si>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</si>
  <si>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</si>
  <si>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</si>
  <si>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</si>
  <si>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</si>
  <si>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</si>
  <si>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</si>
  <si>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</si>
  <si>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</si>
  <si>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</si>
  <si>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</si>
  <si>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</si>
  <si>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</si>
  <si>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</si>
  <si>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</si>
  <si>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</si>
  <si>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</si>
  <si>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</si>
  <si>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</si>
  <si>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</si>
  <si>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</si>
  <si>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</si>
  <si>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</si>
  <si>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</si>
  <si>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</si>
  <si>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</si>
  <si>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</si>
  <si>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</si>
  <si>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</si>
  <si>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</si>
  <si>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</si>
  <si>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</si>
  <si>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</si>
  <si>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</si>
  <si>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</si>
  <si>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</si>
  <si>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</si>
  <si>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</si>
  <si>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</si>
  <si>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</si>
  <si>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</si>
  <si>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</si>
  <si>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</si>
  <si>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</si>
  <si>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</si>
  <si>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</si>
  <si>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</si>
  <si>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</si>
  <si>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</si>
  <si>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</si>
  <si>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</si>
  <si>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</si>
  <si>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</si>
  <si>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</si>
  <si>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</si>
  <si>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</si>
  <si>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</si>
  <si>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</si>
  <si>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</si>
  <si>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</si>
  <si>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</si>
  <si>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</si>
  <si>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</si>
  <si>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</si>
  <si>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</si>
  <si>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</si>
  <si>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</si>
  <si>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</si>
  <si>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</si>
  <si>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</si>
  <si>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</si>
  <si>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</si>
  <si>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</si>
  <si>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</si>
  <si>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</si>
  <si>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</si>
  <si>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</si>
  <si>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</si>
  <si>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</si>
  <si>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</si>
  <si>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</si>
  <si>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</si>
  <si>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</si>
  <si>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</si>
  <si>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</si>
  <si>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</si>
  <si>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</si>
  <si>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</si>
  <si>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</si>
  <si>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</si>
  <si>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</si>
  <si>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</si>
  <si>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</si>
  <si>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</si>
  <si>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</si>
  <si>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</si>
  <si>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</si>
  <si>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</si>
  <si>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</si>
  <si>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</si>
  <si>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</si>
  <si>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</si>
  <si>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</si>
  <si>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</si>
  <si>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</si>
  <si>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</si>
  <si>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</si>
  <si>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</si>
  <si>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</si>
  <si>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</si>
  <si>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</si>
  <si>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</si>
  <si>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</si>
  <si>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</si>
  <si>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</si>
  <si>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</si>
  <si>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</si>
  <si>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</si>
  <si>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</si>
  <si>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</si>
  <si>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</si>
  <si>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</si>
  <si>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</si>
  <si>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</si>
  <si>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</si>
  <si>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</si>
  <si>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</si>
  <si>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</si>
  <si>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</si>
  <si>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</si>
  <si>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</si>
  <si>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</si>
  <si>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</si>
  <si>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</si>
  <si>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</si>
  <si>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</si>
  <si>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</si>
  <si>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</si>
  <si>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</si>
  <si>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</si>
  <si>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</si>
  <si>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</si>
  <si>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</si>
  <si>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</si>
  <si>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</si>
  <si>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</si>
  <si>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</si>
  <si>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</si>
  <si>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</si>
  <si>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</si>
  <si>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</si>
  <si>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</si>
  <si>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</si>
  <si>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</si>
  <si>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</si>
  <si>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</si>
  <si>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</si>
  <si>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</si>
  <si>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</si>
  <si>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</si>
  <si>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</si>
  <si>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</si>
  <si>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</si>
  <si>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</si>
  <si>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</si>
  <si>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</si>
  <si>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</si>
  <si>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</si>
  <si>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</si>
  <si>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</si>
  <si>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</si>
  <si>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</si>
  <si>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</si>
  <si>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</si>
  <si>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</si>
  <si>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</si>
  <si>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</si>
  <si>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</si>
  <si>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</si>
  <si>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</si>
  <si>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</si>
  <si>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</si>
  <si>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</si>
  <si>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</si>
  <si>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</si>
  <si>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</si>
  <si>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</si>
  <si>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</si>
  <si>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</si>
  <si>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</si>
  <si>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</si>
  <si>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</si>
  <si>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</si>
  <si>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</si>
  <si>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</si>
  <si>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</si>
  <si>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</si>
  <si>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</si>
  <si>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</si>
  <si>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</si>
  <si>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</si>
  <si>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</si>
  <si>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</si>
  <si>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</si>
  <si>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</si>
  <si>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</si>
  <si>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</si>
  <si>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</si>
  <si>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</si>
  <si>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</si>
  <si>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</si>
  <si>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</si>
  <si>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</si>
  <si>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</si>
  <si>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</si>
  <si>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</si>
  <si>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</si>
  <si>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</si>
  <si>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</si>
  <si>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</si>
  <si>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</si>
  <si>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</si>
  <si>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</si>
  <si>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</si>
  <si>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</si>
  <si>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</si>
  <si>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</si>
  <si>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</si>
  <si>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</si>
  <si>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</si>
  <si>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</si>
  <si>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</si>
  <si>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</si>
  <si>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</si>
  <si>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</si>
  <si>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</si>
  <si>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</si>
  <si>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</si>
  <si>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</si>
  <si>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</si>
  <si>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</si>
  <si>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</si>
  <si>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</si>
  <si>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</si>
  <si>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</si>
  <si>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</si>
  <si>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</si>
  <si>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</si>
  <si>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</si>
  <si>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</si>
  <si>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</si>
  <si>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</si>
  <si>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</si>
  <si>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</si>
  <si>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</si>
  <si>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</si>
  <si>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</si>
  <si>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</si>
  <si>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</si>
  <si>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</si>
  <si>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</si>
  <si>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</si>
  <si>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</si>
  <si>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</si>
  <si>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</si>
  <si>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</si>
  <si>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</si>
  <si>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</si>
  <si>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</si>
  <si>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</si>
  <si>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</si>
  <si>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</si>
  <si>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</si>
  <si>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</si>
  <si>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</si>
  <si>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</si>
  <si>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</si>
  <si>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</si>
  <si>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</si>
  <si>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</si>
  <si>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</si>
  <si>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</si>
  <si>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</si>
  <si>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</si>
  <si>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</si>
  <si>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</si>
  <si>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</si>
  <si>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</si>
  <si>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</si>
  <si>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</si>
  <si>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</si>
  <si>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</si>
  <si>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</si>
  <si>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</si>
  <si>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</si>
  <si>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</si>
  <si>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</si>
  <si>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</si>
  <si>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</si>
  <si>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</si>
  <si>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</si>
  <si>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</si>
  <si>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</si>
  <si>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</si>
  <si>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</si>
  <si>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</si>
  <si>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</si>
  <si>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</si>
  <si>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</si>
  <si>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</si>
  <si>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</si>
  <si>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</si>
  <si>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</si>
  <si>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</si>
  <si>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</si>
  <si>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</si>
  <si>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</si>
  <si>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</si>
  <si>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</si>
  <si>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</si>
  <si>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</si>
  <si>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</si>
  <si>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</si>
  <si>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</si>
  <si>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</si>
  <si>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</si>
  <si>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</si>
  <si>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</si>
  <si>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</si>
  <si>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</si>
  <si>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</si>
  <si>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</si>
  <si>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</si>
  <si>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</si>
  <si>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</si>
  <si>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</si>
  <si>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</si>
  <si>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</si>
  <si>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</si>
  <si>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</si>
  <si>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</si>
  <si>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</si>
  <si>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</si>
  <si>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</si>
  <si>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</si>
  <si>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</si>
  <si>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</si>
  <si>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</si>
  <si>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</si>
  <si>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</si>
  <si>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</si>
  <si>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</si>
  <si>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</si>
  <si>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</si>
  <si>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应收票据-新金融工具准则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</si>
  <si>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</si>
  <si>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</si>
  <si>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</si>
  <si>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</si>
  <si>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</si>
  <si>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</si>
  <si>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</si>
  <si>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</si>
  <si>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</si>
  <si>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</si>
  <si>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</si>
  <si>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</si>
  <si>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</si>
  <si>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</si>
  <si>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</si>
  <si>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</si>
  <si>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</si>
  <si>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</si>
  <si>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</si>
  <si>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</si>
  <si>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</si>
  <si>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</si>
  <si>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</si>
  <si>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</si>
  <si>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</si>
  <si>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</si>
  <si>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</si>
  <si>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</si>
  <si>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</si>
  <si>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</si>
  <si>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</si>
  <si>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</si>
  <si>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</si>
  <si>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</si>
  <si>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</si>
  <si>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</si>
  <si>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</si>
  <si>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</si>
  <si>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</si>
  <si>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</si>
  <si>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</si>
  <si>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</si>
  <si>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</si>
  <si>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</si>
  <si>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</si>
  <si>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</si>
  <si>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</si>
  <si>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</si>
  <si>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</si>
  <si>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</si>
  <si>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</si>
  <si>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</si>
  <si>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</si>
  <si>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</si>
  <si>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</si>
  <si>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</si>
  <si>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</si>
  <si>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</si>
  <si>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</si>
  <si>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</si>
  <si>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</si>
  <si>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</si>
  <si>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</si>
  <si>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</si>
  <si>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</si>
  <si>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</si>
  <si>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</si>
  <si>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</si>
  <si>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</si>
  <si>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</si>
  <si>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</si>
  <si>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</si>
  <si>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</si>
  <si>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</si>
  <si>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</si>
  <si>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</si>
  <si>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</si>
  <si>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</si>
  <si>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</si>
  <si>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</si>
  <si>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</si>
  <si>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</si>
  <si>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</si>
  <si>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</si>
  <si>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</si>
  <si>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</si>
  <si>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</si>
  <si>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</si>
  <si>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</si>
  <si>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</si>
  <si>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</si>
  <si>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</si>
  <si>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</si>
  <si>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</si>
  <si>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</si>
  <si>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</si>
  <si>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</si>
  <si>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</si>
  <si>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</si>
  <si>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</si>
  <si>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</si>
  <si>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</si>
  <si>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</si>
  <si>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</si>
  <si>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</si>
  <si>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</si>
  <si>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</si>
  <si>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</si>
  <si>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</si>
  <si>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</si>
  <si>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</si>
  <si>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</si>
  <si>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</si>
  <si>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</si>
  <si>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</si>
  <si>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</si>
  <si>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</si>
  <si>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</si>
  <si>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</si>
  <si>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</si>
  <si>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</si>
  <si>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</si>
  <si>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</si>
  <si>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</si>
  <si>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</si>
  <si>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</si>
  <si>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</si>
  <si>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</si>
  <si>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</si>
  <si>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</si>
  <si>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</si>
  <si>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</si>
  <si>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</si>
  <si>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</si>
  <si>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</si>
  <si>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</si>
  <si>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</si>
  <si>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</si>
  <si>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</si>
  <si>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</si>
  <si>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</si>
  <si>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</si>
  <si>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</si>
  <si>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</si>
  <si>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</si>
  <si>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</si>
  <si>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</si>
  <si>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</si>
  <si>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</si>
  <si>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</si>
  <si>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</si>
  <si>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</si>
  <si>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</si>
  <si>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</si>
  <si>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</si>
  <si>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</si>
  <si>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</si>
  <si>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</si>
  <si>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</si>
  <si>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</si>
  <si>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</si>
  <si>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</si>
  <si>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</si>
  <si>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</si>
  <si>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</si>
  <si>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</si>
  <si>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</si>
  <si>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</si>
  <si>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</si>
  <si>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</si>
  <si>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</si>
  <si>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</si>
  <si>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</si>
  <si>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</si>
  <si>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</si>
  <si>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</si>
  <si>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</si>
  <si>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</si>
  <si>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</si>
  <si>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</si>
  <si>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</si>
  <si>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</si>
  <si>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</si>
  <si>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</si>
  <si>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</si>
  <si>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</si>
  <si>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</si>
  <si>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</si>
  <si>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</si>
  <si>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</si>
  <si>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</si>
  <si>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</si>
  <si>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</si>
  <si>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</si>
  <si>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</si>
  <si>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</si>
  <si>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</si>
  <si>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</si>
  <si>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</si>
  <si>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</si>
  <si>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</si>
  <si>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</si>
  <si>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</si>
  <si>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</si>
  <si>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</si>
  <si>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</si>
  <si>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</si>
  <si>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</si>
  <si>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</si>
  <si>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</si>
  <si>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</si>
  <si>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</si>
  <si>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</si>
  <si>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</si>
  <si>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</si>
  <si>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</si>
  <si>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</si>
  <si>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</si>
  <si>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</si>
  <si>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</si>
  <si>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</si>
  <si>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</si>
  <si>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</si>
  <si>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</si>
  <si>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</si>
  <si>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</si>
  <si>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</si>
  <si>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</si>
  <si>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</si>
  <si>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</si>
  <si>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</si>
  <si>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</si>
  <si>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</si>
  <si>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</si>
  <si>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</si>
  <si>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</si>
  <si>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</si>
  <si>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</si>
  <si>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</si>
  <si>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</si>
  <si>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</si>
  <si>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</si>
  <si>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</si>
  <si>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</si>
  <si>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</si>
  <si>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</si>
  <si>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</si>
  <si>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</si>
  <si>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</si>
  <si>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</si>
  <si>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</si>
  <si>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</si>
  <si>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</si>
  <si>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</si>
  <si>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</si>
  <si>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</si>
  <si>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</si>
  <si>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</si>
  <si>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</si>
  <si>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</si>
  <si>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</si>
  <si>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</si>
  <si>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</si>
  <si>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</si>
  <si>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</si>
  <si>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</si>
  <si>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</si>
  <si>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</si>
  <si>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</si>
  <si>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</si>
  <si>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</si>
  <si>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</si>
  <si>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</si>
  <si>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</si>
  <si>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</si>
  <si>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</si>
  <si>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</si>
  <si>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</si>
  <si>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</si>
  <si>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</si>
  <si>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</si>
  <si>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</si>
  <si>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</si>
  <si>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</si>
  <si>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</si>
  <si>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</si>
  <si>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</si>
  <si>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</si>
  <si>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</si>
  <si>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</si>
  <si>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</si>
  <si>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</si>
  <si>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</si>
  <si>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</si>
  <si>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</si>
  <si>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</si>
  <si>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</si>
  <si>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</si>
  <si>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</si>
  <si>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</si>
  <si>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</si>
  <si>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</si>
  <si>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</si>
  <si>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</si>
  <si>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</si>
  <si>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</si>
  <si>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</si>
  <si>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</si>
  <si>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</si>
  <si>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</si>
  <si>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</si>
  <si>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</si>
  <si>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</si>
  <si>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</si>
  <si>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</si>
  <si>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</si>
  <si>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</si>
  <si>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</si>
  <si>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</si>
  <si>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</si>
  <si>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</si>
  <si>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</si>
  <si>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</si>
  <si>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</si>
  <si>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</si>
  <si>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</si>
  <si>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</si>
  <si>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</si>
  <si>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</si>
  <si>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</si>
  <si>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</si>
  <si>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</si>
  <si>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</si>
  <si>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</si>
  <si>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</si>
  <si>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</si>
  <si>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</si>
  <si>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</si>
  <si>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</si>
  <si>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</si>
  <si>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</si>
  <si>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</si>
  <si>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</si>
  <si>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</si>
  <si>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</si>
  <si>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</si>
  <si>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</si>
  <si>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</si>
  <si>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</si>
  <si>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</si>
  <si>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</si>
  <si>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</si>
  <si>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</si>
  <si>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</si>
  <si>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</si>
  <si>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</si>
  <si>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</si>
  <si>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</si>
  <si>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</si>
  <si>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</si>
  <si>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</si>
  <si>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</si>
  <si>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</si>
  <si>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</si>
  <si>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</si>
  <si>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</si>
  <si>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</si>
  <si>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</si>
  <si>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</si>
  <si>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</si>
  <si>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</si>
  <si>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</si>
  <si>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</si>
  <si>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</si>
  <si>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</si>
  <si>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</si>
  <si>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</si>
  <si>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</si>
  <si>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</si>
  <si>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</si>
  <si>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</si>
  <si>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</si>
  <si>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</si>
  <si>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</si>
  <si>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</si>
  <si>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</si>
  <si>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</si>
  <si>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</si>
  <si>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</si>
  <si>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</si>
  <si>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</si>
  <si>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</si>
  <si>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</si>
  <si>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</si>
  <si>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</si>
  <si>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</si>
  <si>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</si>
  <si>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</si>
  <si>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</si>
  <si>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</si>
  <si>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</si>
  <si>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</si>
  <si>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</si>
  <si>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</si>
  <si>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</si>
  <si>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</si>
  <si>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</si>
  <si>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</si>
  <si>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</si>
  <si>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</si>
  <si>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</si>
  <si>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</si>
  <si>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</si>
  <si>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</si>
  <si>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</si>
  <si>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</si>
  <si>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</si>
  <si>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</si>
  <si>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</si>
  <si>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</si>
  <si>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</si>
  <si>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</si>
  <si>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</si>
  <si>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</si>
  <si>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</si>
  <si>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</si>
  <si>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</si>
  <si>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</si>
  <si>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</si>
  <si>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</si>
  <si>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</si>
  <si>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</si>
  <si>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</si>
  <si>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</si>
  <si>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</si>
  <si>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</si>
  <si>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</si>
  <si>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</si>
  <si>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</si>
  <si>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</si>
  <si>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</si>
  <si>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</si>
  <si>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</si>
  <si>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</si>
  <si>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</si>
  <si>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</si>
  <si>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</si>
  <si>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</si>
  <si>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</si>
  <si>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</si>
  <si>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</si>
  <si>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</si>
  <si>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</si>
  <si>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</si>
  <si>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</si>
  <si>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</si>
  <si>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</si>
  <si>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</si>
  <si>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</si>
  <si>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</si>
  <si>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</si>
  <si>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</si>
  <si>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</si>
  <si>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</si>
  <si>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</si>
  <si>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</si>
  <si>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</si>
  <si>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</si>
  <si>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</si>
  <si>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</si>
  <si>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</si>
  <si>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</si>
  <si>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</si>
  <si>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</si>
  <si>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</si>
  <si>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</si>
  <si>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</si>
  <si>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</si>
  <si>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</si>
  <si>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</si>
  <si>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</si>
  <si>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</si>
  <si>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</si>
  <si>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</si>
  <si>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</si>
  <si>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</si>
  <si>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</si>
  <si>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</si>
  <si>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</si>
  <si>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</si>
  <si>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</si>
  <si>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</si>
  <si>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</si>
  <si>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</si>
  <si>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</si>
  <si>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</si>
  <si>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</si>
  <si>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</si>
  <si>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</si>
  <si>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</si>
  <si>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</si>
  <si>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</si>
  <si>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</si>
  <si>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</si>
  <si>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</si>
  <si>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</si>
  <si>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</si>
  <si>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</si>
  <si>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</si>
  <si>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</si>
  <si>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</si>
  <si>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</si>
  <si>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</si>
  <si>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</si>
  <si>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</si>
  <si>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</si>
  <si>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</si>
  <si>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</si>
  <si>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</si>
  <si>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</si>
  <si>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</si>
  <si>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</si>
  <si>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</si>
  <si>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</si>
  <si>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</si>
  <si>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</si>
  <si>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</si>
  <si>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</si>
  <si>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</si>
  <si>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</si>
  <si>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</si>
  <si>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</si>
  <si>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</si>
  <si>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</si>
  <si>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</si>
  <si>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</si>
  <si>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</si>
  <si>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</si>
  <si>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</si>
  <si>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</si>
  <si>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</si>
  <si>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</si>
  <si>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</si>
  <si>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</si>
  <si>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</si>
  <si>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</si>
  <si>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</si>
  <si>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</si>
  <si>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</si>
  <si>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</si>
  <si>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</si>
  <si>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</si>
  <si>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</si>
  <si>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</si>
  <si>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</si>
  <si>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</si>
  <si>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</si>
  <si>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</si>
  <si>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</si>
  <si>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</si>
  <si>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</si>
  <si>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</si>
  <si>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</si>
  <si>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</si>
  <si>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</si>
  <si>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</si>
  <si>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</si>
  <si>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</si>
  <si>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</si>
  <si>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</si>
  <si>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</si>
  <si>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</si>
  <si>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</si>
  <si>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</si>
  <si>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</si>
  <si>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</si>
  <si>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</si>
  <si>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</si>
  <si>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</si>
  <si>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</si>
  <si>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</si>
  <si>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</si>
  <si>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</si>
  <si>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</si>
  <si>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</si>
  <si>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</si>
  <si>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</si>
  <si>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</si>
  <si>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</si>
  <si>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</si>
  <si>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</si>
  <si>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</si>
  <si>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</si>
  <si>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</si>
  <si>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</si>
  <si>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</si>
  <si>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</si>
  <si>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</si>
  <si>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</si>
  <si>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</si>
  <si>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</si>
  <si>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</si>
  <si>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</si>
  <si>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</si>
  <si>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</si>
  <si>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</si>
  <si>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</si>
  <si>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</si>
  <si>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</si>
  <si>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</si>
  <si>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</si>
  <si>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</si>
  <si>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</si>
  <si>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</si>
  <si>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</si>
  <si>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</si>
  <si>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</si>
  <si>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</si>
  <si>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</si>
  <si>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</si>
  <si>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</si>
  <si>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</si>
  <si>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</si>
  <si>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</si>
  <si>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</si>
  <si>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</si>
  <si>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</si>
  <si>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</si>
  <si>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</si>
  <si>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</si>
  <si>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</si>
  <si>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</si>
  <si>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</si>
  <si>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</si>
  <si>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</si>
  <si>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</si>
  <si>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</si>
  <si>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</si>
  <si>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</si>
  <si>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</si>
  <si>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</si>
  <si>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</si>
  <si>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</si>
  <si>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</si>
  <si>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</si>
  <si>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</si>
  <si>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</si>
  <si>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</si>
  <si>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</si>
  <si>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</si>
  <si>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</si>
  <si>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</si>
  <si>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</si>
  <si>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</si>
  <si>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</si>
  <si>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</si>
  <si>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</si>
  <si>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</si>
  <si>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</si>
  <si>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</si>
  <si>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</si>
  <si>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</si>
  <si>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</si>
  <si>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</si>
  <si>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</si>
  <si>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</si>
  <si>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</si>
  <si>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</si>
  <si>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</si>
  <si>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</si>
  <si>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</si>
  <si>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</si>
  <si>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</si>
  <si>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</si>
  <si>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</si>
  <si>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</si>
  <si>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</si>
  <si>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</si>
  <si>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</si>
  <si>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</si>
  <si>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</si>
  <si>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</si>
  <si>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</si>
  <si>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</si>
  <si>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</si>
  <si>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</si>
  <si>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</si>
  <si>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</si>
  <si>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</si>
  <si>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</si>
  <si>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</si>
  <si>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</si>
  <si>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</si>
  <si>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</si>
  <si>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</si>
  <si>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</si>
  <si>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</si>
  <si>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</si>
  <si>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</si>
  <si>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</si>
  <si>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</si>
  <si>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</si>
  <si>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</si>
  <si>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</si>
  <si>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</si>
  <si>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</si>
  <si>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</si>
  <si>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</si>
  <si>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</si>
  <si>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</si>
  <si>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</si>
  <si>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</si>
  <si>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</si>
  <si>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</si>
  <si>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</si>
  <si>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</si>
  <si>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</si>
  <si>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</si>
  <si>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</si>
  <si>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</si>
  <si>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</si>
  <si>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</si>
  <si>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</si>
  <si>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</si>
  <si>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</si>
  <si>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</si>
  <si>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</si>
  <si>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</si>
  <si>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</si>
  <si>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</si>
  <si>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</si>
  <si>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</si>
  <si>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</si>
  <si>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</si>
  <si>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</si>
  <si>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</si>
  <si>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</si>
  <si>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</si>
  <si>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</si>
  <si>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</si>
  <si>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</si>
  <si>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</si>
  <si>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</si>
  <si>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</si>
  <si>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</si>
  <si>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</si>
  <si>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</si>
  <si>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</si>
  <si>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</si>
  <si>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</si>
  <si>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</si>
  <si>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</si>
  <si>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</si>
  <si>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</si>
  <si>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</si>
  <si>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</si>
  <si>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</si>
  <si>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</si>
  <si>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</si>
  <si>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</si>
  <si>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</si>
  <si>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</si>
  <si>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</si>
  <si>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</si>
  <si>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</si>
  <si>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</si>
  <si>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</si>
  <si>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</si>
  <si>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</si>
  <si>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</si>
  <si>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</si>
  <si>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</si>
  <si>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</si>
  <si>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</si>
  <si>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</si>
  <si>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</si>
  <si>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</si>
  <si>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</si>
  <si>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</si>
  <si>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</si>
  <si>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</si>
  <si>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</si>
  <si>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</si>
  <si>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</si>
  <si>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</si>
  <si>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</si>
  <si>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</si>
  <si>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</si>
  <si>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</si>
  <si>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</si>
  <si>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</si>
  <si>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</si>
  <si>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</si>
  <si>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</si>
  <si>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</si>
  <si>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</si>
  <si>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</si>
  <si>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</si>
  <si>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</si>
  <si>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</si>
  <si>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</si>
  <si>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</si>
  <si>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</si>
  <si>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</si>
  <si>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</si>
  <si>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</si>
  <si>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</si>
  <si>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</si>
  <si>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</si>
  <si>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</si>
  <si>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</si>
  <si>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</si>
  <si>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</si>
  <si>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(2)</t>
    <phoneticPr fontId="1" type="noConversion"/>
  </si>
  <si>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</si>
  <si>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</si>
  <si>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</si>
  <si>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</si>
  <si>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</si>
  <si>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</si>
  <si>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</si>
  <si>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</si>
  <si>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</si>
  <si>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</si>
  <si>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</si>
  <si>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</si>
  <si>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</si>
  <si>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</si>
  <si>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</si>
  <si>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</si>
  <si>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</si>
  <si>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</si>
  <si>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</si>
  <si>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</si>
  <si>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</si>
  <si>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</si>
  <si>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</si>
  <si>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</si>
  <si>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</si>
  <si>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</si>
  <si>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</si>
  <si>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</si>
  <si>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</si>
  <si>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</si>
  <si>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</si>
  <si>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</si>
  <si>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</si>
  <si>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</si>
  <si>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</si>
  <si>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</si>
  <si>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</si>
  <si>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</si>
  <si>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</si>
  <si>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</si>
  <si>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</si>
  <si>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</si>
  <si>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</si>
  <si>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</si>
  <si>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</si>
  <si>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</si>
  <si>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</si>
  <si>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</si>
  <si>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</si>
  <si>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</si>
  <si>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</si>
  <si>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</si>
  <si>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</si>
  <si>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</si>
  <si>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</si>
  <si>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</si>
  <si>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</si>
  <si>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</si>
  <si>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</si>
  <si>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</si>
  <si>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</si>
  <si>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</si>
  <si>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</si>
  <si>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</si>
  <si>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</si>
  <si>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</si>
  <si>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</si>
  <si>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</si>
  <si>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</si>
  <si>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</si>
  <si>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</si>
  <si>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</si>
  <si>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</si>
  <si>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</si>
  <si>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</si>
  <si>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</si>
  <si>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</si>
  <si>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</si>
  <si>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</si>
  <si>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</si>
  <si>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</si>
  <si>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</si>
  <si>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</si>
  <si>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</si>
  <si>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</si>
  <si>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</si>
  <si>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</si>
  <si>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</si>
  <si>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</si>
  <si>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</si>
  <si>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</si>
  <si>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</si>
  <si>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</si>
  <si>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</si>
  <si>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</si>
  <si>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</si>
  <si>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</si>
  <si>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</si>
  <si>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</si>
  <si>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</si>
  <si>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</si>
  <si>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</si>
  <si>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</si>
  <si>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</si>
  <si>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</si>
  <si>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</si>
  <si>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</si>
  <si>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</si>
  <si>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</si>
  <si>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</si>
  <si>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</si>
  <si>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</si>
  <si>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</si>
  <si>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</si>
  <si>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</si>
  <si>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</si>
  <si>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</si>
  <si>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</si>
  <si>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</si>
  <si>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</si>
  <si>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</si>
  <si>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</si>
  <si>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</si>
  <si>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</si>
  <si>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</si>
  <si>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</si>
  <si>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</si>
  <si>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</si>
  <si>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</si>
  <si>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</si>
  <si>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</si>
  <si>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</si>
  <si>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</si>
  <si>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</si>
  <si>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</si>
  <si>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</si>
  <si>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</si>
  <si>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</si>
  <si>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</si>
  <si>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</si>
  <si>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</si>
  <si>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</si>
  <si>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</si>
  <si>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</si>
  <si>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</si>
  <si>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</si>
  <si>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</si>
  <si>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</si>
  <si>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</si>
  <si>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</si>
  <si>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</si>
  <si>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</si>
  <si>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</si>
  <si>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</si>
  <si>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</si>
  <si>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</si>
  <si>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</si>
  <si>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</si>
  <si>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</si>
  <si>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</si>
  <si>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</si>
  <si>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</si>
  <si>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</si>
  <si>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</si>
  <si>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</si>
  <si>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</si>
  <si>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</si>
  <si>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</si>
  <si>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</si>
  <si>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</si>
  <si>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</si>
  <si>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</si>
  <si>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</si>
  <si>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</si>
  <si>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</si>
  <si>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</si>
  <si>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</si>
  <si>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</si>
  <si>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</si>
  <si>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</si>
  <si>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</si>
  <si>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</si>
  <si>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</si>
  <si>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</si>
  <si>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</si>
  <si>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</si>
  <si>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</si>
  <si>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</si>
  <si>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</si>
  <si>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</si>
  <si>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</si>
  <si>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</si>
  <si>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</si>
  <si>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</si>
  <si>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</si>
  <si>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</si>
  <si>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</si>
  <si>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</si>
  <si>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</si>
  <si>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</si>
  <si>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</si>
  <si>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</si>
  <si>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</si>
  <si>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</si>
  <si>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</si>
  <si>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</si>
  <si>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</si>
  <si>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</si>
  <si>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</si>
  <si>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</si>
  <si>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</si>
  <si>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</si>
  <si>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</si>
  <si>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</si>
  <si>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</si>
  <si>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</si>
  <si>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</si>
  <si>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</si>
  <si>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</si>
  <si>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</si>
  <si>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</si>
  <si>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</si>
  <si>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</si>
  <si>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</si>
  <si>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</si>
  <si>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</si>
  <si>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</si>
  <si>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</si>
  <si>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</si>
  <si>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</si>
  <si>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</si>
  <si>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</si>
  <si>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</si>
  <si>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</si>
  <si>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</si>
  <si>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</si>
  <si>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</si>
  <si>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</si>
  <si>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</si>
  <si>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</si>
  <si>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</si>
  <si>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</si>
  <si>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</si>
  <si>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</si>
  <si>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</si>
  <si>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</si>
  <si>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</si>
  <si>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</si>
  <si>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</si>
  <si>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</si>
  <si>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</si>
  <si>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</si>
  <si>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</si>
  <si>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</si>
  <si>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</si>
  <si>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</si>
  <si>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</si>
  <si>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</si>
  <si>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</si>
  <si>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</si>
  <si>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</si>
  <si>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</si>
  <si>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</si>
  <si>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</si>
  <si>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</si>
  <si>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</si>
  <si>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</si>
  <si>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</si>
  <si>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</si>
  <si>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</si>
  <si>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</si>
  <si>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</si>
  <si>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</si>
  <si>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</si>
  <si>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</si>
  <si>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</si>
  <si>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</si>
  <si>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</si>
  <si>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</si>
  <si>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</si>
  <si>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</si>
  <si>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</si>
  <si>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</si>
  <si>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</si>
  <si>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</si>
  <si>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</si>
  <si>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</si>
  <si>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</si>
  <si>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</si>
  <si>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</si>
  <si>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</si>
  <si>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</si>
  <si>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</si>
  <si>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</si>
  <si>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</si>
  <si>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</si>
  <si>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</si>
  <si>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</si>
  <si>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</si>
  <si>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</si>
  <si>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</si>
  <si>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</si>
  <si>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</si>
  <si>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</si>
  <si>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</si>
  <si>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</si>
  <si>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</si>
  <si>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</si>
  <si>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</si>
  <si>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</si>
  <si>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</si>
  <si>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</si>
  <si>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</si>
  <si>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</si>
  <si>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</si>
  <si>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</si>
  <si>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</si>
  <si>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</si>
  <si>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</si>
  <si>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</si>
  <si>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</si>
  <si>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</si>
  <si>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</si>
  <si>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</si>
  <si>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</si>
  <si>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</si>
  <si>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</si>
  <si>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</si>
  <si>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</si>
  <si>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</si>
  <si>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</si>
  <si>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</si>
  <si>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</si>
  <si>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</si>
  <si>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</si>
  <si>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</si>
  <si>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</si>
  <si>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</si>
  <si>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</si>
  <si>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</si>
  <si>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</si>
  <si>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</si>
  <si>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</si>
  <si>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</si>
  <si>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</si>
  <si>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</si>
  <si>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</si>
  <si>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</si>
  <si>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</si>
  <si>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</si>
  <si>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</si>
  <si>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</si>
  <si>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</si>
  <si>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</si>
  <si>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</si>
  <si>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</si>
  <si>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</si>
  <si>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</si>
  <si>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</si>
  <si>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</si>
  <si>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</si>
  <si>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</si>
  <si>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</si>
  <si>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</si>
  <si>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</si>
  <si>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</si>
  <si>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</si>
  <si>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</si>
  <si>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</si>
  <si>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</si>
  <si>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</si>
  <si>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</si>
  <si>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</si>
  <si>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</si>
  <si>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</si>
  <si>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</si>
  <si>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</si>
  <si>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</si>
  <si>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</si>
  <si>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</si>
  <si>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</si>
  <si>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</si>
  <si>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</si>
  <si>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</si>
  <si>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</si>
  <si>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</si>
  <si>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</si>
  <si>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</si>
  <si>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</si>
  <si>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</si>
  <si>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</si>
  <si>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</si>
  <si>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</si>
  <si>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</si>
  <si>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</si>
  <si>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</si>
  <si>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</si>
  <si>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</si>
  <si>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</si>
  <si>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</si>
  <si>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</si>
  <si>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</si>
  <si>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</si>
  <si>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</si>
  <si>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</si>
  <si>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</si>
  <si>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</si>
  <si>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</si>
  <si>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</si>
  <si>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</si>
  <si>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</si>
  <si>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</si>
  <si>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</si>
  <si>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</si>
  <si>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</si>
  <si>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</si>
  <si>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</si>
  <si>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</si>
  <si>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</si>
  <si>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</si>
  <si>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</si>
  <si>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</si>
  <si>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</si>
  <si>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</si>
  <si>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</si>
  <si>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</si>
  <si>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</si>
  <si>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</si>
  <si>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</si>
  <si>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</si>
  <si>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</si>
  <si>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</si>
  <si>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</si>
  <si>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</si>
  <si>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</si>
  <si>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</si>
  <si>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</si>
  <si>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</si>
  <si>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</si>
  <si>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</si>
  <si>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</si>
  <si>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</si>
  <si>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</si>
  <si>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</si>
  <si>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</si>
  <si>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</si>
  <si>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</si>
  <si>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</si>
  <si>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</si>
  <si>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</si>
  <si>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</si>
  <si>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</si>
  <si>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</si>
  <si>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</si>
  <si>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</si>
  <si>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</si>
  <si>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</si>
  <si>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</si>
  <si>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</si>
  <si>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</si>
  <si>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</si>
  <si>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</si>
  <si>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</si>
  <si>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</si>
  <si>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</si>
  <si>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</si>
  <si>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</si>
  <si>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</si>
  <si>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</si>
  <si>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</si>
  <si>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</si>
  <si>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</si>
  <si>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</si>
  <si>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</si>
  <si>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</si>
  <si>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</si>
  <si>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</si>
  <si>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</si>
  <si>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</si>
  <si>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</si>
  <si>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</si>
  <si>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</si>
  <si>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</si>
  <si>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</si>
  <si>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</si>
  <si>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</si>
  <si>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</si>
  <si>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</si>
  <si>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</si>
  <si>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</si>
  <si>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</si>
  <si>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</si>
  <si>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</si>
  <si>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</si>
  <si>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</si>
  <si>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</si>
  <si>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</si>
  <si>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</si>
  <si>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</si>
  <si>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</si>
  <si>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</si>
  <si>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</si>
  <si>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</si>
  <si>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</si>
  <si>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</si>
  <si>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</si>
  <si>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</si>
  <si>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</si>
  <si>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</si>
  <si>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</si>
  <si>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</si>
  <si>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</si>
  <si>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</si>
  <si>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</si>
  <si>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</si>
  <si>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</si>
  <si>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</si>
  <si>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</si>
  <si>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</si>
  <si>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</si>
  <si>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</si>
  <si>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</si>
  <si>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</si>
  <si>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</si>
  <si>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</si>
  <si>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</si>
  <si>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</si>
  <si>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</si>
  <si>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</si>
  <si>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</si>
  <si>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</si>
  <si>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</si>
  <si>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</si>
  <si>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</si>
  <si>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</si>
  <si>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</si>
  <si>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</si>
  <si>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</si>
  <si>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</si>
  <si>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</si>
  <si>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</si>
  <si>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</si>
  <si>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</si>
  <si>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</si>
  <si>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</si>
  <si>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</si>
  <si>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</si>
  <si>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</si>
  <si>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</si>
  <si>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</si>
  <si>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</si>
  <si>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</si>
  <si>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</si>
  <si>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</si>
  <si>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</si>
  <si>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</si>
  <si>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</si>
  <si>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</si>
  <si>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</si>
  <si>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</si>
  <si>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</si>
  <si>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</si>
  <si>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</si>
  <si>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</si>
  <si>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</si>
  <si>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</si>
  <si>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</si>
  <si>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</si>
  <si>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</si>
  <si>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</si>
  <si>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</si>
  <si>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</si>
  <si>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</si>
  <si>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</si>
  <si>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</si>
  <si>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</si>
  <si>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</si>
  <si>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</si>
  <si>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</si>
  <si>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</si>
  <si>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</si>
  <si>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</si>
  <si>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</si>
  <si>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</si>
  <si>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</si>
  <si>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</si>
  <si>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</si>
  <si>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</si>
  <si>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</si>
  <si>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</si>
  <si>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</si>
  <si>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</si>
  <si>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</si>
  <si>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</si>
  <si>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</si>
  <si>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</si>
  <si>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</si>
  <si>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</si>
  <si>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</si>
  <si>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</si>
  <si>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</si>
  <si>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</si>
  <si>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</si>
  <si>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</si>
  <si>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</si>
  <si>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</si>
  <si>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</si>
  <si>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</si>
  <si>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</si>
  <si>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</si>
  <si>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</si>
  <si>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</si>
  <si>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</si>
  <si>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</si>
  <si>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</si>
  <si>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</si>
  <si>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</si>
  <si>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</si>
  <si>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</si>
  <si>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</si>
  <si>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</si>
  <si>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</si>
  <si>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</si>
  <si>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</si>
  <si>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</si>
  <si>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</si>
  <si>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</si>
  <si>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</si>
  <si>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</si>
  <si>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</si>
  <si>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</si>
  <si>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</si>
  <si>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</si>
  <si>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</si>
  <si>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</si>
  <si>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</si>
  <si>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</si>
  <si>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</si>
  <si>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</si>
  <si>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</si>
  <si>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</si>
  <si>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</si>
  <si>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</si>
  <si>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</si>
  <si>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</si>
  <si>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</si>
  <si>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</si>
  <si>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</si>
  <si>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</si>
  <si>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</si>
  <si>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</si>
  <si>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</si>
  <si>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</si>
  <si>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</si>
  <si>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</si>
  <si>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</si>
  <si>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</si>
  <si>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</si>
  <si>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</si>
  <si>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</si>
  <si>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</si>
  <si>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</si>
  <si>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</si>
  <si>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</si>
  <si>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</si>
  <si>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</si>
  <si>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</si>
  <si>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</si>
  <si>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</si>
  <si>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</si>
  <si>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</si>
  <si>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</si>
  <si>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</si>
  <si>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</si>
  <si>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</si>
  <si>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</si>
  <si>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</si>
  <si>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</si>
  <si>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</si>
  <si>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</si>
  <si>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</si>
  <si>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</si>
  <si>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</si>
  <si>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</si>
  <si>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</si>
  <si>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</si>
  <si>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</si>
  <si>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</si>
  <si>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</si>
  <si>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</si>
  <si>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</si>
  <si>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</si>
  <si>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</si>
  <si>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</si>
  <si>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</si>
  <si>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</si>
  <si>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</si>
  <si>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</si>
  <si>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</si>
  <si>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</si>
  <si>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</si>
  <si>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</si>
  <si>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</si>
  <si>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</si>
  <si>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</si>
  <si>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</si>
  <si>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</si>
  <si>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</si>
  <si>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</si>
  <si>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</si>
  <si>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</si>
  <si>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</si>
  <si>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</si>
  <si>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</si>
  <si>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</si>
  <si>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</si>
  <si>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</si>
  <si>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</si>
  <si>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</si>
  <si>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</si>
  <si>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</si>
  <si>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</si>
  <si>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</si>
  <si>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</si>
  <si>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</si>
  <si>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</si>
  <si>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</si>
  <si>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</si>
  <si>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</si>
  <si>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</si>
  <si>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</si>
  <si>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</si>
  <si>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</si>
  <si>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</si>
  <si>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</si>
  <si>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</si>
  <si>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</si>
  <si>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</si>
  <si>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</si>
  <si>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</si>
  <si>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</si>
  <si>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</si>
  <si>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</si>
  <si>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</si>
  <si>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</si>
  <si>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</si>
  <si>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</si>
  <si>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</si>
  <si>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</si>
  <si>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</si>
  <si>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</si>
  <si>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</si>
  <si>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</si>
  <si>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</si>
  <si>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</si>
  <si>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</si>
  <si>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</si>
  <si>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</si>
  <si>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</si>
  <si>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</si>
  <si>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</si>
  <si>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</si>
  <si>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</si>
  <si>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</si>
  <si>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</si>
  <si>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</si>
  <si>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</si>
  <si>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</si>
  <si>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</si>
  <si>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</si>
  <si>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</si>
  <si>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</si>
  <si>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</si>
  <si>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</si>
  <si>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</si>
  <si>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</si>
  <si>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</si>
  <si>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</si>
  <si>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</si>
  <si>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</si>
  <si>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</si>
  <si>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</si>
  <si>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</si>
  <si>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</si>
  <si>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</si>
  <si>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</si>
  <si>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</si>
  <si>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</si>
  <si>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</si>
  <si>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</si>
  <si>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</si>
  <si>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</si>
  <si>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</si>
  <si>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</si>
  <si>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</si>
  <si>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</si>
  <si>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</si>
  <si>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</si>
  <si>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</si>
  <si>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</si>
  <si>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</si>
  <si>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</si>
  <si>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</si>
  <si>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</si>
  <si>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</si>
  <si>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</si>
  <si>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</si>
  <si>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</si>
  <si>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</si>
  <si>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</si>
  <si>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</si>
  <si>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</si>
  <si>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</si>
  <si>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</si>
  <si>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</si>
  <si>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</si>
  <si>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</si>
  <si>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</si>
  <si>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</si>
  <si>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</si>
  <si>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</si>
  <si>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</si>
  <si>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</si>
  <si>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</si>
  <si>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</si>
  <si>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</si>
  <si>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</si>
  <si>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</si>
  <si>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</si>
  <si>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</si>
  <si>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</si>
  <si>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</si>
  <si>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</si>
  <si>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</si>
  <si>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</si>
  <si>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</si>
  <si>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</si>
  <si>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</si>
  <si>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</si>
  <si>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</si>
  <si>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</si>
  <si>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</si>
  <si>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</si>
  <si>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</si>
  <si>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</si>
  <si>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</si>
  <si>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</si>
  <si>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</si>
  <si>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</si>
  <si>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</si>
  <si>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</si>
  <si>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</si>
  <si>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</si>
  <si>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</si>
  <si>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</si>
  <si>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</si>
  <si>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</si>
  <si>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</si>
  <si>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</si>
  <si>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</si>
  <si>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</si>
  <si>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</si>
  <si>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</si>
  <si>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</si>
  <si>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</si>
  <si>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</si>
  <si>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</si>
  <si>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</si>
  <si>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</si>
  <si>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</si>
  <si>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</si>
  <si>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</si>
  <si>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</si>
  <si>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</si>
  <si>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</si>
  <si>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</si>
  <si>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</si>
  <si>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</si>
  <si>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</si>
  <si>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</si>
  <si>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</si>
  <si>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</si>
  <si>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</si>
  <si>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</si>
  <si>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</si>
  <si>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</si>
  <si>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</si>
  <si>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</si>
  <si>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</si>
  <si>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</si>
  <si>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</si>
  <si>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</si>
  <si>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</si>
  <si>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</si>
  <si>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</si>
  <si>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</si>
  <si>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</si>
  <si>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</si>
  <si>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</si>
  <si>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</si>
  <si>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</si>
  <si>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</si>
  <si>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</si>
  <si>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</si>
  <si>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</si>
  <si>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</si>
  <si>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</si>
  <si>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</si>
  <si>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</si>
  <si>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</si>
  <si>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</si>
  <si>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</si>
  <si>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</si>
  <si>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</si>
  <si>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</si>
  <si>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</si>
  <si>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</si>
  <si>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</si>
  <si>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</si>
  <si>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</si>
  <si>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</si>
  <si>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</si>
  <si>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</si>
  <si>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</si>
  <si>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</si>
  <si>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</si>
  <si>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</si>
  <si>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</si>
  <si>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</si>
  <si>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</si>
  <si>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</si>
  <si>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</si>
  <si>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</si>
  <si>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</si>
  <si>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</si>
  <si>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</si>
  <si>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</si>
  <si>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</si>
  <si>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</si>
  <si>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</si>
  <si>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</si>
  <si>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</si>
  <si>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</si>
  <si>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</si>
  <si>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</si>
  <si>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</si>
  <si>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</si>
  <si>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</si>
  <si>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</si>
  <si>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</si>
  <si>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</si>
  <si>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</si>
  <si>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</si>
  <si>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</si>
  <si>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</si>
  <si>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</si>
  <si>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</si>
  <si>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</si>
  <si>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</si>
  <si>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</si>
  <si>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</si>
  <si>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</si>
  <si>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</si>
  <si>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</si>
  <si>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</si>
  <si>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</si>
  <si>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</si>
  <si>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</si>
  <si>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</si>
  <si>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</si>
  <si>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</si>
  <si>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</si>
  <si>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</si>
  <si>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</si>
  <si>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</si>
  <si>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</si>
  <si>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</si>
  <si>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</si>
  <si>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</si>
  <si>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</si>
  <si>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</si>
  <si>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</si>
  <si>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</si>
  <si>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</si>
  <si>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</si>
  <si>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</si>
  <si>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</si>
  <si>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</si>
  <si>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</si>
  <si>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</si>
  <si>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</si>
  <si>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</si>
  <si>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</si>
  <si>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</si>
  <si>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</si>
  <si>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</si>
  <si>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</si>
  <si>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</si>
  <si>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</si>
  <si>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</si>
  <si>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</si>
  <si>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</si>
  <si>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</si>
  <si>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</si>
  <si>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</si>
  <si>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</si>
  <si>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</si>
  <si>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</si>
  <si>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</si>
  <si>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</si>
  <si>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</si>
  <si>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</si>
  <si>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</si>
  <si>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</si>
  <si>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</si>
  <si>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</si>
  <si>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</si>
  <si>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</si>
  <si>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</si>
  <si>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</si>
  <si>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</si>
  <si>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</si>
  <si>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</si>
  <si>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</si>
  <si>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</si>
  <si>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</si>
  <si>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</si>
  <si>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</si>
  <si>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</si>
  <si>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</si>
  <si>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</si>
  <si>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</si>
  <si>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</si>
  <si>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</si>
  <si>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</si>
  <si>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</si>
  <si>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</si>
  <si>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</si>
  <si>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</si>
  <si>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</si>
  <si>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</si>
  <si>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</si>
  <si>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</si>
  <si>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</si>
  <si>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</si>
  <si>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</si>
  <si>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</si>
  <si>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</si>
  <si>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</si>
  <si>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</si>
  <si>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</si>
  <si>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</si>
  <si>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</si>
  <si>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</si>
  <si>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</si>
  <si>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</si>
  <si>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</si>
  <si>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</si>
  <si>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</si>
  <si>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</si>
  <si>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</si>
  <si>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</si>
  <si>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</si>
  <si>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</si>
  <si>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</si>
  <si>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</si>
  <si>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</si>
  <si>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</si>
  <si>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</si>
  <si>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</si>
  <si>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</si>
  <si>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</si>
  <si>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</si>
  <si>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</si>
  <si>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</si>
  <si>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</si>
  <si>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</si>
  <si>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</si>
  <si>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</si>
  <si>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</si>
  <si>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</si>
  <si>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</si>
  <si>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</si>
  <si>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</si>
  <si>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</si>
  <si>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</si>
  <si>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</si>
  <si>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</si>
  <si>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</si>
  <si>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</si>
  <si>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</si>
  <si>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</si>
  <si>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</si>
  <si>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</si>
  <si>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</si>
  <si>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</si>
  <si>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</si>
  <si>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</si>
  <si>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</si>
  <si>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</si>
  <si>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</si>
  <si>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</si>
  <si>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</si>
  <si>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</si>
  <si>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</si>
  <si>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</si>
  <si>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</si>
  <si>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</si>
  <si>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</si>
  <si>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</si>
  <si>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</si>
  <si>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</si>
  <si>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</si>
  <si>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</si>
  <si>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</si>
  <si>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</si>
  <si>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</si>
  <si>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</si>
  <si>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</si>
  <si>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</si>
  <si>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</si>
  <si>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</si>
  <si>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</si>
  <si>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</si>
  <si>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</si>
  <si>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</si>
  <si>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</si>
  <si>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</si>
  <si>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</si>
  <si>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</si>
  <si>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</si>
  <si>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</si>
  <si>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</si>
  <si>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</si>
  <si>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</si>
  <si>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</si>
  <si>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</si>
  <si>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</si>
  <si>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</si>
  <si>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</si>
  <si>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</si>
  <si>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</si>
  <si>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</si>
  <si>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</si>
  <si>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</si>
  <si>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</si>
  <si>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</si>
  <si>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</si>
  <si>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</si>
  <si>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</si>
  <si>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</si>
  <si>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</si>
  <si>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</si>
  <si>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</si>
  <si>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</si>
  <si>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</si>
  <si>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</si>
  <si>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</si>
  <si>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</si>
  <si>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</si>
  <si>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</si>
  <si>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</si>
  <si>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</si>
  <si>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</si>
  <si>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</si>
  <si>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</si>
  <si>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</si>
  <si>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</si>
  <si>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</si>
  <si>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</si>
  <si>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</si>
  <si>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</si>
  <si>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</si>
  <si>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</si>
  <si>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</si>
  <si>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</si>
  <si>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</si>
  <si>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</si>
  <si>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</si>
  <si>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</si>
  <si>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</si>
  <si>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</si>
  <si>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</si>
  <si>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</si>
  <si>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</si>
  <si>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</si>
  <si>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</si>
  <si>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</si>
  <si>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</si>
  <si>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</si>
  <si>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</si>
  <si>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</si>
  <si>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</si>
  <si>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</si>
  <si>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</si>
  <si>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</si>
  <si>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</si>
  <si>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</si>
  <si>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</si>
  <si>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</si>
  <si>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</si>
  <si>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</si>
  <si>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</si>
  <si>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</si>
  <si>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</si>
  <si>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</si>
  <si>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</si>
  <si>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</si>
  <si>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</si>
  <si>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</si>
  <si>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</si>
  <si>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</si>
  <si>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</si>
  <si>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</si>
  <si>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</si>
  <si>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</si>
  <si>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</si>
  <si>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</si>
  <si>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</si>
  <si>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</si>
  <si>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</si>
  <si>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</si>
  <si>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</si>
  <si>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</si>
  <si>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</si>
  <si>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</si>
  <si>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</si>
  <si>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</si>
  <si>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</si>
  <si>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</si>
  <si>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</si>
  <si>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</si>
  <si>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</si>
  <si>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</si>
  <si>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</si>
  <si>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</si>
  <si>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</si>
  <si>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</si>
  <si>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</si>
  <si>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</si>
  <si>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</si>
  <si>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</si>
  <si>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</si>
  <si>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</si>
  <si>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</si>
  <si>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</si>
  <si>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</si>
  <si>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</si>
  <si>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</si>
  <si>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</si>
  <si>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</si>
  <si>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</si>
  <si>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</si>
  <si>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</si>
  <si>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</si>
  <si>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</si>
  <si>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</si>
  <si>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</si>
  <si>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</si>
  <si>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</si>
  <si>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</si>
  <si>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</si>
  <si>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</si>
  <si>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</si>
  <si>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</si>
  <si>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</si>
  <si>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</si>
  <si>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</si>
  <si>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</si>
  <si>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</si>
  <si>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</si>
  <si>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</si>
  <si>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</si>
  <si>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</si>
  <si>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</si>
  <si>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</si>
  <si>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</si>
  <si>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</si>
  <si>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</si>
  <si>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</si>
  <si>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</si>
  <si>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</si>
  <si>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</si>
  <si>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</si>
  <si>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</si>
  <si>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</si>
  <si>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</si>
  <si>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</si>
  <si>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</si>
  <si>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</si>
  <si>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</si>
  <si>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</si>
  <si>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</si>
  <si>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</si>
  <si>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</si>
  <si>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</si>
  <si>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</si>
  <si>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</si>
  <si>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</si>
  <si>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</si>
  <si>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</si>
  <si>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</si>
  <si>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</si>
  <si>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</si>
  <si>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</si>
  <si>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</si>
  <si>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</si>
  <si>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</si>
  <si>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</si>
  <si>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</si>
  <si>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</si>
  <si>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</si>
  <si>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</si>
  <si>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</si>
  <si>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</si>
  <si>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</si>
  <si>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</si>
  <si>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</si>
  <si>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</si>
  <si>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</si>
  <si>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</si>
  <si>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</si>
  <si>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</si>
  <si>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</si>
  <si>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</si>
  <si>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</si>
  <si>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</si>
  <si>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</si>
  <si>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</si>
  <si>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</si>
  <si>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</si>
  <si>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</si>
  <si>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</si>
  <si>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</si>
  <si>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</si>
  <si>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</si>
  <si>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</si>
  <si>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</si>
  <si>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</si>
  <si>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</si>
  <si>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</si>
  <si>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</si>
  <si>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</si>
  <si>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</si>
  <si>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</si>
  <si>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</si>
  <si>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</si>
  <si>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</si>
  <si>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</si>
  <si>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</si>
  <si>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</si>
  <si>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</si>
  <si>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</si>
  <si>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</si>
  <si>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</si>
  <si>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</si>
  <si>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</si>
  <si>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</si>
  <si>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</si>
  <si>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</si>
  <si>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</si>
  <si>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</si>
  <si>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</si>
  <si>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</si>
  <si>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</si>
  <si>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</si>
  <si>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</si>
  <si>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</si>
  <si>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</si>
  <si>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</si>
  <si>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</si>
  <si>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</si>
  <si>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</si>
  <si>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</si>
  <si>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</si>
  <si>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</si>
  <si>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</si>
  <si>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</si>
  <si>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</si>
  <si>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</si>
  <si>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</si>
  <si>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</si>
  <si>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</si>
  <si>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</si>
  <si>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</si>
  <si>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</si>
  <si>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</si>
  <si>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</si>
  <si>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</si>
  <si>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</si>
  <si>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</si>
  <si>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</si>
  <si>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</si>
  <si>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</si>
  <si>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</si>
  <si>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</si>
  <si>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</si>
  <si>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</si>
  <si>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</si>
  <si>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</si>
  <si>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</si>
  <si>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</si>
  <si>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</si>
  <si>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</si>
  <si>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</si>
  <si>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</si>
  <si>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</si>
  <si>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</si>
  <si>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</si>
  <si>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</si>
  <si>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</si>
  <si>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</si>
  <si>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</si>
  <si>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</si>
  <si>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</si>
  <si>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</si>
  <si>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</si>
  <si>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</si>
  <si>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</si>
  <si>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</si>
  <si>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</si>
  <si>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</si>
  <si>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</si>
  <si>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</si>
  <si>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</si>
  <si>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</si>
  <si>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</si>
  <si>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</si>
  <si>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</si>
  <si>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</si>
  <si>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</si>
  <si>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</si>
  <si>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</si>
  <si>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</si>
  <si>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</si>
  <si>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</si>
  <si>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</si>
  <si>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</si>
  <si>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</si>
  <si>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</si>
  <si>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</si>
  <si>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</si>
  <si>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</si>
  <si>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</si>
  <si>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</si>
  <si>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</si>
  <si>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</si>
  <si>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</si>
  <si>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</si>
  <si>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</si>
  <si>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</si>
  <si>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</si>
  <si>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</si>
  <si>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</si>
  <si>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</si>
  <si>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</si>
  <si>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</si>
  <si>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</si>
  <si>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</si>
  <si>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</si>
  <si>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</si>
  <si>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</si>
  <si>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</si>
  <si>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</si>
  <si>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</si>
  <si>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</si>
  <si>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</si>
  <si>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</si>
  <si>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</si>
  <si>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</si>
  <si>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</si>
  <si>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</si>
  <si>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</si>
  <si>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</si>
  <si>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</si>
  <si>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</si>
  <si>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</si>
  <si>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</si>
  <si>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</si>
  <si>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</si>
  <si>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</si>
  <si>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</si>
  <si>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</si>
  <si>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</si>
  <si>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</si>
  <si>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</si>
  <si>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</si>
  <si>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</si>
  <si>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</si>
  <si>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</si>
  <si>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</si>
  <si>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</si>
  <si>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</si>
  <si>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</si>
  <si>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</si>
  <si>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</si>
  <si>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</si>
  <si>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</si>
  <si>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</si>
  <si>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</si>
  <si>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</si>
  <si>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</si>
  <si>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</si>
  <si>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</si>
  <si>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</si>
  <si>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</si>
  <si>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</si>
  <si>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</si>
  <si>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</si>
  <si>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</si>
  <si>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</si>
  <si>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</si>
  <si>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</si>
  <si>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</si>
  <si>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</si>
  <si>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</si>
  <si>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</si>
  <si>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</si>
  <si>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</si>
  <si>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</si>
  <si>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</si>
  <si>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</si>
  <si>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</si>
  <si>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</si>
  <si>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</si>
  <si>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</si>
  <si>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</si>
  <si>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</si>
  <si>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</si>
  <si>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</si>
  <si>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</si>
  <si>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</si>
  <si>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</si>
  <si>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</si>
  <si>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</si>
  <si>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</si>
  <si>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</si>
  <si>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</si>
  <si>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</si>
  <si>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</si>
  <si>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</si>
  <si>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</si>
  <si>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</si>
  <si>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</si>
  <si>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</si>
  <si>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</si>
  <si>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</si>
  <si>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</si>
  <si>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</si>
  <si>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</si>
  <si>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</si>
  <si>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</si>
  <si>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</si>
  <si>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</si>
  <si>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</si>
  <si>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</si>
  <si>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</si>
  <si>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</si>
  <si>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</si>
  <si>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</si>
  <si>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</si>
  <si>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</si>
  <si>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</si>
  <si>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</si>
  <si>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</si>
  <si>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</si>
  <si>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</si>
  <si>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</si>
  <si>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</si>
  <si>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</si>
  <si>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</si>
  <si>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</si>
  <si>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</si>
  <si>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</si>
  <si>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</si>
  <si>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</si>
  <si>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</si>
  <si>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</si>
  <si>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</si>
  <si>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</si>
  <si>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</si>
  <si>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</si>
  <si>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</si>
  <si>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</si>
  <si>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</si>
  <si>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</si>
  <si>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</si>
  <si>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</si>
  <si>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</si>
  <si>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</si>
  <si>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</si>
  <si>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</si>
  <si>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</si>
  <si>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</si>
  <si>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</si>
  <si>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</si>
  <si>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</si>
  <si>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</si>
  <si>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</si>
  <si>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</si>
  <si>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</si>
  <si>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</si>
  <si>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</si>
  <si>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</si>
  <si>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</si>
  <si>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</si>
  <si>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</si>
  <si>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</si>
  <si>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</si>
  <si>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</si>
  <si>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</si>
  <si>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</si>
  <si>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</si>
  <si>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</si>
  <si>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</si>
  <si>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</si>
  <si>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</si>
  <si>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</si>
  <si>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</si>
  <si>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</si>
  <si>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</si>
  <si>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</si>
  <si>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</si>
  <si>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</si>
  <si>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</si>
  <si>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</si>
  <si>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</si>
  <si>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</si>
  <si>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</si>
  <si>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</si>
  <si>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</si>
  <si>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</si>
  <si>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</si>
  <si>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</si>
  <si>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</si>
  <si>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</si>
  <si>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</si>
  <si>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</si>
  <si>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</si>
  <si>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</si>
  <si>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</si>
  <si>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</si>
  <si>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</si>
  <si>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</si>
  <si>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</si>
  <si>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</si>
  <si>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</si>
  <si>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</si>
  <si>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</si>
  <si>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</si>
  <si>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</si>
  <si>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</si>
  <si>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</si>
  <si>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</si>
  <si>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</si>
  <si>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</si>
  <si>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</si>
  <si>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</si>
  <si>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</si>
  <si>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</si>
  <si>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</si>
  <si>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</si>
  <si>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</si>
  <si>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</si>
  <si>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</si>
  <si>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</si>
  <si>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</si>
  <si>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</si>
  <si>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</si>
  <si>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</si>
  <si>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</si>
  <si>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</si>
  <si>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</si>
  <si>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</si>
  <si>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</si>
  <si>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</si>
  <si>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</si>
  <si>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</si>
  <si>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</si>
  <si>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</si>
  <si>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</si>
  <si>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</si>
  <si>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</si>
  <si>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</si>
  <si>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</si>
  <si>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</si>
  <si>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</si>
  <si>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</si>
  <si>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</si>
  <si>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</si>
  <si>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</si>
  <si>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</si>
  <si>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</si>
  <si>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</si>
  <si>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</si>
  <si>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</si>
  <si>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</si>
  <si>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</si>
  <si>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</si>
  <si>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</si>
  <si>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</si>
  <si>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</si>
  <si>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</si>
  <si>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</si>
  <si>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</si>
  <si>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</si>
  <si>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</si>
  <si>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</si>
  <si>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</si>
  <si>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</si>
  <si>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</si>
  <si>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</si>
  <si>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</si>
  <si>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</si>
  <si>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</si>
  <si>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</si>
  <si>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</si>
  <si>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</si>
  <si>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</si>
  <si>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</si>
  <si>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</si>
  <si>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</si>
  <si>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</si>
  <si>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</si>
  <si>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</si>
  <si>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</si>
  <si>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</si>
  <si>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</si>
  <si>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</si>
  <si>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</si>
  <si>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</si>
  <si>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</si>
  <si>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</si>
  <si>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</si>
  <si>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</si>
  <si>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</si>
  <si>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</si>
  <si>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</si>
  <si>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</si>
  <si>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</si>
  <si>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</si>
  <si>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</si>
  <si>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</si>
  <si>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</si>
  <si>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</si>
  <si>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</si>
  <si>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</si>
  <si>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</si>
  <si>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</si>
  <si>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</si>
  <si>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</si>
  <si>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</si>
  <si>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</si>
  <si>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</si>
  <si>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</si>
  <si>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</si>
  <si>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</si>
  <si>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</si>
  <si>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</si>
  <si>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</si>
  <si>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</si>
  <si>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</si>
  <si>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</si>
  <si>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</si>
  <si>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</si>
  <si>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</si>
  <si>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</si>
  <si>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</si>
  <si>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</si>
  <si>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</si>
  <si>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</si>
  <si>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</si>
  <si>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</si>
  <si>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</si>
  <si>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</si>
  <si>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</si>
  <si>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</si>
  <si>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</si>
  <si>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</si>
  <si>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</si>
  <si>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</si>
  <si>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</si>
  <si>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</si>
  <si>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</si>
  <si>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</si>
  <si>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</si>
  <si>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</si>
  <si>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</si>
  <si>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</si>
  <si>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</si>
  <si>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</si>
  <si>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</si>
  <si>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</si>
  <si>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</si>
  <si>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</si>
  <si>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</si>
  <si>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</si>
  <si>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</si>
  <si>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</si>
  <si>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</si>
  <si>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</si>
  <si>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</si>
  <si>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</si>
  <si>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</si>
  <si>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</si>
  <si>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</si>
  <si>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</si>
  <si>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</si>
  <si>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</si>
  <si>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</si>
  <si>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</si>
  <si>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</si>
  <si>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</si>
  <si>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</si>
  <si>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</si>
  <si>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</si>
  <si>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</si>
  <si>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</si>
  <si>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</si>
  <si>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</si>
  <si>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</si>
  <si>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</si>
  <si>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</si>
  <si>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</si>
  <si>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</si>
  <si>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</si>
  <si>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</si>
  <si>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</si>
  <si>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</si>
  <si>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</si>
  <si>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</si>
  <si>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</si>
  <si>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</si>
  <si>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</si>
  <si>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</si>
  <si>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</si>
  <si>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</si>
  <si>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</si>
  <si>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</si>
  <si>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</si>
  <si>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</si>
  <si>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</si>
  <si>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</si>
  <si>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</si>
  <si>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</si>
  <si>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</si>
  <si>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</si>
  <si>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</si>
  <si>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</si>
  <si>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</si>
  <si>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</si>
  <si>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</si>
  <si>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</si>
  <si>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</si>
  <si>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</si>
  <si>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</si>
  <si>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</si>
  <si>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</si>
  <si>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</si>
  <si>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</si>
  <si>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</si>
  <si>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</si>
  <si>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</si>
  <si>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</si>
  <si>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</si>
  <si>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</si>
  <si>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</si>
  <si>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</si>
  <si>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</si>
  <si>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</si>
  <si>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</si>
  <si>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</si>
  <si>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</si>
  <si>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</si>
  <si>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</si>
  <si>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</si>
  <si>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</si>
  <si>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</si>
  <si>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</si>
  <si>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</si>
  <si>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</si>
  <si>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</si>
  <si>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</si>
  <si>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</si>
  <si>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</si>
  <si>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</si>
  <si>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</si>
  <si>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</si>
  <si>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</si>
  <si>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</si>
  <si>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</si>
  <si>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</si>
  <si>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</si>
  <si>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</si>
  <si>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</si>
  <si>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</si>
  <si>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</si>
  <si>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</si>
  <si>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</si>
  <si>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</si>
  <si>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</si>
  <si>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</si>
  <si>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</si>
  <si>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</si>
  <si>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</si>
  <si>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</si>
  <si>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</si>
  <si>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</si>
  <si>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</si>
  <si>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</si>
  <si>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</si>
  <si>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</si>
  <si>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</si>
  <si>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</si>
  <si>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</si>
  <si>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</si>
  <si>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</si>
  <si>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</si>
  <si>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</si>
  <si>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</si>
  <si>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</si>
  <si>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</si>
  <si>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</si>
  <si>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</si>
  <si>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</si>
  <si>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</si>
  <si>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</si>
  <si>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</si>
  <si>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</si>
  <si>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</si>
  <si>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</si>
  <si>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</si>
  <si>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</si>
  <si>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</si>
  <si>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</si>
  <si>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</si>
  <si>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</si>
  <si>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</si>
  <si>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</si>
  <si>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</si>
  <si>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</si>
  <si>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</si>
  <si>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</si>
  <si>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</si>
  <si>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</si>
  <si>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</si>
  <si>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</si>
  <si>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</si>
  <si>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</si>
  <si>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</si>
  <si>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</si>
  <si>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</si>
  <si>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</si>
  <si>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</si>
  <si>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</si>
  <si>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</si>
  <si>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</si>
  <si>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</si>
  <si>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</si>
  <si>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</si>
  <si>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</si>
  <si>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</si>
  <si>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</si>
  <si>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</si>
  <si>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</si>
  <si>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</si>
  <si>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</si>
  <si>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</si>
  <si>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</si>
  <si>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</si>
  <si>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</si>
  <si>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</si>
  <si>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</si>
  <si>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</si>
  <si>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</si>
  <si>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</si>
  <si>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</si>
  <si>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</si>
  <si>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</si>
  <si>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</si>
  <si>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</si>
  <si>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</si>
  <si>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</si>
  <si>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</si>
  <si>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</si>
  <si>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</si>
  <si>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</si>
  <si>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</si>
  <si>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</si>
  <si>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</si>
  <si>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</si>
  <si>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</si>
  <si>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</si>
  <si>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</si>
  <si>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</si>
  <si>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</si>
  <si>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</si>
  <si>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</si>
  <si>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</si>
  <si>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</si>
  <si>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</si>
  <si>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</si>
  <si>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</si>
  <si>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</si>
  <si>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</si>
  <si>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</si>
  <si>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</si>
  <si>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</si>
  <si>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</si>
  <si>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</si>
  <si>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</si>
  <si>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</si>
  <si>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</si>
  <si>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</si>
  <si>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</si>
  <si>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</si>
  <si>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</si>
  <si>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</si>
  <si>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</si>
  <si>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</si>
  <si>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</si>
  <si>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</si>
  <si>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</si>
  <si>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</si>
  <si>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</si>
  <si>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</si>
  <si>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</si>
  <si>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</si>
  <si>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</si>
  <si>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</si>
  <si>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</si>
  <si>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</si>
  <si>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</si>
  <si>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</si>
  <si>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</si>
  <si>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</si>
  <si>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</si>
  <si>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</si>
  <si>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</si>
  <si>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</si>
  <si>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</si>
  <si>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</si>
  <si>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</si>
  <si>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</si>
  <si>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</si>
  <si>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</si>
  <si>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</si>
  <si>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</si>
  <si>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</si>
  <si>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</si>
  <si>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</si>
  <si>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</si>
  <si>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</si>
  <si>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</si>
  <si>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</si>
  <si>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</si>
  <si>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</si>
  <si>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</si>
  <si>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</si>
  <si>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</si>
  <si>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</si>
  <si>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</si>
  <si>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</si>
  <si>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</si>
  <si>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</si>
  <si>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</si>
  <si>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</si>
  <si>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</si>
  <si>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</si>
  <si>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</si>
  <si>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</si>
  <si>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</si>
  <si>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</si>
  <si>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</si>
  <si>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</si>
  <si>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</si>
  <si>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</si>
  <si>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</si>
  <si>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</si>
  <si>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</si>
  <si>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</si>
  <si>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</si>
  <si>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</si>
  <si>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</si>
  <si>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</si>
  <si>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</si>
  <si>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</si>
  <si>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</si>
  <si>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</si>
  <si>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</si>
  <si>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</si>
  <si>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</si>
  <si>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</si>
  <si>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</si>
  <si>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</si>
  <si>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</si>
  <si>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</si>
  <si>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</si>
  <si>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</si>
  <si>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</si>
  <si>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</si>
  <si>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</si>
  <si>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</si>
  <si>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</si>
  <si>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</si>
  <si>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</si>
  <si>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</si>
  <si>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</si>
  <si>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</si>
  <si>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</si>
  <si>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</si>
  <si>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</si>
  <si>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</si>
  <si>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</si>
  <si>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</si>
  <si>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</si>
  <si>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</si>
  <si>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</si>
  <si>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</si>
  <si>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</si>
  <si>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</si>
  <si>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</si>
  <si>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</si>
  <si>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</si>
  <si>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</si>
  <si>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</si>
  <si>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</si>
  <si>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</si>
  <si>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</si>
  <si>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</si>
  <si>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</si>
  <si>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</si>
  <si>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</si>
  <si>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</si>
  <si>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</si>
  <si>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</si>
  <si>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</si>
  <si>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</si>
  <si>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</si>
  <si>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</si>
  <si>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</si>
  <si>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</si>
  <si>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</si>
  <si>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</si>
  <si>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</si>
  <si>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</si>
  <si>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</si>
  <si>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</si>
  <si>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</si>
  <si>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</si>
  <si>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</si>
  <si>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</si>
  <si>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</si>
  <si>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</si>
  <si>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</si>
  <si>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</si>
  <si>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</si>
  <si>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</si>
  <si>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</si>
  <si>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</si>
  <si>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</si>
  <si>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</si>
  <si>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</si>
  <si>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</si>
  <si>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</si>
  <si>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</si>
  <si>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</si>
  <si>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</si>
  <si>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</si>
  <si>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</si>
  <si>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</si>
  <si>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</si>
  <si>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</si>
  <si>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</si>
  <si>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</si>
  <si>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</si>
  <si>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</si>
  <si>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</si>
  <si>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</si>
  <si>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</si>
  <si>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</si>
  <si>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</si>
  <si>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</si>
  <si>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</si>
  <si>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</si>
  <si>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</si>
  <si>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</si>
  <si>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</si>
  <si>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</si>
  <si>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</si>
  <si>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</si>
  <si>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</si>
  <si>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</si>
  <si>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</si>
  <si>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</si>
  <si>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</si>
  <si>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</si>
  <si>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</si>
  <si>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</si>
  <si>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</si>
  <si>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</si>
  <si>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</si>
  <si>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</si>
  <si>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</si>
  <si>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</si>
  <si>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</si>
  <si>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</si>
  <si>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</si>
  <si>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</si>
  <si>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</si>
  <si>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</si>
  <si>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</si>
  <si>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</si>
  <si>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</si>
  <si>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</si>
  <si>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</si>
  <si>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</si>
  <si>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</si>
  <si>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</si>
  <si>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</si>
  <si>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</si>
  <si>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</si>
  <si>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</si>
  <si>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</si>
  <si>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</si>
  <si>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</si>
  <si>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</si>
  <si>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</si>
  <si>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</si>
  <si>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</si>
  <si>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</si>
  <si>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</si>
  <si>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</si>
  <si>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</si>
  <si>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</si>
  <si>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</si>
  <si>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</si>
  <si>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</si>
  <si>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</si>
  <si>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</si>
  <si>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</si>
  <si>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</si>
  <si>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</si>
  <si>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</si>
  <si>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</si>
  <si>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</si>
  <si>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</si>
  <si>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</si>
  <si>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</si>
  <si>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</si>
  <si>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</si>
  <si>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</si>
  <si>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</si>
  <si>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</si>
  <si>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</si>
  <si>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</si>
  <si>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</si>
  <si>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</si>
  <si>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</si>
  <si>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</si>
  <si>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</si>
  <si>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</si>
  <si>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</si>
  <si>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</si>
  <si>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</si>
  <si>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</si>
  <si>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</si>
  <si>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</si>
  <si>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</si>
  <si>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</si>
  <si>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</si>
  <si>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</si>
  <si>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</si>
  <si>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</si>
  <si>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</si>
  <si>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</si>
  <si>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</si>
  <si>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</si>
  <si>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</si>
  <si>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</si>
  <si>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</si>
  <si>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</si>
  <si>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</si>
  <si>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</si>
  <si>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</si>
  <si>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</si>
  <si>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</si>
  <si>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</si>
  <si>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</si>
  <si>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</si>
  <si>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</si>
  <si>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</si>
  <si>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</si>
  <si>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</si>
  <si>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</si>
  <si>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</si>
  <si>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</si>
  <si>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</si>
  <si>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</si>
  <si>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</si>
  <si>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</si>
  <si>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</si>
  <si>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</si>
  <si>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</si>
  <si>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</si>
  <si>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</si>
  <si>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</si>
  <si>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</si>
  <si>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</si>
  <si>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</si>
  <si>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</si>
  <si>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</si>
  <si>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</si>
  <si>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</si>
  <si>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</si>
  <si>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</si>
  <si>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</si>
  <si>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</si>
  <si>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</si>
  <si>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</si>
  <si>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</si>
  <si>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</si>
  <si>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</si>
  <si>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</si>
  <si>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</si>
  <si>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</si>
  <si>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</si>
  <si>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</si>
  <si>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</si>
  <si>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</si>
  <si>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</si>
  <si>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</si>
  <si>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</si>
  <si>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</si>
  <si>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</si>
  <si>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</si>
  <si>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</si>
  <si>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</si>
  <si>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</si>
  <si>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</si>
  <si>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</si>
  <si>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</si>
  <si>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</si>
  <si>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</si>
  <si>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</si>
  <si>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</si>
  <si>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</si>
  <si>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</si>
  <si>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</si>
  <si>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</si>
  <si>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</si>
  <si>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</si>
  <si>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</si>
  <si>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</si>
  <si>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</si>
  <si>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</si>
  <si>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</si>
  <si>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</si>
  <si>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</si>
  <si>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</si>
  <si>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</si>
  <si>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</si>
  <si>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</si>
  <si>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</si>
  <si>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</si>
  <si>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</si>
  <si>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</si>
  <si>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</si>
  <si>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</si>
  <si>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</si>
  <si>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</si>
  <si>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</si>
  <si>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</si>
  <si>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</si>
  <si>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</si>
  <si>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</si>
  <si>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</si>
  <si>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</si>
  <si>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</si>
  <si>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</si>
  <si>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</si>
  <si>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</si>
  <si>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</si>
  <si>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</si>
  <si>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</si>
  <si>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</si>
  <si>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</si>
  <si>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</si>
  <si>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</si>
  <si>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</si>
  <si>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</si>
  <si>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</si>
  <si>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</si>
  <si>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</si>
  <si>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</si>
  <si>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</si>
  <si>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</si>
  <si>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</si>
  <si>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</si>
  <si>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</si>
  <si>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</si>
  <si>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</si>
  <si>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</si>
  <si>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</si>
  <si>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</si>
  <si>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</si>
  <si>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</si>
  <si>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</si>
  <si>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</si>
  <si>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</si>
  <si>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</si>
  <si>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</si>
  <si>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</si>
  <si>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</si>
  <si>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</si>
  <si>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</si>
  <si>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</si>
  <si>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</si>
  <si>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</si>
  <si>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</si>
  <si>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</si>
  <si>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</si>
  <si>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</si>
  <si>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</si>
  <si>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</si>
  <si>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</si>
  <si>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</si>
  <si>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</si>
  <si>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</si>
  <si>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</si>
  <si>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</si>
  <si>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</si>
  <si>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</si>
  <si>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</si>
  <si>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</si>
  <si>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</si>
  <si>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</si>
  <si>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</si>
  <si>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</si>
  <si>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</si>
  <si>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</si>
  <si>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</si>
  <si>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</si>
  <si>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</si>
  <si>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</si>
  <si>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</si>
  <si>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</si>
  <si>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</si>
  <si>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</si>
  <si>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</si>
  <si>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</si>
  <si>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</si>
  <si>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</si>
  <si>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</si>
  <si>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</si>
  <si>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</si>
  <si>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</si>
  <si>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</si>
  <si>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</si>
  <si>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</si>
  <si>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</si>
  <si>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</si>
  <si>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</si>
  <si>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</si>
  <si>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</si>
  <si>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</si>
  <si>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</si>
  <si>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</si>
  <si>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</si>
  <si>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</si>
  <si>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</si>
  <si>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</si>
  <si>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</si>
  <si>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</si>
  <si>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</si>
  <si>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</si>
  <si>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</si>
  <si>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</si>
  <si>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</si>
  <si>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</si>
  <si>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</si>
  <si>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</si>
  <si>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</si>
  <si>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</si>
  <si>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</si>
  <si>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</si>
  <si>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</si>
  <si>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</si>
  <si>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</si>
  <si>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</si>
  <si>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</si>
  <si>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</si>
  <si>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</si>
  <si>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</si>
  <si>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</si>
  <si>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</si>
  <si>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</si>
  <si>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</si>
  <si>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</si>
  <si>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</si>
  <si>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</si>
  <si>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</si>
  <si>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</si>
  <si>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</si>
  <si>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</si>
  <si>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</si>
  <si>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</si>
  <si>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</si>
  <si>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</si>
  <si>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</si>
  <si>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</si>
  <si>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</si>
  <si>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</si>
  <si>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</si>
  <si>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</si>
  <si>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</si>
  <si>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</si>
  <si>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</si>
  <si>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</si>
  <si>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</si>
  <si>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</si>
  <si>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</si>
  <si>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</si>
  <si>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</si>
  <si>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</si>
  <si>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</si>
  <si>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</si>
  <si>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</si>
  <si>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</si>
  <si>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</si>
  <si>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</si>
  <si>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</si>
  <si>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</si>
  <si>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</si>
  <si>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</si>
  <si>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</si>
  <si>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</si>
  <si>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</si>
  <si>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</si>
  <si>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</si>
  <si>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</si>
  <si>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</si>
  <si>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</si>
  <si>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</si>
  <si>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</si>
  <si>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</si>
  <si>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</si>
  <si>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</si>
  <si>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</si>
  <si>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</si>
  <si>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</si>
  <si>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</si>
  <si>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</si>
  <si>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</si>
  <si>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</si>
  <si>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</si>
  <si>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</si>
  <si>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</si>
  <si>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</si>
  <si>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</si>
  <si>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</si>
  <si>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</si>
  <si>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</si>
  <si>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</si>
  <si>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</si>
  <si>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</si>
  <si>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</si>
  <si>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</si>
  <si>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</si>
  <si>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</si>
  <si>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</si>
  <si>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</si>
  <si>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</si>
  <si>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</si>
  <si>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</si>
  <si>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</si>
  <si>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</si>
  <si>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</si>
  <si>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</si>
  <si>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</si>
  <si>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</si>
  <si>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</si>
  <si>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</si>
  <si>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</si>
  <si>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</si>
  <si>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</si>
  <si>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</si>
  <si>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</si>
  <si>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</si>
  <si>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</si>
  <si>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</si>
  <si>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</si>
  <si>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</si>
  <si>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</si>
  <si>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</si>
  <si>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</si>
  <si>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</si>
  <si>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</si>
  <si>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</si>
  <si>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</si>
  <si>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</si>
  <si>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</si>
  <si>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</si>
  <si>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</si>
  <si>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</si>
  <si>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</si>
  <si>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</si>
  <si>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</si>
  <si>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</si>
  <si>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</si>
  <si>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</si>
  <si>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</si>
  <si>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</si>
  <si>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</si>
  <si>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</si>
  <si>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</si>
  <si>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</si>
  <si>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</si>
  <si>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</si>
  <si>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</si>
  <si>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</si>
  <si>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</si>
  <si>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</si>
  <si>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</si>
  <si>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</si>
  <si>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</si>
  <si>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</si>
  <si>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</si>
  <si>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</si>
  <si>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</si>
  <si>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</si>
  <si>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</si>
  <si>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</si>
  <si>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</si>
  <si>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</si>
  <si>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</si>
  <si>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</si>
  <si>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</si>
  <si>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</si>
  <si>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</si>
  <si>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</si>
  <si>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</si>
  <si>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</si>
  <si>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</si>
  <si>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</si>
  <si>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</si>
  <si>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</si>
  <si>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</si>
  <si>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</si>
  <si>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</si>
  <si>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</si>
  <si>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</si>
  <si>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</si>
  <si>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</si>
  <si>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</si>
  <si>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</si>
  <si>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</si>
  <si>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</si>
  <si>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</si>
  <si>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</si>
  <si>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</si>
  <si>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</si>
  <si>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</si>
  <si>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</si>
  <si>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</si>
  <si>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</si>
  <si>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</si>
  <si>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</si>
  <si>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</si>
  <si>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</si>
  <si>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</si>
  <si>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</si>
  <si>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</si>
  <si>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</si>
  <si>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</si>
  <si>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</si>
  <si>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</si>
  <si>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</si>
  <si>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</si>
  <si>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</si>
  <si>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</si>
  <si>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</si>
  <si>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</si>
  <si>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</si>
  <si>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</si>
  <si>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</si>
  <si>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</si>
  <si>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</si>
  <si>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</si>
  <si>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</si>
  <si>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</si>
  <si>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</si>
  <si>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</si>
  <si>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</si>
  <si>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</si>
  <si>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</si>
  <si>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</si>
  <si>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</si>
  <si>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</si>
  <si>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</si>
  <si>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</si>
  <si>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</si>
  <si>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</si>
  <si>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</si>
  <si>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</si>
  <si>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</si>
  <si>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</si>
  <si>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</si>
  <si>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</si>
  <si>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</si>
  <si>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</si>
  <si>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</si>
  <si>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</si>
  <si>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</si>
  <si>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</si>
  <si>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</si>
  <si>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</si>
  <si>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</si>
  <si>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</si>
  <si>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</si>
  <si>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</si>
  <si>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</si>
  <si>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</si>
  <si>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</si>
  <si>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</si>
  <si>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</si>
  <si>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</si>
  <si>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</si>
  <si>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</si>
  <si>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</si>
  <si>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</si>
  <si>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</si>
  <si>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</si>
  <si>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</si>
  <si>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</si>
  <si>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</si>
  <si>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</si>
  <si>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</si>
  <si>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</si>
  <si>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</si>
  <si>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</si>
  <si>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</si>
  <si>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</si>
  <si>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</si>
  <si>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</si>
  <si>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</si>
  <si>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</si>
  <si>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</si>
  <si>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</si>
  <si>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</si>
  <si>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</si>
  <si>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</si>
  <si>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</si>
  <si>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</si>
  <si>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</si>
  <si>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</si>
  <si>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</si>
  <si>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</si>
  <si>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</si>
  <si>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</si>
  <si>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</si>
  <si>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</si>
  <si>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</si>
  <si>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</si>
  <si>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</si>
  <si>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</si>
  <si>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</si>
  <si>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</si>
  <si>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</si>
  <si>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</si>
  <si>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</si>
  <si>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</si>
  <si>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</si>
  <si>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</si>
  <si>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</si>
  <si>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</si>
  <si>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</si>
  <si>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</si>
  <si>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</si>
  <si>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</si>
  <si>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</si>
  <si>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</si>
  <si>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</si>
  <si>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</si>
  <si>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</si>
  <si>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</si>
  <si>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</si>
  <si>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</si>
  <si>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</si>
  <si>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</si>
  <si>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</si>
  <si>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</si>
  <si>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</si>
  <si>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</si>
  <si>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</si>
  <si>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</si>
  <si>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</si>
  <si>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</si>
  <si>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</si>
  <si>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</si>
  <si>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</si>
  <si>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</si>
  <si>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</si>
  <si>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</si>
  <si>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</si>
  <si>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</si>
  <si>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</si>
  <si>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</si>
  <si>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</si>
  <si>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</si>
  <si>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</si>
  <si>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</si>
  <si>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</si>
  <si>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</si>
  <si>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</si>
  <si>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</si>
  <si>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</si>
  <si>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</si>
  <si>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</si>
  <si>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</si>
  <si>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</si>
  <si>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</si>
  <si>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</si>
  <si>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</si>
  <si>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</si>
  <si>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</si>
  <si>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</si>
  <si>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</si>
  <si>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</si>
  <si>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</si>
  <si>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</si>
  <si>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</si>
  <si>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</si>
  <si>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</si>
  <si>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</si>
  <si>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</si>
  <si>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</si>
  <si>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</si>
  <si>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</si>
  <si>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</si>
  <si>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</si>
  <si>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</si>
  <si>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</si>
  <si>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</si>
  <si>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</si>
  <si>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</si>
  <si>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</si>
  <si>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</si>
  <si>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</si>
  <si>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</si>
  <si>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</si>
  <si>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</si>
  <si>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</si>
  <si>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</si>
  <si>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</si>
  <si>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</si>
  <si>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</si>
  <si>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</si>
  <si>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</si>
  <si>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</si>
  <si>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</si>
  <si>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</si>
  <si>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</si>
  <si>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</si>
  <si>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</si>
  <si>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</si>
  <si>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</si>
  <si>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</si>
  <si>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</si>
  <si>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</si>
  <si>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</si>
  <si>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</si>
  <si>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</si>
  <si>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</si>
  <si>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</si>
  <si>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</si>
  <si>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</si>
  <si>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</si>
  <si>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</si>
  <si>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</si>
  <si>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</si>
  <si>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</si>
  <si>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</si>
  <si>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</si>
  <si>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</si>
  <si>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</si>
  <si>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</si>
  <si>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</si>
  <si>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</si>
  <si>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</si>
  <si>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</si>
  <si>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</si>
  <si>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</si>
  <si>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</si>
  <si>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</si>
  <si>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</si>
  <si>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</si>
  <si>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</si>
  <si>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</si>
  <si>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</si>
  <si>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</si>
  <si>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</si>
  <si>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</si>
  <si>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</si>
  <si>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</si>
  <si>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</si>
  <si>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</si>
  <si>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</si>
  <si>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</si>
  <si>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</si>
  <si>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</si>
  <si>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</si>
  <si>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</si>
  <si>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</si>
  <si>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</si>
  <si>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</si>
  <si>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</si>
  <si>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</si>
  <si>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</si>
  <si>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</si>
  <si>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</si>
  <si>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</si>
  <si>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</si>
  <si>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</si>
  <si>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</si>
  <si>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</si>
  <si>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</si>
  <si>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</si>
  <si>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</si>
  <si>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</si>
  <si>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</si>
  <si>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</si>
  <si>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</si>
  <si>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</si>
  <si>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</si>
  <si>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</si>
  <si>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</si>
  <si>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</si>
  <si>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</si>
  <si>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</si>
  <si>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</si>
  <si>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</si>
  <si>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</si>
  <si>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</si>
  <si>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</si>
  <si>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</si>
  <si>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</si>
  <si>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</si>
  <si>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</si>
  <si>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</si>
  <si>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</si>
  <si>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</si>
  <si>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</si>
  <si>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</si>
  <si>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</si>
  <si>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</si>
  <si>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</si>
  <si>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</si>
  <si>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</si>
  <si>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</si>
  <si>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</si>
  <si>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</si>
  <si>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</si>
  <si>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</si>
  <si>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</si>
  <si>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</si>
  <si>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</si>
  <si>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</si>
  <si>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</si>
  <si>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</si>
  <si>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</si>
  <si>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</si>
  <si>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</si>
  <si>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</si>
  <si>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</si>
  <si>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</si>
  <si>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</si>
  <si>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</si>
  <si>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</si>
  <si>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</si>
  <si>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</si>
  <si>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</si>
  <si>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</si>
  <si>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</si>
  <si>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</si>
  <si>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</si>
  <si>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</si>
  <si>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</si>
  <si>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</si>
  <si>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</si>
  <si>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</si>
  <si>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</si>
  <si>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</si>
  <si>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</si>
  <si>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</si>
  <si>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</si>
  <si>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</si>
  <si>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</si>
  <si>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</si>
  <si>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</si>
  <si>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</si>
  <si>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</si>
  <si>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</si>
  <si>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</si>
  <si>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</si>
  <si>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</si>
  <si>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</si>
  <si>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</si>
  <si>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</si>
  <si>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</si>
  <si>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</si>
  <si>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</si>
  <si>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</si>
  <si>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</si>
  <si>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</si>
  <si>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</si>
  <si>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</si>
  <si>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</si>
  <si>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</si>
  <si>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</si>
  <si>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</si>
  <si>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</si>
  <si>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</si>
  <si>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</si>
  <si>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</si>
  <si>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</si>
  <si>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</si>
  <si>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</si>
  <si>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</si>
  <si>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</si>
  <si>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</si>
  <si>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</si>
  <si>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</si>
  <si>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</si>
  <si>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</si>
  <si>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</si>
  <si>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</si>
  <si>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</si>
  <si>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</si>
  <si>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</si>
  <si>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</si>
  <si>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</si>
  <si>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</si>
  <si>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</si>
  <si>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</si>
  <si>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</si>
  <si>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</si>
  <si>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</si>
  <si>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</si>
  <si>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</si>
  <si>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</si>
  <si>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</si>
  <si>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</si>
  <si>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</si>
  <si>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</si>
  <si>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</si>
  <si>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</si>
  <si>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</si>
  <si>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</si>
  <si>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无形资产-国有企业</t>
    <phoneticPr fontId="1" type="noConversion"/>
  </si>
  <si>
    <t>16,13,10,9,6,3</t>
  </si>
  <si>
    <t>账面原值合计</t>
    <phoneticPr fontId="1" type="noConversion"/>
  </si>
  <si>
    <t>累计折耗合计</t>
    <phoneticPr fontId="1" type="noConversion"/>
  </si>
  <si>
    <t>油气资产账面净值合计</t>
    <phoneticPr fontId="1" type="noConversion"/>
  </si>
  <si>
    <t>油气资产减值准备累计金额合计</t>
    <phoneticPr fontId="1" type="noConversion"/>
  </si>
  <si>
    <t>油气资产账面价值合计</t>
    <phoneticPr fontId="1" type="noConversion"/>
  </si>
  <si>
    <t>2020年度</t>
    <phoneticPr fontId="1" type="noConversion"/>
  </si>
  <si>
    <t>二〇二一年三月二十日</t>
    <phoneticPr fontId="1" type="noConversion"/>
  </si>
  <si>
    <t>2021年3月20日</t>
    <phoneticPr fontId="1" type="noConversion"/>
  </si>
  <si>
    <t>项目</t>
    <phoneticPr fontId="1" type="noConversion"/>
  </si>
  <si>
    <t>本期数</t>
    <phoneticPr fontId="1" type="noConversion"/>
  </si>
  <si>
    <t>上年同期数</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</si>
  <si>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</si>
  <si>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</si>
  <si>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</si>
  <si>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</si>
  <si>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</si>
  <si>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</si>
  <si>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与资产相关的政府补助</t>
    <phoneticPr fontId="1" type="noConversion"/>
  </si>
  <si>
    <t>与收益相关的政府补助</t>
    <phoneticPr fontId="1" type="noConversion"/>
  </si>
  <si>
    <t xml:space="preserve">        其他所有者权益内部结转</t>
    <phoneticPr fontId="1" type="noConversion"/>
  </si>
  <si>
    <t xml:space="preserve">        其他利润分配</t>
    <phoneticPr fontId="1" type="noConversion"/>
  </si>
  <si>
    <t xml:space="preserve">        其他所有者投入或减少资本</t>
    <phoneticPr fontId="1" type="noConversion"/>
  </si>
  <si>
    <t xml:space="preserve">        其他调整</t>
    <phoneticPr fontId="1" type="noConversion"/>
  </si>
  <si>
    <t>账面原值合计</t>
    <phoneticPr fontId="1" type="noConversion"/>
  </si>
  <si>
    <t>累计折旧和累计摊销合计</t>
    <phoneticPr fontId="1" type="noConversion"/>
  </si>
  <si>
    <t>投资性房地产账面净值合计</t>
    <phoneticPr fontId="1" type="noConversion"/>
  </si>
  <si>
    <t>投资性房地产减值准备累计金额合计</t>
    <phoneticPr fontId="1" type="noConversion"/>
  </si>
  <si>
    <t>投资性房地产账面价值合计</t>
    <phoneticPr fontId="1" type="noConversion"/>
  </si>
  <si>
    <t>预收款项账龄分析</t>
    <phoneticPr fontId="1" type="noConversion"/>
  </si>
  <si>
    <t xml:space="preserve"> 在建工程原值</t>
  </si>
  <si>
    <t xml:space="preserve"> 减：在建工程减值准备</t>
  </si>
  <si>
    <t xml:space="preserve"> 在建工程</t>
  </si>
  <si>
    <t>link_column_num</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</si>
  <si>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</si>
  <si>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</si>
  <si>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</si>
  <si>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</si>
  <si>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</si>
  <si>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</si>
  <si>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</si>
  <si>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</si>
  <si>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</si>
  <si>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</si>
  <si>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</si>
  <si>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</si>
  <si>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</si>
  <si>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</si>
  <si>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</si>
  <si>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</si>
  <si>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</si>
  <si>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</si>
  <si>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</si>
  <si>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</si>
  <si>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</si>
  <si>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</si>
  <si>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</si>
  <si>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</si>
  <si>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</si>
  <si>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</si>
  <si>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</si>
  <si>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</si>
  <si>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</si>
  <si>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</si>
  <si>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</si>
  <si>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</si>
  <si>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</si>
  <si>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</si>
  <si>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</si>
  <si>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</si>
  <si>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</si>
  <si>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</si>
  <si>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</si>
  <si>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</si>
  <si>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</si>
  <si>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</si>
  <si>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</si>
  <si>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</si>
  <si>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</si>
  <si>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</si>
  <si>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</si>
  <si>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</si>
  <si>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</si>
  <si>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</si>
  <si>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</si>
  <si>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</si>
  <si>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</si>
  <si>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</si>
  <si>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</si>
  <si>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</si>
  <si>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</si>
  <si>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</si>
  <si>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</si>
  <si>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</si>
  <si>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</si>
  <si>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</si>
  <si>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</si>
  <si>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</si>
  <si>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</si>
  <si>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</si>
  <si>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</si>
  <si>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</si>
  <si>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</si>
  <si>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</si>
  <si>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</si>
  <si>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</si>
  <si>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</si>
  <si>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</si>
  <si>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</si>
  <si>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</si>
  <si>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</si>
  <si>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</si>
  <si>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</si>
  <si>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</si>
  <si>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</si>
  <si>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</si>
  <si>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</si>
  <si>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</si>
  <si>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</si>
  <si>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</si>
  <si>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</si>
  <si>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</si>
  <si>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</si>
  <si>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</si>
  <si>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</si>
  <si>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</si>
  <si>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</si>
  <si>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</si>
  <si>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</si>
  <si>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</si>
  <si>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</si>
  <si>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</si>
  <si>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</si>
  <si>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</si>
  <si>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</si>
  <si>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</si>
  <si>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</si>
  <si>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</si>
  <si>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</si>
  <si>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</si>
  <si>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</si>
  <si>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</si>
  <si>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</si>
  <si>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</si>
  <si>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</si>
  <si>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</si>
  <si>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</si>
  <si>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</si>
  <si>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</si>
  <si>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</si>
  <si>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</si>
  <si>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</si>
  <si>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</si>
  <si>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</si>
  <si>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</si>
  <si>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</si>
  <si>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</si>
  <si>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</si>
  <si>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</si>
  <si>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</si>
  <si>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</si>
  <si>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</si>
  <si>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</si>
  <si>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</si>
  <si>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</si>
  <si>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</si>
  <si>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</si>
  <si>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</si>
  <si>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</si>
  <si>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</si>
  <si>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</si>
  <si>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</si>
  <si>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</si>
  <si>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</si>
  <si>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</si>
  <si>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</si>
  <si>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</si>
  <si>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</si>
  <si>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</si>
  <si>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</si>
  <si>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</si>
  <si>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</si>
  <si>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</si>
  <si>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</si>
  <si>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</si>
  <si>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</si>
  <si>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</si>
  <si>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</si>
  <si>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</si>
  <si>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</si>
  <si>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</si>
  <si>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</si>
  <si>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</si>
  <si>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</si>
  <si>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</si>
  <si>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股权取得成本</t>
    <phoneticPr fontId="1" type="noConversion"/>
  </si>
  <si>
    <t>合并当年年初至合并日被合并方的收入</t>
    <phoneticPr fontId="1" type="noConversion"/>
  </si>
  <si>
    <t>合并当年年初至合并日被合并方的净利润</t>
    <phoneticPr fontId="1" type="noConversion"/>
  </si>
  <si>
    <t>丧失控制权之日剩余股权的账面价值</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</si>
  <si>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</si>
  <si>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</si>
  <si>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</si>
  <si>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</si>
  <si>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</si>
  <si>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</si>
  <si>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</si>
  <si>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</si>
  <si>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</si>
  <si>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</si>
  <si>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</si>
  <si>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其他应收款期末数</t>
  </si>
  <si>
    <t>减：其他应收款期初数</t>
  </si>
  <si>
    <t>其他应付款期初数</t>
  </si>
  <si>
    <t>减：其他应付款期末数</t>
  </si>
  <si>
    <t>处置销项税</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</si>
  <si>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</si>
  <si>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</si>
  <si>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</si>
  <si>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</si>
  <si>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2231\应付利息</t>
    <phoneticPr fontId="1" type="noConversion"/>
  </si>
  <si>
    <t>股利分配</t>
    <phoneticPr fontId="1" type="noConversion"/>
  </si>
  <si>
    <t>现金期末数</t>
    <phoneticPr fontId="1" type="noConversion"/>
  </si>
  <si>
    <t>与现金比较</t>
    <phoneticPr fontId="1" type="noConversion"/>
  </si>
  <si>
    <t>与货币资金比较</t>
    <phoneticPr fontId="1" type="noConversion"/>
  </si>
  <si>
    <t>待转销项税</t>
    <phoneticPr fontId="1" type="noConversion"/>
  </si>
  <si>
    <t>减少注册资本支付的金额</t>
    <phoneticPr fontId="1" type="noConversion"/>
  </si>
  <si>
    <t>企业间资金拆借利息支出</t>
    <phoneticPr fontId="1" type="noConversion"/>
  </si>
  <si>
    <t>所得税费用计算</t>
    <phoneticPr fontId="1" type="noConversion"/>
  </si>
  <si>
    <t>无形资产</t>
    <phoneticPr fontId="1" type="noConversion"/>
  </si>
  <si>
    <t>投资性房地产-按公允价值计量</t>
    <phoneticPr fontId="1" type="noConversion"/>
  </si>
  <si>
    <t>投资性房地产-按成本计量</t>
    <phoneticPr fontId="1" type="noConversion"/>
  </si>
  <si>
    <t>应收政府组合</t>
    <phoneticPr fontId="1" type="noConversion"/>
  </si>
  <si>
    <t>账龄组合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</si>
</sst>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3">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11">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0" fillId="0" borderId="0" xfId="0" applyFont="1" applyAlignment="1">
      <alignment wrapText="1"/>
    </xf>
    <xf numFmtId="0" fontId="81"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2"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0" fontId="4" fillId="3" borderId="0" xfId="0" applyNumberFormat="1" applyFont="1" applyFill="1" applyBorder="1" applyAlignment="1">
      <alignment horizontal="left" wrapText="1"/>
    </xf>
    <xf numFmtId="0" fontId="13" fillId="0" borderId="0" xfId="0" applyFont="1" applyFill="1" applyBorder="1" applyAlignment="1">
      <alignment horizontal="justify" vertical="center" wrapText="1"/>
    </xf>
    <xf numFmtId="43" fontId="51" fillId="3" borderId="0" xfId="1" applyFont="1" applyFill="1" applyAlignment="1"/>
    <xf numFmtId="0" fontId="0" fillId="4" borderId="0" xfId="0" applyFill="1"/>
    <xf numFmtId="43" fontId="0" fillId="4" borderId="0" xfId="1" applyFont="1" applyFill="1" applyAlignment="1"/>
    <xf numFmtId="178" fontId="13" fillId="5" borderId="0" xfId="5" applyNumberFormat="1" applyFont="1" applyFill="1" applyAlignment="1">
      <alignment vertical="center" shrinkToFit="1"/>
    </xf>
    <xf numFmtId="176" fontId="46" fillId="0" borderId="0" xfId="0" applyNumberFormat="1" applyFont="1" applyAlignment="1">
      <alignment vertical="center"/>
    </xf>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43" fontId="5" fillId="3" borderId="0" xfId="1" applyFont="1" applyFill="1" applyBorder="1" applyAlignment="1">
      <alignment horizontal="justify" vertical="center"/>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43" fontId="4" fillId="0" borderId="0" xfId="0" applyNumberFormat="1" applyFont="1" applyBorder="1" applyAlignment="1">
      <alignment horizontal="right" vertical="center"/>
    </xf>
    <xf numFmtId="43" fontId="4" fillId="0" borderId="0" xfId="0" applyNumberFormat="1" applyFont="1" applyBorder="1" applyAlignment="1">
      <alignment horizontal="right" vertical="center" wrapText="1"/>
    </xf>
    <xf numFmtId="43" fontId="13" fillId="0" borderId="0" xfId="0" applyNumberFormat="1" applyFont="1" applyBorder="1" applyAlignment="1">
      <alignment horizontal="righ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externalLink" Target="externalLinks/externalLink2.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415" Type="http://schemas.openxmlformats.org/officeDocument/2006/relationships/worksheet" Target="worksheets/sheet415.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426" Type="http://schemas.openxmlformats.org/officeDocument/2006/relationships/externalLink" Target="externalLinks/externalLink4.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worksheet" Target="worksheets/sheet381.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52" Type="http://schemas.openxmlformats.org/officeDocument/2006/relationships/worksheet" Target="worksheets/sheet252.xml"/><Relationship Id="rId294" Type="http://schemas.openxmlformats.org/officeDocument/2006/relationships/worksheet" Target="worksheets/sheet294.xml"/><Relationship Id="rId308" Type="http://schemas.openxmlformats.org/officeDocument/2006/relationships/worksheet" Target="worksheets/sheet308.xml"/><Relationship Id="rId47" Type="http://schemas.openxmlformats.org/officeDocument/2006/relationships/worksheet" Target="worksheets/sheet47.xml"/><Relationship Id="rId89" Type="http://schemas.openxmlformats.org/officeDocument/2006/relationships/worksheet" Target="worksheets/sheet89.xml"/><Relationship Id="rId112" Type="http://schemas.openxmlformats.org/officeDocument/2006/relationships/worksheet" Target="worksheets/sheet112.xml"/><Relationship Id="rId154" Type="http://schemas.openxmlformats.org/officeDocument/2006/relationships/worksheet" Target="worksheets/sheet154.xml"/><Relationship Id="rId361" Type="http://schemas.openxmlformats.org/officeDocument/2006/relationships/worksheet" Target="worksheets/sheet361.xml"/><Relationship Id="rId196" Type="http://schemas.openxmlformats.org/officeDocument/2006/relationships/worksheet" Target="worksheets/sheet196.xml"/><Relationship Id="rId417" Type="http://schemas.openxmlformats.org/officeDocument/2006/relationships/worksheet" Target="worksheets/sheet417.xml"/><Relationship Id="rId16" Type="http://schemas.openxmlformats.org/officeDocument/2006/relationships/worksheet" Target="worksheets/sheet16.xml"/><Relationship Id="rId221" Type="http://schemas.openxmlformats.org/officeDocument/2006/relationships/worksheet" Target="worksheets/sheet221.xml"/><Relationship Id="rId263" Type="http://schemas.openxmlformats.org/officeDocument/2006/relationships/worksheet" Target="worksheets/sheet263.xml"/><Relationship Id="rId319" Type="http://schemas.openxmlformats.org/officeDocument/2006/relationships/worksheet" Target="worksheets/sheet319.xml"/><Relationship Id="rId58" Type="http://schemas.openxmlformats.org/officeDocument/2006/relationships/worksheet" Target="worksheets/sheet58.xml"/><Relationship Id="rId123" Type="http://schemas.openxmlformats.org/officeDocument/2006/relationships/worksheet" Target="worksheets/sheet123.xml"/><Relationship Id="rId330" Type="http://schemas.openxmlformats.org/officeDocument/2006/relationships/worksheet" Target="worksheets/sheet330.xml"/><Relationship Id="rId165" Type="http://schemas.openxmlformats.org/officeDocument/2006/relationships/worksheet" Target="worksheets/sheet165.xml"/><Relationship Id="rId372" Type="http://schemas.openxmlformats.org/officeDocument/2006/relationships/worksheet" Target="worksheets/sheet372.xml"/><Relationship Id="rId428" Type="http://schemas.openxmlformats.org/officeDocument/2006/relationships/connections" Target="connections.xml"/><Relationship Id="rId232" Type="http://schemas.openxmlformats.org/officeDocument/2006/relationships/worksheet" Target="worksheets/sheet232.xml"/><Relationship Id="rId274" Type="http://schemas.openxmlformats.org/officeDocument/2006/relationships/worksheet" Target="worksheets/sheet274.xml"/><Relationship Id="rId27" Type="http://schemas.openxmlformats.org/officeDocument/2006/relationships/worksheet" Target="worksheets/sheet27.xml"/><Relationship Id="rId69" Type="http://schemas.openxmlformats.org/officeDocument/2006/relationships/worksheet" Target="worksheets/sheet69.xml"/><Relationship Id="rId134" Type="http://schemas.openxmlformats.org/officeDocument/2006/relationships/worksheet" Target="worksheets/sheet134.xml"/><Relationship Id="rId80" Type="http://schemas.openxmlformats.org/officeDocument/2006/relationships/worksheet" Target="worksheets/sheet80.xml"/><Relationship Id="rId176" Type="http://schemas.openxmlformats.org/officeDocument/2006/relationships/worksheet" Target="worksheets/sheet176.xml"/><Relationship Id="rId341" Type="http://schemas.openxmlformats.org/officeDocument/2006/relationships/worksheet" Target="worksheets/sheet341.xml"/><Relationship Id="rId383" Type="http://schemas.openxmlformats.org/officeDocument/2006/relationships/worksheet" Target="worksheets/sheet383.xml"/><Relationship Id="rId201" Type="http://schemas.openxmlformats.org/officeDocument/2006/relationships/worksheet" Target="worksheets/sheet201.xml"/><Relationship Id="rId243" Type="http://schemas.openxmlformats.org/officeDocument/2006/relationships/worksheet" Target="worksheets/sheet243.xml"/><Relationship Id="rId285" Type="http://schemas.openxmlformats.org/officeDocument/2006/relationships/worksheet" Target="worksheets/sheet285.xml"/><Relationship Id="rId38" Type="http://schemas.openxmlformats.org/officeDocument/2006/relationships/worksheet" Target="worksheets/sheet38.xml"/><Relationship Id="rId103" Type="http://schemas.openxmlformats.org/officeDocument/2006/relationships/worksheet" Target="worksheets/sheet103.xml"/><Relationship Id="rId310" Type="http://schemas.openxmlformats.org/officeDocument/2006/relationships/worksheet" Target="worksheets/sheet310.xml"/><Relationship Id="rId91" Type="http://schemas.openxmlformats.org/officeDocument/2006/relationships/worksheet" Target="worksheets/sheet91.xml"/><Relationship Id="rId145" Type="http://schemas.openxmlformats.org/officeDocument/2006/relationships/worksheet" Target="worksheets/sheet145.xml"/><Relationship Id="rId187" Type="http://schemas.openxmlformats.org/officeDocument/2006/relationships/worksheet" Target="worksheets/sheet187.xml"/><Relationship Id="rId352" Type="http://schemas.openxmlformats.org/officeDocument/2006/relationships/worksheet" Target="worksheets/sheet352.xml"/><Relationship Id="rId394" Type="http://schemas.openxmlformats.org/officeDocument/2006/relationships/worksheet" Target="worksheets/sheet394.xml"/><Relationship Id="rId408" Type="http://schemas.openxmlformats.org/officeDocument/2006/relationships/worksheet" Target="worksheets/sheet408.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sharedStrings" Target="sharedStrings.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calcChain" Target="calcChain.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customXml" Target="../customXml/item1.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externalLink" Target="externalLinks/externalLink1.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worksheet" Target="worksheets/sheet414.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425" Type="http://schemas.openxmlformats.org/officeDocument/2006/relationships/externalLink" Target="externalLinks/externalLink3.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391" Type="http://schemas.openxmlformats.org/officeDocument/2006/relationships/worksheet" Target="worksheets/sheet391.xml"/><Relationship Id="rId405" Type="http://schemas.openxmlformats.org/officeDocument/2006/relationships/worksheet" Target="worksheets/sheet405.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416" Type="http://schemas.openxmlformats.org/officeDocument/2006/relationships/worksheet" Target="worksheets/sheet416.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 Id="rId427" Type="http://schemas.openxmlformats.org/officeDocument/2006/relationships/theme" Target="theme/theme1.xml"/><Relationship Id="rId26" Type="http://schemas.openxmlformats.org/officeDocument/2006/relationships/worksheet" Target="worksheets/sheet26.xml"/><Relationship Id="rId231" Type="http://schemas.openxmlformats.org/officeDocument/2006/relationships/worksheet" Target="worksheets/sheet231.xml"/><Relationship Id="rId273" Type="http://schemas.openxmlformats.org/officeDocument/2006/relationships/worksheet" Target="worksheets/sheet273.xml"/><Relationship Id="rId329" Type="http://schemas.openxmlformats.org/officeDocument/2006/relationships/worksheet" Target="worksheets/sheet329.xml"/><Relationship Id="rId68" Type="http://schemas.openxmlformats.org/officeDocument/2006/relationships/worksheet" Target="worksheets/sheet68.xml"/><Relationship Id="rId133" Type="http://schemas.openxmlformats.org/officeDocument/2006/relationships/worksheet" Target="worksheets/sheet133.xml"/><Relationship Id="rId175" Type="http://schemas.openxmlformats.org/officeDocument/2006/relationships/worksheet" Target="worksheets/sheet175.xml"/><Relationship Id="rId340" Type="http://schemas.openxmlformats.org/officeDocument/2006/relationships/worksheet" Target="worksheets/sheet340.xml"/><Relationship Id="rId200" Type="http://schemas.openxmlformats.org/officeDocument/2006/relationships/worksheet" Target="worksheets/sheet200.xml"/><Relationship Id="rId382" Type="http://schemas.openxmlformats.org/officeDocument/2006/relationships/worksheet" Target="worksheets/sheet382.xml"/><Relationship Id="rId242" Type="http://schemas.openxmlformats.org/officeDocument/2006/relationships/worksheet" Target="worksheets/sheet242.xml"/><Relationship Id="rId284" Type="http://schemas.openxmlformats.org/officeDocument/2006/relationships/worksheet" Target="worksheets/sheet284.xml"/><Relationship Id="rId37" Type="http://schemas.openxmlformats.org/officeDocument/2006/relationships/worksheet" Target="worksheets/sheet37.xml"/><Relationship Id="rId79" Type="http://schemas.openxmlformats.org/officeDocument/2006/relationships/worksheet" Target="worksheets/sheet79.xml"/><Relationship Id="rId102" Type="http://schemas.openxmlformats.org/officeDocument/2006/relationships/worksheet" Target="worksheets/sheet102.xml"/><Relationship Id="rId144" Type="http://schemas.openxmlformats.org/officeDocument/2006/relationships/worksheet" Target="worksheets/sheet144.xml"/><Relationship Id="rId90" Type="http://schemas.openxmlformats.org/officeDocument/2006/relationships/worksheet" Target="worksheets/sheet90.xml"/><Relationship Id="rId186" Type="http://schemas.openxmlformats.org/officeDocument/2006/relationships/worksheet" Target="worksheets/sheet186.xml"/><Relationship Id="rId351" Type="http://schemas.openxmlformats.org/officeDocument/2006/relationships/worksheet" Target="worksheets/sheet351.xml"/><Relationship Id="rId393" Type="http://schemas.openxmlformats.org/officeDocument/2006/relationships/worksheet" Target="worksheets/sheet393.xml"/><Relationship Id="rId407" Type="http://schemas.openxmlformats.org/officeDocument/2006/relationships/worksheet" Target="worksheets/sheet407.xml"/><Relationship Id="rId211" Type="http://schemas.openxmlformats.org/officeDocument/2006/relationships/worksheet" Target="worksheets/sheet211.xml"/><Relationship Id="rId253" Type="http://schemas.openxmlformats.org/officeDocument/2006/relationships/worksheet" Target="worksheets/sheet253.xml"/><Relationship Id="rId295" Type="http://schemas.openxmlformats.org/officeDocument/2006/relationships/worksheet" Target="worksheets/sheet295.xml"/><Relationship Id="rId309" Type="http://schemas.openxmlformats.org/officeDocument/2006/relationships/worksheet" Target="worksheets/sheet309.xml"/><Relationship Id="rId48" Type="http://schemas.openxmlformats.org/officeDocument/2006/relationships/worksheet" Target="worksheets/sheet48.xml"/><Relationship Id="rId113" Type="http://schemas.openxmlformats.org/officeDocument/2006/relationships/worksheet" Target="worksheets/sheet113.xml"/><Relationship Id="rId320" Type="http://schemas.openxmlformats.org/officeDocument/2006/relationships/worksheet" Target="worksheets/sheet320.xml"/><Relationship Id="rId155" Type="http://schemas.openxmlformats.org/officeDocument/2006/relationships/worksheet" Target="worksheets/sheet155.xml"/><Relationship Id="rId197" Type="http://schemas.openxmlformats.org/officeDocument/2006/relationships/worksheet" Target="worksheets/sheet197.xml"/><Relationship Id="rId362" Type="http://schemas.openxmlformats.org/officeDocument/2006/relationships/worksheet" Target="worksheets/sheet362.xml"/><Relationship Id="rId418" Type="http://schemas.openxmlformats.org/officeDocument/2006/relationships/worksheet" Target="worksheets/sheet418.xml"/><Relationship Id="rId222" Type="http://schemas.openxmlformats.org/officeDocument/2006/relationships/worksheet" Target="worksheets/sheet222.xml"/><Relationship Id="rId264" Type="http://schemas.openxmlformats.org/officeDocument/2006/relationships/worksheet" Target="worksheets/sheet264.xml"/><Relationship Id="rId17" Type="http://schemas.openxmlformats.org/officeDocument/2006/relationships/worksheet" Target="worksheets/sheet17.xml"/><Relationship Id="rId59" Type="http://schemas.openxmlformats.org/officeDocument/2006/relationships/worksheet" Target="worksheets/sheet59.xml"/><Relationship Id="rId124" Type="http://schemas.openxmlformats.org/officeDocument/2006/relationships/worksheet" Target="worksheets/sheet124.xml"/><Relationship Id="rId70" Type="http://schemas.openxmlformats.org/officeDocument/2006/relationships/worksheet" Target="worksheets/sheet70.xml"/><Relationship Id="rId166" Type="http://schemas.openxmlformats.org/officeDocument/2006/relationships/worksheet" Target="worksheets/sheet166.xml"/><Relationship Id="rId331" Type="http://schemas.openxmlformats.org/officeDocument/2006/relationships/worksheet" Target="worksheets/sheet331.xml"/><Relationship Id="rId373" Type="http://schemas.openxmlformats.org/officeDocument/2006/relationships/worksheet" Target="worksheets/sheet373.xml"/><Relationship Id="rId42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mbinetbandnote/national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础信息"/>
      <sheetName val="标准编码"/>
      <sheetName val="科目余额表"/>
      <sheetName val="本期TB"/>
      <sheetName val="本期ETY"/>
      <sheetName val="新准则转换TB"/>
      <sheetName val="新准则转换ETY"/>
      <sheetName val="上期TB"/>
      <sheetName val="上期ETY"/>
      <sheetName val="审定报表分析性复核"/>
      <sheetName val="重要性水平"/>
      <sheetName val="资产表"/>
      <sheetName val="负债表"/>
      <sheetName val="利润表"/>
      <sheetName val="现金流量表"/>
      <sheetName val="本期所有者权益变动表"/>
      <sheetName val="上期所有者权益变动表"/>
      <sheetName val="现金流量表计算表"/>
      <sheetName val="国有资本保值增值计算表"/>
      <sheetName val="财务绩效评价指标"/>
      <sheetName val="校验"/>
      <sheetName val="利息资本化校验"/>
      <sheetName val="借款校验"/>
      <sheetName val="税费校验表"/>
      <sheetName val="薪酬校验表"/>
      <sheetName val="折旧及摊销校验表"/>
      <sheetName val="处置资产校验"/>
      <sheetName val="政府补助校验"/>
      <sheetName val="递延所得税费用校验"/>
      <sheetName val="投资收益核对"/>
      <sheetName val="资产减值损失核对"/>
      <sheetName val="子公司与少数股东现金流校验"/>
      <sheetName val="首次执行日前后金融资产分类和计量对比表"/>
      <sheetName val="新旧金融工具调节表"/>
      <sheetName val="金融资产减值准备调节表"/>
      <sheetName val="新金融工具准则对期初留存收益和其他综合收益的影响"/>
      <sheetName val="新收入准则对期初财务报表的影响"/>
      <sheetName val="新收入准则对期末资产负债表的影响"/>
      <sheetName val="新收入准则对利润表的影响"/>
      <sheetName val="新租赁准则对期初报表的影响"/>
      <sheetName val="最低经营租赁付款额与租赁负债调节表"/>
      <sheetName val="主要税种及税率"/>
      <sheetName val="子企业情况-国有企业"/>
      <sheetName val="表决权不足半数但能形成控制-国有企业"/>
      <sheetName val="半数以上表决权但未控制-国有企业"/>
      <sheetName val="本年不再纳入合并范围原子公司的情况-国有企业"/>
      <sheetName val="原子公司在处置日和上一会计期间资产负债表日的财务状况-国有企业"/>
      <sheetName val="原子公司本年年初至处置日的经营成果-国有企业"/>
      <sheetName val="本年新纳入合并范围的主体-国有企业"/>
      <sheetName val="本年发生的同一控制下企业合并情况-国有企业"/>
      <sheetName val="本年发生的非同一控制下企业合并情况-国有企业"/>
      <sheetName val="本年发生的反向购买-国有企业"/>
      <sheetName val="本年发生的吸收合并-国有企业"/>
      <sheetName val="货币资金"/>
      <sheetName val="受限制的货币资金"/>
      <sheetName val="受限货币资金情况"/>
      <sheetName val="货币资金明细表"/>
      <sheetName val="受限货币资金明细表"/>
      <sheetName val="交易性金融资产"/>
      <sheetName val="交易性金融资产明细表"/>
      <sheetName val="以公允价值计量且其变动计入当期损益的金融资产"/>
      <sheetName val="以公允价值计量且其变动计入当期损益的金融资产明细表"/>
      <sheetName val="衍生金融资产"/>
      <sheetName val="衍生金融资产明细表"/>
      <sheetName val="应收票据分类原金融工具准则"/>
      <sheetName val="应收票据分类新金融工具准则"/>
      <sheetName val="已质押应收票据"/>
      <sheetName val="已质押票据明细表"/>
      <sheetName val="已背书或贴现且在资产负债表日尚未到期的应收票据"/>
      <sheetName val="已背书或贴现且在资产负债表日尚未到期的应收票据明细表"/>
      <sheetName val="因出票人未履约而转为应收账款的票据"/>
      <sheetName val="因出票人未履约而转为应收账款的票据明细表"/>
      <sheetName val="期末单项计提坏账准备的应收票据新金融工具准则"/>
      <sheetName val="采用组合计提坏账准备的应收票据新金融工具准则"/>
      <sheetName val="应收票据坏账准备变动明细情况新金融工具准则"/>
      <sheetName val="本期重要的应收票据坏账准备收回或转回情况新金融工具准则"/>
      <sheetName val="本期实际核销的应收票据情况新金融工具准则"/>
      <sheetName val="应收票据明细表"/>
      <sheetName val="应收账款期末数原金融工具准则"/>
      <sheetName val="应收账款期初数原金融工具准则"/>
      <sheetName val="应收账款期末数新金融工具准则"/>
      <sheetName val="应收账款期初数新金融工具准则"/>
      <sheetName val="应收账款期末数首次新金融工具准则"/>
      <sheetName val="应收账款期初数首次新金融工具准则"/>
      <sheetName val="期末单项计提坏账准备的应收账款"/>
      <sheetName val="采用账龄分析法计提坏账准备的应收账款原准则"/>
      <sheetName val="采用其他组合方法计提坏账准备的应收账款原准则"/>
      <sheetName val="期末单项金额虽不重大但单项计提坏账准备的应收账款原准则"/>
      <sheetName val="收回或转回的坏账准备情况"/>
      <sheetName val="本年实际核销的应收账款情况"/>
      <sheetName val="按欠款方归集的年末余额前五名的应收账款情况"/>
      <sheetName val="由金融资产转移而终止确认的应收账款"/>
      <sheetName val="转移应收账款且继续涉入形成的资产负债"/>
      <sheetName val="采用组合计提坏账准备的应收账款首次执行"/>
      <sheetName val="组合1名称首次执行"/>
      <sheetName val="组合2名称首次执行"/>
      <sheetName val="采用组合计提坏账准备的应收账款新金融工具"/>
      <sheetName val="组合1名称新金融工具"/>
      <sheetName val="组合2名称新金融工具"/>
      <sheetName val="应收账款坏账准备变动明细情况新金融工具准则"/>
      <sheetName val="应收账款明细表"/>
      <sheetName val="应收款项融资"/>
      <sheetName val="应收款项融资明细表"/>
      <sheetName val="应收款项融资已转让已背书或已贴现未到期"/>
      <sheetName val="应收款项融资已转让已背书或已贴现未到期明细表"/>
      <sheetName val="预付账款账龄明细"/>
      <sheetName val="账龄超过1年的大额预付款项情况"/>
      <sheetName val="按欠款方归集的年末余额前五名的预付账款情况"/>
      <sheetName val="预付账款明细表"/>
      <sheetName val="其他应收款原准则"/>
      <sheetName val="其他应收款期末数首次新金融工具准则"/>
      <sheetName val="其他应收款期初数首次新金融工具准则"/>
      <sheetName val="其他应收款期末数新金融工具准则"/>
      <sheetName val="其他应收款期初数新金融工具准则"/>
      <sheetName val="应收利息分类"/>
      <sheetName val="重要逾期利息"/>
      <sheetName val="应收利息明细表"/>
      <sheetName val="应收股利明细"/>
      <sheetName val="应收股利明细表"/>
      <sheetName val="其他应收款项期末明细原准则"/>
      <sheetName val="其他应收款项期初明细原准则"/>
      <sheetName val="期末单项计提坏账准备的其他应收款"/>
      <sheetName val="采用组合计提坏账准备的其他应收款首次执行"/>
      <sheetName val="采用组合计提坏账准备的其他应收款新金融工具准则"/>
      <sheetName val="其他应收款账龄情况新金融工具准则"/>
      <sheetName val="其他应收款坏账准备变动情况新金融工具准则"/>
      <sheetName val="其他应收款减值准备明细表新金融工具准则"/>
      <sheetName val="采用账龄分析法计提坏账准备的其他应收款项原准则"/>
      <sheetName val="采用其他组合方法计提坏账准备的其他应收款原准则"/>
      <sheetName val="期末单项金额虽不重大但单项计提坏账准备的其他应收款原准则"/>
      <sheetName val="其他应收款收回或转回的坏账准备情况"/>
      <sheetName val="本年实际核销的其他应收款情况"/>
      <sheetName val="其他应收款按性质分类情况"/>
      <sheetName val="按欠款方归集的年末金额前五名的其他应收款项情况"/>
      <sheetName val="按应收金额确认的政府补助"/>
      <sheetName val="由金融资产转移而终止确认的其他应收款项"/>
      <sheetName val="转移其他应收款且继续涉入形成的资产负债"/>
      <sheetName val="其他应收款明细表"/>
      <sheetName val="存货明细情况"/>
      <sheetName val="房地产开发成本"/>
      <sheetName val="房地产开发产品"/>
      <sheetName val="合同履约成本"/>
      <sheetName val="合同履约明细表"/>
      <sheetName val="存货跌价准备明细情况"/>
      <sheetName val="确定可变现净值的具体依据"/>
      <sheetName val="存货期末余额中借款费用资本化情况"/>
      <sheetName val="存货明细表"/>
      <sheetName val="存货成本倒闸表"/>
      <sheetName val="合同资产情况"/>
      <sheetName val="合同资产本期的重大变动"/>
      <sheetName val="期末单项计提坏账准备的合同资产"/>
      <sheetName val="采用组合计提坏账准备的合同资产"/>
      <sheetName val="合同资产明细表"/>
      <sheetName val="持有待售资产的基本情况"/>
      <sheetName val="持有待售资产减值准备情况"/>
      <sheetName val="持有待售资产明细表"/>
      <sheetName val="一年内到期的非流动资产"/>
      <sheetName val="一年内到期的非流动资产明细表"/>
      <sheetName val="其他流动资产"/>
      <sheetName val="其他流动资产明细表"/>
      <sheetName val="合同取得成本"/>
      <sheetName val="合同取得成本明细表"/>
      <sheetName val="债权投资"/>
      <sheetName val="债权投资明细表"/>
      <sheetName val="债权投资减值准备"/>
      <sheetName val="债权投资减值准备明细表"/>
      <sheetName val="期末重要的债权投资"/>
      <sheetName val="可供出售金融资产情况"/>
      <sheetName val="期末按公允价值计量的可供出售金融资产"/>
      <sheetName val="可供出售权益工具严重下跌但未计提减值"/>
      <sheetName val="可供出售债务工具明细表"/>
      <sheetName val="可供出售权益工具明细表"/>
      <sheetName val="其他债权投资期末数"/>
      <sheetName val="其他债权投资期初数"/>
      <sheetName val="其他债权投资明细表"/>
      <sheetName val="其他债权投资减值准备"/>
      <sheetName val="其他债权投资减值准备明细表"/>
      <sheetName val="期末重要的其他债权投资"/>
      <sheetName val="持有至到期投资明细情况"/>
      <sheetName val="期末重要的持有至到期投资"/>
      <sheetName val="长期应收款明细情况"/>
      <sheetName val="长期应收款明细表"/>
      <sheetName val="长期应收款坏账准备变动情况新金融工具准则"/>
      <sheetName val="长期应收款减值准备明细表新金融工具"/>
      <sheetName val="因金融资产转移而终止确认的长期应收款"/>
      <sheetName val="因金融资产转移而终止确认的长期应收款明细表"/>
      <sheetName val="转移长期应收款且继续涉入形成的资产负债金额"/>
      <sheetName val="长期股权投资分类情况"/>
      <sheetName val="长期股权投资子公司明细情况"/>
      <sheetName val="长期股权投资合营企业明细情况"/>
      <sheetName val="长期股权投资联营企业明细情况"/>
      <sheetName val="对合营企业投资和联营企业投资国有企业"/>
      <sheetName val="向投资企业转移资金的能力受到限制的有关情况国有企业"/>
      <sheetName val="长期股权投资明细表"/>
      <sheetName val="合营企业和联营企业主要财务信息明细表"/>
      <sheetName val="其他权益工具投资明细"/>
      <sheetName val="期末重要的其他权益工具投资国有企业"/>
      <sheetName val="非交易性权益工具投资情况上市公司"/>
      <sheetName val="其他权益工具投资明细表"/>
      <sheetName val="其他非流动金融资产"/>
      <sheetName val="其他非流动金融资产明细表"/>
      <sheetName val="采用成本计量模式的投资性房地产国有企业"/>
      <sheetName val="采用成本计量模式的投资性房地产上市公司"/>
      <sheetName val="成本法核算投资性房地产明细表"/>
      <sheetName val="采用公允价值计量模式的投资性房地产"/>
      <sheetName val="采用公允价值计量模式的投资性房地产明细表"/>
      <sheetName val="未办妥产权证书的投资性房地产金额及原因"/>
      <sheetName val="未办妥权证的投资性房地产明细表"/>
      <sheetName val="固定资产汇总"/>
      <sheetName val="固定资产情况国有企业"/>
      <sheetName val="固定资产情况上市公司"/>
      <sheetName val="固定资产明细表"/>
      <sheetName val="暂时闲置的固定资产情况"/>
      <sheetName val="暂时闲置的固定资产明细表"/>
      <sheetName val="通过经营租赁租出的固定资产"/>
      <sheetName val="经营租赁租出固定资产明细表"/>
      <sheetName val="未办妥产权证书的固定资产情况"/>
      <sheetName val="未办妥权证的固定资产明细表"/>
      <sheetName val="固定资产清理"/>
      <sheetName val="固定资产清理明细表"/>
      <sheetName val="在建工程汇总"/>
      <sheetName val="在建工程情况"/>
      <sheetName val="重要在建工程项目本期变动情况"/>
      <sheetName val="本期计提在建工程减值准备情况"/>
      <sheetName val="在建工程明细表"/>
      <sheetName val="工程物资"/>
      <sheetName val="工程物资明细表"/>
      <sheetName val="生产性生物资产上市公司"/>
      <sheetName val="生产性生物资产国有企业"/>
      <sheetName val="生产性生物资产明细表"/>
      <sheetName val="油气资产上市公司"/>
      <sheetName val="油气资产国有企业"/>
      <sheetName val="油气资产明细表"/>
      <sheetName val="使用权资产上市公司"/>
      <sheetName val="使用权资产国有企业"/>
      <sheetName val="使用权资产明细表"/>
      <sheetName val="无形资产国有企业"/>
      <sheetName val="无形资产上市公司"/>
      <sheetName val="无形资产明细表"/>
      <sheetName val="未办妥产权证书的土地使用权情况"/>
      <sheetName val="未办妥产权证书的无形资产明细表"/>
      <sheetName val="开发支出"/>
      <sheetName val="开发支出明细表"/>
      <sheetName val="商誉账面价值"/>
      <sheetName val="商誉减值准备"/>
      <sheetName val="商誉明细表"/>
      <sheetName val="长期待摊费用"/>
      <sheetName val="长期待摊费用明细表"/>
      <sheetName val="未经抵销的递延所得税资产"/>
      <sheetName val="未经抵销的递延所得税负债"/>
      <sheetName val="未确认递延所得税资产明细"/>
      <sheetName val="未确认递延所得税资产的可抵扣亏损将于以下年度到期"/>
      <sheetName val="其他非流动资产"/>
      <sheetName val="其他非流动资产明细表"/>
      <sheetName val="短期借款明细情况"/>
      <sheetName val="已逾期未偿还的短期借款情况"/>
      <sheetName val="短期借款明细表"/>
      <sheetName val="交易性金融负债"/>
      <sheetName val="以公允价值计量且其变动计入当期损益的金融负债"/>
      <sheetName val="衍生金融负债"/>
      <sheetName val="应付票据"/>
      <sheetName val="应付账款"/>
      <sheetName val="账龄超过一年的重要应付账款"/>
      <sheetName val="应付账款明细表"/>
      <sheetName val="预收款项"/>
      <sheetName val="预收款项账龄表"/>
      <sheetName val="账龄一年以上重要的预收款项"/>
      <sheetName val="预收账款明细表"/>
      <sheetName val="合同负债"/>
      <sheetName val="应付职工薪酬明细情况"/>
      <sheetName val="短期薪酬列示"/>
      <sheetName val="设定提存计划列示"/>
      <sheetName val="应付职工薪酬明细表"/>
      <sheetName val="应交税费"/>
      <sheetName val="应交税费明细表"/>
      <sheetName val="应交增值税计提"/>
      <sheetName val="其他应付款汇总"/>
      <sheetName val="应付利息"/>
      <sheetName val="重要的已逾期未支付的利息情况"/>
      <sheetName val="应付利息明细表"/>
      <sheetName val="应付股利"/>
      <sheetName val="账龄一年以上重要的应付股利"/>
      <sheetName val="应付股利明细表"/>
      <sheetName val="其他应付款项"/>
      <sheetName val="账龄超过一年的重要其他应付款项"/>
      <sheetName val="其他应付款明细表"/>
      <sheetName val="持有待售负债"/>
      <sheetName val="一年内到期的非流动负债"/>
      <sheetName val="其他流动负债"/>
      <sheetName val="短期应付债券"/>
      <sheetName val="长期借款"/>
      <sheetName val="长期借款明细表"/>
      <sheetName val="应付债券"/>
      <sheetName val="应付债券的增减变动"/>
      <sheetName val="应付债券明细表"/>
      <sheetName val="期末发行在外的优先股永续债等金融工具情况"/>
      <sheetName val="发行在外的优先股永续债等金融工具变动情况"/>
      <sheetName val="归属于权益工具持有者的信息"/>
      <sheetName val="租赁负债"/>
      <sheetName val="租赁负债明细表"/>
      <sheetName val="长期应付款汇总"/>
      <sheetName val="长期应付款"/>
      <sheetName val="长期应付款明细表"/>
      <sheetName val="专项应付款"/>
      <sheetName val="专项应付款明细表"/>
      <sheetName val="长期应付职工薪酬明细情况"/>
      <sheetName val="设定受益计划义务现值"/>
      <sheetName val="计划资产"/>
      <sheetName val="设定受益计划净负债"/>
      <sheetName val="预计负债"/>
      <sheetName val="预计负债明细表"/>
      <sheetName val="递延收益"/>
      <sheetName val="递延收益中政府补助项目"/>
      <sheetName val="递延收益明细表"/>
      <sheetName val="未实现售后回租损益明细表"/>
      <sheetName val="其他非流动负债"/>
      <sheetName val="实收资本"/>
      <sheetName val="股本"/>
      <sheetName val="其他权益工具"/>
      <sheetName val="资本公积"/>
      <sheetName val="其他综合收益"/>
      <sheetName val="专项储备"/>
      <sheetName val="盈余公积"/>
      <sheetName val="未分配利润"/>
      <sheetName val="营业收入与营业成本"/>
      <sheetName val="主营业务收入与主营业务成本"/>
      <sheetName val="主营业务明细表"/>
      <sheetName val="其他业务收入与其他业务成本"/>
      <sheetName val="其他业务明细表"/>
      <sheetName val="税金及附加"/>
      <sheetName val="销售费用"/>
      <sheetName val="管理费用"/>
      <sheetName val="研发费用"/>
      <sheetName val="财务费用"/>
      <sheetName val="财务费用分类表"/>
      <sheetName val="其他收益"/>
      <sheetName val="投资收益"/>
      <sheetName val="净敞口套期收益"/>
      <sheetName val="公允价值变动损益"/>
      <sheetName val="信用减值损失"/>
      <sheetName val="资产减值损失"/>
      <sheetName val="资产处置收益"/>
      <sheetName val="营业外收入"/>
      <sheetName val="营业外支出"/>
      <sheetName val="所得税费用"/>
      <sheetName val="会计利润与所得税费用调整过程"/>
      <sheetName val="可抵扣暂时性差异明细表"/>
      <sheetName val="应纳税暂时性差异明细表"/>
      <sheetName val="可抵扣亏损"/>
      <sheetName val="当期所得税费用计算表"/>
      <sheetName val="所得税项目计算"/>
      <sheetName val="收到其他与经营活动有关的现金"/>
      <sheetName val="支付其他与经营活动有关的现金"/>
      <sheetName val="收到其他与投资活动有关的现金"/>
      <sheetName val="支付其他与投资活动有关的现金"/>
      <sheetName val="收到其他与筹资活动有关的现金"/>
      <sheetName val="支付其他与筹资活动有关的现金"/>
      <sheetName val="将净利润调节为经营活动现金流量"/>
      <sheetName val="不涉及现金收支的重大投资和筹资活动"/>
      <sheetName val="现金及现金等价物净变动情况"/>
      <sheetName val="现金流补充资料计算"/>
      <sheetName val="本期支付的取得子公司的现金净额"/>
      <sheetName val="本期收到的处置子公司的现金净额"/>
      <sheetName val="现金及现金等价物的构成"/>
      <sheetName val="所有权或使用权受到限制的资产"/>
      <sheetName val="外币货币性项目"/>
      <sheetName val="股份支付总体情况"/>
      <sheetName val="以权益结算的股份支付情况"/>
      <sheetName val="以现金结算的股份支付情况"/>
      <sheetName val="对外担保明细表"/>
      <sheetName val="其他或有事项明细表"/>
      <sheetName val="母公司基本情况"/>
      <sheetName val="其他关联方情况"/>
      <sheetName val="采购商品接收劳务"/>
      <sheetName val="出售商品提供劳务"/>
      <sheetName val="本公司作为出租方"/>
      <sheetName val="本公司作为承租方"/>
      <sheetName val="本公司作为承租方当期承担的租赁负债利息支出"/>
      <sheetName val="本公司作为担保方"/>
      <sheetName val="本公司作为被担保方"/>
      <sheetName val="关联方资金拆借"/>
      <sheetName val="关键管理人员薪酬"/>
      <sheetName val="其他关联交易"/>
      <sheetName val="应收关联方款项"/>
      <sheetName val="应付关联方款项"/>
      <sheetName val="关联方承诺上市公司"/>
      <sheetName val="非同一控制下企业合并上市公司"/>
      <sheetName val="合并成本及商誉上市公司"/>
      <sheetName val="被购买方于购买日可辨认资产负债上市公司"/>
      <sheetName val="同一控制下企业合并上市公司"/>
      <sheetName val="合并成本上市公司"/>
      <sheetName val="合并日被合并方资产负债的账面价值上市公司"/>
      <sheetName val="单次处置对子公司投资即丧失控制权上市公司"/>
      <sheetName val="多次处置构成一揽子交易上市公司"/>
      <sheetName val="多次处置不构成一揽子交易上市公司"/>
      <sheetName val="其他合并范围增加上市公司"/>
      <sheetName val=" 其他合并范围减少上市公司"/>
      <sheetName val="企业集团的构成上市公司"/>
      <sheetName val="重要的非全资子公司上市公司"/>
      <sheetName val="重要非全资子企业期末资产负债上市公司"/>
      <sheetName val="重要非全资子企业期初资产负债上市公司"/>
      <sheetName val="重要非全资子企业本期损益和现金流量情况上市公司"/>
      <sheetName val="重要非全资子企业上期损益和现金流量情况上市公司"/>
      <sheetName val="在子公司的所有者权益份额发生变化的情况说明上市公司"/>
      <sheetName val="交易对于少数股东权益及归属于母公司所有者权益的影响上市公司"/>
      <sheetName val="重要的合营企业或联营企业上市公司"/>
      <sheetName val="重要合营企业财务信息本期数上市公司"/>
      <sheetName val="重要合营企业财务信息上期数上市公司"/>
      <sheetName val="重要联营企业财务信息本期数上市公司"/>
      <sheetName val="重要联营企业财务信息上期数上市公司"/>
      <sheetName val="不重要合营企业和联营企业的汇总信息上市公司"/>
      <sheetName val="合营企业或联营企业发生的超额亏损上市公司"/>
      <sheetName val="重要的共同经营上市公司"/>
      <sheetName val="金融负债按剩余到期日分类期末数上市公司"/>
      <sheetName val="金融负债按剩余到期日分类期初数上市公司"/>
      <sheetName val="利率敏感性分析上市公司"/>
      <sheetName val="外币货币性项目上市公司"/>
      <sheetName val="外汇风险敏感性分析"/>
      <sheetName val="以公允价值计量的资产和负债的期末公允价值明细情况上市公司"/>
      <sheetName val="第三层次公允价值计量项目期初与期末账面价值间的调节信息上市公司"/>
      <sheetName val="不以公允价值计量的金融资产和金融负债的公允价值情况上市公司"/>
      <sheetName val="资本承诺上市公司"/>
      <sheetName val="分部信息业务分部期末数"/>
      <sheetName val="分部信息业务分部期初数"/>
      <sheetName val="按收入来源地划分的对外交易收入"/>
      <sheetName val="按资产所在地划分的非流动资产"/>
      <sheetName val="本公司对主要客户的依赖程度"/>
      <sheetName val="非经常性损益上市公司"/>
      <sheetName val="净资产收益率及每股收益上市公司"/>
      <sheetName val="净资产收益率计算表"/>
      <sheetName val="每股收益计算表"/>
      <sheetName val="分类表"/>
      <sheetName val="信息分类表"/>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ow r="1">
          <cell r="F1" t="str">
            <v>金额</v>
          </cell>
        </row>
      </sheetData>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68"/>
    <tableColumn id="2" xr3:uid="{806E5141-44E7-4CA5-9605-D31878C7FCFD}" uniqueName="2" name="Column2" queryTableFieldId="2" dataDxfId="167"/>
    <tableColumn id="3" xr3:uid="{F31B49AA-1473-4ACC-95C5-95C87E993B16}" uniqueName="3" name="Column3" queryTableFieldId="3" dataDxfId="166"/>
    <tableColumn id="4" xr3:uid="{E665BE47-336D-4AA6-8FA9-F05FDC273465}" uniqueName="4" name="Column4" queryTableFieldId="4" dataDxfId="165"/>
    <tableColumn id="5" xr3:uid="{AB760AC6-6EBA-49CC-91D1-0154FAC98C4F}" uniqueName="5" name="Column5" queryTableFieldId="5" dataDxfId="164"/>
    <tableColumn id="6" xr3:uid="{C035DFE2-C560-495D-BA66-FF263FA7B31A}" uniqueName="6" name="Column6" queryTableFieldId="6" dataDxfId="163"/>
    <tableColumn id="7" xr3:uid="{8067E15A-02C6-4222-BF79-1659A8B265F3}" uniqueName="7" name="Column7" queryTableFieldId="7" dataDxfId="162"/>
    <tableColumn id="8" xr3:uid="{FC6A3ED4-EF4D-4323-8767-CBCDA5205711}" uniqueName="8" name="Column8" queryTableFieldId="8" dataDxfId="161"/>
    <tableColumn id="9" xr3:uid="{835F6D90-6F61-4A70-AEA4-04326D86E586}" uniqueName="9" name="Column9" queryTableFieldId="9" dataDxfId="160"/>
    <tableColumn id="10" xr3:uid="{BD684299-89BF-49E0-9A8D-6D197964BEF5}" uniqueName="10" name="Column10" queryTableFieldId="10" dataDxfId="159"/>
    <tableColumn id="11" xr3:uid="{E85379EC-466A-481E-A36C-6FAA646811E2}" uniqueName="11" name="Column11" queryTableFieldId="11" dataDxfId="158"/>
    <tableColumn id="12" xr3:uid="{40DEC19D-D066-4619-A7FE-F2280D571236}" uniqueName="12" name="Column12" queryTableFieldId="12" dataDxfId="157"/>
    <tableColumn id="13" xr3:uid="{A2D32378-B965-4D55-996E-51B6A61B4505}" uniqueName="13" name="Column13" queryTableFieldId="13" dataDxfId="156"/>
    <tableColumn id="14" xr3:uid="{90E76A97-2B1F-4020-A0AB-2BD095F60E3D}" uniqueName="14" name="Column14" queryTableFieldId="14" dataDxfId="155"/>
    <tableColumn id="15" xr3:uid="{B5936DA5-9100-429F-806A-AA7088AD877B}" uniqueName="15" name="Column15" queryTableFieldId="15" dataDxfId="154"/>
    <tableColumn id="16" xr3:uid="{2F59FB24-F001-4B3F-9412-0971D90458FC}" uniqueName="16" name="Column16" queryTableFieldId="16" dataDxfId="153"/>
    <tableColumn id="17" xr3:uid="{5B96F322-D81D-4CB0-9823-E92C0760FA3C}" uniqueName="17" name="Column17" queryTableFieldId="17" dataDxfId="152"/>
    <tableColumn id="18" xr3:uid="{93B2364B-4A19-499F-B713-24CA72888298}" uniqueName="18" name="Column18" queryTableFieldId="18" dataDxfId="151"/>
    <tableColumn id="19" xr3:uid="{3D474B0F-5AF0-4B93-9C67-F65B58E0BC55}" uniqueName="19" name="Column19" queryTableFieldId="19" dataDxfId="150"/>
    <tableColumn id="20" xr3:uid="{5F6FA1D3-EABF-4BA4-8C04-CD53182C2BB8}" uniqueName="20" name="Column20" queryTableFieldId="20" dataDxfId="149"/>
    <tableColumn id="21" xr3:uid="{25C2AE15-EDA1-4F3D-8A3A-8F2941CEC905}" uniqueName="21" name="Column21" queryTableFieldId="21" dataDxfId="148"/>
    <tableColumn id="22" xr3:uid="{BA3E3648-1D17-407E-8AA2-E2B455E442E0}" uniqueName="22" name="Column22" queryTableFieldId="22" dataDxfId="147"/>
    <tableColumn id="23" xr3:uid="{F4E782B8-DE54-450A-84A8-DB3EFBACE521}" uniqueName="23" name="Column23" queryTableFieldId="23" dataDxfId="146"/>
    <tableColumn id="24" xr3:uid="{AB77FF73-C4E3-4257-977E-67300F23928F}" uniqueName="24" name="Column24" queryTableFieldId="24" dataDxfId="145"/>
    <tableColumn id="25" xr3:uid="{4195A04B-7B4B-4277-A71C-CAE5A3A55D0A}" uniqueName="25" name="Column25" queryTableFieldId="25" dataDxfId="144"/>
    <tableColumn id="26" xr3:uid="{D389725E-4D47-43E8-AC66-DB8B431BBE77}" uniqueName="26" name="Column26" queryTableFieldId="26" dataDxfId="143"/>
    <tableColumn id="27" xr3:uid="{17E09193-063B-4DB2-9470-DFA9BDA042DC}" uniqueName="27" name="Column27" queryTableFieldId="27" dataDxfId="142"/>
    <tableColumn id="28" xr3:uid="{C3CD4F81-820E-4ADE-A402-E3682715A697}" uniqueName="28" name="Column28" queryTableFieldId="28" dataDxfId="141"/>
    <tableColumn id="29" xr3:uid="{714A3ED7-BDC3-48F2-9BCD-B8E194CE7CE7}" uniqueName="29" name="Column29" queryTableFieldId="29" dataDxfId="140"/>
    <tableColumn id="30" xr3:uid="{F81E0CEC-F73D-428C-8E90-FAC1559A7783}" uniqueName="30" name="Column30" queryTableFieldId="30" dataDxfId="139"/>
    <tableColumn id="31" xr3:uid="{479A4B13-2387-457E-A46B-A28DED23C272}" uniqueName="31" name="Column31" queryTableFieldId="31" dataDxfId="138"/>
    <tableColumn id="32" xr3:uid="{4A481194-AE0A-44FF-9DD2-90791E647D18}" uniqueName="32" name="Column32" queryTableFieldId="32" dataDxfId="137"/>
    <tableColumn id="33" xr3:uid="{AFADBE8C-5663-4DA8-91C0-11DDB7F278C5}" uniqueName="33" name="Column33" queryTableFieldId="33" dataDxfId="136"/>
    <tableColumn id="34" xr3:uid="{F0E9B2F0-095A-45CF-8967-8F8F9640B1D5}" uniqueName="34" name="Column34" queryTableFieldId="34" dataDxfId="135"/>
    <tableColumn id="35" xr3:uid="{74CADBA5-9DC0-4C84-9B81-2108B8BDA874}" uniqueName="35" name="Column35" queryTableFieldId="35" dataDxfId="134"/>
    <tableColumn id="36" xr3:uid="{2D632134-0024-4FB9-841E-9C614D6E5F99}" uniqueName="36" name="Column36" queryTableFieldId="36" dataDxfId="133"/>
    <tableColumn id="37" xr3:uid="{FD05D275-B8DA-407E-BFCF-03F7DF2D0C05}" uniqueName="37" name="Column37" queryTableFieldId="37" dataDxfId="132"/>
    <tableColumn id="38" xr3:uid="{AB4449A2-91D1-4A48-9E82-8892F0776E35}" uniqueName="38" name="Column38" queryTableFieldId="38" dataDxfId="131"/>
    <tableColumn id="39" xr3:uid="{13911F70-A422-4A2A-97F3-30348895E88C}" uniqueName="39" name="Column39" queryTableFieldId="39" dataDxfId="130"/>
    <tableColumn id="40" xr3:uid="{478C1388-2D54-4094-BBFD-954FA76F28D3}" uniqueName="40" name="Column40" queryTableFieldId="40" dataDxfId="129"/>
    <tableColumn id="41" xr3:uid="{52159E4C-0153-43CA-9327-596144364F2C}" uniqueName="41" name="Column41" queryTableFieldId="41" dataDxfId="128"/>
    <tableColumn id="42" xr3:uid="{A41AB8D7-1E15-4165-A027-31EE3022BF57}" uniqueName="42" name="Column42" queryTableFieldId="42" dataDxfId="127"/>
    <tableColumn id="43" xr3:uid="{75B9BAE9-6467-4B77-A576-D8CAEE7705C0}" uniqueName="43" name="Column43" queryTableFieldId="43" dataDxfId="126"/>
    <tableColumn id="44" xr3:uid="{5A0571F2-2565-4C5D-9A23-FDB3197FBC16}" uniqueName="44" name="Column44" queryTableFieldId="44" dataDxfId="125"/>
    <tableColumn id="45" xr3:uid="{171AE115-357C-48E1-955E-2727ED3DFEB7}" uniqueName="45" name="Column45" queryTableFieldId="45" dataDxfId="124"/>
    <tableColumn id="46" xr3:uid="{8E810278-FFF9-4AB0-8D1C-4A3EDB2D6CAE}" uniqueName="46" name="Column46" queryTableFieldId="46" dataDxfId="123"/>
    <tableColumn id="47" xr3:uid="{017D66CB-5B93-46FB-986E-598D35FAF112}" uniqueName="47" name="Column47" queryTableFieldId="47" dataDxfId="122"/>
    <tableColumn id="48" xr3:uid="{9CC56F97-2AF0-4532-B2C1-D43A63818CD9}" uniqueName="48" name="Column48" queryTableFieldId="48" dataDxfId="121"/>
    <tableColumn id="49" xr3:uid="{915A69C8-2AD5-4C4D-B526-590B82CF9424}" uniqueName="49" name="Column49" queryTableFieldId="49" dataDxfId="120"/>
    <tableColumn id="50" xr3:uid="{BF8C4EBB-0DC9-4857-A567-37029A431BC8}" uniqueName="50" name="Column50" queryTableFieldId="50" dataDxfId="119"/>
    <tableColumn id="51" xr3:uid="{29459DBD-3B71-4BE4-85EB-E4910CC946DE}" uniqueName="51" name="Column51" queryTableFieldId="51" dataDxfId="118"/>
    <tableColumn id="52" xr3:uid="{7651F401-A5CF-4822-B64D-547FA508FFAD}" uniqueName="52" name="Column52" queryTableFieldId="52" dataDxfId="117"/>
    <tableColumn id="53" xr3:uid="{B8BA12C2-B025-4A13-849A-5EA1D317D44F}" uniqueName="53" name="Column53" queryTableFieldId="53" dataDxfId="116"/>
    <tableColumn id="54" xr3:uid="{ACFAA7C6-FDF9-4C0E-82F8-0C6CB8F356F1}" uniqueName="54" name="Column54" queryTableFieldId="54" dataDxfId="115"/>
    <tableColumn id="55" xr3:uid="{BBCCE59D-1CD5-4804-9E2C-184CC4A73C96}" uniqueName="55" name="Column55" queryTableFieldId="55" dataDxfId="114"/>
    <tableColumn id="56" xr3:uid="{A32D1960-38F0-4CE2-91BE-9DD6594E6A3E}" uniqueName="56" name="Column56" queryTableFieldId="56" dataDxfId="113"/>
    <tableColumn id="57" xr3:uid="{5C2C01F7-6034-492C-8EC3-B90335DDEF97}" uniqueName="57" name="Column57" queryTableFieldId="57" dataDxfId="112"/>
    <tableColumn id="58" xr3:uid="{B6770BFD-6730-4FC7-8417-60E96CF65523}" uniqueName="58" name="Column58" queryTableFieldId="58" dataDxfId="111"/>
    <tableColumn id="59" xr3:uid="{40D65C93-225B-4A08-A44A-D5E55294C409}" uniqueName="59" name="Column59" queryTableFieldId="59" dataDxfId="110"/>
    <tableColumn id="60" xr3:uid="{BD7DB45E-E24A-438C-849C-74BAD846BA07}" uniqueName="60" name="Column60" queryTableFieldId="60" dataDxfId="109"/>
    <tableColumn id="61" xr3:uid="{ABE0ACC8-ACBC-4DA2-85FF-0BA0AB1540C3}" uniqueName="61" name="Column61" queryTableFieldId="61" dataDxfId="108"/>
    <tableColumn id="62" xr3:uid="{608AA400-702F-444D-887A-6AE90BE71836}" uniqueName="62" name="Column62" queryTableFieldId="62" dataDxfId="107"/>
    <tableColumn id="63" xr3:uid="{A7F912E1-F146-421F-B15A-846C37F4FF49}" uniqueName="63" name="Column63" queryTableFieldId="63" dataDxfId="106"/>
    <tableColumn id="64" xr3:uid="{3DFD1353-9D5E-45D8-BAB8-EB67DFAE67CD}" uniqueName="64" name="Column64" queryTableFieldId="64" dataDxfId="105"/>
    <tableColumn id="65" xr3:uid="{727A4F20-331B-428C-B329-640A6C55497D}" uniqueName="65" name="Column65" queryTableFieldId="65" dataDxfId="104"/>
    <tableColumn id="66" xr3:uid="{67360D57-518E-44E4-BC89-4966845D5DA6}" uniqueName="66" name="Column66" queryTableFieldId="66" dataDxfId="103"/>
    <tableColumn id="67" xr3:uid="{8233DE80-FC52-49C4-BBAB-F93EE3E18EF1}" uniqueName="67" name="Column67" queryTableFieldId="67" dataDxfId="102"/>
    <tableColumn id="68" xr3:uid="{944EB401-DBAC-4D92-AA3A-EC19BC5D6986}" uniqueName="68" name="Column68" queryTableFieldId="68" dataDxfId="101"/>
    <tableColumn id="69" xr3:uid="{DD8F04C0-5F66-49EB-B6B0-25152D7511BB}" uniqueName="69" name="Column69" queryTableFieldId="69" dataDxfId="100"/>
    <tableColumn id="70" xr3:uid="{D360E62D-21B2-42EB-85D0-4714A451E3B0}" uniqueName="70" name="Column70" queryTableFieldId="70" dataDxfId="99"/>
    <tableColumn id="71" xr3:uid="{BFA154FE-77DC-4FD1-87CD-12846E5D5E24}" uniqueName="71" name="Column71" queryTableFieldId="71" dataDxfId="98"/>
    <tableColumn id="72" xr3:uid="{35F79226-687E-4924-A147-B0B43A576848}" uniqueName="72" name="Column72" queryTableFieldId="72" dataDxfId="97"/>
    <tableColumn id="73" xr3:uid="{EEFF90FF-EA9C-4EB4-AEBE-442B27637DD4}" uniqueName="73" name="Column73" queryTableFieldId="73" dataDxfId="96"/>
    <tableColumn id="74" xr3:uid="{B2C91933-E378-471B-B257-850F4BBEE9E8}" uniqueName="74" name="Column74" queryTableFieldId="74" dataDxfId="95"/>
    <tableColumn id="75" xr3:uid="{CCA801C9-B667-41E7-9D67-80E2176EC49D}" uniqueName="75" name="Column75" queryTableFieldId="75" dataDxfId="94"/>
    <tableColumn id="76" xr3:uid="{83A85F9C-6667-4792-8AFE-FC3D0FF442D7}" uniqueName="76" name="Column76" queryTableFieldId="76" dataDxfId="93"/>
    <tableColumn id="77" xr3:uid="{8C9BCDD6-DEDF-4A4C-9289-E2F16BB29D4E}" uniqueName="77" name="Column77" queryTableFieldId="77" dataDxfId="92"/>
    <tableColumn id="78" xr3:uid="{860B48D6-4F27-4698-B1AB-A5DB17CE3743}" uniqueName="78" name="Column78" queryTableFieldId="78" dataDxfId="91"/>
    <tableColumn id="79" xr3:uid="{7EA8A2F8-173A-4A6F-8C0D-F9E0B66EDB71}" uniqueName="79" name="Column79" queryTableFieldId="79" dataDxfId="90"/>
    <tableColumn id="80" xr3:uid="{B1D49CA8-A1E6-4D78-A413-4A9C8CA99526}" uniqueName="80" name="Column80" queryTableFieldId="80" dataDxfId="89"/>
    <tableColumn id="81" xr3:uid="{674B344C-374B-43B3-97A9-546DDB320AB1}" uniqueName="81" name="Column81" queryTableFieldId="81" dataDxfId="88"/>
    <tableColumn id="82" xr3:uid="{ECCCE5BD-CDD0-4BB7-AF47-5896EBD50B9A}" uniqueName="82" name="Column82" queryTableFieldId="82" dataDxfId="87"/>
    <tableColumn id="83" xr3:uid="{AD409A30-6A4E-46E1-B466-87D4E3E97AE8}" uniqueName="83" name="Column83" queryTableFieldId="83" dataDxfId="86"/>
    <tableColumn id="84" xr3:uid="{5FF11B91-1CF9-45CB-8A60-65F9A9D9A924}" uniqueName="84" name="Column84" queryTableFieldId="84" dataDxfId="85"/>
    <tableColumn id="85" xr3:uid="{565A685B-BBAB-453C-A158-31359BF2159A}" uniqueName="85" name="Column85" queryTableFieldId="85" dataDxfId="84"/>
    <tableColumn id="86" xr3:uid="{19C026F1-8E08-4933-AA06-416E4BEFD704}" uniqueName="86" name="Column86" queryTableFieldId="86" dataDxfId="83"/>
    <tableColumn id="87" xr3:uid="{8AFA6D30-956B-4975-A6E3-DB1D462A452A}" uniqueName="87" name="Column87" queryTableFieldId="87" dataDxfId="82"/>
    <tableColumn id="88" xr3:uid="{A1F868D5-64A2-4960-83D8-15F531F0BF51}" uniqueName="88" name="Column88" queryTableFieldId="88" dataDxfId="81"/>
    <tableColumn id="89" xr3:uid="{E6D1C487-9A31-4A9F-BF66-79585D472323}" uniqueName="89" name="Column89" queryTableFieldId="89" dataDxfId="80"/>
    <tableColumn id="90" xr3:uid="{784E6C5E-32B9-466A-8D58-85B483FA8E13}" uniqueName="90" name="Column90" queryTableFieldId="90" dataDxfId="79"/>
    <tableColumn id="91" xr3:uid="{849BBFB0-2127-4E8A-A0C1-E9D9FC978A25}" uniqueName="91" name="Column91" queryTableFieldId="91" dataDxfId="78"/>
    <tableColumn id="92" xr3:uid="{D708D07D-BA40-4B37-BB29-61ACAC282A49}" uniqueName="92" name="Column92" queryTableFieldId="92" dataDxfId="77"/>
    <tableColumn id="93" xr3:uid="{6C3ABF7D-4423-411E-954B-386FB2BE0629}" uniqueName="93" name="Column93" queryTableFieldId="93" dataDxfId="76"/>
    <tableColumn id="94" xr3:uid="{02550942-04DC-4839-97DA-5B62CBDB6582}" uniqueName="94" name="Column94" queryTableFieldId="94" dataDxfId="75"/>
    <tableColumn id="95" xr3:uid="{304AB832-7E05-45E2-9D2A-80A274472CBD}" uniqueName="95" name="Column95" queryTableFieldId="95" dataDxfId="74"/>
    <tableColumn id="96" xr3:uid="{034A5188-C91B-496A-8A4A-8F8BC0BBEDC6}" uniqueName="96" name="Column96" queryTableFieldId="96" dataDxfId="73"/>
    <tableColumn id="97" xr3:uid="{8B67C71A-A879-4955-929B-764BF9F91E92}" uniqueName="97" name="Column97" queryTableFieldId="97" dataDxfId="72"/>
    <tableColumn id="98" xr3:uid="{B6270F76-E490-4194-9DB0-66315EE35571}" uniqueName="98" name="Column98" queryTableFieldId="98" dataDxfId="71"/>
    <tableColumn id="99" xr3:uid="{19700F81-4474-4C70-886D-CFF201E4FB0C}" uniqueName="99" name="Column99" queryTableFieldId="99" dataDxfId="70"/>
    <tableColumn id="100" xr3:uid="{5895AE6F-D11F-4205-A2EC-C9E87A024613}" uniqueName="100" name="Column100" queryTableFieldId="100" dataDxfId="69"/>
    <tableColumn id="101" xr3:uid="{4EA1EE0F-9648-4D39-8CB8-5834517AD6BE}" uniqueName="101" name="Column101" queryTableFieldId="101" dataDxfId="68"/>
    <tableColumn id="102" xr3:uid="{CACEF3EF-92F2-4A6F-828F-A085F32C55B2}" uniqueName="102" name="Column102" queryTableFieldId="102" dataDxfId="67"/>
    <tableColumn id="103" xr3:uid="{78185944-1DA4-4409-9544-E9A3DA882199}" uniqueName="103" name="Column103" queryTableFieldId="103" dataDxfId="66"/>
    <tableColumn id="104" xr3:uid="{AD56C16D-7FF6-41BE-8101-925C9C29D06D}" uniqueName="104" name="Column104" queryTableFieldId="104" dataDxfId="65"/>
    <tableColumn id="105" xr3:uid="{2C4A60BF-FC62-44F4-BBE6-AC075E06718E}" uniqueName="105" name="Column105" queryTableFieldId="105" dataDxfId="64"/>
    <tableColumn id="106" xr3:uid="{741A4038-4B21-4898-BD7A-E2ADCFBD8E4A}" uniqueName="106" name="Column106" queryTableFieldId="106" dataDxfId="63"/>
    <tableColumn id="107" xr3:uid="{18E86950-A04A-4E5E-A855-631E8B3A0DDE}" uniqueName="107" name="Column107" queryTableFieldId="107" dataDxfId="62"/>
    <tableColumn id="108" xr3:uid="{A8CA693F-92C3-4C68-8D2B-A9E8F10C9874}" uniqueName="108" name="Column108" queryTableFieldId="108" dataDxfId="61"/>
    <tableColumn id="109" xr3:uid="{FE9A195A-830E-4547-ACAD-A0336E14B5E9}" uniqueName="109" name="Column109" queryTableFieldId="109" dataDxfId="60"/>
    <tableColumn id="110" xr3:uid="{923C666A-4469-4027-8193-9CBE4D32D1BE}" uniqueName="110" name="Column110" queryTableFieldId="110" dataDxfId="59"/>
    <tableColumn id="111" xr3:uid="{78A98372-F7DF-4DEC-BB30-422FE03417DE}" uniqueName="111" name="Column111" queryTableFieldId="111" dataDxfId="58"/>
    <tableColumn id="112" xr3:uid="{329BFBA8-5B44-4CD6-B91B-256FE9830B09}" uniqueName="112" name="Column112" queryTableFieldId="112" dataDxfId="57"/>
    <tableColumn id="113" xr3:uid="{B2657740-D92C-44CA-80FF-B590650CC176}" uniqueName="113" name="Column113" queryTableFieldId="113" dataDxfId="56"/>
    <tableColumn id="114" xr3:uid="{9045292E-FD26-481B-8722-0723BD672A9B}" uniqueName="114" name="Column114" queryTableFieldId="114" dataDxfId="55"/>
    <tableColumn id="115" xr3:uid="{4D1C30E2-80EB-4717-9D9F-DDA3C7DDD317}" uniqueName="115" name="Column115" queryTableFieldId="115" dataDxfId="54"/>
    <tableColumn id="116" xr3:uid="{CB7CA2D0-6A70-4813-8962-31036B8BB98F}" uniqueName="116" name="Column116" queryTableFieldId="116" dataDxfId="53"/>
    <tableColumn id="117" xr3:uid="{708AA0F7-B340-488D-9580-C428FE890538}" uniqueName="117" name="Column117" queryTableFieldId="117" dataDxfId="52"/>
    <tableColumn id="118" xr3:uid="{F5DD78DB-E074-4EA8-93E1-A25B855B6AF1}" uniqueName="118" name="Column118" queryTableFieldId="118" dataDxfId="51"/>
    <tableColumn id="119" xr3:uid="{A99A4586-BABA-45AE-AD78-07C680D7B4A8}" uniqueName="119" name="Column119" queryTableFieldId="119" dataDxfId="50"/>
    <tableColumn id="120" xr3:uid="{C7378DE4-91CE-49FE-B2AA-63731BBBEEBE}" uniqueName="120" name="Column120" queryTableFieldId="120" dataDxfId="49"/>
    <tableColumn id="121" xr3:uid="{83F197F6-101A-471E-B499-F35CEF3EE57E}" uniqueName="121" name="Column121" queryTableFieldId="121" dataDxfId="48"/>
    <tableColumn id="122" xr3:uid="{204F84AC-B10F-4E30-9763-9675A473E196}" uniqueName="122" name="Column122" queryTableFieldId="122" dataDxfId="47"/>
    <tableColumn id="123" xr3:uid="{0D94D5D7-422D-45DA-A0A4-F4A4F26614F5}" uniqueName="123" name="Column123" queryTableFieldId="123" dataDxfId="46"/>
    <tableColumn id="124" xr3:uid="{E9C9BB92-B040-49CD-9504-C92105F2D36C}" uniqueName="124" name="Column124" queryTableFieldId="124" dataDxfId="45"/>
    <tableColumn id="125" xr3:uid="{4E757B7F-9231-4A1B-A12D-0D4FF313CCF5}" uniqueName="125" name="Column125" queryTableFieldId="125" dataDxfId="44"/>
    <tableColumn id="126" xr3:uid="{796C7616-C7AA-411E-B797-896C5DC9B7E1}" uniqueName="126" name="Column126" queryTableFieldId="126" dataDxfId="43"/>
    <tableColumn id="127" xr3:uid="{C87F2C55-7862-4204-BEA5-5C460C2B7A76}" uniqueName="127" name="Column127" queryTableFieldId="127" dataDxfId="42"/>
    <tableColumn id="128" xr3:uid="{1AEB104D-E6E0-4AE5-B509-257D7EDC38ED}" uniqueName="128" name="Column128" queryTableFieldId="128" dataDxfId="41"/>
    <tableColumn id="129" xr3:uid="{A078218D-7B81-4A76-B95F-B19D74824776}" uniqueName="129" name="Column129" queryTableFieldId="129" dataDxfId="40"/>
    <tableColumn id="130" xr3:uid="{D953C482-32BC-4BDC-9444-20CE55120DB4}" uniqueName="130" name="Column130" queryTableFieldId="130" dataDxfId="39"/>
    <tableColumn id="131" xr3:uid="{5082E675-9362-4610-86F3-702DBC75120C}" uniqueName="131" name="Column131" queryTableFieldId="131" dataDxfId="38"/>
    <tableColumn id="132" xr3:uid="{15589A90-BB34-4647-8948-13630B37CB09}" uniqueName="132" name="Column132" queryTableFieldId="132" dataDxfId="37"/>
    <tableColumn id="133" xr3:uid="{BFE489C0-AEDB-4AB9-A815-0BFF1D6769F3}" uniqueName="133" name="Column133" queryTableFieldId="133" dataDxfId="36"/>
    <tableColumn id="134" xr3:uid="{E967BC51-A05B-44A5-B6EC-AB5CB9DE177F}" uniqueName="134" name="Column134" queryTableFieldId="134" dataDxfId="35"/>
    <tableColumn id="135" xr3:uid="{D6959D39-CB68-4916-B6F9-1F982457C13B}" uniqueName="135" name="Column135" queryTableFieldId="135" dataDxfId="34"/>
    <tableColumn id="136" xr3:uid="{DCBB9117-3AA5-4B8A-B770-E1D5B41EC41A}" uniqueName="136" name="Column136" queryTableFieldId="136" dataDxfId="33"/>
    <tableColumn id="137" xr3:uid="{1B19FF93-2F54-437F-B5D7-23AFF57E93E5}" uniqueName="137" name="Column137" queryTableFieldId="137" dataDxfId="32"/>
    <tableColumn id="138" xr3:uid="{B2E294AE-3829-453B-964B-ECADA33DD20E}" uniqueName="138" name="Column138" queryTableFieldId="138" dataDxfId="31"/>
    <tableColumn id="139" xr3:uid="{FC99D2B6-E80A-44A0-B88C-CE7A555ABF6A}" uniqueName="139" name="Column139" queryTableFieldId="139" dataDxfId="30"/>
    <tableColumn id="140" xr3:uid="{B325268E-FD77-43DE-8ACD-BB924D1F2E83}" uniqueName="140" name="Column140" queryTableFieldId="140" dataDxfId="29"/>
    <tableColumn id="141" xr3:uid="{68D1D891-8EE0-4AE8-B457-518F52047E79}" uniqueName="141" name="Column141" queryTableFieldId="141" dataDxfId="28"/>
    <tableColumn id="142" xr3:uid="{B9B4143C-0126-4320-8288-0420C53AF226}" uniqueName="142" name="Column142" queryTableFieldId="142" dataDxfId="27"/>
    <tableColumn id="143" xr3:uid="{74FE9586-5C24-420A-8973-9DC0CFAC72E2}" uniqueName="143" name="Column143" queryTableFieldId="143" dataDxfId="26"/>
    <tableColumn id="144" xr3:uid="{CF658FAD-067C-4B00-BEEC-24058DDFA6F1}" uniqueName="144" name="Column144" queryTableFieldId="144" dataDxfId="25"/>
    <tableColumn id="145" xr3:uid="{A447ADF9-9C6B-4CD5-82E6-3C0E0E805CAA}" uniqueName="145" name="Column145" queryTableFieldId="145" dataDxfId="24"/>
    <tableColumn id="146" xr3:uid="{6EDAA850-FB67-4D64-8CE9-B5BA75E83953}" uniqueName="146" name="Column146" queryTableFieldId="146" dataDxfId="23"/>
    <tableColumn id="147" xr3:uid="{9024A293-D27B-4570-8E68-DEA5CB74C666}" uniqueName="147" name="Column147" queryTableFieldId="147" dataDxfId="22"/>
    <tableColumn id="148" xr3:uid="{A5E037C3-2199-43ED-A697-5DC66993124A}" uniqueName="148" name="Column148" queryTableFieldId="148" dataDxfId="21"/>
    <tableColumn id="149" xr3:uid="{B395A80D-265D-4213-A315-7F34625BBC1F}" uniqueName="149" name="Column149" queryTableFieldId="149" dataDxfId="20"/>
    <tableColumn id="150" xr3:uid="{EF5E1F12-6C47-4152-BED8-C9327785577C}" uniqueName="150" name="Column150" queryTableFieldId="150" dataDxfId="19"/>
    <tableColumn id="151" xr3:uid="{7C57C6CF-38C7-49CD-906B-0F3A9E26E6F0}" uniqueName="151" name="Column151" queryTableFieldId="151" dataDxfId="18"/>
    <tableColumn id="152" xr3:uid="{F4B067E8-BD13-41BE-BF84-B1D91DD7C639}" uniqueName="152" name="Column152" queryTableFieldId="152" dataDxfId="17"/>
    <tableColumn id="153" xr3:uid="{35BC7B02-C7DF-494F-94E8-FDE102800B9F}" uniqueName="153" name="Column153" queryTableFieldId="153" dataDxfId="16"/>
    <tableColumn id="154" xr3:uid="{F8549508-6BFD-44DE-88D3-408F55182F34}" uniqueName="154" name="Column154" queryTableFieldId="154" dataDxfId="15"/>
    <tableColumn id="155" xr3:uid="{CB88197E-FF36-434F-BFDE-30347B0C6943}" uniqueName="155" name="Column155" queryTableFieldId="155" dataDxfId="14"/>
    <tableColumn id="156" xr3:uid="{0E6893ED-FD2F-492B-90E8-5ECD6715F903}" uniqueName="156" name="Column156" queryTableFieldId="156" dataDxfId="13"/>
    <tableColumn id="157" xr3:uid="{A7AB2145-B281-48EA-A539-8F6CD5867279}" uniqueName="157" name="Column157" queryTableFieldId="157" dataDxfId="12"/>
    <tableColumn id="158" xr3:uid="{3ED9E4E2-80BA-4AA1-9D81-4F4F69321528}" uniqueName="158" name="Column158" queryTableFieldId="158" dataDxfId="11"/>
    <tableColumn id="159" xr3:uid="{5260165F-6897-4D5A-A716-D14E91415BCB}" uniqueName="159" name="Column159" queryTableFieldId="159" dataDxfId="10"/>
    <tableColumn id="160" xr3:uid="{35BC66C4-BCE7-498B-B9B8-4B15FDD7F8A7}" uniqueName="160" name="Column160" queryTableFieldId="160" dataDxfId="9"/>
    <tableColumn id="161" xr3:uid="{017784FE-00AC-41D3-9BCE-87347D2DE56C}" uniqueName="161" name="Column161" queryTableFieldId="161" dataDxfId="8"/>
    <tableColumn id="162" xr3:uid="{A7E41EA4-65F2-48C4-9662-C48CBBF8B39D}" uniqueName="162" name="Column162" queryTableFieldId="162" dataDxfId="7"/>
    <tableColumn id="163" xr3:uid="{0BF4EE9D-0C2F-401E-BBA9-B3E62C099E6B}" uniqueName="163" name="Column163" queryTableFieldId="163" dataDxfId="6"/>
    <tableColumn id="164" xr3:uid="{C6A6E345-0D8F-4213-8CE4-0EC2FDFF3DAB}" uniqueName="164" name="Column164" queryTableFieldId="164"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4"/>
    <tableColumn id="2" xr3:uid="{EB417AD9-C5D3-4C07-997B-12091F170805}" uniqueName="2" name="Column2" queryTableFieldId="2" dataDxfId="3"/>
    <tableColumn id="3" xr3:uid="{D19F8A3F-042C-4A0A-8BC8-CDCAF2A667D5}" uniqueName="3" name="Column3" queryTableFieldId="3" dataDxfId="2"/>
    <tableColumn id="4" xr3:uid="{0719D3AD-55C2-433D-A3A7-B244C4662E46}" uniqueName="4" name="Column4" queryTableFieldId="4" dataDxfId="1"/>
    <tableColumn id="5" xr3:uid="{2A079F68-A90C-414F-890B-3F554C48BBF6}"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8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8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1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3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0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1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2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2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sheetPr codeName="Sheet1"/>
  <dimension ref="A1:C55"/>
  <sheetViews>
    <sheetView workbookViewId="0">
      <selection activeCell="B12" sqref="B12"/>
    </sheetView>
  </sheetViews>
  <sheetFormatPr defaultRowHeight="13.8"/>
  <cols>
    <col min="1" max="1" width="24.88671875" style="18" bestFit="1" customWidth="1"/>
    <col min="2" max="2" width="156.33203125" style="151" customWidth="1"/>
    <col min="3" max="3" width="24.77734375" style="18" customWidth="1"/>
    <col min="4" max="16384" width="8.88671875" style="18"/>
  </cols>
  <sheetData>
    <row r="1" spans="1:3">
      <c r="A1" s="18" t="s">
        <v>125</v>
      </c>
      <c r="B1" s="247" t="s">
        <v>4100</v>
      </c>
      <c r="C1" s="18" t="s">
        <v>4101</v>
      </c>
    </row>
    <row r="2" spans="1:3">
      <c r="A2" s="18" t="s">
        <v>1274</v>
      </c>
      <c r="B2" s="542">
        <v>44196</v>
      </c>
    </row>
    <row r="3" spans="1:3">
      <c r="A3" s="18" t="s">
        <v>1275</v>
      </c>
      <c r="B3" s="247" t="s">
        <v>5460</v>
      </c>
    </row>
    <row r="4" spans="1:3">
      <c r="A4" s="151" t="s">
        <v>4004</v>
      </c>
      <c r="B4" s="138" t="s">
        <v>4006</v>
      </c>
    </row>
    <row r="5" spans="1:3">
      <c r="A5" s="151" t="s">
        <v>4007</v>
      </c>
      <c r="B5" s="138" t="s">
        <v>4008</v>
      </c>
    </row>
    <row r="6" spans="1:3">
      <c r="A6" s="151" t="s">
        <v>4009</v>
      </c>
      <c r="B6" s="151" t="s">
        <v>4010</v>
      </c>
    </row>
    <row r="7" spans="1:3">
      <c r="A7" s="151" t="s">
        <v>4011</v>
      </c>
      <c r="B7" s="151" t="s">
        <v>4012</v>
      </c>
    </row>
    <row r="8" spans="1:3">
      <c r="A8" s="151" t="s">
        <v>4013</v>
      </c>
      <c r="B8" s="138" t="s">
        <v>4014</v>
      </c>
    </row>
    <row r="9" spans="1:3">
      <c r="A9" s="151" t="s">
        <v>4015</v>
      </c>
      <c r="B9" s="138" t="s">
        <v>4014</v>
      </c>
    </row>
    <row r="10" spans="1:3">
      <c r="A10" s="151" t="s">
        <v>4016</v>
      </c>
      <c r="B10" s="541" t="s">
        <v>4103</v>
      </c>
      <c r="C10" s="18" t="s">
        <v>4102</v>
      </c>
    </row>
    <row r="11" spans="1:3">
      <c r="A11" s="151" t="s">
        <v>4017</v>
      </c>
      <c r="B11" s="151" t="s">
        <v>4018</v>
      </c>
    </row>
    <row r="12" spans="1:3">
      <c r="A12" s="151" t="s">
        <v>4019</v>
      </c>
      <c r="B12" s="151" t="s">
        <v>4020</v>
      </c>
    </row>
    <row r="13" spans="1:3">
      <c r="A13" s="151" t="s">
        <v>4021</v>
      </c>
      <c r="B13" s="151" t="s">
        <v>5461</v>
      </c>
    </row>
    <row r="14" spans="1:3">
      <c r="A14" s="151" t="s">
        <v>4022</v>
      </c>
      <c r="B14" s="138" t="s">
        <v>4006</v>
      </c>
    </row>
    <row r="15" spans="1:3">
      <c r="A15" s="151" t="s">
        <v>4023</v>
      </c>
      <c r="B15" s="138" t="s">
        <v>4789</v>
      </c>
    </row>
    <row r="16" spans="1:3">
      <c r="A16" s="151" t="s">
        <v>4026</v>
      </c>
      <c r="B16" s="138" t="s">
        <v>4791</v>
      </c>
    </row>
    <row r="17" spans="1:2">
      <c r="A17" s="151" t="s">
        <v>4029</v>
      </c>
      <c r="B17" s="138" t="s">
        <v>4794</v>
      </c>
    </row>
    <row r="18" spans="1:2">
      <c r="A18" s="151" t="s">
        <v>4032</v>
      </c>
      <c r="B18" s="151" t="s">
        <v>4031</v>
      </c>
    </row>
    <row r="19" spans="1:2" ht="69">
      <c r="A19" s="151" t="s">
        <v>4033</v>
      </c>
      <c r="B19" s="541" t="s">
        <v>4034</v>
      </c>
    </row>
    <row r="20" spans="1:2" ht="41.4">
      <c r="A20" s="151" t="s">
        <v>4035</v>
      </c>
      <c r="B20" s="541" t="s">
        <v>4036</v>
      </c>
    </row>
    <row r="21" spans="1:2">
      <c r="A21" s="151" t="s">
        <v>4037</v>
      </c>
      <c r="B21" s="151" t="s">
        <v>4038</v>
      </c>
    </row>
    <row r="22" spans="1:2">
      <c r="A22" s="151" t="s">
        <v>4039</v>
      </c>
      <c r="B22" s="151" t="s">
        <v>4040</v>
      </c>
    </row>
    <row r="23" spans="1:2">
      <c r="A23" s="151" t="s">
        <v>4041</v>
      </c>
      <c r="B23" s="543" t="s">
        <v>5462</v>
      </c>
    </row>
    <row r="24" spans="1:2">
      <c r="A24" s="151" t="s">
        <v>4042</v>
      </c>
      <c r="B24" s="151" t="s">
        <v>4043</v>
      </c>
    </row>
    <row r="25" spans="1:2">
      <c r="A25" s="151" t="s">
        <v>4044</v>
      </c>
      <c r="B25" s="541" t="s">
        <v>4045</v>
      </c>
    </row>
    <row r="26" spans="1:2" ht="27.6">
      <c r="A26" s="151" t="s">
        <v>4046</v>
      </c>
      <c r="B26" s="541" t="s">
        <v>4047</v>
      </c>
    </row>
    <row r="27" spans="1:2">
      <c r="A27" s="151" t="s">
        <v>4048</v>
      </c>
      <c r="B27" s="151" t="s">
        <v>4049</v>
      </c>
    </row>
    <row r="28" spans="1:2">
      <c r="A28" s="151" t="s">
        <v>4050</v>
      </c>
      <c r="B28" s="138" t="s">
        <v>4051</v>
      </c>
    </row>
    <row r="29" spans="1:2">
      <c r="A29" s="151" t="s">
        <v>4052</v>
      </c>
      <c r="B29" s="138" t="s">
        <v>4053</v>
      </c>
    </row>
    <row r="30" spans="1:2">
      <c r="A30" s="151" t="s">
        <v>4054</v>
      </c>
      <c r="B30" s="138" t="s">
        <v>4055</v>
      </c>
    </row>
    <row r="31" spans="1:2">
      <c r="A31" s="151" t="s">
        <v>4056</v>
      </c>
      <c r="B31" s="138" t="s">
        <v>4057</v>
      </c>
    </row>
    <row r="32" spans="1:2">
      <c r="A32" s="151" t="s">
        <v>4058</v>
      </c>
      <c r="B32" s="541" t="s">
        <v>4059</v>
      </c>
    </row>
    <row r="33" spans="1:3">
      <c r="A33" s="151" t="s">
        <v>4062</v>
      </c>
      <c r="B33" s="151" t="s">
        <v>4060</v>
      </c>
    </row>
    <row r="34" spans="1:3">
      <c r="A34" s="151" t="s">
        <v>4061</v>
      </c>
      <c r="B34" s="151" t="s">
        <v>4098</v>
      </c>
    </row>
    <row r="35" spans="1:3">
      <c r="A35" s="151" t="s">
        <v>4063</v>
      </c>
      <c r="B35" s="151" t="s">
        <v>4064</v>
      </c>
    </row>
    <row r="36" spans="1:3">
      <c r="A36" s="151" t="s">
        <v>4065</v>
      </c>
      <c r="B36" s="151" t="s">
        <v>4066</v>
      </c>
    </row>
    <row r="37" spans="1:3">
      <c r="A37" s="151" t="s">
        <v>4067</v>
      </c>
      <c r="B37" s="541" t="s">
        <v>4068</v>
      </c>
    </row>
    <row r="38" spans="1:3">
      <c r="A38" s="151" t="s">
        <v>4069</v>
      </c>
      <c r="B38" s="541" t="s">
        <v>4070</v>
      </c>
    </row>
    <row r="39" spans="1:3" ht="157.80000000000001" customHeight="1">
      <c r="A39" s="151" t="s">
        <v>4071</v>
      </c>
      <c r="B39" s="541" t="s">
        <v>4072</v>
      </c>
    </row>
    <row r="40" spans="1:3" ht="86.4" customHeight="1">
      <c r="A40" s="151" t="s">
        <v>4073</v>
      </c>
      <c r="B40" s="541" t="s">
        <v>4074</v>
      </c>
    </row>
    <row r="41" spans="1:3">
      <c r="A41" s="151" t="s">
        <v>4075</v>
      </c>
      <c r="B41" s="541" t="s">
        <v>4076</v>
      </c>
    </row>
    <row r="42" spans="1:3">
      <c r="A42" s="151" t="s">
        <v>4077</v>
      </c>
      <c r="B42" s="151" t="s">
        <v>4014</v>
      </c>
    </row>
    <row r="43" spans="1:3">
      <c r="A43" s="151" t="s">
        <v>4078</v>
      </c>
      <c r="B43" s="18" t="s">
        <v>4104</v>
      </c>
      <c r="C43" s="18" t="s">
        <v>4104</v>
      </c>
    </row>
    <row r="44" spans="1:3" ht="94.2" customHeight="1">
      <c r="A44" s="151" t="s">
        <v>4079</v>
      </c>
      <c r="B44" s="541" t="s">
        <v>4080</v>
      </c>
    </row>
    <row r="45" spans="1:3" ht="131.4" customHeight="1">
      <c r="A45" s="151" t="s">
        <v>4081</v>
      </c>
      <c r="B45" s="541" t="s">
        <v>4082</v>
      </c>
    </row>
    <row r="46" spans="1:3" ht="69">
      <c r="A46" s="151" t="s">
        <v>4083</v>
      </c>
      <c r="B46" s="541" t="s">
        <v>4084</v>
      </c>
    </row>
    <row r="47" spans="1:3">
      <c r="A47" s="151" t="s">
        <v>4085</v>
      </c>
      <c r="B47" s="151">
        <v>4.6100000000000003</v>
      </c>
    </row>
    <row r="48" spans="1:3" ht="55.2">
      <c r="A48" s="151" t="s">
        <v>4086</v>
      </c>
      <c r="B48" s="541" t="s">
        <v>4099</v>
      </c>
    </row>
    <row r="49" spans="1:2" ht="41.4">
      <c r="A49" s="151" t="s">
        <v>4087</v>
      </c>
      <c r="B49" s="541" t="s">
        <v>4088</v>
      </c>
    </row>
    <row r="50" spans="1:2">
      <c r="A50" s="151" t="s">
        <v>4091</v>
      </c>
      <c r="B50" s="138" t="s">
        <v>4090</v>
      </c>
    </row>
    <row r="51" spans="1:2">
      <c r="A51" s="151" t="s">
        <v>4092</v>
      </c>
      <c r="B51" s="138" t="s">
        <v>4090</v>
      </c>
    </row>
    <row r="52" spans="1:2">
      <c r="A52" s="151" t="s">
        <v>4093</v>
      </c>
      <c r="B52" s="138" t="s">
        <v>4090</v>
      </c>
    </row>
    <row r="53" spans="1:2">
      <c r="A53" s="151" t="s">
        <v>4094</v>
      </c>
      <c r="B53" s="138" t="s">
        <v>4089</v>
      </c>
    </row>
    <row r="54" spans="1:2">
      <c r="A54" s="151" t="s">
        <v>4095</v>
      </c>
      <c r="B54" s="138" t="s">
        <v>4090</v>
      </c>
    </row>
    <row r="55" spans="1:2">
      <c r="A55" s="151" t="s">
        <v>4096</v>
      </c>
      <c r="B55" s="151" t="s">
        <v>4097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codeName="Sheet10">
    <tabColor rgb="FF00B0F0"/>
  </sheetPr>
  <dimension ref="A1:F260"/>
  <sheetViews>
    <sheetView workbookViewId="0">
      <pane ySplit="3" topLeftCell="A4" activePane="bottomLeft" state="frozen"/>
      <selection pane="bottomLeft" activeCell="D19" sqref="D19"/>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6" t="s">
        <v>1583</v>
      </c>
      <c r="B1" s="636"/>
      <c r="C1" s="636"/>
      <c r="D1" s="636"/>
      <c r="E1" s="636"/>
      <c r="F1" s="636"/>
    </row>
    <row r="2" spans="1:6">
      <c r="A2" s="159" t="str">
        <f>"被审计单位:"&amp;基础信息!B1</f>
        <v>被审计单位:杭州市城市建设发展集团有限公司</v>
      </c>
      <c r="B2" s="160" t="s">
        <v>1661</v>
      </c>
      <c r="C2" s="160"/>
      <c r="D2" s="160" t="s">
        <v>1589</v>
      </c>
      <c r="E2" s="161"/>
      <c r="F2" s="160"/>
    </row>
    <row r="3" spans="1:6">
      <c r="A3" s="159" t="s">
        <v>1660</v>
      </c>
      <c r="B3" s="160" t="s">
        <v>1662</v>
      </c>
      <c r="C3" s="160"/>
      <c r="D3" s="160" t="s">
        <v>1589</v>
      </c>
      <c r="E3" s="161"/>
      <c r="F3" s="160"/>
    </row>
    <row r="5" spans="1:6">
      <c r="A5" t="s">
        <v>95</v>
      </c>
      <c r="B5" s="230" t="s">
        <v>380</v>
      </c>
      <c r="C5" s="230" t="s">
        <v>1666</v>
      </c>
      <c r="D5" t="s">
        <v>1663</v>
      </c>
      <c r="E5" t="s">
        <v>1664</v>
      </c>
      <c r="F5" t="s">
        <v>1665</v>
      </c>
    </row>
    <row r="6" spans="1:6">
      <c r="A6" t="str">
        <f>资产表!A2</f>
        <v>流动资产：</v>
      </c>
      <c r="B6">
        <f>资产表!B2</f>
        <v>0</v>
      </c>
      <c r="C6">
        <f>资产表!C2</f>
        <v>0</v>
      </c>
      <c r="D6" s="231"/>
      <c r="E6" s="232"/>
    </row>
    <row r="7" spans="1:6">
      <c r="A7" t="str">
        <f>资产表!A3</f>
        <v xml:space="preserve">        货币资金</v>
      </c>
      <c r="B7">
        <f>资产表!B3</f>
        <v>820851019.66999996</v>
      </c>
      <c r="C7">
        <f>资产表!C3</f>
        <v>820851019.66999996</v>
      </c>
      <c r="D7" s="231">
        <f t="shared" ref="D7:D70" si="0">B7-C7</f>
        <v>0</v>
      </c>
      <c r="E7" s="232">
        <f t="shared" ref="E7:E70" si="1">IFERROR(D7/C7,"不适用")</f>
        <v>0</v>
      </c>
    </row>
    <row r="8" spans="1:6">
      <c r="A8" t="str">
        <f>资产表!A4</f>
        <v xml:space="preserve">      △结算备付金</v>
      </c>
      <c r="B8">
        <f>资产表!B4</f>
        <v>0</v>
      </c>
      <c r="C8">
        <f>资产表!C4</f>
        <v>0</v>
      </c>
      <c r="D8" s="231">
        <f t="shared" si="0"/>
        <v>0</v>
      </c>
      <c r="E8" s="232" t="str">
        <f t="shared" si="1"/>
        <v>不适用</v>
      </c>
    </row>
    <row r="9" spans="1:6">
      <c r="A9" t="str">
        <f>资产表!A5</f>
        <v xml:space="preserve">      △拆出资金</v>
      </c>
      <c r="B9">
        <f>资产表!B5</f>
        <v>0</v>
      </c>
      <c r="C9">
        <f>资产表!C5</f>
        <v>0</v>
      </c>
      <c r="D9" s="231">
        <f t="shared" si="0"/>
        <v>0</v>
      </c>
      <c r="E9" s="232" t="str">
        <f t="shared" si="1"/>
        <v>不适用</v>
      </c>
    </row>
    <row r="10" spans="1:6">
      <c r="A10" t="str">
        <f>资产表!A6</f>
        <v xml:space="preserve">      ☆交易性金融资产</v>
      </c>
      <c r="B10">
        <f>资产表!B6</f>
        <v>0</v>
      </c>
      <c r="C10">
        <f>资产表!C6</f>
        <v>0</v>
      </c>
      <c r="D10" s="231">
        <f t="shared" si="0"/>
        <v>0</v>
      </c>
      <c r="E10" s="232" t="str">
        <f t="shared" si="1"/>
        <v>不适用</v>
      </c>
    </row>
    <row r="11" spans="1:6">
      <c r="A11" t="str">
        <f>资产表!A7</f>
        <v xml:space="preserve">        以公允价值计量且其变动计入当期损益的金融资产</v>
      </c>
      <c r="B11">
        <f>资产表!B7</f>
        <v>0</v>
      </c>
      <c r="C11">
        <f>资产表!C7</f>
        <v>0</v>
      </c>
      <c r="D11" s="231">
        <f t="shared" si="0"/>
        <v>0</v>
      </c>
      <c r="E11" s="232" t="str">
        <f t="shared" si="1"/>
        <v>不适用</v>
      </c>
    </row>
    <row r="12" spans="1:6">
      <c r="A12" t="str">
        <f>资产表!A8</f>
        <v xml:space="preserve">        衍生金融资产</v>
      </c>
      <c r="B12">
        <f>资产表!B8</f>
        <v>0</v>
      </c>
      <c r="C12">
        <f>资产表!C8</f>
        <v>0</v>
      </c>
      <c r="D12" s="231">
        <f t="shared" si="0"/>
        <v>0</v>
      </c>
      <c r="E12" s="232" t="str">
        <f t="shared" si="1"/>
        <v>不适用</v>
      </c>
    </row>
    <row r="13" spans="1:6">
      <c r="A13" t="str">
        <f>资产表!A9</f>
        <v xml:space="preserve">        应收票据</v>
      </c>
      <c r="B13">
        <f>资产表!B9</f>
        <v>2000000</v>
      </c>
      <c r="C13">
        <f>资产表!C9</f>
        <v>2000000</v>
      </c>
      <c r="D13" s="231">
        <f t="shared" si="0"/>
        <v>0</v>
      </c>
      <c r="E13" s="232">
        <f t="shared" si="1"/>
        <v>0</v>
      </c>
    </row>
    <row r="14" spans="1:6">
      <c r="A14" t="str">
        <f>资产表!A10</f>
        <v xml:space="preserve">        应收账款</v>
      </c>
      <c r="B14">
        <f>资产表!B10</f>
        <v>88139471.689999998</v>
      </c>
      <c r="C14">
        <f>资产表!C10</f>
        <v>88139471.689999998</v>
      </c>
      <c r="D14" s="231">
        <f t="shared" si="0"/>
        <v>0</v>
      </c>
      <c r="E14" s="232">
        <f t="shared" si="1"/>
        <v>0</v>
      </c>
    </row>
    <row r="15" spans="1:6">
      <c r="A15" t="str">
        <f>资产表!A11</f>
        <v xml:space="preserve">      ☆应收款项融资</v>
      </c>
      <c r="B15">
        <f>资产表!B11</f>
        <v>0</v>
      </c>
      <c r="C15">
        <f>资产表!C11</f>
        <v>0</v>
      </c>
      <c r="D15" s="231">
        <f t="shared" si="0"/>
        <v>0</v>
      </c>
      <c r="E15" s="232" t="str">
        <f t="shared" si="1"/>
        <v>不适用</v>
      </c>
    </row>
    <row r="16" spans="1:6">
      <c r="A16" t="str">
        <f>资产表!A12</f>
        <v xml:space="preserve">        预付款项</v>
      </c>
      <c r="B16">
        <f>资产表!B12</f>
        <v>360794.15</v>
      </c>
      <c r="C16">
        <f>资产表!C12</f>
        <v>360794.15</v>
      </c>
      <c r="D16" s="231">
        <f t="shared" si="0"/>
        <v>0</v>
      </c>
      <c r="E16" s="232">
        <f t="shared" si="1"/>
        <v>0</v>
      </c>
    </row>
    <row r="17" spans="1:5">
      <c r="A17" t="str">
        <f>资产表!A13</f>
        <v xml:space="preserve">      △应收保费</v>
      </c>
      <c r="B17">
        <f>资产表!B13</f>
        <v>0</v>
      </c>
      <c r="C17">
        <f>资产表!C13</f>
        <v>0</v>
      </c>
      <c r="D17" s="231">
        <f t="shared" si="0"/>
        <v>0</v>
      </c>
      <c r="E17" s="232" t="str">
        <f t="shared" si="1"/>
        <v>不适用</v>
      </c>
    </row>
    <row r="18" spans="1:5">
      <c r="A18" t="str">
        <f>资产表!A14</f>
        <v xml:space="preserve">      △应收分保账款</v>
      </c>
      <c r="B18">
        <f>资产表!B14</f>
        <v>0</v>
      </c>
      <c r="C18">
        <f>资产表!C14</f>
        <v>0</v>
      </c>
      <c r="D18" s="231">
        <f t="shared" si="0"/>
        <v>0</v>
      </c>
      <c r="E18" s="232" t="str">
        <f t="shared" si="1"/>
        <v>不适用</v>
      </c>
    </row>
    <row r="19" spans="1:5">
      <c r="A19" t="str">
        <f>资产表!A15</f>
        <v xml:space="preserve">      △应收分保合同准备金</v>
      </c>
      <c r="B19">
        <f>资产表!B15</f>
        <v>0</v>
      </c>
      <c r="C19">
        <f>资产表!C15</f>
        <v>0</v>
      </c>
      <c r="D19" s="231">
        <f t="shared" si="0"/>
        <v>0</v>
      </c>
      <c r="E19" s="232" t="str">
        <f t="shared" si="1"/>
        <v>不适用</v>
      </c>
    </row>
    <row r="20" spans="1:5">
      <c r="A20" t="str">
        <f>资产表!A16</f>
        <v xml:space="preserve">        其他应收款</v>
      </c>
      <c r="B20">
        <f>资产表!B16</f>
        <v>2180382902.6100001</v>
      </c>
      <c r="C20">
        <f>资产表!C16</f>
        <v>2180382902.6100001</v>
      </c>
      <c r="D20" s="231">
        <f t="shared" si="0"/>
        <v>0</v>
      </c>
      <c r="E20" s="232">
        <f t="shared" si="1"/>
        <v>0</v>
      </c>
    </row>
    <row r="21" spans="1:5">
      <c r="A21" t="str">
        <f>资产表!A18</f>
        <v xml:space="preserve">      △买入返售金融资产</v>
      </c>
      <c r="B21">
        <f>资产表!B18</f>
        <v>0</v>
      </c>
      <c r="C21">
        <f>资产表!C18</f>
        <v>0</v>
      </c>
      <c r="D21" s="231">
        <f t="shared" si="0"/>
        <v>0</v>
      </c>
      <c r="E21" s="232" t="str">
        <f t="shared" si="1"/>
        <v>不适用</v>
      </c>
    </row>
    <row r="22" spans="1:5">
      <c r="A22" t="str">
        <f>资产表!A19</f>
        <v xml:space="preserve">        存货</v>
      </c>
      <c r="B22">
        <f>资产表!B19</f>
        <v>94178028.810000002</v>
      </c>
      <c r="C22">
        <f>资产表!C19</f>
        <v>94178028.810000002</v>
      </c>
      <c r="D22" s="231">
        <f t="shared" si="0"/>
        <v>0</v>
      </c>
      <c r="E22" s="232">
        <f t="shared" si="1"/>
        <v>0</v>
      </c>
    </row>
    <row r="23" spans="1:5">
      <c r="A23" t="str">
        <f>资产表!A20</f>
        <v xml:space="preserve">            其中：原材料</v>
      </c>
      <c r="B23">
        <f>资产表!B20</f>
        <v>0</v>
      </c>
      <c r="C23">
        <f>资产表!C20</f>
        <v>0</v>
      </c>
      <c r="D23" s="231">
        <f t="shared" si="0"/>
        <v>0</v>
      </c>
      <c r="E23" s="232" t="str">
        <f t="shared" si="1"/>
        <v>不适用</v>
      </c>
    </row>
    <row r="24" spans="1:5">
      <c r="A24" t="str">
        <f>资产表!A21</f>
        <v xml:space="preserve">                  库存商品(产成品)</v>
      </c>
      <c r="B24">
        <f>资产表!B21</f>
        <v>0</v>
      </c>
      <c r="C24">
        <f>资产表!C21</f>
        <v>0</v>
      </c>
      <c r="D24" s="231">
        <f t="shared" si="0"/>
        <v>0</v>
      </c>
      <c r="E24" s="232" t="str">
        <f t="shared" si="1"/>
        <v>不适用</v>
      </c>
    </row>
    <row r="25" spans="1:5">
      <c r="A25" t="str">
        <f>资产表!A22</f>
        <v xml:space="preserve">      ☆合同资产</v>
      </c>
      <c r="B25">
        <f>资产表!B22</f>
        <v>0</v>
      </c>
      <c r="C25">
        <f>资产表!C22</f>
        <v>0</v>
      </c>
      <c r="D25" s="231">
        <f t="shared" si="0"/>
        <v>0</v>
      </c>
      <c r="E25" s="232" t="str">
        <f t="shared" si="1"/>
        <v>不适用</v>
      </c>
    </row>
    <row r="26" spans="1:5">
      <c r="A26" t="str">
        <f>资产表!A23</f>
        <v xml:space="preserve">        持有待售资产</v>
      </c>
      <c r="B26">
        <f>资产表!B23</f>
        <v>0</v>
      </c>
      <c r="C26">
        <f>资产表!C23</f>
        <v>0</v>
      </c>
      <c r="D26" s="231">
        <f t="shared" si="0"/>
        <v>0</v>
      </c>
      <c r="E26" s="232" t="str">
        <f t="shared" si="1"/>
        <v>不适用</v>
      </c>
    </row>
    <row r="27" spans="1:5">
      <c r="A27" t="str">
        <f>资产表!A24</f>
        <v xml:space="preserve">        一年内到期的非流动资产</v>
      </c>
      <c r="B27">
        <f>资产表!B24</f>
        <v>0</v>
      </c>
      <c r="C27">
        <f>资产表!C24</f>
        <v>0</v>
      </c>
      <c r="D27" s="231">
        <f t="shared" si="0"/>
        <v>0</v>
      </c>
      <c r="E27" s="232" t="str">
        <f t="shared" si="1"/>
        <v>不适用</v>
      </c>
    </row>
    <row r="28" spans="1:5">
      <c r="A28" t="str">
        <f>资产表!A25</f>
        <v xml:space="preserve">        其他流动资产</v>
      </c>
      <c r="B28">
        <f>资产表!B25</f>
        <v>0</v>
      </c>
      <c r="C28">
        <f>资产表!C25</f>
        <v>0</v>
      </c>
      <c r="D28" s="231">
        <f t="shared" si="0"/>
        <v>0</v>
      </c>
      <c r="E28" s="232" t="str">
        <f t="shared" si="1"/>
        <v>不适用</v>
      </c>
    </row>
    <row r="29" spans="1:5">
      <c r="A29" t="str">
        <f>资产表!A26</f>
        <v>流动资产合计</v>
      </c>
      <c r="B29">
        <f>资产表!B26</f>
        <v>3185912216.9299998</v>
      </c>
      <c r="C29">
        <f>资产表!C26</f>
        <v>3185912216.9299998</v>
      </c>
      <c r="D29" s="231">
        <f t="shared" si="0"/>
        <v>0</v>
      </c>
      <c r="E29" s="232">
        <f t="shared" si="1"/>
        <v>0</v>
      </c>
    </row>
    <row r="30" spans="1:5">
      <c r="A30" t="str">
        <f>资产表!A27</f>
        <v>非流动资产：</v>
      </c>
      <c r="B30">
        <f>资产表!B27</f>
        <v>0</v>
      </c>
      <c r="C30">
        <f>资产表!C27</f>
        <v>0</v>
      </c>
      <c r="D30" s="231">
        <f t="shared" si="0"/>
        <v>0</v>
      </c>
      <c r="E30" s="232" t="str">
        <f t="shared" si="1"/>
        <v>不适用</v>
      </c>
    </row>
    <row r="31" spans="1:5">
      <c r="A31" t="str">
        <f>资产表!A28</f>
        <v xml:space="preserve">      △发放贷款和垫款</v>
      </c>
      <c r="B31">
        <f>资产表!B28</f>
        <v>0</v>
      </c>
      <c r="C31">
        <f>资产表!C28</f>
        <v>0</v>
      </c>
      <c r="D31" s="231">
        <f t="shared" si="0"/>
        <v>0</v>
      </c>
      <c r="E31" s="232" t="str">
        <f t="shared" si="1"/>
        <v>不适用</v>
      </c>
    </row>
    <row r="32" spans="1:5">
      <c r="A32" t="str">
        <f>资产表!A29</f>
        <v xml:space="preserve">      ☆债权投资</v>
      </c>
      <c r="B32">
        <f>资产表!B29</f>
        <v>0</v>
      </c>
      <c r="C32">
        <f>资产表!C29</f>
        <v>0</v>
      </c>
      <c r="D32" s="231">
        <f t="shared" si="0"/>
        <v>0</v>
      </c>
      <c r="E32" s="232" t="str">
        <f t="shared" si="1"/>
        <v>不适用</v>
      </c>
    </row>
    <row r="33" spans="1:5">
      <c r="A33" t="str">
        <f>资产表!A30</f>
        <v xml:space="preserve">        可供出售金融资产</v>
      </c>
      <c r="B33">
        <f>资产表!B30</f>
        <v>987346438.25999999</v>
      </c>
      <c r="C33">
        <f>资产表!C30</f>
        <v>987346438.25999999</v>
      </c>
      <c r="D33" s="231">
        <f t="shared" si="0"/>
        <v>0</v>
      </c>
      <c r="E33" s="232">
        <f t="shared" si="1"/>
        <v>0</v>
      </c>
    </row>
    <row r="34" spans="1:5">
      <c r="A34" t="str">
        <f>资产表!A31</f>
        <v xml:space="preserve">      ☆其他债权投资</v>
      </c>
      <c r="B34">
        <f>资产表!B31</f>
        <v>0</v>
      </c>
      <c r="C34">
        <f>资产表!C31</f>
        <v>0</v>
      </c>
      <c r="D34" s="231">
        <f t="shared" si="0"/>
        <v>0</v>
      </c>
      <c r="E34" s="232" t="str">
        <f t="shared" si="1"/>
        <v>不适用</v>
      </c>
    </row>
    <row r="35" spans="1:5">
      <c r="A35" t="str">
        <f>资产表!A32</f>
        <v xml:space="preserve">        持有至到期投资</v>
      </c>
      <c r="B35">
        <f>资产表!B32</f>
        <v>0</v>
      </c>
      <c r="C35">
        <f>资产表!C32</f>
        <v>0</v>
      </c>
      <c r="D35" s="231">
        <f t="shared" si="0"/>
        <v>0</v>
      </c>
      <c r="E35" s="232" t="str">
        <f t="shared" si="1"/>
        <v>不适用</v>
      </c>
    </row>
    <row r="36" spans="1:5">
      <c r="A36" t="str">
        <f>资产表!A33</f>
        <v xml:space="preserve">        长期应收款</v>
      </c>
      <c r="B36">
        <f>资产表!B33</f>
        <v>-30046177.920000002</v>
      </c>
      <c r="C36">
        <f>资产表!C33</f>
        <v>-30046177.920000002</v>
      </c>
      <c r="D36" s="231">
        <f t="shared" si="0"/>
        <v>0</v>
      </c>
      <c r="E36" s="232">
        <f t="shared" si="1"/>
        <v>0</v>
      </c>
    </row>
    <row r="37" spans="1:5">
      <c r="A37" t="str">
        <f>资产表!A34</f>
        <v xml:space="preserve">        长期股权投资</v>
      </c>
      <c r="B37">
        <f>资产表!B34</f>
        <v>2232281356.0500002</v>
      </c>
      <c r="C37">
        <f>资产表!C34</f>
        <v>2232281356.0500002</v>
      </c>
      <c r="D37" s="231">
        <f t="shared" si="0"/>
        <v>0</v>
      </c>
      <c r="E37" s="232">
        <f t="shared" si="1"/>
        <v>0</v>
      </c>
    </row>
    <row r="38" spans="1:5">
      <c r="A38" t="str">
        <f>资产表!A35</f>
        <v xml:space="preserve">      ☆其他权益工具投资</v>
      </c>
      <c r="B38">
        <f>资产表!B35</f>
        <v>0</v>
      </c>
      <c r="C38">
        <f>资产表!C35</f>
        <v>0</v>
      </c>
      <c r="D38" s="231">
        <f t="shared" si="0"/>
        <v>0</v>
      </c>
      <c r="E38" s="232" t="str">
        <f t="shared" si="1"/>
        <v>不适用</v>
      </c>
    </row>
    <row r="39" spans="1:5">
      <c r="A39" t="str">
        <f>资产表!A36</f>
        <v xml:space="preserve">      ☆其他非流动金融资产</v>
      </c>
      <c r="B39">
        <f>资产表!B36</f>
        <v>0</v>
      </c>
      <c r="C39">
        <f>资产表!C36</f>
        <v>0</v>
      </c>
      <c r="D39" s="231">
        <f t="shared" si="0"/>
        <v>0</v>
      </c>
      <c r="E39" s="232" t="str">
        <f t="shared" si="1"/>
        <v>不适用</v>
      </c>
    </row>
    <row r="40" spans="1:5">
      <c r="A40" t="str">
        <f>资产表!A37</f>
        <v xml:space="preserve">        投资性房地产</v>
      </c>
      <c r="B40">
        <f>资产表!B37</f>
        <v>649965285.88999999</v>
      </c>
      <c r="C40">
        <f>资产表!C37</f>
        <v>649965285.88999999</v>
      </c>
      <c r="D40" s="231">
        <f t="shared" si="0"/>
        <v>0</v>
      </c>
      <c r="E40" s="232">
        <f t="shared" si="1"/>
        <v>0</v>
      </c>
    </row>
    <row r="41" spans="1:5">
      <c r="A41" t="str">
        <f>资产表!A38</f>
        <v xml:space="preserve">        固定资产</v>
      </c>
      <c r="B41">
        <f>资产表!B38</f>
        <v>2825446811.5999999</v>
      </c>
      <c r="C41">
        <f>资产表!C38</f>
        <v>2825446811.5999999</v>
      </c>
      <c r="D41" s="231">
        <f t="shared" si="0"/>
        <v>0</v>
      </c>
      <c r="E41" s="232">
        <f t="shared" si="1"/>
        <v>0</v>
      </c>
    </row>
    <row r="42" spans="1:5">
      <c r="A42" t="str">
        <f>资产表!A42</f>
        <v xml:space="preserve">        在建工程</v>
      </c>
      <c r="B42">
        <f>资产表!B42</f>
        <v>148814764.12</v>
      </c>
      <c r="C42">
        <f>资产表!C42</f>
        <v>148814764.12</v>
      </c>
      <c r="D42" s="231">
        <f t="shared" si="0"/>
        <v>0</v>
      </c>
      <c r="E42" s="232">
        <f t="shared" si="1"/>
        <v>0</v>
      </c>
    </row>
    <row r="43" spans="1:5">
      <c r="A43" t="str">
        <f>资产表!A43</f>
        <v xml:space="preserve">        生产性生物资产</v>
      </c>
      <c r="B43">
        <f>资产表!B43</f>
        <v>0</v>
      </c>
      <c r="C43">
        <f>资产表!C43</f>
        <v>0</v>
      </c>
      <c r="D43" s="231">
        <f t="shared" si="0"/>
        <v>0</v>
      </c>
      <c r="E43" s="232" t="str">
        <f t="shared" si="1"/>
        <v>不适用</v>
      </c>
    </row>
    <row r="44" spans="1:5">
      <c r="A44" t="str">
        <f>资产表!A44</f>
        <v xml:space="preserve">        油气资产</v>
      </c>
      <c r="B44">
        <f>资产表!B44</f>
        <v>0</v>
      </c>
      <c r="C44">
        <f>资产表!C44</f>
        <v>0</v>
      </c>
      <c r="D44" s="231">
        <f t="shared" si="0"/>
        <v>0</v>
      </c>
      <c r="E44" s="232" t="str">
        <f t="shared" si="1"/>
        <v>不适用</v>
      </c>
    </row>
    <row r="45" spans="1:5">
      <c r="A45" t="str">
        <f>资产表!A45</f>
        <v xml:space="preserve">      ☆使用权资产</v>
      </c>
      <c r="B45">
        <f>资产表!B45</f>
        <v>0</v>
      </c>
      <c r="C45">
        <f>资产表!C45</f>
        <v>0</v>
      </c>
      <c r="D45" s="231">
        <f t="shared" si="0"/>
        <v>0</v>
      </c>
      <c r="E45" s="232" t="str">
        <f t="shared" si="1"/>
        <v>不适用</v>
      </c>
    </row>
    <row r="46" spans="1:5">
      <c r="A46" t="str">
        <f>资产表!A46</f>
        <v xml:space="preserve">        无形资产</v>
      </c>
      <c r="B46">
        <f>资产表!B46</f>
        <v>0</v>
      </c>
      <c r="C46">
        <f>资产表!C46</f>
        <v>0</v>
      </c>
      <c r="D46" s="231">
        <f t="shared" si="0"/>
        <v>0</v>
      </c>
      <c r="E46" s="232" t="str">
        <f t="shared" si="1"/>
        <v>不适用</v>
      </c>
    </row>
    <row r="47" spans="1:5">
      <c r="A47" t="str">
        <f>资产表!A47</f>
        <v xml:space="preserve">        开发支出</v>
      </c>
      <c r="B47">
        <f>资产表!B47</f>
        <v>0</v>
      </c>
      <c r="C47">
        <f>资产表!C47</f>
        <v>0</v>
      </c>
      <c r="D47" s="231">
        <f t="shared" si="0"/>
        <v>0</v>
      </c>
      <c r="E47" s="232" t="str">
        <f t="shared" si="1"/>
        <v>不适用</v>
      </c>
    </row>
    <row r="48" spans="1:5">
      <c r="A48" t="str">
        <f>资产表!A48</f>
        <v xml:space="preserve">        商誉</v>
      </c>
      <c r="B48">
        <f>资产表!B48</f>
        <v>0</v>
      </c>
      <c r="C48">
        <f>资产表!C48</f>
        <v>0</v>
      </c>
      <c r="D48" s="231">
        <f t="shared" si="0"/>
        <v>0</v>
      </c>
      <c r="E48" s="232" t="str">
        <f t="shared" si="1"/>
        <v>不适用</v>
      </c>
    </row>
    <row r="49" spans="1:5">
      <c r="A49" t="str">
        <f>资产表!A49</f>
        <v xml:space="preserve">        长期待摊费用</v>
      </c>
      <c r="B49">
        <f>资产表!B49</f>
        <v>26751496.309999999</v>
      </c>
      <c r="C49">
        <f>资产表!C49</f>
        <v>26751496.309999999</v>
      </c>
      <c r="D49" s="231">
        <f t="shared" si="0"/>
        <v>0</v>
      </c>
      <c r="E49" s="232">
        <f t="shared" si="1"/>
        <v>0</v>
      </c>
    </row>
    <row r="50" spans="1:5">
      <c r="A50" t="str">
        <f>资产表!A50</f>
        <v xml:space="preserve">        递延所得税资产</v>
      </c>
      <c r="B50">
        <f>资产表!B50</f>
        <v>0</v>
      </c>
      <c r="C50">
        <f>资产表!C50</f>
        <v>0</v>
      </c>
      <c r="D50" s="231">
        <f t="shared" si="0"/>
        <v>0</v>
      </c>
      <c r="E50" s="232" t="str">
        <f t="shared" si="1"/>
        <v>不适用</v>
      </c>
    </row>
    <row r="51" spans="1:5">
      <c r="A51" t="str">
        <f>资产表!A51</f>
        <v xml:space="preserve">        其他非流动资产</v>
      </c>
      <c r="B51">
        <f>资产表!B51</f>
        <v>5764452392.1000004</v>
      </c>
      <c r="C51">
        <f>资产表!C51</f>
        <v>5764452392.1000004</v>
      </c>
      <c r="D51" s="231">
        <f t="shared" si="0"/>
        <v>0</v>
      </c>
      <c r="E51" s="232">
        <f t="shared" si="1"/>
        <v>0</v>
      </c>
    </row>
    <row r="52" spans="1:5">
      <c r="A52" t="str">
        <f>资产表!A52</f>
        <v xml:space="preserve">            其中：特准储备物资</v>
      </c>
      <c r="B52">
        <f>资产表!B52</f>
        <v>0</v>
      </c>
      <c r="C52">
        <f>资产表!C52</f>
        <v>0</v>
      </c>
      <c r="D52" s="231">
        <f t="shared" si="0"/>
        <v>0</v>
      </c>
      <c r="E52" s="232" t="str">
        <f t="shared" si="1"/>
        <v>不适用</v>
      </c>
    </row>
    <row r="53" spans="1:5">
      <c r="A53" t="str">
        <f>资产表!A53</f>
        <v>非流动资产合计</v>
      </c>
      <c r="B53">
        <f>资产表!B53</f>
        <v>12605012366.41</v>
      </c>
      <c r="C53">
        <f>资产表!C53</f>
        <v>12605012366.41</v>
      </c>
      <c r="D53" s="231">
        <f t="shared" si="0"/>
        <v>0</v>
      </c>
      <c r="E53" s="232">
        <f t="shared" si="1"/>
        <v>0</v>
      </c>
    </row>
    <row r="54" spans="1:5">
      <c r="A54" t="str">
        <f>资产表!A54</f>
        <v>资  产  总  计</v>
      </c>
      <c r="B54">
        <f>资产表!B54</f>
        <v>15790924583.34</v>
      </c>
      <c r="C54">
        <f>资产表!C54</f>
        <v>15790924583.34</v>
      </c>
      <c r="D54" s="231">
        <f t="shared" si="0"/>
        <v>0</v>
      </c>
      <c r="E54" s="232">
        <f t="shared" si="1"/>
        <v>0</v>
      </c>
    </row>
    <row r="55" spans="1:5">
      <c r="A55" t="str">
        <f>负债表!A2</f>
        <v>流动负债：</v>
      </c>
      <c r="B55">
        <f>负债表!B2</f>
        <v>0</v>
      </c>
      <c r="C55">
        <f>负债表!C2</f>
        <v>0</v>
      </c>
      <c r="D55" s="231">
        <f t="shared" si="0"/>
        <v>0</v>
      </c>
      <c r="E55" s="232" t="str">
        <f t="shared" si="1"/>
        <v>不适用</v>
      </c>
    </row>
    <row r="56" spans="1:5">
      <c r="A56" t="str">
        <f>负债表!A3</f>
        <v xml:space="preserve">        短期借款</v>
      </c>
      <c r="B56">
        <f>负债表!B3</f>
        <v>674000000</v>
      </c>
      <c r="C56">
        <f>负债表!C3</f>
        <v>674000000</v>
      </c>
      <c r="D56" s="231">
        <f t="shared" si="0"/>
        <v>0</v>
      </c>
      <c r="E56" s="232">
        <f t="shared" si="1"/>
        <v>0</v>
      </c>
    </row>
    <row r="57" spans="1:5">
      <c r="A57" t="str">
        <f>负债表!A4</f>
        <v xml:space="preserve">      △向中央银行借款</v>
      </c>
      <c r="B57">
        <f>负债表!B4</f>
        <v>0</v>
      </c>
      <c r="C57">
        <f>负债表!C4</f>
        <v>0</v>
      </c>
      <c r="D57" s="231">
        <f t="shared" si="0"/>
        <v>0</v>
      </c>
      <c r="E57" s="232" t="str">
        <f t="shared" si="1"/>
        <v>不适用</v>
      </c>
    </row>
    <row r="58" spans="1:5">
      <c r="A58" t="str">
        <f>负债表!A5</f>
        <v xml:space="preserve">      △拆入资金</v>
      </c>
      <c r="B58">
        <f>负债表!B5</f>
        <v>0</v>
      </c>
      <c r="C58">
        <f>负债表!C5</f>
        <v>0</v>
      </c>
      <c r="D58" s="231">
        <f t="shared" si="0"/>
        <v>0</v>
      </c>
      <c r="E58" s="232" t="str">
        <f t="shared" si="1"/>
        <v>不适用</v>
      </c>
    </row>
    <row r="59" spans="1:5">
      <c r="A59" t="str">
        <f>负债表!A6</f>
        <v xml:space="preserve">      ☆交易性金融负债</v>
      </c>
      <c r="B59">
        <f>负债表!B6</f>
        <v>0</v>
      </c>
      <c r="C59">
        <f>负债表!C6</f>
        <v>0</v>
      </c>
      <c r="D59" s="231">
        <f t="shared" si="0"/>
        <v>0</v>
      </c>
      <c r="E59" s="232" t="str">
        <f t="shared" si="1"/>
        <v>不适用</v>
      </c>
    </row>
    <row r="60" spans="1:5">
      <c r="A60" t="str">
        <f>负债表!A7</f>
        <v xml:space="preserve">        以公允价值计量且其变动计入当期损益的金融负债</v>
      </c>
      <c r="B60">
        <f>负债表!B7</f>
        <v>0</v>
      </c>
      <c r="C60">
        <f>负债表!C7</f>
        <v>0</v>
      </c>
      <c r="D60" s="231">
        <f t="shared" si="0"/>
        <v>0</v>
      </c>
      <c r="E60" s="232" t="str">
        <f t="shared" si="1"/>
        <v>不适用</v>
      </c>
    </row>
    <row r="61" spans="1:5">
      <c r="A61" t="str">
        <f>负债表!A8</f>
        <v xml:space="preserve">        衍生金融负债</v>
      </c>
      <c r="B61">
        <f>负债表!B8</f>
        <v>0</v>
      </c>
      <c r="C61">
        <f>负债表!C8</f>
        <v>0</v>
      </c>
      <c r="D61" s="231">
        <f t="shared" si="0"/>
        <v>0</v>
      </c>
      <c r="E61" s="232" t="str">
        <f t="shared" si="1"/>
        <v>不适用</v>
      </c>
    </row>
    <row r="62" spans="1:5">
      <c r="A62" t="str">
        <f>负债表!A9</f>
        <v xml:space="preserve">        应付票据</v>
      </c>
      <c r="B62">
        <f>负债表!B9</f>
        <v>0</v>
      </c>
      <c r="C62">
        <f>负债表!C9</f>
        <v>0</v>
      </c>
      <c r="D62" s="231">
        <f t="shared" si="0"/>
        <v>0</v>
      </c>
      <c r="E62" s="232" t="str">
        <f t="shared" si="1"/>
        <v>不适用</v>
      </c>
    </row>
    <row r="63" spans="1:5">
      <c r="A63" t="str">
        <f>负债表!A10</f>
        <v xml:space="preserve">        应付账款</v>
      </c>
      <c r="B63">
        <f>负债表!B10</f>
        <v>148589378.94</v>
      </c>
      <c r="C63">
        <f>负债表!C10</f>
        <v>148589378.94</v>
      </c>
      <c r="D63" s="231">
        <f t="shared" si="0"/>
        <v>0</v>
      </c>
      <c r="E63" s="232">
        <f t="shared" si="1"/>
        <v>0</v>
      </c>
    </row>
    <row r="64" spans="1:5">
      <c r="A64" t="str">
        <f>负债表!A11</f>
        <v xml:space="preserve">        预收款项</v>
      </c>
      <c r="B64">
        <f>负债表!B11</f>
        <v>590798132.32000005</v>
      </c>
      <c r="C64">
        <f>负债表!C11</f>
        <v>590798132.32000005</v>
      </c>
      <c r="D64" s="231">
        <f t="shared" si="0"/>
        <v>0</v>
      </c>
      <c r="E64" s="232">
        <f t="shared" si="1"/>
        <v>0</v>
      </c>
    </row>
    <row r="65" spans="1:5">
      <c r="A65" t="str">
        <f>负债表!A12</f>
        <v xml:space="preserve">      ☆合同负债</v>
      </c>
      <c r="B65">
        <f>负债表!B12</f>
        <v>0</v>
      </c>
      <c r="C65">
        <f>负债表!C12</f>
        <v>0</v>
      </c>
      <c r="D65" s="231">
        <f t="shared" si="0"/>
        <v>0</v>
      </c>
      <c r="E65" s="232" t="str">
        <f t="shared" si="1"/>
        <v>不适用</v>
      </c>
    </row>
    <row r="66" spans="1:5">
      <c r="A66" t="str">
        <f>负债表!A13</f>
        <v xml:space="preserve">      △卖出回购金融资产款</v>
      </c>
      <c r="B66">
        <f>负债表!B13</f>
        <v>0</v>
      </c>
      <c r="C66">
        <f>负债表!C13</f>
        <v>0</v>
      </c>
      <c r="D66" s="231">
        <f t="shared" si="0"/>
        <v>0</v>
      </c>
      <c r="E66" s="232" t="str">
        <f t="shared" si="1"/>
        <v>不适用</v>
      </c>
    </row>
    <row r="67" spans="1:5">
      <c r="A67" t="str">
        <f>负债表!A14</f>
        <v xml:space="preserve">      △吸收存款及同业存放</v>
      </c>
      <c r="B67">
        <f>负债表!B14</f>
        <v>0</v>
      </c>
      <c r="C67">
        <f>负债表!C14</f>
        <v>0</v>
      </c>
      <c r="D67" s="231">
        <f t="shared" si="0"/>
        <v>0</v>
      </c>
      <c r="E67" s="232" t="str">
        <f t="shared" si="1"/>
        <v>不适用</v>
      </c>
    </row>
    <row r="68" spans="1:5">
      <c r="A68" t="str">
        <f>负债表!A15</f>
        <v xml:space="preserve">      △代理买卖证券款</v>
      </c>
      <c r="B68">
        <f>负债表!B15</f>
        <v>0</v>
      </c>
      <c r="C68">
        <f>负债表!C15</f>
        <v>0</v>
      </c>
      <c r="D68" s="231">
        <f t="shared" si="0"/>
        <v>0</v>
      </c>
      <c r="E68" s="232" t="str">
        <f t="shared" si="1"/>
        <v>不适用</v>
      </c>
    </row>
    <row r="69" spans="1:5">
      <c r="A69" t="str">
        <f>负债表!A16</f>
        <v xml:space="preserve">      △代理承销证券款</v>
      </c>
      <c r="B69">
        <f>负债表!B16</f>
        <v>0</v>
      </c>
      <c r="C69">
        <f>负债表!C16</f>
        <v>0</v>
      </c>
      <c r="D69" s="231">
        <f t="shared" si="0"/>
        <v>0</v>
      </c>
      <c r="E69" s="232" t="str">
        <f t="shared" si="1"/>
        <v>不适用</v>
      </c>
    </row>
    <row r="70" spans="1:5">
      <c r="A70" t="str">
        <f>负债表!A17</f>
        <v xml:space="preserve">        应付职工薪酬</v>
      </c>
      <c r="B70">
        <f>负债表!B17</f>
        <v>13636984.890000001</v>
      </c>
      <c r="C70">
        <f>负债表!C17</f>
        <v>13636984.890000001</v>
      </c>
      <c r="D70" s="231">
        <f t="shared" si="0"/>
        <v>0</v>
      </c>
      <c r="E70" s="232">
        <f t="shared" si="1"/>
        <v>0</v>
      </c>
    </row>
    <row r="71" spans="1:5">
      <c r="A71" t="str">
        <f>负债表!A18</f>
        <v xml:space="preserve">            其中：应付工资</v>
      </c>
      <c r="B71">
        <f>负债表!B18</f>
        <v>0</v>
      </c>
      <c r="C71">
        <f>负债表!C18</f>
        <v>0</v>
      </c>
      <c r="D71" s="231">
        <f t="shared" ref="D71:D134" si="2">B71-C71</f>
        <v>0</v>
      </c>
      <c r="E71" s="232" t="str">
        <f t="shared" ref="E71:E134" si="3">IFERROR(D71/C71,"不适用")</f>
        <v>不适用</v>
      </c>
    </row>
    <row r="72" spans="1:5">
      <c r="A72" t="str">
        <f>负债表!A19</f>
        <v xml:space="preserve">                  应付福利费</v>
      </c>
      <c r="B72">
        <f>负债表!B19</f>
        <v>0</v>
      </c>
      <c r="C72">
        <f>负债表!C19</f>
        <v>0</v>
      </c>
      <c r="D72" s="231">
        <f t="shared" si="2"/>
        <v>0</v>
      </c>
      <c r="E72" s="232" t="str">
        <f t="shared" si="3"/>
        <v>不适用</v>
      </c>
    </row>
    <row r="73" spans="1:5">
      <c r="A73" t="str">
        <f>负债表!A20</f>
        <v xml:space="preserve">                     #其中：职工奖励及福利基金</v>
      </c>
      <c r="B73">
        <f>负债表!B20</f>
        <v>0</v>
      </c>
      <c r="C73">
        <f>负债表!C20</f>
        <v>0</v>
      </c>
      <c r="D73" s="231">
        <f t="shared" si="2"/>
        <v>0</v>
      </c>
      <c r="E73" s="232" t="str">
        <f t="shared" si="3"/>
        <v>不适用</v>
      </c>
    </row>
    <row r="74" spans="1:5">
      <c r="A74" t="str">
        <f>负债表!A21</f>
        <v xml:space="preserve">        应交税费</v>
      </c>
      <c r="B74">
        <f>负债表!B21</f>
        <v>-13638389.939999999</v>
      </c>
      <c r="C74">
        <f>负债表!C21</f>
        <v>-13638389.939999999</v>
      </c>
      <c r="D74" s="231">
        <f t="shared" si="2"/>
        <v>0</v>
      </c>
      <c r="E74" s="232">
        <f t="shared" si="3"/>
        <v>0</v>
      </c>
    </row>
    <row r="75" spans="1:5">
      <c r="A75" t="str">
        <f>负债表!A22</f>
        <v xml:space="preserve">            其中：应交税金</v>
      </c>
      <c r="B75">
        <f>负债表!B22</f>
        <v>0</v>
      </c>
      <c r="C75">
        <f>负债表!C22</f>
        <v>0</v>
      </c>
      <c r="D75" s="231">
        <f t="shared" si="2"/>
        <v>0</v>
      </c>
      <c r="E75" s="232" t="str">
        <f t="shared" si="3"/>
        <v>不适用</v>
      </c>
    </row>
    <row r="76" spans="1:5">
      <c r="A76" t="str">
        <f>负债表!A23</f>
        <v xml:space="preserve">        其他应付款</v>
      </c>
      <c r="B76">
        <f>负债表!B23</f>
        <v>876561625.65999997</v>
      </c>
      <c r="C76">
        <f>负债表!C23</f>
        <v>876561625.65999997</v>
      </c>
      <c r="D76" s="231">
        <f t="shared" si="2"/>
        <v>0</v>
      </c>
      <c r="E76" s="232">
        <f t="shared" si="3"/>
        <v>0</v>
      </c>
    </row>
    <row r="77" spans="1:5">
      <c r="A77" t="str">
        <f>负债表!A25</f>
        <v xml:space="preserve">      △应付手续费及佣金</v>
      </c>
      <c r="B77">
        <f>负债表!B25</f>
        <v>0</v>
      </c>
      <c r="C77">
        <f>负债表!C25</f>
        <v>0</v>
      </c>
      <c r="D77" s="231">
        <f t="shared" si="2"/>
        <v>0</v>
      </c>
      <c r="E77" s="232" t="str">
        <f t="shared" si="3"/>
        <v>不适用</v>
      </c>
    </row>
    <row r="78" spans="1:5">
      <c r="A78" t="str">
        <f>负债表!A26</f>
        <v xml:space="preserve">      △应付分保账款</v>
      </c>
      <c r="B78">
        <f>负债表!B26</f>
        <v>0</v>
      </c>
      <c r="C78">
        <f>负债表!C26</f>
        <v>0</v>
      </c>
      <c r="D78" s="231">
        <f t="shared" si="2"/>
        <v>0</v>
      </c>
      <c r="E78" s="232" t="str">
        <f t="shared" si="3"/>
        <v>不适用</v>
      </c>
    </row>
    <row r="79" spans="1:5">
      <c r="A79" t="str">
        <f>负债表!A27</f>
        <v xml:space="preserve">        持有待售负债</v>
      </c>
      <c r="B79">
        <f>负债表!B27</f>
        <v>0</v>
      </c>
      <c r="C79">
        <f>负债表!C27</f>
        <v>0</v>
      </c>
      <c r="D79" s="231">
        <f t="shared" si="2"/>
        <v>0</v>
      </c>
      <c r="E79" s="232" t="str">
        <f t="shared" si="3"/>
        <v>不适用</v>
      </c>
    </row>
    <row r="80" spans="1:5">
      <c r="A80" t="str">
        <f>负债表!A28</f>
        <v xml:space="preserve">        一年内到期的非流动负债</v>
      </c>
      <c r="B80">
        <f>负债表!B28</f>
        <v>0</v>
      </c>
      <c r="C80">
        <f>负债表!C28</f>
        <v>0</v>
      </c>
      <c r="D80" s="231">
        <f t="shared" si="2"/>
        <v>0</v>
      </c>
      <c r="E80" s="232" t="str">
        <f t="shared" si="3"/>
        <v>不适用</v>
      </c>
    </row>
    <row r="81" spans="1:5">
      <c r="A81" t="str">
        <f>负债表!A29</f>
        <v xml:space="preserve">        其他流动负债</v>
      </c>
      <c r="B81">
        <f>负债表!B29</f>
        <v>0</v>
      </c>
      <c r="C81">
        <f>负债表!C29</f>
        <v>0</v>
      </c>
      <c r="D81" s="231">
        <f t="shared" si="2"/>
        <v>0</v>
      </c>
      <c r="E81" s="232" t="str">
        <f t="shared" si="3"/>
        <v>不适用</v>
      </c>
    </row>
    <row r="82" spans="1:5">
      <c r="A82" t="str">
        <f>负债表!A30</f>
        <v>流动负债合计</v>
      </c>
      <c r="B82">
        <f>负债表!B30</f>
        <v>2289947731.8699999</v>
      </c>
      <c r="C82">
        <f>负债表!C30</f>
        <v>2289947731.8699999</v>
      </c>
      <c r="D82" s="231">
        <f t="shared" si="2"/>
        <v>0</v>
      </c>
      <c r="E82" s="232">
        <f t="shared" si="3"/>
        <v>0</v>
      </c>
    </row>
    <row r="83" spans="1:5">
      <c r="A83" t="str">
        <f>负债表!A31</f>
        <v>非流动负债：</v>
      </c>
      <c r="B83">
        <f>负债表!B31</f>
        <v>0</v>
      </c>
      <c r="C83">
        <f>负债表!C31</f>
        <v>0</v>
      </c>
      <c r="D83" s="231">
        <f t="shared" si="2"/>
        <v>0</v>
      </c>
      <c r="E83" s="232" t="str">
        <f t="shared" si="3"/>
        <v>不适用</v>
      </c>
    </row>
    <row r="84" spans="1:5">
      <c r="A84" t="str">
        <f>负债表!A32</f>
        <v xml:space="preserve">      △保险合同准备金</v>
      </c>
      <c r="B84">
        <f>负债表!B32</f>
        <v>0</v>
      </c>
      <c r="C84">
        <f>负债表!C32</f>
        <v>0</v>
      </c>
      <c r="D84" s="231">
        <f t="shared" si="2"/>
        <v>0</v>
      </c>
      <c r="E84" s="232" t="str">
        <f t="shared" si="3"/>
        <v>不适用</v>
      </c>
    </row>
    <row r="85" spans="1:5">
      <c r="A85" t="str">
        <f>负债表!A33</f>
        <v xml:space="preserve">        长期借款</v>
      </c>
      <c r="B85">
        <f>负债表!B33</f>
        <v>0</v>
      </c>
      <c r="C85">
        <f>负债表!C33</f>
        <v>0</v>
      </c>
      <c r="D85" s="231">
        <f t="shared" si="2"/>
        <v>0</v>
      </c>
      <c r="E85" s="232" t="str">
        <f t="shared" si="3"/>
        <v>不适用</v>
      </c>
    </row>
    <row r="86" spans="1:5">
      <c r="A86" t="str">
        <f>负债表!A34</f>
        <v xml:space="preserve">        应付债券</v>
      </c>
      <c r="B86">
        <f>负债表!B34</f>
        <v>3483543400</v>
      </c>
      <c r="C86">
        <f>负债表!C34</f>
        <v>3483543400</v>
      </c>
      <c r="D86" s="231">
        <f t="shared" si="2"/>
        <v>0</v>
      </c>
      <c r="E86" s="232">
        <f t="shared" si="3"/>
        <v>0</v>
      </c>
    </row>
    <row r="87" spans="1:5">
      <c r="A87" t="str">
        <f>负债表!A35</f>
        <v xml:space="preserve">            其中：优先股</v>
      </c>
      <c r="B87">
        <f>负债表!B35</f>
        <v>0</v>
      </c>
      <c r="C87">
        <f>负债表!C35</f>
        <v>0</v>
      </c>
      <c r="D87" s="231">
        <f t="shared" si="2"/>
        <v>0</v>
      </c>
      <c r="E87" s="232" t="str">
        <f t="shared" si="3"/>
        <v>不适用</v>
      </c>
    </row>
    <row r="88" spans="1:5">
      <c r="A88" t="str">
        <f>负债表!A36</f>
        <v xml:space="preserve">                  永续债</v>
      </c>
      <c r="B88">
        <f>负债表!B36</f>
        <v>0</v>
      </c>
      <c r="C88">
        <f>负债表!C36</f>
        <v>0</v>
      </c>
      <c r="D88" s="231">
        <f t="shared" si="2"/>
        <v>0</v>
      </c>
      <c r="E88" s="232" t="str">
        <f t="shared" si="3"/>
        <v>不适用</v>
      </c>
    </row>
    <row r="89" spans="1:5">
      <c r="A89" t="str">
        <f>负债表!A37</f>
        <v xml:space="preserve">      ☆租赁负债</v>
      </c>
      <c r="B89">
        <f>负债表!B37</f>
        <v>0</v>
      </c>
      <c r="C89">
        <f>负债表!C37</f>
        <v>0</v>
      </c>
      <c r="D89" s="231">
        <f t="shared" si="2"/>
        <v>0</v>
      </c>
      <c r="E89" s="232" t="str">
        <f t="shared" si="3"/>
        <v>不适用</v>
      </c>
    </row>
    <row r="90" spans="1:5">
      <c r="A90" t="str">
        <f>负债表!A38</f>
        <v xml:space="preserve">        长期应付款</v>
      </c>
      <c r="B90">
        <f>负债表!B38</f>
        <v>2863042966.29</v>
      </c>
      <c r="C90">
        <f>负债表!C38</f>
        <v>2863042966.29</v>
      </c>
      <c r="D90" s="231">
        <f t="shared" si="2"/>
        <v>0</v>
      </c>
      <c r="E90" s="232">
        <f t="shared" si="3"/>
        <v>0</v>
      </c>
    </row>
    <row r="91" spans="1:5">
      <c r="A91" t="str">
        <f>负债表!A39</f>
        <v xml:space="preserve">        长期应付职工薪酬</v>
      </c>
      <c r="B91">
        <f>负债表!B39</f>
        <v>0</v>
      </c>
      <c r="C91">
        <f>负债表!C39</f>
        <v>0</v>
      </c>
      <c r="D91" s="231">
        <f t="shared" si="2"/>
        <v>0</v>
      </c>
      <c r="E91" s="232" t="str">
        <f t="shared" si="3"/>
        <v>不适用</v>
      </c>
    </row>
    <row r="92" spans="1:5">
      <c r="A92" t="str">
        <f>负债表!A40</f>
        <v xml:space="preserve">        预计负债</v>
      </c>
      <c r="B92">
        <f>负债表!B40</f>
        <v>0</v>
      </c>
      <c r="C92">
        <f>负债表!C40</f>
        <v>0</v>
      </c>
      <c r="D92" s="231">
        <f t="shared" si="2"/>
        <v>0</v>
      </c>
      <c r="E92" s="232" t="str">
        <f t="shared" si="3"/>
        <v>不适用</v>
      </c>
    </row>
    <row r="93" spans="1:5">
      <c r="A93" t="str">
        <f>负债表!A41</f>
        <v xml:space="preserve">        递延收益</v>
      </c>
      <c r="B93">
        <f>负债表!B41</f>
        <v>55530257.920000002</v>
      </c>
      <c r="C93">
        <f>负债表!C41</f>
        <v>55530257.920000002</v>
      </c>
      <c r="D93" s="231">
        <f t="shared" si="2"/>
        <v>0</v>
      </c>
      <c r="E93" s="232">
        <f t="shared" si="3"/>
        <v>0</v>
      </c>
    </row>
    <row r="94" spans="1:5">
      <c r="A94" t="str">
        <f>负债表!A42</f>
        <v xml:space="preserve">        递延所得税负债</v>
      </c>
      <c r="B94">
        <f>负债表!B42</f>
        <v>22684266.809999999</v>
      </c>
      <c r="C94">
        <f>负债表!C42</f>
        <v>22684266.809999999</v>
      </c>
      <c r="D94" s="231">
        <f t="shared" si="2"/>
        <v>0</v>
      </c>
      <c r="E94" s="232">
        <f t="shared" si="3"/>
        <v>0</v>
      </c>
    </row>
    <row r="95" spans="1:5">
      <c r="A95" t="str">
        <f>负债表!A43</f>
        <v xml:space="preserve">        其他非流动负债</v>
      </c>
      <c r="B95">
        <f>负债表!B43</f>
        <v>0</v>
      </c>
      <c r="C95">
        <f>负债表!C43</f>
        <v>0</v>
      </c>
      <c r="D95" s="231">
        <f t="shared" si="2"/>
        <v>0</v>
      </c>
      <c r="E95" s="232" t="str">
        <f t="shared" si="3"/>
        <v>不适用</v>
      </c>
    </row>
    <row r="96" spans="1:5">
      <c r="A96" t="str">
        <f>负债表!A44</f>
        <v xml:space="preserve">            其中：特准储备基金</v>
      </c>
      <c r="B96">
        <f>负债表!B44</f>
        <v>0</v>
      </c>
      <c r="C96">
        <f>负债表!C44</f>
        <v>0</v>
      </c>
      <c r="D96" s="231">
        <f t="shared" si="2"/>
        <v>0</v>
      </c>
      <c r="E96" s="232" t="str">
        <f t="shared" si="3"/>
        <v>不适用</v>
      </c>
    </row>
    <row r="97" spans="1:5">
      <c r="A97" t="str">
        <f>负债表!A45</f>
        <v>非流动负债合计</v>
      </c>
      <c r="B97">
        <f>负债表!B45</f>
        <v>6424800891.0200005</v>
      </c>
      <c r="C97">
        <f>负债表!C45</f>
        <v>6424800891.0200005</v>
      </c>
      <c r="D97" s="231">
        <f t="shared" si="2"/>
        <v>0</v>
      </c>
      <c r="E97" s="232">
        <f t="shared" si="3"/>
        <v>0</v>
      </c>
    </row>
    <row r="98" spans="1:5">
      <c r="A98" t="str">
        <f>负债表!A46</f>
        <v>负 债 合 计</v>
      </c>
      <c r="B98">
        <f>负债表!B46</f>
        <v>8714748622.8899994</v>
      </c>
      <c r="C98">
        <f>负债表!C46</f>
        <v>8714748622.8899994</v>
      </c>
      <c r="D98" s="231">
        <f t="shared" si="2"/>
        <v>0</v>
      </c>
      <c r="E98" s="232">
        <f t="shared" si="3"/>
        <v>0</v>
      </c>
    </row>
    <row r="99" spans="1:5">
      <c r="A99" t="str">
        <f>负债表!A47</f>
        <v>所有者权益（或股东权益）：</v>
      </c>
      <c r="B99">
        <f>负债表!B47</f>
        <v>0</v>
      </c>
      <c r="C99">
        <f>负债表!C47</f>
        <v>0</v>
      </c>
      <c r="D99" s="231">
        <f t="shared" si="2"/>
        <v>0</v>
      </c>
      <c r="E99" s="232" t="str">
        <f t="shared" si="3"/>
        <v>不适用</v>
      </c>
    </row>
    <row r="100" spans="1:5">
      <c r="A100" t="str">
        <f>负债表!A48</f>
        <v xml:space="preserve">        实收资本（或股本）</v>
      </c>
      <c r="B100">
        <f>负债表!B48</f>
        <v>3020000000</v>
      </c>
      <c r="C100">
        <f>负债表!C48</f>
        <v>3020000000</v>
      </c>
      <c r="D100" s="231">
        <f t="shared" si="2"/>
        <v>0</v>
      </c>
      <c r="E100" s="232">
        <f t="shared" si="3"/>
        <v>0</v>
      </c>
    </row>
    <row r="101" spans="1:5">
      <c r="A101" t="str">
        <f>负债表!A49</f>
        <v xml:space="preserve">            国家资本</v>
      </c>
      <c r="B101">
        <f>负债表!B49</f>
        <v>0</v>
      </c>
      <c r="C101">
        <f>负债表!C49</f>
        <v>0</v>
      </c>
      <c r="D101" s="231">
        <f t="shared" si="2"/>
        <v>0</v>
      </c>
      <c r="E101" s="232" t="str">
        <f t="shared" si="3"/>
        <v>不适用</v>
      </c>
    </row>
    <row r="102" spans="1:5">
      <c r="A102" t="str">
        <f>负债表!A50</f>
        <v xml:space="preserve">            国有法人资本</v>
      </c>
      <c r="B102">
        <f>负债表!B50</f>
        <v>3020000000</v>
      </c>
      <c r="C102">
        <f>负债表!C50</f>
        <v>3020000000</v>
      </c>
      <c r="D102" s="231">
        <f t="shared" si="2"/>
        <v>0</v>
      </c>
      <c r="E102" s="232">
        <f t="shared" si="3"/>
        <v>0</v>
      </c>
    </row>
    <row r="103" spans="1:5">
      <c r="A103" t="str">
        <f>负债表!A51</f>
        <v xml:space="preserve">            集体资本</v>
      </c>
      <c r="B103">
        <f>负债表!B51</f>
        <v>0</v>
      </c>
      <c r="C103">
        <f>负债表!C51</f>
        <v>0</v>
      </c>
      <c r="D103" s="231">
        <f t="shared" si="2"/>
        <v>0</v>
      </c>
      <c r="E103" s="232" t="str">
        <f t="shared" si="3"/>
        <v>不适用</v>
      </c>
    </row>
    <row r="104" spans="1:5">
      <c r="A104" t="str">
        <f>负债表!A52</f>
        <v xml:space="preserve">            民营资本</v>
      </c>
      <c r="B104">
        <f>负债表!B52</f>
        <v>0</v>
      </c>
      <c r="C104">
        <f>负债表!C52</f>
        <v>0</v>
      </c>
      <c r="D104" s="231">
        <f t="shared" si="2"/>
        <v>0</v>
      </c>
      <c r="E104" s="232" t="str">
        <f t="shared" si="3"/>
        <v>不适用</v>
      </c>
    </row>
    <row r="105" spans="1:5">
      <c r="A105" t="str">
        <f>负债表!A53</f>
        <v xml:space="preserve">            外商资本</v>
      </c>
      <c r="B105">
        <f>负债表!B53</f>
        <v>0</v>
      </c>
      <c r="C105">
        <f>负债表!C53</f>
        <v>0</v>
      </c>
      <c r="D105" s="231">
        <f t="shared" si="2"/>
        <v>0</v>
      </c>
      <c r="E105" s="232" t="str">
        <f t="shared" si="3"/>
        <v>不适用</v>
      </c>
    </row>
    <row r="106" spans="1:5">
      <c r="A106" t="str">
        <f>负债表!A54</f>
        <v xml:space="preserve">       #减：已归还投资</v>
      </c>
      <c r="B106">
        <f>负债表!B54</f>
        <v>0</v>
      </c>
      <c r="C106">
        <f>负债表!C54</f>
        <v>0</v>
      </c>
      <c r="D106" s="231">
        <f t="shared" si="2"/>
        <v>0</v>
      </c>
      <c r="E106" s="232" t="str">
        <f t="shared" si="3"/>
        <v>不适用</v>
      </c>
    </row>
    <row r="107" spans="1:5">
      <c r="A107" t="str">
        <f>负债表!A55</f>
        <v xml:space="preserve">        实收资本（或股本）净额</v>
      </c>
      <c r="B107">
        <f>负债表!B55</f>
        <v>3020000000</v>
      </c>
      <c r="C107">
        <f>负债表!C55</f>
        <v>3020000000</v>
      </c>
      <c r="D107" s="231">
        <f t="shared" si="2"/>
        <v>0</v>
      </c>
      <c r="E107" s="232">
        <f t="shared" si="3"/>
        <v>0</v>
      </c>
    </row>
    <row r="108" spans="1:5">
      <c r="A108" t="str">
        <f>负债表!A56</f>
        <v xml:space="preserve">        其他权益工具</v>
      </c>
      <c r="B108">
        <f>负债表!B56</f>
        <v>0</v>
      </c>
      <c r="C108">
        <f>负债表!C56</f>
        <v>0</v>
      </c>
      <c r="D108" s="231">
        <f t="shared" si="2"/>
        <v>0</v>
      </c>
      <c r="E108" s="232" t="str">
        <f t="shared" si="3"/>
        <v>不适用</v>
      </c>
    </row>
    <row r="109" spans="1:5">
      <c r="A109" t="str">
        <f>负债表!A57</f>
        <v xml:space="preserve">            其中：优先股</v>
      </c>
      <c r="B109">
        <f>负债表!B57</f>
        <v>0</v>
      </c>
      <c r="C109">
        <f>负债表!C57</f>
        <v>0</v>
      </c>
      <c r="D109" s="231">
        <f t="shared" si="2"/>
        <v>0</v>
      </c>
      <c r="E109" s="232" t="str">
        <f t="shared" si="3"/>
        <v>不适用</v>
      </c>
    </row>
    <row r="110" spans="1:5">
      <c r="A110" t="str">
        <f>负债表!A58</f>
        <v xml:space="preserve">                  永续债</v>
      </c>
      <c r="B110">
        <f>负债表!B58</f>
        <v>0</v>
      </c>
      <c r="C110">
        <f>负债表!C58</f>
        <v>0</v>
      </c>
      <c r="D110" s="231">
        <f t="shared" si="2"/>
        <v>0</v>
      </c>
      <c r="E110" s="232" t="str">
        <f t="shared" si="3"/>
        <v>不适用</v>
      </c>
    </row>
    <row r="111" spans="1:5">
      <c r="A111" t="str">
        <f>负债表!A59</f>
        <v xml:space="preserve">        资本公积</v>
      </c>
      <c r="B111">
        <f>负债表!B59</f>
        <v>3841836934.0599999</v>
      </c>
      <c r="C111">
        <f>负债表!C59</f>
        <v>3841836934.0599999</v>
      </c>
      <c r="D111" s="231">
        <f t="shared" si="2"/>
        <v>0</v>
      </c>
      <c r="E111" s="232">
        <f t="shared" si="3"/>
        <v>0</v>
      </c>
    </row>
    <row r="112" spans="1:5">
      <c r="A112" t="str">
        <f>负债表!A60</f>
        <v xml:space="preserve">        减：库存股</v>
      </c>
      <c r="B112">
        <f>负债表!B60</f>
        <v>0</v>
      </c>
      <c r="C112">
        <f>负债表!C60</f>
        <v>0</v>
      </c>
      <c r="D112" s="231">
        <f t="shared" si="2"/>
        <v>0</v>
      </c>
      <c r="E112" s="232" t="str">
        <f t="shared" si="3"/>
        <v>不适用</v>
      </c>
    </row>
    <row r="113" spans="1:5">
      <c r="A113" t="str">
        <f>负债表!A61</f>
        <v xml:space="preserve">        其他综合收益</v>
      </c>
      <c r="B113">
        <f>负债表!B61</f>
        <v>68129543.510000005</v>
      </c>
      <c r="C113">
        <f>负债表!C61</f>
        <v>68129543.510000005</v>
      </c>
      <c r="D113" s="231">
        <f t="shared" si="2"/>
        <v>0</v>
      </c>
      <c r="E113" s="232">
        <f t="shared" si="3"/>
        <v>0</v>
      </c>
    </row>
    <row r="114" spans="1:5">
      <c r="A114" t="str">
        <f>负债表!A62</f>
        <v xml:space="preserve">            其中：外币报表折算差额</v>
      </c>
      <c r="B114">
        <f>负债表!B62</f>
        <v>0</v>
      </c>
      <c r="C114">
        <f>负债表!C62</f>
        <v>0</v>
      </c>
      <c r="D114" s="231">
        <f t="shared" si="2"/>
        <v>0</v>
      </c>
      <c r="E114" s="232" t="str">
        <f t="shared" si="3"/>
        <v>不适用</v>
      </c>
    </row>
    <row r="115" spans="1:5">
      <c r="A115" t="str">
        <f>负债表!A63</f>
        <v xml:space="preserve">        专项储备</v>
      </c>
      <c r="B115">
        <f>负债表!B63</f>
        <v>0</v>
      </c>
      <c r="C115">
        <f>负债表!C63</f>
        <v>0</v>
      </c>
      <c r="D115" s="231">
        <f t="shared" si="2"/>
        <v>0</v>
      </c>
      <c r="E115" s="232" t="str">
        <f t="shared" si="3"/>
        <v>不适用</v>
      </c>
    </row>
    <row r="116" spans="1:5">
      <c r="A116" t="str">
        <f>负债表!A64</f>
        <v xml:space="preserve">        盈余公积</v>
      </c>
      <c r="B116">
        <f>负债表!B64</f>
        <v>155546840.28999999</v>
      </c>
      <c r="C116">
        <f>负债表!C64</f>
        <v>155546840.28999999</v>
      </c>
      <c r="D116" s="231">
        <f t="shared" si="2"/>
        <v>0</v>
      </c>
      <c r="E116" s="232">
        <f t="shared" si="3"/>
        <v>0</v>
      </c>
    </row>
    <row r="117" spans="1:5">
      <c r="A117" t="str">
        <f>负债表!A65</f>
        <v xml:space="preserve">            其中：法定公积金</v>
      </c>
      <c r="B117">
        <f>负债表!B65</f>
        <v>0</v>
      </c>
      <c r="C117">
        <f>负债表!C65</f>
        <v>0</v>
      </c>
      <c r="D117" s="231">
        <f t="shared" si="2"/>
        <v>0</v>
      </c>
      <c r="E117" s="232" t="str">
        <f t="shared" si="3"/>
        <v>不适用</v>
      </c>
    </row>
    <row r="118" spans="1:5">
      <c r="A118" t="str">
        <f>负债表!A66</f>
        <v xml:space="preserve">                  任意公积金</v>
      </c>
      <c r="B118">
        <f>负债表!B66</f>
        <v>0</v>
      </c>
      <c r="C118">
        <f>负债表!C66</f>
        <v>0</v>
      </c>
      <c r="D118" s="231">
        <f t="shared" si="2"/>
        <v>0</v>
      </c>
      <c r="E118" s="232" t="str">
        <f t="shared" si="3"/>
        <v>不适用</v>
      </c>
    </row>
    <row r="119" spans="1:5">
      <c r="A119" t="str">
        <f>负债表!A67</f>
        <v xml:space="preserve">                 #储备基金</v>
      </c>
      <c r="B119">
        <f>负债表!B67</f>
        <v>0</v>
      </c>
      <c r="C119">
        <f>负债表!C67</f>
        <v>0</v>
      </c>
      <c r="D119" s="231">
        <f t="shared" si="2"/>
        <v>0</v>
      </c>
      <c r="E119" s="232" t="str">
        <f t="shared" si="3"/>
        <v>不适用</v>
      </c>
    </row>
    <row r="120" spans="1:5">
      <c r="A120" t="str">
        <f>负债表!A68</f>
        <v xml:space="preserve">                 #企业发展基金</v>
      </c>
      <c r="B120">
        <f>负债表!B68</f>
        <v>0</v>
      </c>
      <c r="C120">
        <f>负债表!C68</f>
        <v>0</v>
      </c>
      <c r="D120" s="231">
        <f t="shared" si="2"/>
        <v>0</v>
      </c>
      <c r="E120" s="232" t="str">
        <f t="shared" si="3"/>
        <v>不适用</v>
      </c>
    </row>
    <row r="121" spans="1:5">
      <c r="A121" t="str">
        <f>负债表!A69</f>
        <v xml:space="preserve">                 #利润归还投资</v>
      </c>
      <c r="B121">
        <f>负债表!B69</f>
        <v>0</v>
      </c>
      <c r="C121">
        <f>负债表!C69</f>
        <v>0</v>
      </c>
      <c r="D121" s="231">
        <f t="shared" si="2"/>
        <v>0</v>
      </c>
      <c r="E121" s="232" t="str">
        <f t="shared" si="3"/>
        <v>不适用</v>
      </c>
    </row>
    <row r="122" spans="1:5">
      <c r="A122" t="str">
        <f>负债表!A70</f>
        <v xml:space="preserve">      △一般风险准备</v>
      </c>
      <c r="B122">
        <f>负债表!B70</f>
        <v>0</v>
      </c>
      <c r="C122">
        <f>负债表!C70</f>
        <v>0</v>
      </c>
      <c r="D122" s="231">
        <f t="shared" si="2"/>
        <v>0</v>
      </c>
      <c r="E122" s="232" t="str">
        <f t="shared" si="3"/>
        <v>不适用</v>
      </c>
    </row>
    <row r="123" spans="1:5">
      <c r="A123" t="str">
        <f>负债表!A71</f>
        <v xml:space="preserve">        未分配利润</v>
      </c>
      <c r="B123">
        <f>负债表!B71</f>
        <v>1083802662.6900001</v>
      </c>
      <c r="C123">
        <f>负债表!C71</f>
        <v>1123892798.95</v>
      </c>
      <c r="D123" s="231">
        <f t="shared" si="2"/>
        <v>-40090136.25999999</v>
      </c>
      <c r="E123" s="232">
        <f t="shared" si="3"/>
        <v>-3.5670783100892105E-2</v>
      </c>
    </row>
    <row r="124" spans="1:5">
      <c r="A124" t="str">
        <f>负债表!A72</f>
        <v>归属于母公司所有者权益（或股东权益）合计</v>
      </c>
      <c r="B124">
        <f>负债表!B72</f>
        <v>8169315980.5500002</v>
      </c>
      <c r="C124">
        <f>负债表!C72</f>
        <v>8209406116.8100004</v>
      </c>
      <c r="D124" s="231">
        <f t="shared" si="2"/>
        <v>-40090136.260000229</v>
      </c>
      <c r="E124" s="232">
        <f t="shared" si="3"/>
        <v>-4.8834392755779995E-3</v>
      </c>
    </row>
    <row r="125" spans="1:5">
      <c r="A125" t="str">
        <f>负债表!A73</f>
        <v xml:space="preserve">       *少数股东权益</v>
      </c>
      <c r="B125">
        <f>负债表!B73</f>
        <v>0</v>
      </c>
      <c r="C125">
        <f>负债表!C73</f>
        <v>0</v>
      </c>
      <c r="D125" s="231">
        <f t="shared" si="2"/>
        <v>0</v>
      </c>
      <c r="E125" s="232" t="str">
        <f t="shared" si="3"/>
        <v>不适用</v>
      </c>
    </row>
    <row r="126" spans="1:5">
      <c r="A126" t="str">
        <f>负债表!A74</f>
        <v>所有者权益（或股东权益）合计</v>
      </c>
      <c r="B126">
        <f>负债表!B74</f>
        <v>8169315980.5500002</v>
      </c>
      <c r="C126">
        <f>负债表!C74</f>
        <v>8209406116.8100004</v>
      </c>
      <c r="D126" s="231">
        <f t="shared" si="2"/>
        <v>-40090136.260000229</v>
      </c>
      <c r="E126" s="232">
        <f t="shared" si="3"/>
        <v>-4.8834392755779995E-3</v>
      </c>
    </row>
    <row r="127" spans="1:5">
      <c r="A127" t="str">
        <f>负债表!A75</f>
        <v>负债和所有者权益（或股东权益）总计</v>
      </c>
      <c r="B127">
        <f>负债表!B75</f>
        <v>16884064603.440001</v>
      </c>
      <c r="C127">
        <f>负债表!C75</f>
        <v>16924154739.700001</v>
      </c>
      <c r="D127" s="231">
        <f t="shared" si="2"/>
        <v>-40090136.260000229</v>
      </c>
      <c r="E127" s="232">
        <f t="shared" si="3"/>
        <v>-2.3688117295428881E-3</v>
      </c>
    </row>
    <row r="128" spans="1:5">
      <c r="A128" t="str">
        <f>利润表!A1</f>
        <v>项            目</v>
      </c>
      <c r="D128" s="231">
        <f t="shared" si="2"/>
        <v>0</v>
      </c>
      <c r="E128" s="232" t="str">
        <f t="shared" si="3"/>
        <v>不适用</v>
      </c>
    </row>
    <row r="129" spans="1:5">
      <c r="A129" t="str">
        <f>利润表!A2</f>
        <v>一、营业总收入</v>
      </c>
      <c r="B129">
        <f>利润表!B2</f>
        <v>1557301756.55</v>
      </c>
      <c r="C129">
        <f>利润表!C2</f>
        <v>1557301756.55</v>
      </c>
      <c r="D129" s="231">
        <f t="shared" si="2"/>
        <v>0</v>
      </c>
      <c r="E129" s="232">
        <f t="shared" si="3"/>
        <v>0</v>
      </c>
    </row>
    <row r="130" spans="1:5">
      <c r="A130" t="str">
        <f>利润表!A3</f>
        <v xml:space="preserve">    其中：营业收入</v>
      </c>
      <c r="B130">
        <f>利润表!B3</f>
        <v>1557301756.55</v>
      </c>
      <c r="C130">
        <f>利润表!C3</f>
        <v>1557301756.55</v>
      </c>
      <c r="D130" s="231">
        <f t="shared" si="2"/>
        <v>0</v>
      </c>
      <c r="E130" s="232">
        <f t="shared" si="3"/>
        <v>0</v>
      </c>
    </row>
    <row r="131" spans="1:5">
      <c r="A131" t="str">
        <f>利润表!A4</f>
        <v xml:space="preserve">        △利息收入</v>
      </c>
      <c r="B131">
        <f>利润表!B4</f>
        <v>0</v>
      </c>
      <c r="C131">
        <f>利润表!C4</f>
        <v>0</v>
      </c>
      <c r="D131" s="231">
        <f t="shared" si="2"/>
        <v>0</v>
      </c>
      <c r="E131" s="232" t="str">
        <f t="shared" si="3"/>
        <v>不适用</v>
      </c>
    </row>
    <row r="132" spans="1:5">
      <c r="A132" t="str">
        <f>利润表!A5</f>
        <v xml:space="preserve">        △已赚保费</v>
      </c>
      <c r="B132">
        <f>利润表!B5</f>
        <v>0</v>
      </c>
      <c r="C132">
        <f>利润表!C5</f>
        <v>0</v>
      </c>
      <c r="D132" s="231">
        <f t="shared" si="2"/>
        <v>0</v>
      </c>
      <c r="E132" s="232" t="str">
        <f t="shared" si="3"/>
        <v>不适用</v>
      </c>
    </row>
    <row r="133" spans="1:5">
      <c r="A133" t="str">
        <f>利润表!A6</f>
        <v xml:space="preserve">        △手续费及佣金收入</v>
      </c>
      <c r="B133">
        <f>利润表!B6</f>
        <v>0</v>
      </c>
      <c r="C133">
        <f>利润表!C6</f>
        <v>0</v>
      </c>
      <c r="D133" s="231">
        <f t="shared" si="2"/>
        <v>0</v>
      </c>
      <c r="E133" s="232" t="str">
        <f t="shared" si="3"/>
        <v>不适用</v>
      </c>
    </row>
    <row r="134" spans="1:5">
      <c r="A134" t="str">
        <f>利润表!A7</f>
        <v>二、营业总成本</v>
      </c>
      <c r="B134">
        <f>利润表!B7</f>
        <v>1642696927.04</v>
      </c>
      <c r="C134">
        <f>利润表!C7</f>
        <v>1642696927.04</v>
      </c>
      <c r="D134" s="231">
        <f t="shared" si="2"/>
        <v>0</v>
      </c>
      <c r="E134" s="232">
        <f t="shared" si="3"/>
        <v>0</v>
      </c>
    </row>
    <row r="135" spans="1:5">
      <c r="A135" t="str">
        <f>利润表!A8</f>
        <v xml:space="preserve">    其中：营业成本</v>
      </c>
      <c r="B135">
        <f>利润表!B8</f>
        <v>1355991048.6099999</v>
      </c>
      <c r="C135">
        <f>利润表!C8</f>
        <v>1355991048.6099999</v>
      </c>
      <c r="D135" s="231">
        <f t="shared" ref="D135:D198" si="4">B135-C135</f>
        <v>0</v>
      </c>
      <c r="E135" s="232">
        <f t="shared" ref="E135:E198" si="5">IFERROR(D135/C135,"不适用")</f>
        <v>0</v>
      </c>
    </row>
    <row r="136" spans="1:5">
      <c r="A136" t="str">
        <f>利润表!A9</f>
        <v xml:space="preserve">        △利息支出</v>
      </c>
      <c r="B136">
        <f>利润表!B9</f>
        <v>0</v>
      </c>
      <c r="C136">
        <f>利润表!C9</f>
        <v>0</v>
      </c>
      <c r="D136" s="231">
        <f t="shared" si="4"/>
        <v>0</v>
      </c>
      <c r="E136" s="232" t="str">
        <f t="shared" si="5"/>
        <v>不适用</v>
      </c>
    </row>
    <row r="137" spans="1:5">
      <c r="A137" t="str">
        <f>利润表!A10</f>
        <v xml:space="preserve">        △手续费及佣金支出</v>
      </c>
      <c r="B137">
        <f>利润表!B10</f>
        <v>0</v>
      </c>
      <c r="C137">
        <f>利润表!C10</f>
        <v>0</v>
      </c>
      <c r="D137" s="231">
        <f t="shared" si="4"/>
        <v>0</v>
      </c>
      <c r="E137" s="232" t="str">
        <f t="shared" si="5"/>
        <v>不适用</v>
      </c>
    </row>
    <row r="138" spans="1:5">
      <c r="A138" t="str">
        <f>利润表!A11</f>
        <v xml:space="preserve">        △退保金</v>
      </c>
      <c r="B138">
        <f>利润表!B11</f>
        <v>0</v>
      </c>
      <c r="C138">
        <f>利润表!C11</f>
        <v>0</v>
      </c>
      <c r="D138" s="231">
        <f t="shared" si="4"/>
        <v>0</v>
      </c>
      <c r="E138" s="232" t="str">
        <f t="shared" si="5"/>
        <v>不适用</v>
      </c>
    </row>
    <row r="139" spans="1:5">
      <c r="A139" t="str">
        <f>利润表!A12</f>
        <v xml:space="preserve">        △赔付支出净额</v>
      </c>
      <c r="B139">
        <f>利润表!B12</f>
        <v>0</v>
      </c>
      <c r="C139">
        <f>利润表!C12</f>
        <v>0</v>
      </c>
      <c r="D139" s="231">
        <f t="shared" si="4"/>
        <v>0</v>
      </c>
      <c r="E139" s="232" t="str">
        <f t="shared" si="5"/>
        <v>不适用</v>
      </c>
    </row>
    <row r="140" spans="1:5">
      <c r="A140" t="str">
        <f>利润表!A13</f>
        <v xml:space="preserve">        △提取保险责任准备金净额</v>
      </c>
      <c r="B140">
        <f>利润表!B13</f>
        <v>0</v>
      </c>
      <c r="C140">
        <f>利润表!C13</f>
        <v>0</v>
      </c>
      <c r="D140" s="231">
        <f t="shared" si="4"/>
        <v>0</v>
      </c>
      <c r="E140" s="232" t="str">
        <f t="shared" si="5"/>
        <v>不适用</v>
      </c>
    </row>
    <row r="141" spans="1:5">
      <c r="A141" t="str">
        <f>利润表!A14</f>
        <v xml:space="preserve">        △保单红利支出</v>
      </c>
      <c r="B141">
        <f>利润表!B14</f>
        <v>0</v>
      </c>
      <c r="C141">
        <f>利润表!C14</f>
        <v>0</v>
      </c>
      <c r="D141" s="231">
        <f t="shared" si="4"/>
        <v>0</v>
      </c>
      <c r="E141" s="232" t="str">
        <f t="shared" si="5"/>
        <v>不适用</v>
      </c>
    </row>
    <row r="142" spans="1:5">
      <c r="A142" t="str">
        <f>利润表!A15</f>
        <v xml:space="preserve">        △分保费用</v>
      </c>
      <c r="B142">
        <f>利润表!B15</f>
        <v>0</v>
      </c>
      <c r="C142">
        <f>利润表!C15</f>
        <v>0</v>
      </c>
      <c r="D142" s="231">
        <f t="shared" si="4"/>
        <v>0</v>
      </c>
      <c r="E142" s="232" t="str">
        <f t="shared" si="5"/>
        <v>不适用</v>
      </c>
    </row>
    <row r="143" spans="1:5">
      <c r="A143" t="str">
        <f>利润表!A16</f>
        <v xml:space="preserve">          税金及附加</v>
      </c>
      <c r="B143">
        <f>利润表!B16</f>
        <v>7567760.6699999999</v>
      </c>
      <c r="C143">
        <f>利润表!C16</f>
        <v>7567760.6699999999</v>
      </c>
      <c r="D143" s="231">
        <f t="shared" si="4"/>
        <v>0</v>
      </c>
      <c r="E143" s="232">
        <f t="shared" si="5"/>
        <v>0</v>
      </c>
    </row>
    <row r="144" spans="1:5">
      <c r="A144" t="str">
        <f>利润表!A17</f>
        <v xml:space="preserve">          销售费用</v>
      </c>
      <c r="B144">
        <f>利润表!B17</f>
        <v>0</v>
      </c>
      <c r="C144">
        <f>利润表!C17</f>
        <v>0</v>
      </c>
      <c r="D144" s="231">
        <f t="shared" si="4"/>
        <v>0</v>
      </c>
      <c r="E144" s="232" t="str">
        <f t="shared" si="5"/>
        <v>不适用</v>
      </c>
    </row>
    <row r="145" spans="1:5">
      <c r="A145" t="str">
        <f>利润表!A18</f>
        <v xml:space="preserve">          管理费用</v>
      </c>
      <c r="B145">
        <f>利润表!B18</f>
        <v>123240697.16</v>
      </c>
      <c r="C145">
        <f>利润表!C18</f>
        <v>123240697.16</v>
      </c>
      <c r="D145" s="231">
        <f t="shared" si="4"/>
        <v>0</v>
      </c>
      <c r="E145" s="232">
        <f t="shared" si="5"/>
        <v>0</v>
      </c>
    </row>
    <row r="146" spans="1:5">
      <c r="A146" t="str">
        <f>利润表!A19</f>
        <v xml:space="preserve">            其中：党建工作经费</v>
      </c>
      <c r="B146">
        <f>利润表!B19</f>
        <v>0</v>
      </c>
      <c r="C146">
        <f>利润表!C19</f>
        <v>0</v>
      </c>
      <c r="D146" s="231">
        <f t="shared" si="4"/>
        <v>0</v>
      </c>
      <c r="E146" s="232" t="str">
        <f t="shared" si="5"/>
        <v>不适用</v>
      </c>
    </row>
    <row r="147" spans="1:5">
      <c r="A147" t="str">
        <f>利润表!A20</f>
        <v xml:space="preserve">          研发费用</v>
      </c>
      <c r="B147">
        <f>利润表!B20</f>
        <v>0</v>
      </c>
      <c r="C147">
        <f>利润表!C20</f>
        <v>0</v>
      </c>
      <c r="D147" s="231">
        <f t="shared" si="4"/>
        <v>0</v>
      </c>
      <c r="E147" s="232" t="str">
        <f t="shared" si="5"/>
        <v>不适用</v>
      </c>
    </row>
    <row r="148" spans="1:5">
      <c r="A148" t="str">
        <f>利润表!A21</f>
        <v xml:space="preserve">          财务费用</v>
      </c>
      <c r="B148">
        <f>利润表!B21</f>
        <v>155897420.59999999</v>
      </c>
      <c r="C148">
        <f>利润表!C21</f>
        <v>155897420.59999999</v>
      </c>
      <c r="D148" s="231">
        <f t="shared" si="4"/>
        <v>0</v>
      </c>
      <c r="E148" s="232">
        <f t="shared" si="5"/>
        <v>0</v>
      </c>
    </row>
    <row r="149" spans="1:5">
      <c r="A149" t="str">
        <f>利润表!A22</f>
        <v xml:space="preserve">            其中：利息费用</v>
      </c>
      <c r="B149">
        <f>利润表!B22</f>
        <v>0</v>
      </c>
      <c r="C149">
        <f>利润表!C22</f>
        <v>0</v>
      </c>
      <c r="D149" s="231">
        <f t="shared" si="4"/>
        <v>0</v>
      </c>
      <c r="E149" s="232" t="str">
        <f t="shared" si="5"/>
        <v>不适用</v>
      </c>
    </row>
    <row r="150" spans="1:5">
      <c r="A150" t="str">
        <f>利润表!A23</f>
        <v xml:space="preserve">                  利息收入</v>
      </c>
      <c r="B150">
        <f>利润表!B23</f>
        <v>0</v>
      </c>
      <c r="C150">
        <f>利润表!C23</f>
        <v>0</v>
      </c>
      <c r="D150" s="231">
        <f t="shared" si="4"/>
        <v>0</v>
      </c>
      <c r="E150" s="232" t="str">
        <f t="shared" si="5"/>
        <v>不适用</v>
      </c>
    </row>
    <row r="151" spans="1:5">
      <c r="A151" t="str">
        <f>利润表!A24</f>
        <v xml:space="preserve">                  汇兑净损失（净收益以“-”号填列）</v>
      </c>
      <c r="B151">
        <f>利润表!B24</f>
        <v>0</v>
      </c>
      <c r="C151">
        <f>利润表!C24</f>
        <v>0</v>
      </c>
      <c r="D151" s="231">
        <f t="shared" si="4"/>
        <v>0</v>
      </c>
      <c r="E151" s="232" t="str">
        <f t="shared" si="5"/>
        <v>不适用</v>
      </c>
    </row>
    <row r="152" spans="1:5">
      <c r="A152" t="str">
        <f>利润表!A25</f>
        <v xml:space="preserve">          其他</v>
      </c>
      <c r="B152">
        <f>利润表!B25</f>
        <v>0</v>
      </c>
      <c r="C152">
        <f>利润表!C25</f>
        <v>0</v>
      </c>
      <c r="D152" s="231">
        <f t="shared" si="4"/>
        <v>0</v>
      </c>
      <c r="E152" s="232" t="str">
        <f t="shared" si="5"/>
        <v>不适用</v>
      </c>
    </row>
    <row r="153" spans="1:5">
      <c r="A153" t="str">
        <f>利润表!A26</f>
        <v xml:space="preserve">      加：其他收益</v>
      </c>
      <c r="B153">
        <f>利润表!B26</f>
        <v>74328000</v>
      </c>
      <c r="C153">
        <f>利润表!C26</f>
        <v>74328000</v>
      </c>
      <c r="D153" s="231">
        <f t="shared" si="4"/>
        <v>0</v>
      </c>
      <c r="E153" s="232">
        <f t="shared" si="5"/>
        <v>0</v>
      </c>
    </row>
    <row r="154" spans="1:5">
      <c r="A154" t="str">
        <f>利润表!A27</f>
        <v xml:space="preserve">          投资收益（损失以“-”号填列）</v>
      </c>
      <c r="B154">
        <f>利润表!B27</f>
        <v>246513625.72</v>
      </c>
      <c r="C154">
        <f>利润表!C27</f>
        <v>246513625.72</v>
      </c>
      <c r="D154" s="231">
        <f t="shared" si="4"/>
        <v>0</v>
      </c>
      <c r="E154" s="232">
        <f t="shared" si="5"/>
        <v>0</v>
      </c>
    </row>
    <row r="155" spans="1:5">
      <c r="A155" t="str">
        <f>利润表!A28</f>
        <v xml:space="preserve">            其中：对联营企业和合营企业的投资收益</v>
      </c>
      <c r="B155">
        <f>利润表!B28</f>
        <v>0</v>
      </c>
      <c r="C155">
        <f>利润表!C28</f>
        <v>0</v>
      </c>
      <c r="D155" s="231">
        <f t="shared" si="4"/>
        <v>0</v>
      </c>
      <c r="E155" s="232" t="str">
        <f t="shared" si="5"/>
        <v>不适用</v>
      </c>
    </row>
    <row r="156" spans="1:5">
      <c r="A156" t="str">
        <f>利润表!A29</f>
        <v xml:space="preserve">                ☆以摊余成本计量的金融资产终止确认收益</v>
      </c>
      <c r="B156">
        <f>利润表!B29</f>
        <v>0</v>
      </c>
      <c r="C156">
        <f>利润表!C29</f>
        <v>0</v>
      </c>
      <c r="D156" s="231">
        <f t="shared" si="4"/>
        <v>0</v>
      </c>
      <c r="E156" s="232" t="str">
        <f t="shared" si="5"/>
        <v>不适用</v>
      </c>
    </row>
    <row r="157" spans="1:5">
      <c r="A157" t="str">
        <f>利润表!A30</f>
        <v xml:space="preserve">        △汇兑收益（损失以“-”号填列）</v>
      </c>
      <c r="B157">
        <f>利润表!B30</f>
        <v>0</v>
      </c>
      <c r="C157">
        <f>利润表!C30</f>
        <v>0</v>
      </c>
      <c r="D157" s="231">
        <f t="shared" si="4"/>
        <v>0</v>
      </c>
      <c r="E157" s="232" t="str">
        <f t="shared" si="5"/>
        <v>不适用</v>
      </c>
    </row>
    <row r="158" spans="1:5">
      <c r="A158" t="str">
        <f>利润表!A31</f>
        <v xml:space="preserve">        ☆净敞口套期收益（损失以“-”号填列)</v>
      </c>
      <c r="B158">
        <f>利润表!B31</f>
        <v>0</v>
      </c>
      <c r="C158">
        <f>利润表!C31</f>
        <v>0</v>
      </c>
      <c r="D158" s="231">
        <f t="shared" si="4"/>
        <v>0</v>
      </c>
      <c r="E158" s="232" t="str">
        <f t="shared" si="5"/>
        <v>不适用</v>
      </c>
    </row>
    <row r="159" spans="1:5">
      <c r="A159" t="str">
        <f>利润表!A32</f>
        <v xml:space="preserve">          公允价值变动收益（损失以“-”号填列）</v>
      </c>
      <c r="B159">
        <f>利润表!B32</f>
        <v>0</v>
      </c>
      <c r="C159">
        <f>利润表!C32</f>
        <v>0</v>
      </c>
      <c r="D159" s="231">
        <f t="shared" si="4"/>
        <v>0</v>
      </c>
      <c r="E159" s="232" t="str">
        <f t="shared" si="5"/>
        <v>不适用</v>
      </c>
    </row>
    <row r="160" spans="1:5">
      <c r="A160" t="str">
        <f>利润表!A33</f>
        <v xml:space="preserve">        ☆信用减值损失（损失以“-”号填列）</v>
      </c>
      <c r="B160">
        <f>利润表!B33</f>
        <v>0</v>
      </c>
      <c r="C160">
        <f>利润表!C33</f>
        <v>0</v>
      </c>
      <c r="D160" s="231">
        <f t="shared" si="4"/>
        <v>0</v>
      </c>
      <c r="E160" s="232" t="str">
        <f t="shared" si="5"/>
        <v>不适用</v>
      </c>
    </row>
    <row r="161" spans="1:5">
      <c r="A161" t="str">
        <f>利润表!A34</f>
        <v xml:space="preserve">          资产减值损失（损失以“-”号填列）</v>
      </c>
      <c r="B161">
        <f>利润表!B34</f>
        <v>-20045068.129999999</v>
      </c>
      <c r="C161">
        <f>利润表!C34</f>
        <v>20045068.129999999</v>
      </c>
      <c r="D161" s="231">
        <f t="shared" si="4"/>
        <v>-40090136.259999998</v>
      </c>
      <c r="E161" s="232">
        <f t="shared" si="5"/>
        <v>-2</v>
      </c>
    </row>
    <row r="162" spans="1:5">
      <c r="A162" t="str">
        <f>利润表!A35</f>
        <v xml:space="preserve">          资产处置收益（损失以“-”号填列）</v>
      </c>
      <c r="B162">
        <f>利润表!B35</f>
        <v>3131735.07</v>
      </c>
      <c r="C162">
        <f>利润表!C35</f>
        <v>3131735.07</v>
      </c>
      <c r="D162" s="231">
        <f t="shared" si="4"/>
        <v>0</v>
      </c>
      <c r="E162" s="232">
        <f t="shared" si="5"/>
        <v>0</v>
      </c>
    </row>
    <row r="163" spans="1:5">
      <c r="A163" t="str">
        <f>利润表!A36</f>
        <v>三、营业利润（亏损以“－”号填列）</v>
      </c>
      <c r="B163">
        <f>利润表!B36</f>
        <v>218533122.16999999</v>
      </c>
      <c r="C163">
        <f>利润表!C36</f>
        <v>258623258.43000001</v>
      </c>
      <c r="D163" s="231">
        <f t="shared" si="4"/>
        <v>-40090136.26000002</v>
      </c>
      <c r="E163" s="232">
        <f t="shared" si="5"/>
        <v>-0.15501365385066856</v>
      </c>
    </row>
    <row r="164" spans="1:5">
      <c r="A164" t="str">
        <f>利润表!A37</f>
        <v xml:space="preserve">    加：营业外收入</v>
      </c>
      <c r="B164">
        <f>利润表!B37</f>
        <v>36628434.68</v>
      </c>
      <c r="C164">
        <f>利润表!C37</f>
        <v>36628434.68</v>
      </c>
      <c r="D164" s="231">
        <f t="shared" si="4"/>
        <v>0</v>
      </c>
      <c r="E164" s="232">
        <f t="shared" si="5"/>
        <v>0</v>
      </c>
    </row>
    <row r="165" spans="1:5">
      <c r="A165" t="str">
        <f>利润表!A38</f>
        <v xml:space="preserve">        其中：政府补助</v>
      </c>
      <c r="B165">
        <f ca="1">利润表!B38</f>
        <v>0</v>
      </c>
      <c r="C165">
        <f ca="1">利润表!C38</f>
        <v>0</v>
      </c>
      <c r="D165" s="231">
        <f t="shared" ca="1" si="4"/>
        <v>0</v>
      </c>
      <c r="E165" s="232" t="str">
        <f t="shared" ca="1" si="5"/>
        <v>不适用</v>
      </c>
    </row>
    <row r="166" spans="1:5">
      <c r="A166" t="str">
        <f>利润表!A39</f>
        <v xml:space="preserve">    减：营业外支出</v>
      </c>
      <c r="B166">
        <f>利润表!B39</f>
        <v>550050</v>
      </c>
      <c r="C166">
        <f>利润表!C39</f>
        <v>550050</v>
      </c>
      <c r="D166" s="231">
        <f t="shared" si="4"/>
        <v>0</v>
      </c>
      <c r="E166" s="232">
        <f t="shared" si="5"/>
        <v>0</v>
      </c>
    </row>
    <row r="167" spans="1:5">
      <c r="A167" t="str">
        <f>利润表!A40</f>
        <v>四、利润总额（亏损总额以“－”号填列）</v>
      </c>
      <c r="B167">
        <f>利润表!B40</f>
        <v>254611506.84999999</v>
      </c>
      <c r="C167">
        <f>利润表!C40</f>
        <v>294701643.11000001</v>
      </c>
      <c r="D167" s="231">
        <f t="shared" si="4"/>
        <v>-40090136.26000002</v>
      </c>
      <c r="E167" s="232">
        <f t="shared" si="5"/>
        <v>-0.13603635133122086</v>
      </c>
    </row>
    <row r="168" spans="1:5">
      <c r="A168" t="str">
        <f>利润表!A41</f>
        <v xml:space="preserve">    减：所得税费用</v>
      </c>
      <c r="B168">
        <f>利润表!B41</f>
        <v>8481128.6199999992</v>
      </c>
      <c r="C168">
        <f>利润表!C41</f>
        <v>8481128.6199999992</v>
      </c>
      <c r="D168" s="231">
        <f t="shared" si="4"/>
        <v>0</v>
      </c>
      <c r="E168" s="232">
        <f t="shared" si="5"/>
        <v>0</v>
      </c>
    </row>
    <row r="169" spans="1:5">
      <c r="A169" t="str">
        <f>利润表!A42</f>
        <v>五、净利润（净亏损以“－”号填列）</v>
      </c>
      <c r="B169">
        <f>利润表!B42</f>
        <v>246130378.22999999</v>
      </c>
      <c r="C169">
        <f>利润表!C42</f>
        <v>286220514.49000001</v>
      </c>
      <c r="D169" s="231">
        <f t="shared" si="4"/>
        <v>-40090136.26000002</v>
      </c>
      <c r="E169" s="232">
        <f t="shared" si="5"/>
        <v>-0.14006730555786451</v>
      </c>
    </row>
    <row r="170" spans="1:5">
      <c r="A170" t="str">
        <f>利润表!A43</f>
        <v xml:space="preserve">   （一）按所有权归属分类:</v>
      </c>
      <c r="B170">
        <f>利润表!B43</f>
        <v>0</v>
      </c>
      <c r="C170">
        <f>利润表!C43</f>
        <v>0</v>
      </c>
      <c r="D170" s="231">
        <f t="shared" si="4"/>
        <v>0</v>
      </c>
      <c r="E170" s="232" t="str">
        <f t="shared" si="5"/>
        <v>不适用</v>
      </c>
    </row>
    <row r="171" spans="1:5">
      <c r="A171" t="str">
        <f>利润表!A44</f>
        <v xml:space="preserve">         归属于母公司所有者的净利润</v>
      </c>
      <c r="B171">
        <f>利润表!B44</f>
        <v>246130378.22999999</v>
      </c>
      <c r="C171">
        <f>利润表!C44</f>
        <v>286220514.49000001</v>
      </c>
      <c r="D171" s="231">
        <f t="shared" si="4"/>
        <v>-40090136.26000002</v>
      </c>
      <c r="E171" s="232">
        <f t="shared" si="5"/>
        <v>-0.14006730555786451</v>
      </c>
    </row>
    <row r="172" spans="1:5">
      <c r="A172" t="str">
        <f>利润表!A45</f>
        <v xml:space="preserve">        *少数股东损益</v>
      </c>
      <c r="B172">
        <f>利润表!B45</f>
        <v>0</v>
      </c>
      <c r="C172">
        <f>利润表!C45</f>
        <v>0</v>
      </c>
      <c r="D172" s="231">
        <f t="shared" si="4"/>
        <v>0</v>
      </c>
      <c r="E172" s="232" t="str">
        <f t="shared" si="5"/>
        <v>不适用</v>
      </c>
    </row>
    <row r="173" spans="1:5">
      <c r="A173" t="str">
        <f>利润表!A46</f>
        <v xml:space="preserve">   （二）按经营持续性分类:</v>
      </c>
      <c r="B173">
        <f>利润表!B46</f>
        <v>0</v>
      </c>
      <c r="C173">
        <f>利润表!C46</f>
        <v>0</v>
      </c>
      <c r="D173" s="231">
        <f t="shared" si="4"/>
        <v>0</v>
      </c>
      <c r="E173" s="232" t="str">
        <f t="shared" si="5"/>
        <v>不适用</v>
      </c>
    </row>
    <row r="174" spans="1:5">
      <c r="A174" t="str">
        <f>利润表!A47</f>
        <v xml:space="preserve">         持续经营净利润</v>
      </c>
      <c r="B174">
        <f>利润表!B47</f>
        <v>246130378.22999999</v>
      </c>
      <c r="C174">
        <f>利润表!C47</f>
        <v>286220514.49000001</v>
      </c>
      <c r="D174" s="231">
        <f t="shared" si="4"/>
        <v>-40090136.26000002</v>
      </c>
      <c r="E174" s="232">
        <f t="shared" si="5"/>
        <v>-0.14006730555786451</v>
      </c>
    </row>
    <row r="175" spans="1:5">
      <c r="A175" t="str">
        <f>利润表!A48</f>
        <v xml:space="preserve">         终止经营净利润</v>
      </c>
      <c r="B175">
        <f>利润表!B48</f>
        <v>0</v>
      </c>
      <c r="C175">
        <f>利润表!C48</f>
        <v>0</v>
      </c>
      <c r="D175" s="231">
        <f t="shared" si="4"/>
        <v>0</v>
      </c>
      <c r="E175" s="232" t="str">
        <f t="shared" si="5"/>
        <v>不适用</v>
      </c>
    </row>
    <row r="176" spans="1:5">
      <c r="A176" t="str">
        <f>利润表!A49</f>
        <v>六、其他综合收益的税后净额</v>
      </c>
      <c r="B176">
        <f>利润表!B49</f>
        <v>0</v>
      </c>
      <c r="C176">
        <f>利润表!C49</f>
        <v>0</v>
      </c>
      <c r="D176" s="231">
        <f t="shared" si="4"/>
        <v>0</v>
      </c>
      <c r="E176" s="232" t="str">
        <f t="shared" si="5"/>
        <v>不适用</v>
      </c>
    </row>
    <row r="177" spans="1:5">
      <c r="A177" t="str">
        <f>利润表!A50</f>
        <v xml:space="preserve">    归属于母公司所有者的其他综合收益的税后净额</v>
      </c>
      <c r="B177">
        <f>利润表!B50</f>
        <v>0</v>
      </c>
      <c r="C177">
        <f>利润表!C50</f>
        <v>0</v>
      </c>
      <c r="D177" s="231">
        <f t="shared" si="4"/>
        <v>0</v>
      </c>
      <c r="E177" s="232" t="str">
        <f t="shared" si="5"/>
        <v>不适用</v>
      </c>
    </row>
    <row r="178" spans="1:5">
      <c r="A178" t="str">
        <f>利润表!A51</f>
        <v xml:space="preserve">   （一）不能重分类进损益的其他综合收益</v>
      </c>
      <c r="B178">
        <f>利润表!B51</f>
        <v>0</v>
      </c>
      <c r="C178">
        <f>利润表!C51</f>
        <v>0</v>
      </c>
      <c r="D178" s="231">
        <f t="shared" si="4"/>
        <v>0</v>
      </c>
      <c r="E178" s="232" t="str">
        <f t="shared" si="5"/>
        <v>不适用</v>
      </c>
    </row>
    <row r="179" spans="1:5">
      <c r="A179" t="str">
        <f>利润表!A52</f>
        <v xml:space="preserve">          重新计量设定受益计划变动额</v>
      </c>
      <c r="B179">
        <f>利润表!B52</f>
        <v>0</v>
      </c>
      <c r="C179">
        <f>利润表!C52</f>
        <v>0</v>
      </c>
      <c r="D179" s="231">
        <f t="shared" si="4"/>
        <v>0</v>
      </c>
      <c r="E179" s="232" t="str">
        <f t="shared" si="5"/>
        <v>不适用</v>
      </c>
    </row>
    <row r="180" spans="1:5">
      <c r="A180" t="str">
        <f>利润表!A53</f>
        <v xml:space="preserve">          权益法下不能转损益的其他综合收益</v>
      </c>
      <c r="B180">
        <f>利润表!B53</f>
        <v>0</v>
      </c>
      <c r="C180">
        <f>利润表!C53</f>
        <v>0</v>
      </c>
      <c r="D180" s="231">
        <f t="shared" si="4"/>
        <v>0</v>
      </c>
      <c r="E180" s="232" t="str">
        <f t="shared" si="5"/>
        <v>不适用</v>
      </c>
    </row>
    <row r="181" spans="1:5">
      <c r="A181" t="str">
        <f>利润表!A54</f>
        <v xml:space="preserve">        ☆其他权益工具投资公允价值变动</v>
      </c>
      <c r="B181">
        <f>利润表!B54</f>
        <v>0</v>
      </c>
      <c r="C181">
        <f>利润表!C54</f>
        <v>0</v>
      </c>
      <c r="D181" s="231">
        <f t="shared" si="4"/>
        <v>0</v>
      </c>
      <c r="E181" s="232" t="str">
        <f t="shared" si="5"/>
        <v>不适用</v>
      </c>
    </row>
    <row r="182" spans="1:5">
      <c r="A182" t="str">
        <f>利润表!A55</f>
        <v xml:space="preserve">        ☆企业自身信用风险公允价值变动</v>
      </c>
      <c r="B182">
        <f>利润表!B55</f>
        <v>0</v>
      </c>
      <c r="C182">
        <f>利润表!C55</f>
        <v>0</v>
      </c>
      <c r="D182" s="231">
        <f t="shared" si="4"/>
        <v>0</v>
      </c>
      <c r="E182" s="232" t="str">
        <f t="shared" si="5"/>
        <v>不适用</v>
      </c>
    </row>
    <row r="183" spans="1:5">
      <c r="A183" t="str">
        <f>利润表!A56</f>
        <v xml:space="preserve">          其他</v>
      </c>
      <c r="B183">
        <f>利润表!B56</f>
        <v>0</v>
      </c>
      <c r="C183">
        <f>利润表!C56</f>
        <v>0</v>
      </c>
      <c r="D183" s="231">
        <f t="shared" si="4"/>
        <v>0</v>
      </c>
      <c r="E183" s="232" t="str">
        <f t="shared" si="5"/>
        <v>不适用</v>
      </c>
    </row>
    <row r="184" spans="1:5">
      <c r="A184" t="str">
        <f>利润表!A57</f>
        <v xml:space="preserve">   （二）将重分类进损益的其他综合收益</v>
      </c>
      <c r="B184">
        <f>利润表!B57</f>
        <v>0</v>
      </c>
      <c r="C184">
        <f>利润表!C57</f>
        <v>0</v>
      </c>
      <c r="D184" s="231">
        <f t="shared" si="4"/>
        <v>0</v>
      </c>
      <c r="E184" s="232" t="str">
        <f t="shared" si="5"/>
        <v>不适用</v>
      </c>
    </row>
    <row r="185" spans="1:5">
      <c r="A185" t="str">
        <f>利润表!A58</f>
        <v xml:space="preserve">         权益法下可转损益的其他综合收益</v>
      </c>
      <c r="B185">
        <f>利润表!B58</f>
        <v>0</v>
      </c>
      <c r="C185">
        <f>利润表!C58</f>
        <v>0</v>
      </c>
      <c r="D185" s="231">
        <f t="shared" si="4"/>
        <v>0</v>
      </c>
      <c r="E185" s="232" t="str">
        <f t="shared" si="5"/>
        <v>不适用</v>
      </c>
    </row>
    <row r="186" spans="1:5">
      <c r="A186" t="str">
        <f>利润表!A59</f>
        <v xml:space="preserve">        ☆其他债权投资公允价值变动</v>
      </c>
      <c r="B186">
        <f>利润表!B59</f>
        <v>0</v>
      </c>
      <c r="C186">
        <f>利润表!C59</f>
        <v>0</v>
      </c>
      <c r="D186" s="231">
        <f t="shared" si="4"/>
        <v>0</v>
      </c>
      <c r="E186" s="232" t="str">
        <f t="shared" si="5"/>
        <v>不适用</v>
      </c>
    </row>
    <row r="187" spans="1:5">
      <c r="A187" t="str">
        <f>利润表!A60</f>
        <v xml:space="preserve">          可供出售金融资产公允价值变动损益</v>
      </c>
      <c r="B187">
        <f>利润表!B60</f>
        <v>0</v>
      </c>
      <c r="C187">
        <f>利润表!C60</f>
        <v>0</v>
      </c>
      <c r="D187" s="231">
        <f t="shared" si="4"/>
        <v>0</v>
      </c>
      <c r="E187" s="232" t="str">
        <f t="shared" si="5"/>
        <v>不适用</v>
      </c>
    </row>
    <row r="188" spans="1:5">
      <c r="A188" t="str">
        <f>利润表!A61</f>
        <v xml:space="preserve">        ☆金融资产重分类计入其他综合收益的金额</v>
      </c>
      <c r="B188">
        <f>利润表!B61</f>
        <v>0</v>
      </c>
      <c r="C188">
        <f>利润表!C61</f>
        <v>0</v>
      </c>
      <c r="D188" s="231">
        <f t="shared" si="4"/>
        <v>0</v>
      </c>
      <c r="E188" s="232" t="str">
        <f t="shared" si="5"/>
        <v>不适用</v>
      </c>
    </row>
    <row r="189" spans="1:5">
      <c r="A189" t="str">
        <f>利润表!A62</f>
        <v xml:space="preserve">          持有至到期投资重分类为可供出售金融资产损益</v>
      </c>
      <c r="B189">
        <f>利润表!B62</f>
        <v>0</v>
      </c>
      <c r="C189">
        <f>利润表!C62</f>
        <v>0</v>
      </c>
      <c r="D189" s="231">
        <f t="shared" si="4"/>
        <v>0</v>
      </c>
      <c r="E189" s="232" t="str">
        <f t="shared" si="5"/>
        <v>不适用</v>
      </c>
    </row>
    <row r="190" spans="1:5">
      <c r="A190" t="str">
        <f>利润表!A63</f>
        <v xml:space="preserve">        ☆其他债权投资信用减值准备</v>
      </c>
      <c r="B190">
        <f>利润表!B63</f>
        <v>0</v>
      </c>
      <c r="C190">
        <f>利润表!C63</f>
        <v>0</v>
      </c>
      <c r="D190" s="231">
        <f t="shared" si="4"/>
        <v>0</v>
      </c>
      <c r="E190" s="232" t="str">
        <f t="shared" si="5"/>
        <v>不适用</v>
      </c>
    </row>
    <row r="191" spans="1:5">
      <c r="A191" t="str">
        <f>利润表!A64</f>
        <v xml:space="preserve">           现金流量套期储备（现金流量套期损益的有效部分）</v>
      </c>
      <c r="B191">
        <f>利润表!B64</f>
        <v>0</v>
      </c>
      <c r="C191">
        <f>利润表!C64</f>
        <v>0</v>
      </c>
      <c r="D191" s="231">
        <f t="shared" si="4"/>
        <v>0</v>
      </c>
      <c r="E191" s="232" t="str">
        <f t="shared" si="5"/>
        <v>不适用</v>
      </c>
    </row>
    <row r="192" spans="1:5">
      <c r="A192" t="str">
        <f>利润表!A65</f>
        <v xml:space="preserve">          外币财务报表折算差额</v>
      </c>
      <c r="B192">
        <f>利润表!B65</f>
        <v>0</v>
      </c>
      <c r="C192">
        <f>利润表!C65</f>
        <v>0</v>
      </c>
      <c r="D192" s="231">
        <f t="shared" si="4"/>
        <v>0</v>
      </c>
      <c r="E192" s="232" t="str">
        <f t="shared" si="5"/>
        <v>不适用</v>
      </c>
    </row>
    <row r="193" spans="1:5">
      <c r="A193" t="str">
        <f>利润表!A66</f>
        <v xml:space="preserve">          其他</v>
      </c>
      <c r="B193">
        <f>利润表!B66</f>
        <v>0</v>
      </c>
      <c r="C193">
        <f>利润表!C66</f>
        <v>0</v>
      </c>
      <c r="D193" s="231">
        <f t="shared" si="4"/>
        <v>0</v>
      </c>
      <c r="E193" s="232" t="str">
        <f t="shared" si="5"/>
        <v>不适用</v>
      </c>
    </row>
    <row r="194" spans="1:5">
      <c r="A194" t="str">
        <f>利润表!A67</f>
        <v xml:space="preserve">   *归属于少数股东的其他综合收益的税后净额</v>
      </c>
      <c r="B194">
        <f>利润表!B67</f>
        <v>0</v>
      </c>
      <c r="C194">
        <f>利润表!C67</f>
        <v>0</v>
      </c>
      <c r="D194" s="231">
        <f t="shared" si="4"/>
        <v>0</v>
      </c>
      <c r="E194" s="232" t="str">
        <f t="shared" si="5"/>
        <v>不适用</v>
      </c>
    </row>
    <row r="195" spans="1:5">
      <c r="A195" t="str">
        <f>利润表!A68</f>
        <v>七、综合收益总额</v>
      </c>
      <c r="B195">
        <f>利润表!B68</f>
        <v>246130378.22999999</v>
      </c>
      <c r="C195">
        <f>利润表!C68</f>
        <v>286220514.49000001</v>
      </c>
      <c r="D195" s="231">
        <f t="shared" si="4"/>
        <v>-40090136.26000002</v>
      </c>
      <c r="E195" s="232">
        <f t="shared" si="5"/>
        <v>-0.14006730555786451</v>
      </c>
    </row>
    <row r="196" spans="1:5">
      <c r="A196" t="str">
        <f>利润表!A69</f>
        <v xml:space="preserve">    归属于母公司所有者的综合收益总额</v>
      </c>
      <c r="B196">
        <f>利润表!B69</f>
        <v>246130378.22999999</v>
      </c>
      <c r="C196">
        <f>利润表!C69</f>
        <v>286220514.49000001</v>
      </c>
      <c r="D196" s="231">
        <f t="shared" si="4"/>
        <v>-40090136.26000002</v>
      </c>
      <c r="E196" s="232">
        <f t="shared" si="5"/>
        <v>-0.14006730555786451</v>
      </c>
    </row>
    <row r="197" spans="1:5">
      <c r="A197" t="str">
        <f>利润表!A70</f>
        <v xml:space="preserve">   *归属于少数股东的综合收益总额</v>
      </c>
      <c r="B197">
        <f>利润表!B70</f>
        <v>0</v>
      </c>
      <c r="C197">
        <f>利润表!C70</f>
        <v>0</v>
      </c>
      <c r="D197" s="231">
        <f t="shared" si="4"/>
        <v>0</v>
      </c>
      <c r="E197" s="232" t="str">
        <f t="shared" si="5"/>
        <v>不适用</v>
      </c>
    </row>
    <row r="198" spans="1:5">
      <c r="A198" t="str">
        <f>利润表!A71</f>
        <v>八、每股收益：</v>
      </c>
      <c r="B198">
        <f>利润表!B71</f>
        <v>0</v>
      </c>
      <c r="C198">
        <f>利润表!C71</f>
        <v>0</v>
      </c>
      <c r="D198" s="231">
        <f t="shared" si="4"/>
        <v>0</v>
      </c>
      <c r="E198" s="232" t="str">
        <f t="shared" si="5"/>
        <v>不适用</v>
      </c>
    </row>
    <row r="199" spans="1:5">
      <c r="A199" t="str">
        <f>利润表!A72</f>
        <v xml:space="preserve">    基本每股收益</v>
      </c>
      <c r="B199">
        <f>利润表!B72</f>
        <v>0</v>
      </c>
      <c r="C199">
        <f>利润表!C72</f>
        <v>0</v>
      </c>
      <c r="D199" s="231">
        <f t="shared" ref="D199:D211" si="6">B199-C199</f>
        <v>0</v>
      </c>
      <c r="E199" s="232" t="str">
        <f t="shared" ref="E199:E211" si="7">IFERROR(D199/C199,"不适用")</f>
        <v>不适用</v>
      </c>
    </row>
    <row r="200" spans="1:5">
      <c r="A200" t="str">
        <f>利润表!A73</f>
        <v xml:space="preserve">    稀释每股收益</v>
      </c>
      <c r="B200">
        <f>利润表!B73</f>
        <v>0</v>
      </c>
      <c r="C200">
        <f>利润表!C73</f>
        <v>0</v>
      </c>
      <c r="D200" s="231">
        <f t="shared" si="6"/>
        <v>0</v>
      </c>
      <c r="E200" s="232" t="str">
        <f t="shared" si="7"/>
        <v>不适用</v>
      </c>
    </row>
    <row r="201" spans="1:5">
      <c r="A201" t="str">
        <f>现金流量表!A1</f>
        <v>项              目</v>
      </c>
      <c r="B201" s="230"/>
      <c r="C201" s="230"/>
      <c r="D201" s="231">
        <f t="shared" si="6"/>
        <v>0</v>
      </c>
      <c r="E201" s="232" t="str">
        <f t="shared" si="7"/>
        <v>不适用</v>
      </c>
    </row>
    <row r="202" spans="1:5">
      <c r="A202" t="str">
        <f>现金流量表!A2</f>
        <v>一、经营活动产生的现金流量：</v>
      </c>
      <c r="B202">
        <f>现金流量表!B2</f>
        <v>0</v>
      </c>
      <c r="C202">
        <f>现金流量表!C2</f>
        <v>0</v>
      </c>
      <c r="D202" s="231">
        <f t="shared" si="6"/>
        <v>0</v>
      </c>
      <c r="E202" s="232" t="str">
        <f t="shared" si="7"/>
        <v>不适用</v>
      </c>
    </row>
    <row r="203" spans="1:5">
      <c r="A203" t="str">
        <f>现金流量表!A3</f>
        <v xml:space="preserve">    销售商品、提供劳务收到的现金</v>
      </c>
      <c r="B203">
        <f>现金流量表!B3</f>
        <v>1557301756.55</v>
      </c>
      <c r="C203">
        <f>现金流量表!C3</f>
        <v>0</v>
      </c>
      <c r="D203" s="231">
        <f t="shared" si="6"/>
        <v>1557301756.55</v>
      </c>
      <c r="E203" s="232" t="str">
        <f t="shared" si="7"/>
        <v>不适用</v>
      </c>
    </row>
    <row r="204" spans="1:5">
      <c r="A204" t="str">
        <f>现金流量表!A4</f>
        <v xml:space="preserve">  △客户存款和同业存放款项净增加额</v>
      </c>
      <c r="B204">
        <f>现金流量表!B4</f>
        <v>0</v>
      </c>
      <c r="C204">
        <f>现金流量表!C4</f>
        <v>0</v>
      </c>
      <c r="D204" s="231">
        <f t="shared" si="6"/>
        <v>0</v>
      </c>
      <c r="E204" s="232" t="str">
        <f t="shared" si="7"/>
        <v>不适用</v>
      </c>
    </row>
    <row r="205" spans="1:5">
      <c r="A205" t="str">
        <f>现金流量表!A5</f>
        <v xml:space="preserve">  △向中央银行借款净增加额</v>
      </c>
      <c r="B205">
        <f>现金流量表!B5</f>
        <v>0</v>
      </c>
      <c r="C205">
        <f>现金流量表!C5</f>
        <v>0</v>
      </c>
      <c r="D205" s="231">
        <f t="shared" si="6"/>
        <v>0</v>
      </c>
      <c r="E205" s="232" t="str">
        <f t="shared" si="7"/>
        <v>不适用</v>
      </c>
    </row>
    <row r="206" spans="1:5">
      <c r="A206" t="str">
        <f>现金流量表!A6</f>
        <v xml:space="preserve">  △向其他金融机构拆入资金净增加额</v>
      </c>
      <c r="B206">
        <f>现金流量表!B6</f>
        <v>0</v>
      </c>
      <c r="C206">
        <f>现金流量表!C6</f>
        <v>0</v>
      </c>
      <c r="D206" s="231">
        <f t="shared" si="6"/>
        <v>0</v>
      </c>
      <c r="E206" s="232" t="str">
        <f t="shared" si="7"/>
        <v>不适用</v>
      </c>
    </row>
    <row r="207" spans="1:5">
      <c r="A207" t="str">
        <f>现金流量表!A7</f>
        <v xml:space="preserve">  △收到原保险合同保费取得的现金</v>
      </c>
      <c r="B207">
        <f>现金流量表!B7</f>
        <v>0</v>
      </c>
      <c r="C207">
        <f>现金流量表!C7</f>
        <v>0</v>
      </c>
      <c r="D207" s="231">
        <f t="shared" si="6"/>
        <v>0</v>
      </c>
      <c r="E207" s="232" t="str">
        <f t="shared" si="7"/>
        <v>不适用</v>
      </c>
    </row>
    <row r="208" spans="1:5">
      <c r="A208" t="str">
        <f>现金流量表!A8</f>
        <v xml:space="preserve">  △收到再保业务现金净额</v>
      </c>
      <c r="B208">
        <f>现金流量表!B8</f>
        <v>0</v>
      </c>
      <c r="C208">
        <f>现金流量表!C8</f>
        <v>0</v>
      </c>
      <c r="D208" s="231">
        <f t="shared" si="6"/>
        <v>0</v>
      </c>
      <c r="E208" s="232" t="str">
        <f t="shared" si="7"/>
        <v>不适用</v>
      </c>
    </row>
    <row r="209" spans="1:5">
      <c r="A209" t="str">
        <f>现金流量表!A9</f>
        <v xml:space="preserve">  △保户储金及投资款净增加额</v>
      </c>
      <c r="B209">
        <f>现金流量表!B9</f>
        <v>0</v>
      </c>
      <c r="C209">
        <f>现金流量表!C9</f>
        <v>0</v>
      </c>
      <c r="D209" s="231">
        <f t="shared" si="6"/>
        <v>0</v>
      </c>
      <c r="E209" s="232" t="str">
        <f t="shared" si="7"/>
        <v>不适用</v>
      </c>
    </row>
    <row r="210" spans="1:5">
      <c r="A210" t="str">
        <f>现金流量表!A10</f>
        <v xml:space="preserve">  △处置以公允价值计量且其变动计入当期损益的金融资产净增加额</v>
      </c>
      <c r="B210">
        <f>现金流量表!B10</f>
        <v>0</v>
      </c>
      <c r="C210">
        <f>现金流量表!C10</f>
        <v>0</v>
      </c>
      <c r="D210" s="231">
        <f t="shared" si="6"/>
        <v>0</v>
      </c>
      <c r="E210" s="232" t="str">
        <f t="shared" si="7"/>
        <v>不适用</v>
      </c>
    </row>
    <row r="211" spans="1:5">
      <c r="A211" t="str">
        <f>现金流量表!A11</f>
        <v xml:space="preserve">  △收取利息、手续费及佣金的现金</v>
      </c>
      <c r="B211">
        <f>现金流量表!B11</f>
        <v>0</v>
      </c>
      <c r="C211">
        <f>现金流量表!C11</f>
        <v>0</v>
      </c>
      <c r="D211" s="231">
        <f t="shared" si="6"/>
        <v>0</v>
      </c>
      <c r="E211" s="232" t="str">
        <f t="shared" si="7"/>
        <v>不适用</v>
      </c>
    </row>
    <row r="212" spans="1:5">
      <c r="A212" t="str">
        <f>现金流量表!A12</f>
        <v xml:space="preserve">  △拆入资金净增加额</v>
      </c>
      <c r="B212">
        <f>现金流量表!B12</f>
        <v>0</v>
      </c>
      <c r="C212">
        <f>现金流量表!C12</f>
        <v>0</v>
      </c>
      <c r="D212" s="231">
        <f t="shared" ref="D212:D260" si="8">B212-C212</f>
        <v>0</v>
      </c>
      <c r="E212" s="232" t="str">
        <f t="shared" ref="E212:E260" si="9">IFERROR(D212/C212,"不适用")</f>
        <v>不适用</v>
      </c>
    </row>
    <row r="213" spans="1:5">
      <c r="A213" t="str">
        <f>现金流量表!A13</f>
        <v xml:space="preserve">  △回购业务资金净增加额</v>
      </c>
      <c r="B213">
        <f>现金流量表!B13</f>
        <v>0</v>
      </c>
      <c r="C213">
        <f>现金流量表!C13</f>
        <v>0</v>
      </c>
      <c r="D213" s="231">
        <f t="shared" si="8"/>
        <v>0</v>
      </c>
      <c r="E213" s="232" t="str">
        <f t="shared" si="9"/>
        <v>不适用</v>
      </c>
    </row>
    <row r="214" spans="1:5">
      <c r="A214" t="str">
        <f>现金流量表!A14</f>
        <v xml:space="preserve">  △代理买卖证券收到的现金净额</v>
      </c>
      <c r="B214">
        <f>现金流量表!B14</f>
        <v>0</v>
      </c>
      <c r="C214">
        <f>现金流量表!C14</f>
        <v>0</v>
      </c>
      <c r="D214" s="231">
        <f t="shared" si="8"/>
        <v>0</v>
      </c>
      <c r="E214" s="232" t="str">
        <f t="shared" si="9"/>
        <v>不适用</v>
      </c>
    </row>
    <row r="215" spans="1:5">
      <c r="A215" t="str">
        <f>现金流量表!A15</f>
        <v xml:space="preserve">    收到的税费返还</v>
      </c>
      <c r="B215">
        <f>现金流量表!B15</f>
        <v>0</v>
      </c>
      <c r="C215">
        <f>现金流量表!C15</f>
        <v>0</v>
      </c>
      <c r="D215" s="231">
        <f t="shared" si="8"/>
        <v>0</v>
      </c>
      <c r="E215" s="232" t="str">
        <f t="shared" si="9"/>
        <v>不适用</v>
      </c>
    </row>
    <row r="216" spans="1:5">
      <c r="A216" t="str">
        <f>现金流量表!A16</f>
        <v xml:space="preserve">    收到其他与经营活动有关的现金</v>
      </c>
      <c r="B216">
        <f>现金流量表!B16</f>
        <v>74328000</v>
      </c>
      <c r="C216">
        <f>现金流量表!C16</f>
        <v>0</v>
      </c>
      <c r="D216" s="231">
        <f t="shared" si="8"/>
        <v>74328000</v>
      </c>
      <c r="E216" s="232" t="str">
        <f t="shared" si="9"/>
        <v>不适用</v>
      </c>
    </row>
    <row r="217" spans="1:5">
      <c r="A217" t="str">
        <f>现金流量表!A17</f>
        <v>经营活动现金流入小计</v>
      </c>
      <c r="B217">
        <f>现金流量表!B17</f>
        <v>1631629756.55</v>
      </c>
      <c r="C217">
        <f>现金流量表!C17</f>
        <v>0</v>
      </c>
      <c r="D217" s="231">
        <f t="shared" si="8"/>
        <v>1631629756.55</v>
      </c>
      <c r="E217" s="232" t="str">
        <f t="shared" si="9"/>
        <v>不适用</v>
      </c>
    </row>
    <row r="218" spans="1:5">
      <c r="A218" t="str">
        <f>现金流量表!A18</f>
        <v xml:space="preserve">    购买商品、接受劳务支付的现金</v>
      </c>
      <c r="B218">
        <f>现金流量表!B18</f>
        <v>1355991048.6099999</v>
      </c>
      <c r="C218">
        <f>现金流量表!C18</f>
        <v>0</v>
      </c>
      <c r="D218" s="231">
        <f t="shared" si="8"/>
        <v>1355991048.6099999</v>
      </c>
      <c r="E218" s="232" t="str">
        <f t="shared" si="9"/>
        <v>不适用</v>
      </c>
    </row>
    <row r="219" spans="1:5">
      <c r="A219" t="str">
        <f>现金流量表!A19</f>
        <v xml:space="preserve">  △客户贷款及垫款净增加额</v>
      </c>
      <c r="B219">
        <f>现金流量表!B19</f>
        <v>0</v>
      </c>
      <c r="C219">
        <f>现金流量表!C19</f>
        <v>0</v>
      </c>
      <c r="D219" s="231">
        <f t="shared" si="8"/>
        <v>0</v>
      </c>
      <c r="E219" s="232" t="str">
        <f t="shared" si="9"/>
        <v>不适用</v>
      </c>
    </row>
    <row r="220" spans="1:5">
      <c r="A220" t="str">
        <f>现金流量表!A20</f>
        <v xml:space="preserve">  △存放中央银行和同业款项净增加额</v>
      </c>
      <c r="B220">
        <f>现金流量表!B20</f>
        <v>0</v>
      </c>
      <c r="C220">
        <f>现金流量表!C20</f>
        <v>0</v>
      </c>
      <c r="D220" s="231">
        <f t="shared" si="8"/>
        <v>0</v>
      </c>
      <c r="E220" s="232" t="str">
        <f t="shared" si="9"/>
        <v>不适用</v>
      </c>
    </row>
    <row r="221" spans="1:5">
      <c r="A221" t="str">
        <f>现金流量表!A21</f>
        <v xml:space="preserve">  △支付原保险合同赔付款项的现金</v>
      </c>
      <c r="B221">
        <f>现金流量表!B21</f>
        <v>0</v>
      </c>
      <c r="C221">
        <f>现金流量表!C21</f>
        <v>0</v>
      </c>
      <c r="D221" s="231">
        <f t="shared" si="8"/>
        <v>0</v>
      </c>
      <c r="E221" s="232" t="str">
        <f t="shared" si="9"/>
        <v>不适用</v>
      </c>
    </row>
    <row r="222" spans="1:5">
      <c r="A222" t="str">
        <f>现金流量表!A22</f>
        <v xml:space="preserve">  △拆出资金净增加额</v>
      </c>
      <c r="B222">
        <f>现金流量表!B22</f>
        <v>0</v>
      </c>
      <c r="C222">
        <f>现金流量表!C22</f>
        <v>0</v>
      </c>
      <c r="D222" s="231">
        <f t="shared" si="8"/>
        <v>0</v>
      </c>
      <c r="E222" s="232" t="str">
        <f t="shared" si="9"/>
        <v>不适用</v>
      </c>
    </row>
    <row r="223" spans="1:5">
      <c r="A223" t="str">
        <f>现金流量表!A23</f>
        <v xml:space="preserve">  △支付利息、手续费及佣金的现金</v>
      </c>
      <c r="B223">
        <f>现金流量表!B23</f>
        <v>0</v>
      </c>
      <c r="C223">
        <f>现金流量表!C23</f>
        <v>0</v>
      </c>
      <c r="D223" s="231">
        <f t="shared" si="8"/>
        <v>0</v>
      </c>
      <c r="E223" s="232" t="str">
        <f t="shared" si="9"/>
        <v>不适用</v>
      </c>
    </row>
    <row r="224" spans="1:5">
      <c r="A224" t="str">
        <f>现金流量表!A24</f>
        <v xml:space="preserve">  △支付保单红利的现金</v>
      </c>
      <c r="B224">
        <f>现金流量表!B24</f>
        <v>0</v>
      </c>
      <c r="C224">
        <f>现金流量表!C24</f>
        <v>0</v>
      </c>
      <c r="D224" s="231">
        <f t="shared" si="8"/>
        <v>0</v>
      </c>
      <c r="E224" s="232" t="str">
        <f t="shared" si="9"/>
        <v>不适用</v>
      </c>
    </row>
    <row r="225" spans="1:5">
      <c r="A225" t="str">
        <f>现金流量表!A25</f>
        <v xml:space="preserve">    支付给职工及为职工支付的现金</v>
      </c>
      <c r="B225">
        <f>现金流量表!B25</f>
        <v>0</v>
      </c>
      <c r="C225">
        <f>现金流量表!C25</f>
        <v>0</v>
      </c>
      <c r="D225" s="231">
        <f t="shared" si="8"/>
        <v>0</v>
      </c>
      <c r="E225" s="232" t="str">
        <f t="shared" si="9"/>
        <v>不适用</v>
      </c>
    </row>
    <row r="226" spans="1:5">
      <c r="A226" t="str">
        <f>现金流量表!A26</f>
        <v xml:space="preserve">    支付的各项税费</v>
      </c>
      <c r="B226">
        <f>现金流量表!B26</f>
        <v>0</v>
      </c>
      <c r="C226">
        <f>现金流量表!C26</f>
        <v>0</v>
      </c>
      <c r="D226" s="231">
        <f t="shared" si="8"/>
        <v>0</v>
      </c>
      <c r="E226" s="232" t="str">
        <f t="shared" si="9"/>
        <v>不适用</v>
      </c>
    </row>
    <row r="227" spans="1:5">
      <c r="A227" t="str">
        <f>现金流量表!A27</f>
        <v xml:space="preserve">    支付其他与经营活动有关的现金</v>
      </c>
      <c r="B227" t="e">
        <f>现金流量表!B27</f>
        <v>#N/A</v>
      </c>
      <c r="C227">
        <f>现金流量表!C27</f>
        <v>0</v>
      </c>
      <c r="D227" s="231" t="e">
        <f t="shared" si="8"/>
        <v>#N/A</v>
      </c>
      <c r="E227" s="232" t="str">
        <f t="shared" si="9"/>
        <v>不适用</v>
      </c>
    </row>
    <row r="228" spans="1:5">
      <c r="A228" t="str">
        <f>现金流量表!A28</f>
        <v>经营活动现金流出小计</v>
      </c>
      <c r="B228" t="e">
        <f>现金流量表!B28</f>
        <v>#N/A</v>
      </c>
      <c r="C228">
        <f>现金流量表!C28</f>
        <v>0</v>
      </c>
      <c r="D228" s="231" t="e">
        <f t="shared" si="8"/>
        <v>#N/A</v>
      </c>
      <c r="E228" s="232" t="str">
        <f t="shared" si="9"/>
        <v>不适用</v>
      </c>
    </row>
    <row r="229" spans="1:5">
      <c r="A229" t="str">
        <f>现金流量表!A29</f>
        <v>经营活动产生的现金流量净额</v>
      </c>
      <c r="B229" t="e">
        <f>现金流量表!B29</f>
        <v>#N/A</v>
      </c>
      <c r="C229">
        <f>现金流量表!C29</f>
        <v>0</v>
      </c>
      <c r="D229" s="231" t="e">
        <f t="shared" si="8"/>
        <v>#N/A</v>
      </c>
      <c r="E229" s="232" t="str">
        <f t="shared" si="9"/>
        <v>不适用</v>
      </c>
    </row>
    <row r="230" spans="1:5">
      <c r="A230" t="str">
        <f>现金流量表!A30</f>
        <v>二、投资活动产生的现金流量：</v>
      </c>
      <c r="B230">
        <f>现金流量表!B30</f>
        <v>0</v>
      </c>
      <c r="C230">
        <f>现金流量表!C30</f>
        <v>0</v>
      </c>
      <c r="D230" s="231">
        <f t="shared" si="8"/>
        <v>0</v>
      </c>
      <c r="E230" s="232" t="str">
        <f t="shared" si="9"/>
        <v>不适用</v>
      </c>
    </row>
    <row r="231" spans="1:5">
      <c r="A231" t="str">
        <f>现金流量表!A31</f>
        <v xml:space="preserve">    收回投资收到的现金</v>
      </c>
      <c r="B231">
        <f>现金流量表!B31</f>
        <v>0</v>
      </c>
      <c r="C231">
        <f>现金流量表!C31</f>
        <v>0</v>
      </c>
      <c r="D231" s="231">
        <f t="shared" si="8"/>
        <v>0</v>
      </c>
      <c r="E231" s="232" t="str">
        <f t="shared" si="9"/>
        <v>不适用</v>
      </c>
    </row>
    <row r="232" spans="1:5">
      <c r="A232" t="str">
        <f>现金流量表!A32</f>
        <v xml:space="preserve">    取得投资收益收到的现金</v>
      </c>
      <c r="B232">
        <f>现金流量表!B32</f>
        <v>0</v>
      </c>
      <c r="C232">
        <f>现金流量表!C32</f>
        <v>0</v>
      </c>
      <c r="D232" s="231">
        <f t="shared" si="8"/>
        <v>0</v>
      </c>
      <c r="E232" s="232" t="str">
        <f t="shared" si="9"/>
        <v>不适用</v>
      </c>
    </row>
    <row r="233" spans="1:5">
      <c r="A233" t="str">
        <f>现金流量表!A33</f>
        <v xml:space="preserve">    处置固定资产、无形资产和其他长期资产收回的现金净额</v>
      </c>
      <c r="B233">
        <f>现金流量表!B33</f>
        <v>3131735.07</v>
      </c>
      <c r="C233">
        <f>现金流量表!C33</f>
        <v>0</v>
      </c>
      <c r="D233" s="231">
        <f t="shared" si="8"/>
        <v>3131735.07</v>
      </c>
      <c r="E233" s="232" t="str">
        <f t="shared" si="9"/>
        <v>不适用</v>
      </c>
    </row>
    <row r="234" spans="1:5">
      <c r="A234" t="str">
        <f>现金流量表!A34</f>
        <v xml:space="preserve">    处置子公司及其他营业单位收到的现金净额</v>
      </c>
      <c r="B234">
        <f>现金流量表!B34</f>
        <v>0</v>
      </c>
      <c r="C234">
        <f>现金流量表!C34</f>
        <v>0</v>
      </c>
      <c r="D234" s="231">
        <f t="shared" si="8"/>
        <v>0</v>
      </c>
      <c r="E234" s="232" t="str">
        <f t="shared" si="9"/>
        <v>不适用</v>
      </c>
    </row>
    <row r="235" spans="1:5">
      <c r="A235" t="str">
        <f>现金流量表!A35</f>
        <v xml:space="preserve">    收到其他与投资活动有关的现金</v>
      </c>
      <c r="B235">
        <f>现金流量表!B35</f>
        <v>0</v>
      </c>
      <c r="C235">
        <f>现金流量表!C35</f>
        <v>0</v>
      </c>
      <c r="D235" s="231">
        <f t="shared" si="8"/>
        <v>0</v>
      </c>
      <c r="E235" s="232" t="str">
        <f t="shared" si="9"/>
        <v>不适用</v>
      </c>
    </row>
    <row r="236" spans="1:5">
      <c r="A236" t="str">
        <f>现金流量表!A36</f>
        <v>投资活动现金流入小计</v>
      </c>
      <c r="B236">
        <f>现金流量表!B36</f>
        <v>3131735.07</v>
      </c>
      <c r="C236">
        <f>现金流量表!C36</f>
        <v>0</v>
      </c>
      <c r="D236" s="231">
        <f t="shared" si="8"/>
        <v>3131735.07</v>
      </c>
      <c r="E236" s="232" t="str">
        <f t="shared" si="9"/>
        <v>不适用</v>
      </c>
    </row>
    <row r="237" spans="1:5">
      <c r="A237" t="str">
        <f>现金流量表!A37</f>
        <v xml:space="preserve">    购建固定资产、无形资产和其他长期资产支付的现金</v>
      </c>
      <c r="B237" t="e">
        <f>现金流量表!B37</f>
        <v>#N/A</v>
      </c>
      <c r="C237">
        <f>现金流量表!C37</f>
        <v>0</v>
      </c>
      <c r="D237" s="231" t="e">
        <f t="shared" si="8"/>
        <v>#N/A</v>
      </c>
      <c r="E237" s="232" t="str">
        <f t="shared" si="9"/>
        <v>不适用</v>
      </c>
    </row>
    <row r="238" spans="1:5">
      <c r="A238" t="str">
        <f>现金流量表!A38</f>
        <v xml:space="preserve">    投资支付的现金</v>
      </c>
      <c r="B238">
        <f>现金流量表!B38</f>
        <v>0</v>
      </c>
      <c r="C238">
        <f>现金流量表!C38</f>
        <v>0</v>
      </c>
      <c r="D238" s="231">
        <f t="shared" si="8"/>
        <v>0</v>
      </c>
      <c r="E238" s="232" t="str">
        <f t="shared" si="9"/>
        <v>不适用</v>
      </c>
    </row>
    <row r="239" spans="1:5">
      <c r="A239" t="str">
        <f>现金流量表!A39</f>
        <v xml:space="preserve">  △质押贷款净增加额</v>
      </c>
      <c r="B239">
        <f>现金流量表!B39</f>
        <v>0</v>
      </c>
      <c r="C239">
        <f>现金流量表!C39</f>
        <v>0</v>
      </c>
      <c r="D239" s="231">
        <f t="shared" si="8"/>
        <v>0</v>
      </c>
      <c r="E239" s="232" t="str">
        <f t="shared" si="9"/>
        <v>不适用</v>
      </c>
    </row>
    <row r="240" spans="1:5">
      <c r="A240" t="str">
        <f>现金流量表!A40</f>
        <v xml:space="preserve">    取得子公司及其他营业单位支付的现金净额</v>
      </c>
      <c r="B240">
        <f>现金流量表!B40</f>
        <v>0</v>
      </c>
      <c r="C240">
        <f>现金流量表!C40</f>
        <v>0</v>
      </c>
      <c r="D240" s="231">
        <f t="shared" si="8"/>
        <v>0</v>
      </c>
      <c r="E240" s="232" t="str">
        <f t="shared" si="9"/>
        <v>不适用</v>
      </c>
    </row>
    <row r="241" spans="1:5">
      <c r="A241" t="str">
        <f>现金流量表!A41</f>
        <v xml:space="preserve">    支付其他与投资活动有关的现金</v>
      </c>
      <c r="B241">
        <f>现金流量表!B41</f>
        <v>0</v>
      </c>
      <c r="C241">
        <f>现金流量表!C41</f>
        <v>0</v>
      </c>
      <c r="D241" s="231">
        <f t="shared" si="8"/>
        <v>0</v>
      </c>
      <c r="E241" s="232" t="str">
        <f t="shared" si="9"/>
        <v>不适用</v>
      </c>
    </row>
    <row r="242" spans="1:5">
      <c r="A242" t="str">
        <f>现金流量表!A42</f>
        <v>投资活动现金流出小计</v>
      </c>
      <c r="B242" t="e">
        <f>现金流量表!B42</f>
        <v>#N/A</v>
      </c>
      <c r="C242">
        <f>现金流量表!C42</f>
        <v>0</v>
      </c>
      <c r="D242" s="231" t="e">
        <f t="shared" si="8"/>
        <v>#N/A</v>
      </c>
      <c r="E242" s="232" t="str">
        <f t="shared" si="9"/>
        <v>不适用</v>
      </c>
    </row>
    <row r="243" spans="1:5">
      <c r="A243" t="str">
        <f>现金流量表!A43</f>
        <v>投资活动产生的现金流量净额</v>
      </c>
      <c r="B243" t="e">
        <f>现金流量表!B43</f>
        <v>#N/A</v>
      </c>
      <c r="C243">
        <f>现金流量表!C43</f>
        <v>0</v>
      </c>
      <c r="D243" s="231" t="e">
        <f t="shared" si="8"/>
        <v>#N/A</v>
      </c>
      <c r="E243" s="232" t="str">
        <f t="shared" si="9"/>
        <v>不适用</v>
      </c>
    </row>
    <row r="244" spans="1:5">
      <c r="A244" t="str">
        <f>现金流量表!A44</f>
        <v>三、筹资活动产生的现金流量：</v>
      </c>
      <c r="B244">
        <f>现金流量表!B44</f>
        <v>0</v>
      </c>
      <c r="C244">
        <f>现金流量表!C44</f>
        <v>0</v>
      </c>
      <c r="D244" s="231">
        <f t="shared" si="8"/>
        <v>0</v>
      </c>
      <c r="E244" s="232" t="str">
        <f t="shared" si="9"/>
        <v>不适用</v>
      </c>
    </row>
    <row r="245" spans="1:5">
      <c r="A245" t="str">
        <f>现金流量表!A45</f>
        <v xml:space="preserve">    吸收投资收到的现金</v>
      </c>
      <c r="B245">
        <f>现金流量表!B45</f>
        <v>0</v>
      </c>
      <c r="C245">
        <f>现金流量表!C45</f>
        <v>0</v>
      </c>
      <c r="D245" s="231">
        <f t="shared" si="8"/>
        <v>0</v>
      </c>
      <c r="E245" s="232" t="str">
        <f t="shared" si="9"/>
        <v>不适用</v>
      </c>
    </row>
    <row r="246" spans="1:5">
      <c r="A246" t="str">
        <f>现金流量表!A46</f>
        <v xml:space="preserve">        其中：子公司吸收少数股东投资收到的现金</v>
      </c>
      <c r="B246">
        <f>现金流量表!B46</f>
        <v>0</v>
      </c>
      <c r="C246">
        <f>现金流量表!C46</f>
        <v>0</v>
      </c>
      <c r="D246" s="231">
        <f t="shared" si="8"/>
        <v>0</v>
      </c>
      <c r="E246" s="232" t="str">
        <f t="shared" si="9"/>
        <v>不适用</v>
      </c>
    </row>
    <row r="247" spans="1:5">
      <c r="A247" t="str">
        <f>现金流量表!A47</f>
        <v xml:space="preserve">    取得借款收到的现金</v>
      </c>
      <c r="B247">
        <f>现金流量表!B47</f>
        <v>0</v>
      </c>
      <c r="C247">
        <f>现金流量表!C47</f>
        <v>0</v>
      </c>
      <c r="D247" s="231">
        <f t="shared" si="8"/>
        <v>0</v>
      </c>
      <c r="E247" s="232" t="str">
        <f t="shared" si="9"/>
        <v>不适用</v>
      </c>
    </row>
    <row r="248" spans="1:5">
      <c r="A248" t="str">
        <f>现金流量表!A48</f>
        <v xml:space="preserve">  △发行债券收到的现金</v>
      </c>
      <c r="B248">
        <f>现金流量表!B48</f>
        <v>0</v>
      </c>
      <c r="C248">
        <f>现金流量表!C48</f>
        <v>0</v>
      </c>
      <c r="D248" s="231">
        <f t="shared" si="8"/>
        <v>0</v>
      </c>
      <c r="E248" s="232" t="str">
        <f t="shared" si="9"/>
        <v>不适用</v>
      </c>
    </row>
    <row r="249" spans="1:5">
      <c r="A249" t="str">
        <f>现金流量表!A49</f>
        <v xml:space="preserve">    收到其他与筹资活动有关的现金</v>
      </c>
      <c r="B249">
        <f>现金流量表!B49</f>
        <v>0</v>
      </c>
      <c r="C249">
        <f>现金流量表!C49</f>
        <v>0</v>
      </c>
      <c r="D249" s="231">
        <f t="shared" si="8"/>
        <v>0</v>
      </c>
      <c r="E249" s="232" t="str">
        <f t="shared" si="9"/>
        <v>不适用</v>
      </c>
    </row>
    <row r="250" spans="1:5">
      <c r="A250" t="str">
        <f>现金流量表!A50</f>
        <v>筹资活动现金流入小计</v>
      </c>
      <c r="B250">
        <f>现金流量表!B50</f>
        <v>0</v>
      </c>
      <c r="C250">
        <f>现金流量表!C50</f>
        <v>0</v>
      </c>
      <c r="D250" s="231">
        <f t="shared" si="8"/>
        <v>0</v>
      </c>
      <c r="E250" s="232" t="str">
        <f t="shared" si="9"/>
        <v>不适用</v>
      </c>
    </row>
    <row r="251" spans="1:5">
      <c r="A251" t="str">
        <f>现金流量表!A51</f>
        <v xml:space="preserve">    偿还债务支付的现金</v>
      </c>
      <c r="B251">
        <f>现金流量表!B51</f>
        <v>0</v>
      </c>
      <c r="C251">
        <f>现金流量表!C51</f>
        <v>0</v>
      </c>
      <c r="D251" s="231">
        <f t="shared" si="8"/>
        <v>0</v>
      </c>
      <c r="E251" s="232" t="str">
        <f t="shared" si="9"/>
        <v>不适用</v>
      </c>
    </row>
    <row r="252" spans="1:5">
      <c r="A252" t="str">
        <f>现金流量表!A52</f>
        <v xml:space="preserve">    分配股利、利润或偿付利息支付的现金</v>
      </c>
      <c r="B252">
        <f>现金流量表!B52</f>
        <v>0</v>
      </c>
      <c r="C252">
        <f>现金流量表!C52</f>
        <v>0</v>
      </c>
      <c r="D252" s="231">
        <f t="shared" si="8"/>
        <v>0</v>
      </c>
      <c r="E252" s="232" t="str">
        <f t="shared" si="9"/>
        <v>不适用</v>
      </c>
    </row>
    <row r="253" spans="1:5">
      <c r="A253" t="str">
        <f>现金流量表!A53</f>
        <v xml:space="preserve">        其中：子公司支付给少数股东的股利、利润</v>
      </c>
      <c r="B253">
        <f>现金流量表!B53</f>
        <v>0</v>
      </c>
      <c r="C253">
        <f>现金流量表!C53</f>
        <v>0</v>
      </c>
      <c r="D253" s="231">
        <f t="shared" si="8"/>
        <v>0</v>
      </c>
      <c r="E253" s="232" t="str">
        <f t="shared" si="9"/>
        <v>不适用</v>
      </c>
    </row>
    <row r="254" spans="1:5">
      <c r="A254" t="str">
        <f>现金流量表!A54</f>
        <v xml:space="preserve">    支付其他与筹资活动有关的现金</v>
      </c>
      <c r="B254">
        <f>现金流量表!B54</f>
        <v>0</v>
      </c>
      <c r="C254">
        <f>现金流量表!C54</f>
        <v>0</v>
      </c>
      <c r="D254" s="231">
        <f t="shared" si="8"/>
        <v>0</v>
      </c>
      <c r="E254" s="232" t="str">
        <f t="shared" si="9"/>
        <v>不适用</v>
      </c>
    </row>
    <row r="255" spans="1:5">
      <c r="A255" t="str">
        <f>现金流量表!A55</f>
        <v>筹资活动现金流出小计</v>
      </c>
      <c r="B255">
        <f>现金流量表!B55</f>
        <v>0</v>
      </c>
      <c r="C255">
        <f>现金流量表!C55</f>
        <v>0</v>
      </c>
      <c r="D255" s="231">
        <f t="shared" si="8"/>
        <v>0</v>
      </c>
      <c r="E255" s="232" t="str">
        <f t="shared" si="9"/>
        <v>不适用</v>
      </c>
    </row>
    <row r="256" spans="1:5">
      <c r="A256" t="str">
        <f>现金流量表!A56</f>
        <v>筹资活动产生的现金流量净额</v>
      </c>
      <c r="B256">
        <f>现金流量表!B56</f>
        <v>0</v>
      </c>
      <c r="C256">
        <f>现金流量表!C56</f>
        <v>0</v>
      </c>
      <c r="D256" s="231">
        <f t="shared" si="8"/>
        <v>0</v>
      </c>
      <c r="E256" s="232" t="str">
        <f t="shared" si="9"/>
        <v>不适用</v>
      </c>
    </row>
    <row r="257" spans="1:5">
      <c r="A257" t="str">
        <f>现金流量表!A57</f>
        <v>四、汇率变动对现金及现金等价物的影响</v>
      </c>
      <c r="B257">
        <f>现金流量表!B57</f>
        <v>0</v>
      </c>
      <c r="C257">
        <f>现金流量表!C57</f>
        <v>0</v>
      </c>
      <c r="D257" s="231">
        <f t="shared" si="8"/>
        <v>0</v>
      </c>
      <c r="E257" s="232" t="str">
        <f t="shared" si="9"/>
        <v>不适用</v>
      </c>
    </row>
    <row r="258" spans="1:5">
      <c r="A258" t="str">
        <f>现金流量表!A58</f>
        <v>五、现金及现金等价物净增加额</v>
      </c>
      <c r="B258" t="e">
        <f>现金流量表!B58</f>
        <v>#N/A</v>
      </c>
      <c r="C258">
        <f>现金流量表!C58</f>
        <v>0</v>
      </c>
      <c r="D258" s="231" t="e">
        <f t="shared" si="8"/>
        <v>#N/A</v>
      </c>
      <c r="E258" s="232" t="str">
        <f t="shared" si="9"/>
        <v>不适用</v>
      </c>
    </row>
    <row r="259" spans="1:5">
      <c r="A259" t="str">
        <f>现金流量表!A59</f>
        <v xml:space="preserve">    加：期初现金及现金等价物余额</v>
      </c>
      <c r="B259">
        <f>现金流量表!B59</f>
        <v>0</v>
      </c>
      <c r="C259">
        <f>现金流量表!C59</f>
        <v>0</v>
      </c>
      <c r="D259" s="231">
        <f t="shared" si="8"/>
        <v>0</v>
      </c>
      <c r="E259" s="232" t="str">
        <f t="shared" si="9"/>
        <v>不适用</v>
      </c>
    </row>
    <row r="260" spans="1:5">
      <c r="A260" t="str">
        <f>现金流量表!A60</f>
        <v>六、期末现金及现金等价物余额</v>
      </c>
      <c r="B260" t="e">
        <f>现金流量表!B60</f>
        <v>#N/A</v>
      </c>
      <c r="C260">
        <f>现金流量表!C60</f>
        <v>0</v>
      </c>
      <c r="D260" s="231" t="e">
        <f t="shared" si="8"/>
        <v>#N/A</v>
      </c>
      <c r="E260" s="232"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sheetPr codeName="Sheet100"/>
  <dimension ref="A1:Q353"/>
  <sheetViews>
    <sheetView workbookViewId="0">
      <selection activeCell="A6" sqref="A6"/>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71" t="s">
        <v>2015</v>
      </c>
      <c r="B1" s="271" t="s">
        <v>2385</v>
      </c>
      <c r="C1" s="271" t="s">
        <v>368</v>
      </c>
      <c r="D1" s="272" t="s">
        <v>2190</v>
      </c>
      <c r="E1" s="272" t="s">
        <v>2386</v>
      </c>
      <c r="F1" s="272" t="s">
        <v>2387</v>
      </c>
      <c r="G1" s="272" t="s">
        <v>1722</v>
      </c>
      <c r="H1" s="273" t="s">
        <v>394</v>
      </c>
      <c r="I1" s="272" t="s">
        <v>395</v>
      </c>
      <c r="J1" s="272" t="s">
        <v>4263</v>
      </c>
      <c r="K1" s="272" t="s">
        <v>419</v>
      </c>
      <c r="L1" s="272" t="s">
        <v>379</v>
      </c>
      <c r="M1" s="272" t="s">
        <v>220</v>
      </c>
      <c r="N1" s="272" t="s">
        <v>2389</v>
      </c>
      <c r="O1" s="272" t="s">
        <v>2390</v>
      </c>
      <c r="P1" s="272" t="s">
        <v>2397</v>
      </c>
      <c r="Q1" s="273" t="s">
        <v>215</v>
      </c>
    </row>
    <row r="2" spans="1:17">
      <c r="A2" t="str">
        <f>IF(ABS(H2)&gt;0,基础信息!$B$1,"")</f>
        <v/>
      </c>
      <c r="B2" s="256"/>
      <c r="C2" s="256"/>
      <c r="D2" s="277"/>
      <c r="E2" s="256"/>
      <c r="F2" s="288"/>
      <c r="G2" s="277"/>
      <c r="H2" s="230"/>
      <c r="I2" s="256"/>
      <c r="J2" s="256"/>
      <c r="K2" s="256"/>
      <c r="L2" s="548">
        <f>SUM(H2:K2)</f>
        <v>0</v>
      </c>
      <c r="M2" s="256"/>
      <c r="N2" s="256"/>
      <c r="O2" s="256"/>
      <c r="P2" s="256"/>
      <c r="Q2" s="230">
        <f>M2+N2-O2-P2</f>
        <v>0</v>
      </c>
    </row>
    <row r="3" spans="1:17">
      <c r="A3" t="str">
        <f>IF(ABS(H3)&gt;0,基础信息!$B$1,"")</f>
        <v/>
      </c>
      <c r="B3" s="256"/>
      <c r="C3" s="256"/>
      <c r="D3" s="277"/>
      <c r="E3" s="256"/>
      <c r="F3" s="288"/>
      <c r="G3" s="277"/>
      <c r="H3" s="230"/>
      <c r="I3" s="256"/>
      <c r="J3" s="256"/>
      <c r="K3" s="256"/>
      <c r="L3" s="548">
        <f t="shared" ref="L3:L21" si="0">SUM(H3:K3)</f>
        <v>0</v>
      </c>
      <c r="M3" s="256"/>
      <c r="N3" s="256"/>
      <c r="O3" s="256"/>
      <c r="P3" s="256"/>
      <c r="Q3" s="230">
        <f t="shared" ref="Q3:Q66" si="1">M3+N3-O3-P3</f>
        <v>0</v>
      </c>
    </row>
    <row r="4" spans="1:17">
      <c r="A4" t="str">
        <f>IF(ABS(H4)&gt;0,基础信息!$B$1,"")</f>
        <v/>
      </c>
      <c r="B4" s="256"/>
      <c r="C4" s="256"/>
      <c r="D4" s="277"/>
      <c r="E4" s="256"/>
      <c r="F4" s="288"/>
      <c r="G4" s="277"/>
      <c r="H4" s="230"/>
      <c r="I4" s="256"/>
      <c r="J4" s="256"/>
      <c r="K4" s="256"/>
      <c r="L4" s="548">
        <f t="shared" si="0"/>
        <v>0</v>
      </c>
      <c r="M4" s="256"/>
      <c r="N4" s="256"/>
      <c r="O4" s="256"/>
      <c r="P4" s="256"/>
      <c r="Q4" s="230">
        <f t="shared" si="1"/>
        <v>0</v>
      </c>
    </row>
    <row r="5" spans="1:17">
      <c r="A5" t="str">
        <f>IF(ABS(H5)&gt;0,基础信息!$B$1,"")</f>
        <v/>
      </c>
      <c r="B5" s="256"/>
      <c r="C5" s="256"/>
      <c r="D5" s="277"/>
      <c r="E5" s="256"/>
      <c r="F5" s="288"/>
      <c r="G5" s="277"/>
      <c r="H5" s="230"/>
      <c r="I5" s="256"/>
      <c r="J5" s="256"/>
      <c r="K5" s="256"/>
      <c r="L5" s="548">
        <f t="shared" si="0"/>
        <v>0</v>
      </c>
      <c r="M5" s="256"/>
      <c r="N5" s="256"/>
      <c r="O5" s="256"/>
      <c r="P5" s="256"/>
      <c r="Q5" s="230">
        <f t="shared" si="1"/>
        <v>0</v>
      </c>
    </row>
    <row r="6" spans="1:17">
      <c r="A6" t="str">
        <f>IF(ABS(H6)&gt;0,基础信息!$B$1,"")</f>
        <v/>
      </c>
      <c r="B6" s="256"/>
      <c r="C6" s="256"/>
      <c r="D6" s="277"/>
      <c r="E6" s="256"/>
      <c r="F6" s="288"/>
      <c r="G6" s="277"/>
      <c r="H6" s="230"/>
      <c r="I6" s="256"/>
      <c r="J6" s="256"/>
      <c r="K6" s="256"/>
      <c r="L6" s="548">
        <f t="shared" si="0"/>
        <v>0</v>
      </c>
      <c r="M6" s="256"/>
      <c r="N6" s="256"/>
      <c r="O6" s="256"/>
      <c r="P6" s="256"/>
      <c r="Q6" s="230">
        <f t="shared" si="1"/>
        <v>0</v>
      </c>
    </row>
    <row r="7" spans="1:17">
      <c r="A7" t="str">
        <f>IF(ABS(H7)&gt;0,基础信息!$B$1,"")</f>
        <v/>
      </c>
      <c r="B7" s="256"/>
      <c r="C7" s="256"/>
      <c r="D7" s="277"/>
      <c r="E7" s="256"/>
      <c r="F7" s="288"/>
      <c r="G7" s="277"/>
      <c r="H7" s="230"/>
      <c r="I7" s="256"/>
      <c r="J7" s="256"/>
      <c r="K7" s="256"/>
      <c r="L7" s="548">
        <f t="shared" si="0"/>
        <v>0</v>
      </c>
      <c r="M7" s="256"/>
      <c r="N7" s="256"/>
      <c r="O7" s="256"/>
      <c r="P7" s="256"/>
      <c r="Q7" s="230">
        <f t="shared" si="1"/>
        <v>0</v>
      </c>
    </row>
    <row r="8" spans="1:17">
      <c r="A8" t="str">
        <f>IF(ABS(H8)&gt;0,基础信息!$B$1,"")</f>
        <v/>
      </c>
      <c r="B8" s="256"/>
      <c r="C8" s="256"/>
      <c r="D8" s="277"/>
      <c r="E8" s="256"/>
      <c r="F8" s="288"/>
      <c r="G8" s="277"/>
      <c r="H8" s="230"/>
      <c r="I8" s="256"/>
      <c r="J8" s="256"/>
      <c r="K8" s="256"/>
      <c r="L8" s="548">
        <f t="shared" si="0"/>
        <v>0</v>
      </c>
      <c r="M8" s="256"/>
      <c r="N8" s="256"/>
      <c r="O8" s="256"/>
      <c r="P8" s="256"/>
      <c r="Q8" s="230">
        <f t="shared" si="1"/>
        <v>0</v>
      </c>
    </row>
    <row r="9" spans="1:17">
      <c r="A9" t="str">
        <f>IF(ABS(H9)&gt;0,基础信息!$B$1,"")</f>
        <v/>
      </c>
      <c r="B9" s="256"/>
      <c r="C9" s="256"/>
      <c r="D9" s="277"/>
      <c r="E9" s="256"/>
      <c r="F9" s="288"/>
      <c r="G9" s="277"/>
      <c r="H9" s="230"/>
      <c r="I9" s="256"/>
      <c r="J9" s="256"/>
      <c r="K9" s="256"/>
      <c r="L9" s="548">
        <f t="shared" si="0"/>
        <v>0</v>
      </c>
      <c r="M9" s="256"/>
      <c r="N9" s="256"/>
      <c r="O9" s="256"/>
      <c r="P9" s="256"/>
      <c r="Q9" s="230">
        <f t="shared" si="1"/>
        <v>0</v>
      </c>
    </row>
    <row r="10" spans="1:17">
      <c r="A10" t="str">
        <f>IF(ABS(H10)&gt;0,基础信息!$B$1,"")</f>
        <v/>
      </c>
      <c r="B10" s="256"/>
      <c r="C10" s="256"/>
      <c r="D10" s="277"/>
      <c r="E10" s="256"/>
      <c r="F10" s="288"/>
      <c r="G10" s="277"/>
      <c r="H10" s="230"/>
      <c r="I10" s="256"/>
      <c r="J10" s="256"/>
      <c r="K10" s="256"/>
      <c r="L10" s="548">
        <f t="shared" si="0"/>
        <v>0</v>
      </c>
      <c r="M10" s="256"/>
      <c r="N10" s="256"/>
      <c r="O10" s="256"/>
      <c r="P10" s="256"/>
      <c r="Q10" s="230">
        <f t="shared" si="1"/>
        <v>0</v>
      </c>
    </row>
    <row r="11" spans="1:17">
      <c r="A11" t="str">
        <f>IF(ABS(H11)&gt;0,基础信息!$B$1,"")</f>
        <v/>
      </c>
      <c r="B11" s="256"/>
      <c r="C11" s="256"/>
      <c r="D11" s="277"/>
      <c r="E11" s="256"/>
      <c r="F11" s="288"/>
      <c r="G11" s="277"/>
      <c r="H11" s="230"/>
      <c r="I11" s="256"/>
      <c r="J11" s="256"/>
      <c r="K11" s="256"/>
      <c r="L11" s="548">
        <f t="shared" si="0"/>
        <v>0</v>
      </c>
      <c r="M11" s="256"/>
      <c r="N11" s="256"/>
      <c r="O11" s="256"/>
      <c r="P11" s="256"/>
      <c r="Q11" s="230">
        <f t="shared" si="1"/>
        <v>0</v>
      </c>
    </row>
    <row r="12" spans="1:17">
      <c r="A12" t="str">
        <f>IF(ABS(H12)&gt;0,基础信息!$B$1,"")</f>
        <v/>
      </c>
      <c r="B12" s="256"/>
      <c r="C12" s="256"/>
      <c r="D12" s="277"/>
      <c r="E12" s="256"/>
      <c r="F12" s="288"/>
      <c r="G12" s="277"/>
      <c r="H12" s="230"/>
      <c r="I12" s="256"/>
      <c r="J12" s="256"/>
      <c r="K12" s="256"/>
      <c r="L12" s="548">
        <f t="shared" si="0"/>
        <v>0</v>
      </c>
      <c r="M12" s="256"/>
      <c r="N12" s="256"/>
      <c r="O12" s="256"/>
      <c r="P12" s="256"/>
      <c r="Q12" s="230">
        <f t="shared" si="1"/>
        <v>0</v>
      </c>
    </row>
    <row r="13" spans="1:17">
      <c r="A13" t="str">
        <f>IF(ABS(H13)&gt;0,基础信息!$B$1,"")</f>
        <v/>
      </c>
      <c r="B13" s="256"/>
      <c r="C13" s="256"/>
      <c r="D13" s="277"/>
      <c r="E13" s="256"/>
      <c r="F13" s="288"/>
      <c r="G13" s="277"/>
      <c r="H13" s="230"/>
      <c r="I13" s="256"/>
      <c r="J13" s="256"/>
      <c r="K13" s="256"/>
      <c r="L13" s="548">
        <f t="shared" si="0"/>
        <v>0</v>
      </c>
      <c r="M13" s="256"/>
      <c r="N13" s="256"/>
      <c r="O13" s="256"/>
      <c r="P13" s="256"/>
      <c r="Q13" s="230">
        <f t="shared" si="1"/>
        <v>0</v>
      </c>
    </row>
    <row r="14" spans="1:17">
      <c r="A14" t="str">
        <f>IF(ABS(H14)&gt;0,基础信息!$B$1,"")</f>
        <v/>
      </c>
      <c r="B14" s="256"/>
      <c r="C14" s="256"/>
      <c r="D14" s="277"/>
      <c r="E14" s="256"/>
      <c r="F14" s="288"/>
      <c r="G14" s="277"/>
      <c r="H14" s="230"/>
      <c r="I14" s="256"/>
      <c r="J14" s="256"/>
      <c r="K14" s="256"/>
      <c r="L14" s="548">
        <f t="shared" si="0"/>
        <v>0</v>
      </c>
      <c r="M14" s="256"/>
      <c r="N14" s="256"/>
      <c r="O14" s="256"/>
      <c r="P14" s="256"/>
      <c r="Q14" s="230">
        <f t="shared" si="1"/>
        <v>0</v>
      </c>
    </row>
    <row r="15" spans="1:17">
      <c r="A15" t="str">
        <f>IF(ABS(H15)&gt;0,基础信息!$B$1,"")</f>
        <v/>
      </c>
      <c r="B15" s="256"/>
      <c r="C15" s="256"/>
      <c r="D15" s="277"/>
      <c r="E15" s="256"/>
      <c r="F15" s="288"/>
      <c r="G15" s="277"/>
      <c r="H15" s="230"/>
      <c r="I15" s="256"/>
      <c r="J15" s="256"/>
      <c r="K15" s="256"/>
      <c r="L15" s="548">
        <f t="shared" si="0"/>
        <v>0</v>
      </c>
      <c r="M15" s="256"/>
      <c r="N15" s="256"/>
      <c r="O15" s="256"/>
      <c r="P15" s="256"/>
      <c r="Q15" s="230">
        <f t="shared" si="1"/>
        <v>0</v>
      </c>
    </row>
    <row r="16" spans="1:17">
      <c r="A16" t="str">
        <f>IF(ABS(H16)&gt;0,基础信息!$B$1,"")</f>
        <v/>
      </c>
      <c r="B16" s="256"/>
      <c r="C16" s="256"/>
      <c r="D16" s="277"/>
      <c r="E16" s="256"/>
      <c r="F16" s="288"/>
      <c r="G16" s="277"/>
      <c r="H16" s="230"/>
      <c r="I16" s="256"/>
      <c r="J16" s="256"/>
      <c r="K16" s="256"/>
      <c r="L16" s="548">
        <f t="shared" si="0"/>
        <v>0</v>
      </c>
      <c r="M16" s="256"/>
      <c r="N16" s="256"/>
      <c r="O16" s="256"/>
      <c r="P16" s="256"/>
      <c r="Q16" s="230">
        <f t="shared" si="1"/>
        <v>0</v>
      </c>
    </row>
    <row r="17" spans="1:17">
      <c r="A17" t="str">
        <f>IF(ABS(H17)&gt;0,基础信息!$B$1,"")</f>
        <v/>
      </c>
      <c r="B17" s="256"/>
      <c r="C17" s="256"/>
      <c r="D17" s="277"/>
      <c r="E17" s="256"/>
      <c r="F17" s="288"/>
      <c r="G17" s="277"/>
      <c r="H17" s="230"/>
      <c r="I17" s="256"/>
      <c r="J17" s="256"/>
      <c r="K17" s="256"/>
      <c r="L17" s="548">
        <f t="shared" si="0"/>
        <v>0</v>
      </c>
      <c r="M17" s="256"/>
      <c r="N17" s="256"/>
      <c r="O17" s="256"/>
      <c r="P17" s="256"/>
      <c r="Q17" s="230">
        <f t="shared" si="1"/>
        <v>0</v>
      </c>
    </row>
    <row r="18" spans="1:17">
      <c r="A18" t="str">
        <f>IF(ABS(H18)&gt;0,基础信息!$B$1,"")</f>
        <v/>
      </c>
      <c r="B18" s="256"/>
      <c r="C18" s="256"/>
      <c r="D18" s="277"/>
      <c r="F18" s="288"/>
      <c r="G18" s="277"/>
      <c r="H18" s="230"/>
      <c r="L18" s="548">
        <f t="shared" si="0"/>
        <v>0</v>
      </c>
      <c r="Q18" s="230">
        <f t="shared" si="1"/>
        <v>0</v>
      </c>
    </row>
    <row r="19" spans="1:17">
      <c r="A19" t="str">
        <f>IF(ABS(H19)&gt;0,基础信息!$B$1,"")</f>
        <v/>
      </c>
      <c r="B19" s="256"/>
      <c r="C19" s="256"/>
      <c r="D19" s="277"/>
      <c r="F19" s="288"/>
      <c r="G19" s="277"/>
      <c r="H19" s="230"/>
      <c r="L19" s="548">
        <f t="shared" si="0"/>
        <v>0</v>
      </c>
      <c r="Q19" s="230">
        <f t="shared" si="1"/>
        <v>0</v>
      </c>
    </row>
    <row r="20" spans="1:17">
      <c r="A20" t="str">
        <f>IF(ABS(H20)&gt;0,基础信息!$B$1,"")</f>
        <v/>
      </c>
      <c r="B20" s="256"/>
      <c r="C20" s="256"/>
      <c r="D20" s="277"/>
      <c r="F20" s="288"/>
      <c r="G20" s="277"/>
      <c r="H20" s="230"/>
      <c r="L20" s="548">
        <f t="shared" si="0"/>
        <v>0</v>
      </c>
      <c r="Q20" s="230">
        <f t="shared" si="1"/>
        <v>0</v>
      </c>
    </row>
    <row r="21" spans="1:17">
      <c r="L21" s="548">
        <f t="shared" si="0"/>
        <v>0</v>
      </c>
      <c r="Q21" s="230">
        <f t="shared" si="1"/>
        <v>0</v>
      </c>
    </row>
    <row r="22" spans="1:17">
      <c r="A22" t="str">
        <f>IF(ABS(H22)&gt;0,基础信息!$B$1,"")</f>
        <v/>
      </c>
      <c r="Q22" s="230">
        <f t="shared" si="1"/>
        <v>0</v>
      </c>
    </row>
    <row r="23" spans="1:17">
      <c r="A23" t="str">
        <f>IF(ABS(H23)&gt;0,基础信息!$B$1,"")</f>
        <v/>
      </c>
      <c r="Q23" s="230">
        <f t="shared" si="1"/>
        <v>0</v>
      </c>
    </row>
    <row r="24" spans="1:17">
      <c r="A24" t="str">
        <f>IF(ABS(H24)&gt;0,基础信息!$B$1,"")</f>
        <v/>
      </c>
      <c r="Q24" s="230">
        <f t="shared" si="1"/>
        <v>0</v>
      </c>
    </row>
    <row r="25" spans="1:17">
      <c r="A25" t="str">
        <f>IF(ABS(H25)&gt;0,基础信息!$B$1,"")</f>
        <v/>
      </c>
      <c r="Q25" s="230">
        <f t="shared" si="1"/>
        <v>0</v>
      </c>
    </row>
    <row r="26" spans="1:17">
      <c r="A26" t="str">
        <f>IF(ABS(H26)&gt;0,基础信息!$B$1,"")</f>
        <v/>
      </c>
      <c r="Q26" s="230">
        <f t="shared" si="1"/>
        <v>0</v>
      </c>
    </row>
    <row r="27" spans="1:17">
      <c r="A27" t="str">
        <f>IF(ABS(H27)&gt;0,基础信息!$B$1,"")</f>
        <v/>
      </c>
      <c r="Q27" s="230">
        <f t="shared" si="1"/>
        <v>0</v>
      </c>
    </row>
    <row r="28" spans="1:17">
      <c r="A28" t="str">
        <f>IF(ABS(H28)&gt;0,基础信息!$B$1,"")</f>
        <v/>
      </c>
      <c r="Q28" s="230">
        <f t="shared" si="1"/>
        <v>0</v>
      </c>
    </row>
    <row r="29" spans="1:17">
      <c r="A29" t="str">
        <f>IF(ABS(H29)&gt;0,基础信息!$B$1,"")</f>
        <v/>
      </c>
      <c r="Q29" s="230">
        <f t="shared" si="1"/>
        <v>0</v>
      </c>
    </row>
    <row r="30" spans="1:17">
      <c r="A30" t="str">
        <f>IF(ABS(H30)&gt;0,基础信息!$B$1,"")</f>
        <v/>
      </c>
      <c r="Q30" s="230">
        <f t="shared" si="1"/>
        <v>0</v>
      </c>
    </row>
    <row r="31" spans="1:17">
      <c r="A31" t="str">
        <f>IF(ABS(H31)&gt;0,基础信息!$B$1,"")</f>
        <v/>
      </c>
      <c r="Q31" s="230">
        <f t="shared" si="1"/>
        <v>0</v>
      </c>
    </row>
    <row r="32" spans="1:17">
      <c r="A32" t="str">
        <f>IF(ABS(H32)&gt;0,基础信息!$B$1,"")</f>
        <v/>
      </c>
      <c r="Q32" s="230">
        <f t="shared" si="1"/>
        <v>0</v>
      </c>
    </row>
    <row r="33" spans="1:17">
      <c r="A33" t="str">
        <f>IF(ABS(H33)&gt;0,基础信息!$B$1,"")</f>
        <v/>
      </c>
      <c r="Q33" s="230">
        <f t="shared" si="1"/>
        <v>0</v>
      </c>
    </row>
    <row r="34" spans="1:17">
      <c r="A34" t="str">
        <f>IF(ABS(H34)&gt;0,基础信息!$B$1,"")</f>
        <v/>
      </c>
      <c r="Q34" s="230">
        <f t="shared" si="1"/>
        <v>0</v>
      </c>
    </row>
    <row r="35" spans="1:17">
      <c r="A35" t="str">
        <f>IF(ABS(H35)&gt;0,基础信息!$B$1,"")</f>
        <v/>
      </c>
      <c r="Q35" s="230">
        <f t="shared" si="1"/>
        <v>0</v>
      </c>
    </row>
    <row r="36" spans="1:17">
      <c r="A36" t="str">
        <f>IF(ABS(H36)&gt;0,基础信息!$B$1,"")</f>
        <v/>
      </c>
      <c r="Q36" s="230">
        <f t="shared" si="1"/>
        <v>0</v>
      </c>
    </row>
    <row r="37" spans="1:17">
      <c r="A37" t="str">
        <f>IF(ABS(H37)&gt;0,基础信息!$B$1,"")</f>
        <v/>
      </c>
      <c r="Q37" s="230">
        <f t="shared" si="1"/>
        <v>0</v>
      </c>
    </row>
    <row r="38" spans="1:17">
      <c r="A38" t="str">
        <f>IF(ABS(H38)&gt;0,基础信息!$B$1,"")</f>
        <v/>
      </c>
      <c r="Q38" s="230">
        <f t="shared" si="1"/>
        <v>0</v>
      </c>
    </row>
    <row r="39" spans="1:17">
      <c r="A39" t="str">
        <f>IF(ABS(H39)&gt;0,基础信息!$B$1,"")</f>
        <v/>
      </c>
      <c r="Q39" s="230">
        <f t="shared" si="1"/>
        <v>0</v>
      </c>
    </row>
    <row r="40" spans="1:17">
      <c r="A40" t="str">
        <f>IF(ABS(H40)&gt;0,基础信息!$B$1,"")</f>
        <v/>
      </c>
      <c r="Q40" s="230">
        <f t="shared" si="1"/>
        <v>0</v>
      </c>
    </row>
    <row r="41" spans="1:17">
      <c r="A41" t="str">
        <f>IF(ABS(H41)&gt;0,基础信息!$B$1,"")</f>
        <v/>
      </c>
      <c r="Q41" s="230">
        <f t="shared" si="1"/>
        <v>0</v>
      </c>
    </row>
    <row r="42" spans="1:17">
      <c r="A42" t="str">
        <f>IF(ABS(H42)&gt;0,基础信息!$B$1,"")</f>
        <v/>
      </c>
      <c r="Q42" s="230">
        <f t="shared" si="1"/>
        <v>0</v>
      </c>
    </row>
    <row r="43" spans="1:17">
      <c r="A43" t="str">
        <f>IF(ABS(H43)&gt;0,基础信息!$B$1,"")</f>
        <v/>
      </c>
      <c r="Q43" s="230">
        <f t="shared" si="1"/>
        <v>0</v>
      </c>
    </row>
    <row r="44" spans="1:17">
      <c r="A44" t="str">
        <f>IF(ABS(H44)&gt;0,基础信息!$B$1,"")</f>
        <v/>
      </c>
      <c r="Q44" s="230">
        <f t="shared" si="1"/>
        <v>0</v>
      </c>
    </row>
    <row r="45" spans="1:17">
      <c r="A45" t="str">
        <f>IF(ABS(H45)&gt;0,基础信息!$B$1,"")</f>
        <v/>
      </c>
      <c r="Q45" s="230">
        <f t="shared" si="1"/>
        <v>0</v>
      </c>
    </row>
    <row r="46" spans="1:17">
      <c r="A46" t="str">
        <f>IF(ABS(H46)&gt;0,基础信息!$B$1,"")</f>
        <v/>
      </c>
      <c r="Q46" s="230">
        <f t="shared" si="1"/>
        <v>0</v>
      </c>
    </row>
    <row r="47" spans="1:17">
      <c r="A47" t="str">
        <f>IF(ABS(H47)&gt;0,基础信息!$B$1,"")</f>
        <v/>
      </c>
      <c r="Q47" s="230">
        <f t="shared" si="1"/>
        <v>0</v>
      </c>
    </row>
    <row r="48" spans="1:17">
      <c r="A48" t="str">
        <f>IF(ABS(H48)&gt;0,基础信息!$B$1,"")</f>
        <v/>
      </c>
      <c r="Q48" s="230">
        <f t="shared" si="1"/>
        <v>0</v>
      </c>
    </row>
    <row r="49" spans="1:17">
      <c r="A49" t="str">
        <f>IF(ABS(H49)&gt;0,基础信息!$B$1,"")</f>
        <v/>
      </c>
      <c r="Q49" s="230">
        <f t="shared" si="1"/>
        <v>0</v>
      </c>
    </row>
    <row r="50" spans="1:17">
      <c r="A50" t="str">
        <f>IF(ABS(H50)&gt;0,基础信息!$B$1,"")</f>
        <v/>
      </c>
      <c r="Q50" s="230">
        <f t="shared" si="1"/>
        <v>0</v>
      </c>
    </row>
    <row r="51" spans="1:17">
      <c r="A51" t="str">
        <f>IF(ABS(H51)&gt;0,基础信息!$B$1,"")</f>
        <v/>
      </c>
      <c r="Q51" s="230">
        <f t="shared" si="1"/>
        <v>0</v>
      </c>
    </row>
    <row r="52" spans="1:17">
      <c r="A52" t="str">
        <f>IF(ABS(H52)&gt;0,基础信息!$B$1,"")</f>
        <v/>
      </c>
      <c r="Q52" s="230">
        <f t="shared" si="1"/>
        <v>0</v>
      </c>
    </row>
    <row r="53" spans="1:17">
      <c r="A53" t="str">
        <f>IF(ABS(H53)&gt;0,基础信息!$B$1,"")</f>
        <v/>
      </c>
      <c r="Q53" s="230">
        <f t="shared" si="1"/>
        <v>0</v>
      </c>
    </row>
    <row r="54" spans="1:17">
      <c r="A54" t="str">
        <f>IF(ABS(H54)&gt;0,基础信息!$B$1,"")</f>
        <v/>
      </c>
      <c r="Q54" s="230">
        <f t="shared" si="1"/>
        <v>0</v>
      </c>
    </row>
    <row r="55" spans="1:17">
      <c r="A55" t="str">
        <f>IF(ABS(H55)&gt;0,基础信息!$B$1,"")</f>
        <v/>
      </c>
      <c r="Q55" s="230">
        <f t="shared" si="1"/>
        <v>0</v>
      </c>
    </row>
    <row r="56" spans="1:17">
      <c r="A56" t="str">
        <f>IF(ABS(H56)&gt;0,基础信息!$B$1,"")</f>
        <v/>
      </c>
      <c r="Q56" s="230">
        <f t="shared" si="1"/>
        <v>0</v>
      </c>
    </row>
    <row r="57" spans="1:17">
      <c r="A57" t="str">
        <f>IF(ABS(H57)&gt;0,基础信息!$B$1,"")</f>
        <v/>
      </c>
      <c r="Q57" s="230">
        <f t="shared" si="1"/>
        <v>0</v>
      </c>
    </row>
    <row r="58" spans="1:17">
      <c r="A58" t="str">
        <f>IF(ABS(H58)&gt;0,基础信息!$B$1,"")</f>
        <v/>
      </c>
      <c r="Q58" s="230">
        <f t="shared" si="1"/>
        <v>0</v>
      </c>
    </row>
    <row r="59" spans="1:17">
      <c r="A59" t="str">
        <f>IF(ABS(H59)&gt;0,基础信息!$B$1,"")</f>
        <v/>
      </c>
      <c r="Q59" s="230">
        <f t="shared" si="1"/>
        <v>0</v>
      </c>
    </row>
    <row r="60" spans="1:17">
      <c r="A60" t="str">
        <f>IF(ABS(H60)&gt;0,基础信息!$B$1,"")</f>
        <v/>
      </c>
      <c r="Q60" s="230">
        <f t="shared" si="1"/>
        <v>0</v>
      </c>
    </row>
    <row r="61" spans="1:17">
      <c r="A61" t="str">
        <f>IF(ABS(H61)&gt;0,基础信息!$B$1,"")</f>
        <v/>
      </c>
      <c r="Q61" s="230">
        <f t="shared" si="1"/>
        <v>0</v>
      </c>
    </row>
    <row r="62" spans="1:17">
      <c r="A62" t="str">
        <f>IF(ABS(H62)&gt;0,基础信息!$B$1,"")</f>
        <v/>
      </c>
      <c r="Q62" s="230">
        <f t="shared" si="1"/>
        <v>0</v>
      </c>
    </row>
    <row r="63" spans="1:17">
      <c r="A63" t="str">
        <f>IF(ABS(H63)&gt;0,基础信息!$B$1,"")</f>
        <v/>
      </c>
      <c r="Q63" s="230">
        <f t="shared" si="1"/>
        <v>0</v>
      </c>
    </row>
    <row r="64" spans="1:17">
      <c r="A64" t="str">
        <f>IF(ABS(H64)&gt;0,基础信息!$B$1,"")</f>
        <v/>
      </c>
      <c r="Q64" s="230">
        <f t="shared" si="1"/>
        <v>0</v>
      </c>
    </row>
    <row r="65" spans="1:17">
      <c r="A65" t="str">
        <f>IF(ABS(H65)&gt;0,基础信息!$B$1,"")</f>
        <v/>
      </c>
      <c r="Q65" s="230">
        <f t="shared" si="1"/>
        <v>0</v>
      </c>
    </row>
    <row r="66" spans="1:17">
      <c r="A66" t="str">
        <f>IF(ABS(H66)&gt;0,基础信息!$B$1,"")</f>
        <v/>
      </c>
      <c r="Q66" s="230">
        <f t="shared" si="1"/>
        <v>0</v>
      </c>
    </row>
    <row r="67" spans="1:17">
      <c r="A67" t="str">
        <f>IF(ABS(H67)&gt;0,基础信息!$B$1,"")</f>
        <v/>
      </c>
      <c r="Q67" s="230">
        <f t="shared" ref="Q67:Q130" si="2">M67+N67-O67-P67</f>
        <v>0</v>
      </c>
    </row>
    <row r="68" spans="1:17">
      <c r="A68" t="str">
        <f>IF(ABS(H68)&gt;0,基础信息!$B$1,"")</f>
        <v/>
      </c>
      <c r="Q68" s="230">
        <f t="shared" si="2"/>
        <v>0</v>
      </c>
    </row>
    <row r="69" spans="1:17">
      <c r="A69" t="str">
        <f>IF(ABS(H69)&gt;0,基础信息!$B$1,"")</f>
        <v/>
      </c>
      <c r="Q69" s="230">
        <f t="shared" si="2"/>
        <v>0</v>
      </c>
    </row>
    <row r="70" spans="1:17">
      <c r="A70" t="str">
        <f>IF(ABS(H70)&gt;0,基础信息!$B$1,"")</f>
        <v/>
      </c>
      <c r="Q70" s="230">
        <f t="shared" si="2"/>
        <v>0</v>
      </c>
    </row>
    <row r="71" spans="1:17">
      <c r="A71" t="str">
        <f>IF(ABS(H71)&gt;0,基础信息!$B$1,"")</f>
        <v/>
      </c>
      <c r="Q71" s="230">
        <f t="shared" si="2"/>
        <v>0</v>
      </c>
    </row>
    <row r="72" spans="1:17">
      <c r="A72" t="str">
        <f>IF(ABS(H72)&gt;0,基础信息!$B$1,"")</f>
        <v/>
      </c>
      <c r="Q72" s="230">
        <f t="shared" si="2"/>
        <v>0</v>
      </c>
    </row>
    <row r="73" spans="1:17">
      <c r="A73" t="str">
        <f>IF(ABS(H73)&gt;0,基础信息!$B$1,"")</f>
        <v/>
      </c>
      <c r="Q73" s="230">
        <f t="shared" si="2"/>
        <v>0</v>
      </c>
    </row>
    <row r="74" spans="1:17">
      <c r="A74" t="str">
        <f>IF(ABS(H74)&gt;0,基础信息!$B$1,"")</f>
        <v/>
      </c>
      <c r="Q74" s="230">
        <f t="shared" si="2"/>
        <v>0</v>
      </c>
    </row>
    <row r="75" spans="1:17">
      <c r="A75" t="str">
        <f>IF(ABS(H75)&gt;0,基础信息!$B$1,"")</f>
        <v/>
      </c>
      <c r="Q75" s="230">
        <f t="shared" si="2"/>
        <v>0</v>
      </c>
    </row>
    <row r="76" spans="1:17">
      <c r="A76" t="str">
        <f>IF(ABS(H76)&gt;0,基础信息!$B$1,"")</f>
        <v/>
      </c>
      <c r="Q76" s="230">
        <f t="shared" si="2"/>
        <v>0</v>
      </c>
    </row>
    <row r="77" spans="1:17">
      <c r="A77" t="str">
        <f>IF(ABS(H77)&gt;0,基础信息!$B$1,"")</f>
        <v/>
      </c>
      <c r="Q77" s="230">
        <f t="shared" si="2"/>
        <v>0</v>
      </c>
    </row>
    <row r="78" spans="1:17">
      <c r="A78" t="str">
        <f>IF(ABS(H78)&gt;0,基础信息!$B$1,"")</f>
        <v/>
      </c>
      <c r="Q78" s="230">
        <f t="shared" si="2"/>
        <v>0</v>
      </c>
    </row>
    <row r="79" spans="1:17">
      <c r="A79" t="str">
        <f>IF(ABS(H79)&gt;0,基础信息!$B$1,"")</f>
        <v/>
      </c>
      <c r="Q79" s="230">
        <f t="shared" si="2"/>
        <v>0</v>
      </c>
    </row>
    <row r="80" spans="1:17">
      <c r="A80" t="str">
        <f>IF(ABS(H80)&gt;0,基础信息!$B$1,"")</f>
        <v/>
      </c>
      <c r="Q80" s="230">
        <f t="shared" si="2"/>
        <v>0</v>
      </c>
    </row>
    <row r="81" spans="1:17">
      <c r="A81" t="str">
        <f>IF(ABS(H81)&gt;0,基础信息!$B$1,"")</f>
        <v/>
      </c>
      <c r="Q81" s="230">
        <f t="shared" si="2"/>
        <v>0</v>
      </c>
    </row>
    <row r="82" spans="1:17">
      <c r="A82" t="str">
        <f>IF(ABS(H82)&gt;0,基础信息!$B$1,"")</f>
        <v/>
      </c>
      <c r="Q82" s="230">
        <f t="shared" si="2"/>
        <v>0</v>
      </c>
    </row>
    <row r="83" spans="1:17">
      <c r="A83" t="str">
        <f>IF(ABS(H83)&gt;0,基础信息!$B$1,"")</f>
        <v/>
      </c>
      <c r="Q83" s="230">
        <f t="shared" si="2"/>
        <v>0</v>
      </c>
    </row>
    <row r="84" spans="1:17">
      <c r="A84" t="str">
        <f>IF(ABS(H84)&gt;0,基础信息!$B$1,"")</f>
        <v/>
      </c>
      <c r="Q84" s="230">
        <f t="shared" si="2"/>
        <v>0</v>
      </c>
    </row>
    <row r="85" spans="1:17">
      <c r="A85" t="str">
        <f>IF(ABS(H85)&gt;0,基础信息!$B$1,"")</f>
        <v/>
      </c>
      <c r="Q85" s="230">
        <f t="shared" si="2"/>
        <v>0</v>
      </c>
    </row>
    <row r="86" spans="1:17">
      <c r="A86" t="str">
        <f>IF(ABS(H86)&gt;0,基础信息!$B$1,"")</f>
        <v/>
      </c>
      <c r="Q86" s="230">
        <f t="shared" si="2"/>
        <v>0</v>
      </c>
    </row>
    <row r="87" spans="1:17">
      <c r="A87" t="str">
        <f>IF(ABS(H87)&gt;0,基础信息!$B$1,"")</f>
        <v/>
      </c>
      <c r="Q87" s="230">
        <f t="shared" si="2"/>
        <v>0</v>
      </c>
    </row>
    <row r="88" spans="1:17">
      <c r="A88" t="str">
        <f>IF(ABS(H88)&gt;0,基础信息!$B$1,"")</f>
        <v/>
      </c>
      <c r="Q88" s="230">
        <f t="shared" si="2"/>
        <v>0</v>
      </c>
    </row>
    <row r="89" spans="1:17">
      <c r="A89" t="str">
        <f>IF(ABS(H89)&gt;0,基础信息!$B$1,"")</f>
        <v/>
      </c>
      <c r="Q89" s="230">
        <f t="shared" si="2"/>
        <v>0</v>
      </c>
    </row>
    <row r="90" spans="1:17">
      <c r="A90" t="str">
        <f>IF(ABS(H90)&gt;0,基础信息!$B$1,"")</f>
        <v/>
      </c>
      <c r="Q90" s="230">
        <f t="shared" si="2"/>
        <v>0</v>
      </c>
    </row>
    <row r="91" spans="1:17">
      <c r="A91" t="str">
        <f>IF(ABS(H91)&gt;0,基础信息!$B$1,"")</f>
        <v/>
      </c>
      <c r="Q91" s="230">
        <f t="shared" si="2"/>
        <v>0</v>
      </c>
    </row>
    <row r="92" spans="1:17">
      <c r="A92" t="str">
        <f>IF(ABS(H92)&gt;0,基础信息!$B$1,"")</f>
        <v/>
      </c>
      <c r="Q92" s="230">
        <f t="shared" si="2"/>
        <v>0</v>
      </c>
    </row>
    <row r="93" spans="1:17">
      <c r="A93" t="str">
        <f>IF(ABS(H93)&gt;0,基础信息!$B$1,"")</f>
        <v/>
      </c>
      <c r="Q93" s="230">
        <f t="shared" si="2"/>
        <v>0</v>
      </c>
    </row>
    <row r="94" spans="1:17">
      <c r="A94" t="str">
        <f>IF(ABS(H94)&gt;0,基础信息!$B$1,"")</f>
        <v/>
      </c>
      <c r="Q94" s="230">
        <f t="shared" si="2"/>
        <v>0</v>
      </c>
    </row>
    <row r="95" spans="1:17">
      <c r="A95" t="str">
        <f>IF(ABS(H95)&gt;0,基础信息!$B$1,"")</f>
        <v/>
      </c>
      <c r="Q95" s="230">
        <f t="shared" si="2"/>
        <v>0</v>
      </c>
    </row>
    <row r="96" spans="1:17">
      <c r="A96" t="str">
        <f>IF(ABS(H96)&gt;0,基础信息!$B$1,"")</f>
        <v/>
      </c>
      <c r="Q96" s="230">
        <f t="shared" si="2"/>
        <v>0</v>
      </c>
    </row>
    <row r="97" spans="1:17">
      <c r="A97" t="str">
        <f>IF(ABS(H97)&gt;0,基础信息!$B$1,"")</f>
        <v/>
      </c>
      <c r="Q97" s="230">
        <f t="shared" si="2"/>
        <v>0</v>
      </c>
    </row>
    <row r="98" spans="1:17">
      <c r="A98" t="str">
        <f>IF(ABS(H98)&gt;0,基础信息!$B$1,"")</f>
        <v/>
      </c>
      <c r="Q98" s="230">
        <f t="shared" si="2"/>
        <v>0</v>
      </c>
    </row>
    <row r="99" spans="1:17">
      <c r="A99" t="str">
        <f>IF(ABS(H99)&gt;0,基础信息!$B$1,"")</f>
        <v/>
      </c>
      <c r="Q99" s="230">
        <f t="shared" si="2"/>
        <v>0</v>
      </c>
    </row>
    <row r="100" spans="1:17">
      <c r="A100" t="str">
        <f>IF(ABS(H100)&gt;0,基础信息!$B$1,"")</f>
        <v/>
      </c>
      <c r="Q100" s="230">
        <f t="shared" si="2"/>
        <v>0</v>
      </c>
    </row>
    <row r="101" spans="1:17">
      <c r="A101" t="str">
        <f>IF(ABS(H101)&gt;0,基础信息!$B$1,"")</f>
        <v/>
      </c>
      <c r="Q101" s="230">
        <f t="shared" si="2"/>
        <v>0</v>
      </c>
    </row>
    <row r="102" spans="1:17">
      <c r="A102" t="str">
        <f>IF(ABS(H102)&gt;0,基础信息!$B$1,"")</f>
        <v/>
      </c>
      <c r="Q102" s="230">
        <f t="shared" si="2"/>
        <v>0</v>
      </c>
    </row>
    <row r="103" spans="1:17">
      <c r="A103" t="str">
        <f>IF(ABS(H103)&gt;0,基础信息!$B$1,"")</f>
        <v/>
      </c>
      <c r="Q103" s="230">
        <f t="shared" si="2"/>
        <v>0</v>
      </c>
    </row>
    <row r="104" spans="1:17">
      <c r="A104" t="str">
        <f>IF(ABS(H104)&gt;0,基础信息!$B$1,"")</f>
        <v/>
      </c>
      <c r="Q104" s="230">
        <f t="shared" si="2"/>
        <v>0</v>
      </c>
    </row>
    <row r="105" spans="1:17">
      <c r="A105" t="str">
        <f>IF(ABS(H105)&gt;0,基础信息!$B$1,"")</f>
        <v/>
      </c>
      <c r="Q105" s="230">
        <f t="shared" si="2"/>
        <v>0</v>
      </c>
    </row>
    <row r="106" spans="1:17">
      <c r="A106" t="str">
        <f>IF(ABS(H106)&gt;0,基础信息!$B$1,"")</f>
        <v/>
      </c>
      <c r="Q106" s="230">
        <f t="shared" si="2"/>
        <v>0</v>
      </c>
    </row>
    <row r="107" spans="1:17">
      <c r="A107" t="str">
        <f>IF(ABS(H107)&gt;0,基础信息!$B$1,"")</f>
        <v/>
      </c>
      <c r="Q107" s="230">
        <f t="shared" si="2"/>
        <v>0</v>
      </c>
    </row>
    <row r="108" spans="1:17">
      <c r="A108" t="str">
        <f>IF(ABS(H108)&gt;0,基础信息!$B$1,"")</f>
        <v/>
      </c>
      <c r="Q108" s="230">
        <f t="shared" si="2"/>
        <v>0</v>
      </c>
    </row>
    <row r="109" spans="1:17">
      <c r="A109" t="str">
        <f>IF(ABS(H109)&gt;0,基础信息!$B$1,"")</f>
        <v/>
      </c>
      <c r="Q109" s="230">
        <f t="shared" si="2"/>
        <v>0</v>
      </c>
    </row>
    <row r="110" spans="1:17">
      <c r="A110" t="str">
        <f>IF(ABS(H110)&gt;0,基础信息!$B$1,"")</f>
        <v/>
      </c>
      <c r="Q110" s="230">
        <f t="shared" si="2"/>
        <v>0</v>
      </c>
    </row>
    <row r="111" spans="1:17">
      <c r="A111" t="str">
        <f>IF(ABS(H111)&gt;0,基础信息!$B$1,"")</f>
        <v/>
      </c>
      <c r="Q111" s="230">
        <f t="shared" si="2"/>
        <v>0</v>
      </c>
    </row>
    <row r="112" spans="1:17">
      <c r="A112" t="str">
        <f>IF(ABS(H112)&gt;0,基础信息!$B$1,"")</f>
        <v/>
      </c>
      <c r="Q112" s="230">
        <f t="shared" si="2"/>
        <v>0</v>
      </c>
    </row>
    <row r="113" spans="1:17">
      <c r="A113" t="str">
        <f>IF(ABS(H113)&gt;0,基础信息!$B$1,"")</f>
        <v/>
      </c>
      <c r="Q113" s="230">
        <f t="shared" si="2"/>
        <v>0</v>
      </c>
    </row>
    <row r="114" spans="1:17">
      <c r="A114" t="str">
        <f>IF(ABS(H114)&gt;0,基础信息!$B$1,"")</f>
        <v/>
      </c>
      <c r="Q114" s="230">
        <f t="shared" si="2"/>
        <v>0</v>
      </c>
    </row>
    <row r="115" spans="1:17">
      <c r="A115" t="str">
        <f>IF(ABS(H115)&gt;0,基础信息!$B$1,"")</f>
        <v/>
      </c>
      <c r="Q115" s="230">
        <f t="shared" si="2"/>
        <v>0</v>
      </c>
    </row>
    <row r="116" spans="1:17">
      <c r="A116" t="str">
        <f>IF(ABS(H116)&gt;0,基础信息!$B$1,"")</f>
        <v/>
      </c>
      <c r="Q116" s="230">
        <f t="shared" si="2"/>
        <v>0</v>
      </c>
    </row>
    <row r="117" spans="1:17">
      <c r="A117" t="str">
        <f>IF(ABS(H117)&gt;0,基础信息!$B$1,"")</f>
        <v/>
      </c>
      <c r="Q117" s="230">
        <f t="shared" si="2"/>
        <v>0</v>
      </c>
    </row>
    <row r="118" spans="1:17">
      <c r="A118" t="str">
        <f>IF(ABS(H118)&gt;0,基础信息!$B$1,"")</f>
        <v/>
      </c>
      <c r="Q118" s="230">
        <f t="shared" si="2"/>
        <v>0</v>
      </c>
    </row>
    <row r="119" spans="1:17">
      <c r="A119" t="str">
        <f>IF(ABS(H119)&gt;0,基础信息!$B$1,"")</f>
        <v/>
      </c>
      <c r="Q119" s="230">
        <f t="shared" si="2"/>
        <v>0</v>
      </c>
    </row>
    <row r="120" spans="1:17">
      <c r="A120" t="str">
        <f>IF(ABS(H120)&gt;0,基础信息!$B$1,"")</f>
        <v/>
      </c>
      <c r="Q120" s="230">
        <f t="shared" si="2"/>
        <v>0</v>
      </c>
    </row>
    <row r="121" spans="1:17">
      <c r="A121" t="str">
        <f>IF(ABS(H121)&gt;0,基础信息!$B$1,"")</f>
        <v/>
      </c>
      <c r="Q121" s="230">
        <f t="shared" si="2"/>
        <v>0</v>
      </c>
    </row>
    <row r="122" spans="1:17">
      <c r="A122" t="str">
        <f>IF(ABS(H122)&gt;0,基础信息!$B$1,"")</f>
        <v/>
      </c>
      <c r="Q122" s="230">
        <f t="shared" si="2"/>
        <v>0</v>
      </c>
    </row>
    <row r="123" spans="1:17">
      <c r="A123" t="str">
        <f>IF(ABS(H123)&gt;0,基础信息!$B$1,"")</f>
        <v/>
      </c>
      <c r="Q123" s="230">
        <f t="shared" si="2"/>
        <v>0</v>
      </c>
    </row>
    <row r="124" spans="1:17">
      <c r="A124" t="str">
        <f>IF(ABS(H124)&gt;0,基础信息!$B$1,"")</f>
        <v/>
      </c>
      <c r="Q124" s="230">
        <f t="shared" si="2"/>
        <v>0</v>
      </c>
    </row>
    <row r="125" spans="1:17">
      <c r="A125" t="str">
        <f>IF(ABS(H125)&gt;0,基础信息!$B$1,"")</f>
        <v/>
      </c>
      <c r="Q125" s="230">
        <f t="shared" si="2"/>
        <v>0</v>
      </c>
    </row>
    <row r="126" spans="1:17">
      <c r="A126" t="str">
        <f>IF(ABS(H126)&gt;0,基础信息!$B$1,"")</f>
        <v/>
      </c>
      <c r="Q126" s="230">
        <f t="shared" si="2"/>
        <v>0</v>
      </c>
    </row>
    <row r="127" spans="1:17">
      <c r="A127" t="str">
        <f>IF(ABS(H127)&gt;0,基础信息!$B$1,"")</f>
        <v/>
      </c>
      <c r="Q127" s="230">
        <f t="shared" si="2"/>
        <v>0</v>
      </c>
    </row>
    <row r="128" spans="1:17">
      <c r="A128" t="str">
        <f>IF(ABS(H128)&gt;0,基础信息!$B$1,"")</f>
        <v/>
      </c>
      <c r="Q128" s="230">
        <f t="shared" si="2"/>
        <v>0</v>
      </c>
    </row>
    <row r="129" spans="1:17">
      <c r="A129" t="str">
        <f>IF(ABS(H129)&gt;0,基础信息!$B$1,"")</f>
        <v/>
      </c>
      <c r="Q129" s="230">
        <f t="shared" si="2"/>
        <v>0</v>
      </c>
    </row>
    <row r="130" spans="1:17">
      <c r="A130" t="str">
        <f>IF(ABS(H130)&gt;0,基础信息!$B$1,"")</f>
        <v/>
      </c>
      <c r="Q130" s="230">
        <f t="shared" si="2"/>
        <v>0</v>
      </c>
    </row>
    <row r="131" spans="1:17">
      <c r="A131" t="str">
        <f>IF(ABS(H131)&gt;0,基础信息!$B$1,"")</f>
        <v/>
      </c>
      <c r="Q131" s="230">
        <f t="shared" ref="Q131:Q194" si="3">M131+N131-O131-P131</f>
        <v>0</v>
      </c>
    </row>
    <row r="132" spans="1:17">
      <c r="A132" t="str">
        <f>IF(ABS(H132)&gt;0,基础信息!$B$1,"")</f>
        <v/>
      </c>
      <c r="Q132" s="230">
        <f t="shared" si="3"/>
        <v>0</v>
      </c>
    </row>
    <row r="133" spans="1:17">
      <c r="A133" t="str">
        <f>IF(ABS(H133)&gt;0,基础信息!$B$1,"")</f>
        <v/>
      </c>
      <c r="Q133" s="230">
        <f t="shared" si="3"/>
        <v>0</v>
      </c>
    </row>
    <row r="134" spans="1:17">
      <c r="A134" t="str">
        <f>IF(ABS(H134)&gt;0,基础信息!$B$1,"")</f>
        <v/>
      </c>
      <c r="Q134" s="230">
        <f t="shared" si="3"/>
        <v>0</v>
      </c>
    </row>
    <row r="135" spans="1:17">
      <c r="A135" t="str">
        <f>IF(ABS(H135)&gt;0,基础信息!$B$1,"")</f>
        <v/>
      </c>
      <c r="Q135" s="230">
        <f t="shared" si="3"/>
        <v>0</v>
      </c>
    </row>
    <row r="136" spans="1:17">
      <c r="A136" t="str">
        <f>IF(ABS(H136)&gt;0,基础信息!$B$1,"")</f>
        <v/>
      </c>
      <c r="Q136" s="230">
        <f t="shared" si="3"/>
        <v>0</v>
      </c>
    </row>
    <row r="137" spans="1:17">
      <c r="A137" t="str">
        <f>IF(ABS(H137)&gt;0,基础信息!$B$1,"")</f>
        <v/>
      </c>
      <c r="Q137" s="230">
        <f t="shared" si="3"/>
        <v>0</v>
      </c>
    </row>
    <row r="138" spans="1:17">
      <c r="A138" t="str">
        <f>IF(ABS(H138)&gt;0,基础信息!$B$1,"")</f>
        <v/>
      </c>
      <c r="Q138" s="230">
        <f t="shared" si="3"/>
        <v>0</v>
      </c>
    </row>
    <row r="139" spans="1:17">
      <c r="A139" t="str">
        <f>IF(ABS(H139)&gt;0,基础信息!$B$1,"")</f>
        <v/>
      </c>
      <c r="Q139" s="230">
        <f t="shared" si="3"/>
        <v>0</v>
      </c>
    </row>
    <row r="140" spans="1:17">
      <c r="A140" t="str">
        <f>IF(ABS(H140)&gt;0,基础信息!$B$1,"")</f>
        <v/>
      </c>
      <c r="Q140" s="230">
        <f t="shared" si="3"/>
        <v>0</v>
      </c>
    </row>
    <row r="141" spans="1:17">
      <c r="A141" t="str">
        <f>IF(ABS(H141)&gt;0,基础信息!$B$1,"")</f>
        <v/>
      </c>
      <c r="Q141" s="230">
        <f t="shared" si="3"/>
        <v>0</v>
      </c>
    </row>
    <row r="142" spans="1:17">
      <c r="A142" t="str">
        <f>IF(ABS(H142)&gt;0,基础信息!$B$1,"")</f>
        <v/>
      </c>
      <c r="Q142" s="230">
        <f t="shared" si="3"/>
        <v>0</v>
      </c>
    </row>
    <row r="143" spans="1:17">
      <c r="A143" t="str">
        <f>IF(ABS(H143)&gt;0,基础信息!$B$1,"")</f>
        <v/>
      </c>
      <c r="Q143" s="230">
        <f t="shared" si="3"/>
        <v>0</v>
      </c>
    </row>
    <row r="144" spans="1:17">
      <c r="A144" t="str">
        <f>IF(ABS(H144)&gt;0,基础信息!$B$1,"")</f>
        <v/>
      </c>
      <c r="Q144" s="230">
        <f t="shared" si="3"/>
        <v>0</v>
      </c>
    </row>
    <row r="145" spans="1:17">
      <c r="A145" t="str">
        <f>IF(ABS(H145)&gt;0,基础信息!$B$1,"")</f>
        <v/>
      </c>
      <c r="Q145" s="230">
        <f t="shared" si="3"/>
        <v>0</v>
      </c>
    </row>
    <row r="146" spans="1:17">
      <c r="A146" t="str">
        <f>IF(ABS(H146)&gt;0,基础信息!$B$1,"")</f>
        <v/>
      </c>
      <c r="Q146" s="230">
        <f t="shared" si="3"/>
        <v>0</v>
      </c>
    </row>
    <row r="147" spans="1:17">
      <c r="A147" t="str">
        <f>IF(ABS(H147)&gt;0,基础信息!$B$1,"")</f>
        <v/>
      </c>
      <c r="Q147" s="230">
        <f t="shared" si="3"/>
        <v>0</v>
      </c>
    </row>
    <row r="148" spans="1:17">
      <c r="A148" t="str">
        <f>IF(ABS(H148)&gt;0,基础信息!$B$1,"")</f>
        <v/>
      </c>
      <c r="Q148" s="230">
        <f t="shared" si="3"/>
        <v>0</v>
      </c>
    </row>
    <row r="149" spans="1:17">
      <c r="A149" t="str">
        <f>IF(ABS(H149)&gt;0,基础信息!$B$1,"")</f>
        <v/>
      </c>
      <c r="Q149" s="230">
        <f t="shared" si="3"/>
        <v>0</v>
      </c>
    </row>
    <row r="150" spans="1:17">
      <c r="A150" t="str">
        <f>IF(ABS(H150)&gt;0,基础信息!$B$1,"")</f>
        <v/>
      </c>
      <c r="Q150" s="230">
        <f t="shared" si="3"/>
        <v>0</v>
      </c>
    </row>
    <row r="151" spans="1:17">
      <c r="A151" t="str">
        <f>IF(ABS(H151)&gt;0,基础信息!$B$1,"")</f>
        <v/>
      </c>
      <c r="Q151" s="230">
        <f t="shared" si="3"/>
        <v>0</v>
      </c>
    </row>
    <row r="152" spans="1:17">
      <c r="A152" t="str">
        <f>IF(ABS(H152)&gt;0,基础信息!$B$1,"")</f>
        <v/>
      </c>
      <c r="Q152" s="230">
        <f t="shared" si="3"/>
        <v>0</v>
      </c>
    </row>
    <row r="153" spans="1:17">
      <c r="A153" t="str">
        <f>IF(ABS(H153)&gt;0,基础信息!$B$1,"")</f>
        <v/>
      </c>
      <c r="Q153" s="230">
        <f t="shared" si="3"/>
        <v>0</v>
      </c>
    </row>
    <row r="154" spans="1:17">
      <c r="A154" t="str">
        <f>IF(ABS(H154)&gt;0,基础信息!$B$1,"")</f>
        <v/>
      </c>
      <c r="Q154" s="230">
        <f t="shared" si="3"/>
        <v>0</v>
      </c>
    </row>
    <row r="155" spans="1:17">
      <c r="A155" t="str">
        <f>IF(ABS(H155)&gt;0,基础信息!$B$1,"")</f>
        <v/>
      </c>
      <c r="Q155" s="230">
        <f t="shared" si="3"/>
        <v>0</v>
      </c>
    </row>
    <row r="156" spans="1:17">
      <c r="A156" t="str">
        <f>IF(ABS(H156)&gt;0,基础信息!$B$1,"")</f>
        <v/>
      </c>
      <c r="Q156" s="230">
        <f t="shared" si="3"/>
        <v>0</v>
      </c>
    </row>
    <row r="157" spans="1:17">
      <c r="A157" t="str">
        <f>IF(ABS(H157)&gt;0,基础信息!$B$1,"")</f>
        <v/>
      </c>
      <c r="Q157" s="230">
        <f t="shared" si="3"/>
        <v>0</v>
      </c>
    </row>
    <row r="158" spans="1:17">
      <c r="A158" t="str">
        <f>IF(ABS(H158)&gt;0,基础信息!$B$1,"")</f>
        <v/>
      </c>
      <c r="Q158" s="230">
        <f t="shared" si="3"/>
        <v>0</v>
      </c>
    </row>
    <row r="159" spans="1:17">
      <c r="A159" t="str">
        <f>IF(ABS(H159)&gt;0,基础信息!$B$1,"")</f>
        <v/>
      </c>
      <c r="Q159" s="230">
        <f t="shared" si="3"/>
        <v>0</v>
      </c>
    </row>
    <row r="160" spans="1:17">
      <c r="A160" t="str">
        <f>IF(ABS(H160)&gt;0,基础信息!$B$1,"")</f>
        <v/>
      </c>
      <c r="Q160" s="230">
        <f t="shared" si="3"/>
        <v>0</v>
      </c>
    </row>
    <row r="161" spans="1:17">
      <c r="A161" t="str">
        <f>IF(ABS(H161)&gt;0,基础信息!$B$1,"")</f>
        <v/>
      </c>
      <c r="Q161" s="230">
        <f t="shared" si="3"/>
        <v>0</v>
      </c>
    </row>
    <row r="162" spans="1:17">
      <c r="A162" t="str">
        <f>IF(ABS(H162)&gt;0,基础信息!$B$1,"")</f>
        <v/>
      </c>
      <c r="Q162" s="230">
        <f t="shared" si="3"/>
        <v>0</v>
      </c>
    </row>
    <row r="163" spans="1:17">
      <c r="A163" t="str">
        <f>IF(ABS(H163)&gt;0,基础信息!$B$1,"")</f>
        <v/>
      </c>
      <c r="Q163" s="230">
        <f t="shared" si="3"/>
        <v>0</v>
      </c>
    </row>
    <row r="164" spans="1:17">
      <c r="A164" t="str">
        <f>IF(ABS(H164)&gt;0,基础信息!$B$1,"")</f>
        <v/>
      </c>
      <c r="Q164" s="230">
        <f t="shared" si="3"/>
        <v>0</v>
      </c>
    </row>
    <row r="165" spans="1:17">
      <c r="A165" t="str">
        <f>IF(ABS(H165)&gt;0,基础信息!$B$1,"")</f>
        <v/>
      </c>
      <c r="Q165" s="230">
        <f t="shared" si="3"/>
        <v>0</v>
      </c>
    </row>
    <row r="166" spans="1:17">
      <c r="A166" t="str">
        <f>IF(ABS(H166)&gt;0,基础信息!$B$1,"")</f>
        <v/>
      </c>
      <c r="Q166" s="230">
        <f t="shared" si="3"/>
        <v>0</v>
      </c>
    </row>
    <row r="167" spans="1:17">
      <c r="A167" t="str">
        <f>IF(ABS(H167)&gt;0,基础信息!$B$1,"")</f>
        <v/>
      </c>
      <c r="Q167" s="230">
        <f t="shared" si="3"/>
        <v>0</v>
      </c>
    </row>
    <row r="168" spans="1:17">
      <c r="A168" t="str">
        <f>IF(ABS(H168)&gt;0,基础信息!$B$1,"")</f>
        <v/>
      </c>
      <c r="Q168" s="230">
        <f t="shared" si="3"/>
        <v>0</v>
      </c>
    </row>
    <row r="169" spans="1:17">
      <c r="A169" t="str">
        <f>IF(ABS(H169)&gt;0,基础信息!$B$1,"")</f>
        <v/>
      </c>
      <c r="Q169" s="230">
        <f t="shared" si="3"/>
        <v>0</v>
      </c>
    </row>
    <row r="170" spans="1:17">
      <c r="A170" t="str">
        <f>IF(ABS(H170)&gt;0,基础信息!$B$1,"")</f>
        <v/>
      </c>
      <c r="Q170" s="230">
        <f t="shared" si="3"/>
        <v>0</v>
      </c>
    </row>
    <row r="171" spans="1:17">
      <c r="A171" t="str">
        <f>IF(ABS(H171)&gt;0,基础信息!$B$1,"")</f>
        <v/>
      </c>
      <c r="Q171" s="230">
        <f t="shared" si="3"/>
        <v>0</v>
      </c>
    </row>
    <row r="172" spans="1:17">
      <c r="A172" t="str">
        <f>IF(ABS(H172)&gt;0,基础信息!$B$1,"")</f>
        <v/>
      </c>
      <c r="Q172" s="230">
        <f t="shared" si="3"/>
        <v>0</v>
      </c>
    </row>
    <row r="173" spans="1:17">
      <c r="A173" t="str">
        <f>IF(ABS(H173)&gt;0,基础信息!$B$1,"")</f>
        <v/>
      </c>
      <c r="Q173" s="230">
        <f t="shared" si="3"/>
        <v>0</v>
      </c>
    </row>
    <row r="174" spans="1:17">
      <c r="A174" t="str">
        <f>IF(ABS(H174)&gt;0,基础信息!$B$1,"")</f>
        <v/>
      </c>
      <c r="Q174" s="230">
        <f t="shared" si="3"/>
        <v>0</v>
      </c>
    </row>
    <row r="175" spans="1:17">
      <c r="A175" t="str">
        <f>IF(ABS(H175)&gt;0,基础信息!$B$1,"")</f>
        <v/>
      </c>
      <c r="Q175" s="230">
        <f t="shared" si="3"/>
        <v>0</v>
      </c>
    </row>
    <row r="176" spans="1:17">
      <c r="A176" t="str">
        <f>IF(ABS(H176)&gt;0,基础信息!$B$1,"")</f>
        <v/>
      </c>
      <c r="Q176" s="230">
        <f t="shared" si="3"/>
        <v>0</v>
      </c>
    </row>
    <row r="177" spans="1:17">
      <c r="A177" t="str">
        <f>IF(ABS(H177)&gt;0,基础信息!$B$1,"")</f>
        <v/>
      </c>
      <c r="Q177" s="230">
        <f t="shared" si="3"/>
        <v>0</v>
      </c>
    </row>
    <row r="178" spans="1:17">
      <c r="A178" t="str">
        <f>IF(ABS(H178)&gt;0,基础信息!$B$1,"")</f>
        <v/>
      </c>
      <c r="Q178" s="230">
        <f t="shared" si="3"/>
        <v>0</v>
      </c>
    </row>
    <row r="179" spans="1:17">
      <c r="A179" t="str">
        <f>IF(ABS(H179)&gt;0,基础信息!$B$1,"")</f>
        <v/>
      </c>
      <c r="Q179" s="230">
        <f t="shared" si="3"/>
        <v>0</v>
      </c>
    </row>
    <row r="180" spans="1:17">
      <c r="A180" t="str">
        <f>IF(ABS(H180)&gt;0,基础信息!$B$1,"")</f>
        <v/>
      </c>
      <c r="Q180" s="230">
        <f t="shared" si="3"/>
        <v>0</v>
      </c>
    </row>
    <row r="181" spans="1:17">
      <c r="A181" t="str">
        <f>IF(ABS(H181)&gt;0,基础信息!$B$1,"")</f>
        <v/>
      </c>
      <c r="Q181" s="230">
        <f t="shared" si="3"/>
        <v>0</v>
      </c>
    </row>
    <row r="182" spans="1:17">
      <c r="A182" t="str">
        <f>IF(ABS(H182)&gt;0,基础信息!$B$1,"")</f>
        <v/>
      </c>
      <c r="Q182" s="230">
        <f t="shared" si="3"/>
        <v>0</v>
      </c>
    </row>
    <row r="183" spans="1:17">
      <c r="A183" t="str">
        <f>IF(ABS(H183)&gt;0,基础信息!$B$1,"")</f>
        <v/>
      </c>
      <c r="Q183" s="230">
        <f t="shared" si="3"/>
        <v>0</v>
      </c>
    </row>
    <row r="184" spans="1:17">
      <c r="A184" t="str">
        <f>IF(ABS(H184)&gt;0,基础信息!$B$1,"")</f>
        <v/>
      </c>
      <c r="Q184" s="230">
        <f t="shared" si="3"/>
        <v>0</v>
      </c>
    </row>
    <row r="185" spans="1:17">
      <c r="A185" t="str">
        <f>IF(ABS(H185)&gt;0,基础信息!$B$1,"")</f>
        <v/>
      </c>
      <c r="Q185" s="230">
        <f t="shared" si="3"/>
        <v>0</v>
      </c>
    </row>
    <row r="186" spans="1:17">
      <c r="A186" t="str">
        <f>IF(ABS(H186)&gt;0,基础信息!$B$1,"")</f>
        <v/>
      </c>
      <c r="Q186" s="230">
        <f t="shared" si="3"/>
        <v>0</v>
      </c>
    </row>
    <row r="187" spans="1:17">
      <c r="A187" t="str">
        <f>IF(ABS(H187)&gt;0,基础信息!$B$1,"")</f>
        <v/>
      </c>
      <c r="Q187" s="230">
        <f t="shared" si="3"/>
        <v>0</v>
      </c>
    </row>
    <row r="188" spans="1:17">
      <c r="A188" t="str">
        <f>IF(ABS(H188)&gt;0,基础信息!$B$1,"")</f>
        <v/>
      </c>
      <c r="Q188" s="230">
        <f t="shared" si="3"/>
        <v>0</v>
      </c>
    </row>
    <row r="189" spans="1:17">
      <c r="A189" t="str">
        <f>IF(ABS(H189)&gt;0,基础信息!$B$1,"")</f>
        <v/>
      </c>
      <c r="Q189" s="230">
        <f t="shared" si="3"/>
        <v>0</v>
      </c>
    </row>
    <row r="190" spans="1:17">
      <c r="A190" t="str">
        <f>IF(ABS(H190)&gt;0,基础信息!$B$1,"")</f>
        <v/>
      </c>
      <c r="Q190" s="230">
        <f t="shared" si="3"/>
        <v>0</v>
      </c>
    </row>
    <row r="191" spans="1:17">
      <c r="A191" t="str">
        <f>IF(ABS(H191)&gt;0,基础信息!$B$1,"")</f>
        <v/>
      </c>
      <c r="Q191" s="230">
        <f t="shared" si="3"/>
        <v>0</v>
      </c>
    </row>
    <row r="192" spans="1:17">
      <c r="A192" t="str">
        <f>IF(ABS(H192)&gt;0,基础信息!$B$1,"")</f>
        <v/>
      </c>
      <c r="Q192" s="230">
        <f t="shared" si="3"/>
        <v>0</v>
      </c>
    </row>
    <row r="193" spans="1:17">
      <c r="A193" t="str">
        <f>IF(ABS(H193)&gt;0,基础信息!$B$1,"")</f>
        <v/>
      </c>
      <c r="Q193" s="230">
        <f t="shared" si="3"/>
        <v>0</v>
      </c>
    </row>
    <row r="194" spans="1:17">
      <c r="A194" t="str">
        <f>IF(ABS(H194)&gt;0,基础信息!$B$1,"")</f>
        <v/>
      </c>
      <c r="Q194" s="230">
        <f t="shared" si="3"/>
        <v>0</v>
      </c>
    </row>
    <row r="195" spans="1:17">
      <c r="A195" t="str">
        <f>IF(ABS(H195)&gt;0,基础信息!$B$1,"")</f>
        <v/>
      </c>
      <c r="Q195" s="230">
        <f t="shared" ref="Q195:Q258" si="4">M195+N195-O195-P195</f>
        <v>0</v>
      </c>
    </row>
    <row r="196" spans="1:17">
      <c r="A196" t="str">
        <f>IF(ABS(H196)&gt;0,基础信息!$B$1,"")</f>
        <v/>
      </c>
      <c r="Q196" s="230">
        <f t="shared" si="4"/>
        <v>0</v>
      </c>
    </row>
    <row r="197" spans="1:17">
      <c r="A197" t="str">
        <f>IF(ABS(H197)&gt;0,基础信息!$B$1,"")</f>
        <v/>
      </c>
      <c r="Q197" s="230">
        <f t="shared" si="4"/>
        <v>0</v>
      </c>
    </row>
    <row r="198" spans="1:17">
      <c r="A198" t="str">
        <f>IF(ABS(H198)&gt;0,基础信息!$B$1,"")</f>
        <v/>
      </c>
      <c r="Q198" s="230">
        <f t="shared" si="4"/>
        <v>0</v>
      </c>
    </row>
    <row r="199" spans="1:17">
      <c r="A199" t="str">
        <f>IF(ABS(H199)&gt;0,基础信息!$B$1,"")</f>
        <v/>
      </c>
      <c r="Q199" s="230">
        <f t="shared" si="4"/>
        <v>0</v>
      </c>
    </row>
    <row r="200" spans="1:17">
      <c r="A200" t="str">
        <f>IF(ABS(H200)&gt;0,基础信息!$B$1,"")</f>
        <v/>
      </c>
      <c r="Q200" s="230">
        <f t="shared" si="4"/>
        <v>0</v>
      </c>
    </row>
    <row r="201" spans="1:17">
      <c r="A201" t="str">
        <f>IF(ABS(H201)&gt;0,基础信息!$B$1,"")</f>
        <v/>
      </c>
      <c r="Q201" s="230">
        <f t="shared" si="4"/>
        <v>0</v>
      </c>
    </row>
    <row r="202" spans="1:17">
      <c r="A202" t="str">
        <f>IF(ABS(H202)&gt;0,基础信息!$B$1,"")</f>
        <v/>
      </c>
      <c r="Q202" s="230">
        <f t="shared" si="4"/>
        <v>0</v>
      </c>
    </row>
    <row r="203" spans="1:17">
      <c r="A203" t="str">
        <f>IF(ABS(H203)&gt;0,基础信息!$B$1,"")</f>
        <v/>
      </c>
      <c r="Q203" s="230">
        <f t="shared" si="4"/>
        <v>0</v>
      </c>
    </row>
    <row r="204" spans="1:17">
      <c r="A204" t="str">
        <f>IF(ABS(H204)&gt;0,基础信息!$B$1,"")</f>
        <v/>
      </c>
      <c r="Q204" s="230">
        <f t="shared" si="4"/>
        <v>0</v>
      </c>
    </row>
    <row r="205" spans="1:17">
      <c r="A205" t="str">
        <f>IF(ABS(H205)&gt;0,基础信息!$B$1,"")</f>
        <v/>
      </c>
      <c r="Q205" s="230">
        <f t="shared" si="4"/>
        <v>0</v>
      </c>
    </row>
    <row r="206" spans="1:17">
      <c r="A206" t="str">
        <f>IF(ABS(H206)&gt;0,基础信息!$B$1,"")</f>
        <v/>
      </c>
      <c r="Q206" s="230">
        <f t="shared" si="4"/>
        <v>0</v>
      </c>
    </row>
    <row r="207" spans="1:17">
      <c r="A207" t="str">
        <f>IF(ABS(H207)&gt;0,基础信息!$B$1,"")</f>
        <v/>
      </c>
      <c r="Q207" s="230">
        <f t="shared" si="4"/>
        <v>0</v>
      </c>
    </row>
    <row r="208" spans="1:17">
      <c r="A208" t="str">
        <f>IF(ABS(H208)&gt;0,基础信息!$B$1,"")</f>
        <v/>
      </c>
      <c r="Q208" s="230">
        <f t="shared" si="4"/>
        <v>0</v>
      </c>
    </row>
    <row r="209" spans="1:17">
      <c r="A209" t="str">
        <f>IF(ABS(H209)&gt;0,基础信息!$B$1,"")</f>
        <v/>
      </c>
      <c r="Q209" s="230">
        <f t="shared" si="4"/>
        <v>0</v>
      </c>
    </row>
    <row r="210" spans="1:17">
      <c r="A210" t="str">
        <f>IF(ABS(H210)&gt;0,基础信息!$B$1,"")</f>
        <v/>
      </c>
      <c r="Q210" s="230">
        <f t="shared" si="4"/>
        <v>0</v>
      </c>
    </row>
    <row r="211" spans="1:17">
      <c r="A211" t="str">
        <f>IF(ABS(H211)&gt;0,基础信息!$B$1,"")</f>
        <v/>
      </c>
      <c r="Q211" s="230">
        <f t="shared" si="4"/>
        <v>0</v>
      </c>
    </row>
    <row r="212" spans="1:17">
      <c r="A212" t="str">
        <f>IF(ABS(H212)&gt;0,基础信息!$B$1,"")</f>
        <v/>
      </c>
      <c r="Q212" s="230">
        <f t="shared" si="4"/>
        <v>0</v>
      </c>
    </row>
    <row r="213" spans="1:17">
      <c r="A213" t="str">
        <f>IF(ABS(H213)&gt;0,基础信息!$B$1,"")</f>
        <v/>
      </c>
      <c r="Q213" s="230">
        <f t="shared" si="4"/>
        <v>0</v>
      </c>
    </row>
    <row r="214" spans="1:17">
      <c r="A214" t="str">
        <f>IF(ABS(H214)&gt;0,基础信息!$B$1,"")</f>
        <v/>
      </c>
      <c r="Q214" s="230">
        <f t="shared" si="4"/>
        <v>0</v>
      </c>
    </row>
    <row r="215" spans="1:17">
      <c r="A215" t="str">
        <f>IF(ABS(H215)&gt;0,基础信息!$B$1,"")</f>
        <v/>
      </c>
      <c r="Q215" s="230">
        <f t="shared" si="4"/>
        <v>0</v>
      </c>
    </row>
    <row r="216" spans="1:17">
      <c r="A216" t="str">
        <f>IF(ABS(H216)&gt;0,基础信息!$B$1,"")</f>
        <v/>
      </c>
      <c r="Q216" s="230">
        <f t="shared" si="4"/>
        <v>0</v>
      </c>
    </row>
    <row r="217" spans="1:17">
      <c r="A217" t="str">
        <f>IF(ABS(H217)&gt;0,基础信息!$B$1,"")</f>
        <v/>
      </c>
      <c r="Q217" s="230">
        <f t="shared" si="4"/>
        <v>0</v>
      </c>
    </row>
    <row r="218" spans="1:17">
      <c r="A218" t="str">
        <f>IF(ABS(H218)&gt;0,基础信息!$B$1,"")</f>
        <v/>
      </c>
      <c r="Q218" s="230">
        <f t="shared" si="4"/>
        <v>0</v>
      </c>
    </row>
    <row r="219" spans="1:17">
      <c r="A219" t="str">
        <f>IF(ABS(H219)&gt;0,基础信息!$B$1,"")</f>
        <v/>
      </c>
      <c r="Q219" s="230">
        <f t="shared" si="4"/>
        <v>0</v>
      </c>
    </row>
    <row r="220" spans="1:17">
      <c r="A220" t="str">
        <f>IF(ABS(H220)&gt;0,基础信息!$B$1,"")</f>
        <v/>
      </c>
      <c r="Q220" s="230">
        <f t="shared" si="4"/>
        <v>0</v>
      </c>
    </row>
    <row r="221" spans="1:17">
      <c r="A221" t="str">
        <f>IF(ABS(H221)&gt;0,基础信息!$B$1,"")</f>
        <v/>
      </c>
      <c r="Q221" s="230">
        <f t="shared" si="4"/>
        <v>0</v>
      </c>
    </row>
    <row r="222" spans="1:17">
      <c r="A222" t="str">
        <f>IF(ABS(H222)&gt;0,基础信息!$B$1,"")</f>
        <v/>
      </c>
      <c r="Q222" s="230">
        <f t="shared" si="4"/>
        <v>0</v>
      </c>
    </row>
    <row r="223" spans="1:17">
      <c r="A223" t="str">
        <f>IF(ABS(H223)&gt;0,基础信息!$B$1,"")</f>
        <v/>
      </c>
      <c r="Q223" s="230">
        <f t="shared" si="4"/>
        <v>0</v>
      </c>
    </row>
    <row r="224" spans="1:17">
      <c r="A224" t="str">
        <f>IF(ABS(H224)&gt;0,基础信息!$B$1,"")</f>
        <v/>
      </c>
      <c r="Q224" s="230">
        <f t="shared" si="4"/>
        <v>0</v>
      </c>
    </row>
    <row r="225" spans="1:17">
      <c r="A225" t="str">
        <f>IF(ABS(H225)&gt;0,基础信息!$B$1,"")</f>
        <v/>
      </c>
      <c r="Q225" s="230">
        <f t="shared" si="4"/>
        <v>0</v>
      </c>
    </row>
    <row r="226" spans="1:17">
      <c r="A226" t="str">
        <f>IF(ABS(H226)&gt;0,基础信息!$B$1,"")</f>
        <v/>
      </c>
      <c r="Q226" s="230">
        <f t="shared" si="4"/>
        <v>0</v>
      </c>
    </row>
    <row r="227" spans="1:17">
      <c r="A227" t="str">
        <f>IF(ABS(H227)&gt;0,基础信息!$B$1,"")</f>
        <v/>
      </c>
      <c r="Q227" s="230">
        <f t="shared" si="4"/>
        <v>0</v>
      </c>
    </row>
    <row r="228" spans="1:17">
      <c r="A228" t="str">
        <f>IF(ABS(H228)&gt;0,基础信息!$B$1,"")</f>
        <v/>
      </c>
      <c r="Q228" s="230">
        <f t="shared" si="4"/>
        <v>0</v>
      </c>
    </row>
    <row r="229" spans="1:17">
      <c r="A229" t="str">
        <f>IF(ABS(H229)&gt;0,基础信息!$B$1,"")</f>
        <v/>
      </c>
      <c r="Q229" s="230">
        <f t="shared" si="4"/>
        <v>0</v>
      </c>
    </row>
    <row r="230" spans="1:17">
      <c r="A230" t="str">
        <f>IF(ABS(H230)&gt;0,基础信息!$B$1,"")</f>
        <v/>
      </c>
      <c r="Q230" s="230">
        <f t="shared" si="4"/>
        <v>0</v>
      </c>
    </row>
    <row r="231" spans="1:17">
      <c r="A231" t="str">
        <f>IF(ABS(H231)&gt;0,基础信息!$B$1,"")</f>
        <v/>
      </c>
      <c r="Q231" s="230">
        <f t="shared" si="4"/>
        <v>0</v>
      </c>
    </row>
    <row r="232" spans="1:17">
      <c r="A232" t="str">
        <f>IF(ABS(H232)&gt;0,基础信息!$B$1,"")</f>
        <v/>
      </c>
      <c r="Q232" s="230">
        <f t="shared" si="4"/>
        <v>0</v>
      </c>
    </row>
    <row r="233" spans="1:17">
      <c r="A233" t="str">
        <f>IF(ABS(H233)&gt;0,基础信息!$B$1,"")</f>
        <v/>
      </c>
      <c r="Q233" s="230">
        <f t="shared" si="4"/>
        <v>0</v>
      </c>
    </row>
    <row r="234" spans="1:17">
      <c r="A234" t="str">
        <f>IF(ABS(H234)&gt;0,基础信息!$B$1,"")</f>
        <v/>
      </c>
      <c r="Q234" s="230">
        <f t="shared" si="4"/>
        <v>0</v>
      </c>
    </row>
    <row r="235" spans="1:17">
      <c r="A235" t="str">
        <f>IF(ABS(H235)&gt;0,基础信息!$B$1,"")</f>
        <v/>
      </c>
      <c r="Q235" s="230">
        <f t="shared" si="4"/>
        <v>0</v>
      </c>
    </row>
    <row r="236" spans="1:17">
      <c r="A236" t="str">
        <f>IF(ABS(H236)&gt;0,基础信息!$B$1,"")</f>
        <v/>
      </c>
      <c r="Q236" s="230">
        <f t="shared" si="4"/>
        <v>0</v>
      </c>
    </row>
    <row r="237" spans="1:17">
      <c r="A237" t="str">
        <f>IF(ABS(H237)&gt;0,基础信息!$B$1,"")</f>
        <v/>
      </c>
      <c r="Q237" s="230">
        <f t="shared" si="4"/>
        <v>0</v>
      </c>
    </row>
    <row r="238" spans="1:17">
      <c r="A238" t="str">
        <f>IF(ABS(H238)&gt;0,基础信息!$B$1,"")</f>
        <v/>
      </c>
      <c r="Q238" s="230">
        <f t="shared" si="4"/>
        <v>0</v>
      </c>
    </row>
    <row r="239" spans="1:17">
      <c r="A239" t="str">
        <f>IF(ABS(H239)&gt;0,基础信息!$B$1,"")</f>
        <v/>
      </c>
      <c r="Q239" s="230">
        <f t="shared" si="4"/>
        <v>0</v>
      </c>
    </row>
    <row r="240" spans="1:17">
      <c r="A240" t="str">
        <f>IF(ABS(H240)&gt;0,基础信息!$B$1,"")</f>
        <v/>
      </c>
      <c r="Q240" s="230">
        <f t="shared" si="4"/>
        <v>0</v>
      </c>
    </row>
    <row r="241" spans="1:17">
      <c r="A241" t="str">
        <f>IF(ABS(H241)&gt;0,基础信息!$B$1,"")</f>
        <v/>
      </c>
      <c r="Q241" s="230">
        <f t="shared" si="4"/>
        <v>0</v>
      </c>
    </row>
    <row r="242" spans="1:17">
      <c r="A242" t="str">
        <f>IF(ABS(H242)&gt;0,基础信息!$B$1,"")</f>
        <v/>
      </c>
      <c r="Q242" s="230">
        <f t="shared" si="4"/>
        <v>0</v>
      </c>
    </row>
    <row r="243" spans="1:17">
      <c r="A243" t="str">
        <f>IF(ABS(H243)&gt;0,基础信息!$B$1,"")</f>
        <v/>
      </c>
      <c r="Q243" s="230">
        <f t="shared" si="4"/>
        <v>0</v>
      </c>
    </row>
    <row r="244" spans="1:17">
      <c r="A244" t="str">
        <f>IF(ABS(H244)&gt;0,基础信息!$B$1,"")</f>
        <v/>
      </c>
      <c r="Q244" s="230">
        <f t="shared" si="4"/>
        <v>0</v>
      </c>
    </row>
    <row r="245" spans="1:17">
      <c r="A245" t="str">
        <f>IF(ABS(H245)&gt;0,基础信息!$B$1,"")</f>
        <v/>
      </c>
      <c r="Q245" s="230">
        <f t="shared" si="4"/>
        <v>0</v>
      </c>
    </row>
    <row r="246" spans="1:17">
      <c r="A246" t="str">
        <f>IF(ABS(H246)&gt;0,基础信息!$B$1,"")</f>
        <v/>
      </c>
      <c r="Q246" s="230">
        <f t="shared" si="4"/>
        <v>0</v>
      </c>
    </row>
    <row r="247" spans="1:17">
      <c r="A247" t="str">
        <f>IF(ABS(H247)&gt;0,基础信息!$B$1,"")</f>
        <v/>
      </c>
      <c r="Q247" s="230">
        <f t="shared" si="4"/>
        <v>0</v>
      </c>
    </row>
    <row r="248" spans="1:17">
      <c r="A248" t="str">
        <f>IF(ABS(H248)&gt;0,基础信息!$B$1,"")</f>
        <v/>
      </c>
      <c r="Q248" s="230">
        <f t="shared" si="4"/>
        <v>0</v>
      </c>
    </row>
    <row r="249" spans="1:17">
      <c r="A249" t="str">
        <f>IF(ABS(H249)&gt;0,基础信息!$B$1,"")</f>
        <v/>
      </c>
      <c r="Q249" s="230">
        <f t="shared" si="4"/>
        <v>0</v>
      </c>
    </row>
    <row r="250" spans="1:17">
      <c r="A250" t="str">
        <f>IF(ABS(H250)&gt;0,基础信息!$B$1,"")</f>
        <v/>
      </c>
      <c r="Q250" s="230">
        <f t="shared" si="4"/>
        <v>0</v>
      </c>
    </row>
    <row r="251" spans="1:17">
      <c r="A251" t="str">
        <f>IF(ABS(H251)&gt;0,基础信息!$B$1,"")</f>
        <v/>
      </c>
      <c r="Q251" s="230">
        <f t="shared" si="4"/>
        <v>0</v>
      </c>
    </row>
    <row r="252" spans="1:17">
      <c r="A252" t="str">
        <f>IF(ABS(H252)&gt;0,基础信息!$B$1,"")</f>
        <v/>
      </c>
      <c r="Q252" s="230">
        <f t="shared" si="4"/>
        <v>0</v>
      </c>
    </row>
    <row r="253" spans="1:17">
      <c r="A253" t="str">
        <f>IF(ABS(H253)&gt;0,基础信息!$B$1,"")</f>
        <v/>
      </c>
      <c r="Q253" s="230">
        <f t="shared" si="4"/>
        <v>0</v>
      </c>
    </row>
    <row r="254" spans="1:17">
      <c r="A254" t="str">
        <f>IF(ABS(H254)&gt;0,基础信息!$B$1,"")</f>
        <v/>
      </c>
      <c r="Q254" s="230">
        <f t="shared" si="4"/>
        <v>0</v>
      </c>
    </row>
    <row r="255" spans="1:17">
      <c r="A255" t="str">
        <f>IF(ABS(H255)&gt;0,基础信息!$B$1,"")</f>
        <v/>
      </c>
      <c r="Q255" s="230">
        <f t="shared" si="4"/>
        <v>0</v>
      </c>
    </row>
    <row r="256" spans="1:17">
      <c r="A256" t="str">
        <f>IF(ABS(H256)&gt;0,基础信息!$B$1,"")</f>
        <v/>
      </c>
      <c r="Q256" s="230">
        <f t="shared" si="4"/>
        <v>0</v>
      </c>
    </row>
    <row r="257" spans="1:17">
      <c r="A257" t="str">
        <f>IF(ABS(H257)&gt;0,基础信息!$B$1,"")</f>
        <v/>
      </c>
      <c r="Q257" s="230">
        <f t="shared" si="4"/>
        <v>0</v>
      </c>
    </row>
    <row r="258" spans="1:17">
      <c r="A258" t="str">
        <f>IF(ABS(H258)&gt;0,基础信息!$B$1,"")</f>
        <v/>
      </c>
      <c r="Q258" s="230">
        <f t="shared" si="4"/>
        <v>0</v>
      </c>
    </row>
    <row r="259" spans="1:17">
      <c r="A259" t="str">
        <f>IF(ABS(H259)&gt;0,基础信息!$B$1,"")</f>
        <v/>
      </c>
      <c r="Q259" s="230">
        <f t="shared" ref="Q259:Q322" si="5">M259+N259-O259-P259</f>
        <v>0</v>
      </c>
    </row>
    <row r="260" spans="1:17">
      <c r="A260" t="str">
        <f>IF(ABS(H260)&gt;0,基础信息!$B$1,"")</f>
        <v/>
      </c>
      <c r="Q260" s="230">
        <f t="shared" si="5"/>
        <v>0</v>
      </c>
    </row>
    <row r="261" spans="1:17">
      <c r="A261" t="str">
        <f>IF(ABS(H261)&gt;0,基础信息!$B$1,"")</f>
        <v/>
      </c>
      <c r="Q261" s="230">
        <f t="shared" si="5"/>
        <v>0</v>
      </c>
    </row>
    <row r="262" spans="1:17">
      <c r="A262" t="str">
        <f>IF(ABS(H262)&gt;0,基础信息!$B$1,"")</f>
        <v/>
      </c>
      <c r="Q262" s="230">
        <f t="shared" si="5"/>
        <v>0</v>
      </c>
    </row>
    <row r="263" spans="1:17">
      <c r="A263" t="str">
        <f>IF(ABS(H263)&gt;0,基础信息!$B$1,"")</f>
        <v/>
      </c>
      <c r="Q263" s="230">
        <f t="shared" si="5"/>
        <v>0</v>
      </c>
    </row>
    <row r="264" spans="1:17">
      <c r="A264" t="str">
        <f>IF(ABS(H264)&gt;0,基础信息!$B$1,"")</f>
        <v/>
      </c>
      <c r="Q264" s="230">
        <f t="shared" si="5"/>
        <v>0</v>
      </c>
    </row>
    <row r="265" spans="1:17">
      <c r="A265" t="str">
        <f>IF(ABS(H265)&gt;0,基础信息!$B$1,"")</f>
        <v/>
      </c>
      <c r="Q265" s="230">
        <f t="shared" si="5"/>
        <v>0</v>
      </c>
    </row>
    <row r="266" spans="1:17">
      <c r="A266" t="str">
        <f>IF(ABS(H266)&gt;0,基础信息!$B$1,"")</f>
        <v/>
      </c>
      <c r="Q266" s="230">
        <f t="shared" si="5"/>
        <v>0</v>
      </c>
    </row>
    <row r="267" spans="1:17">
      <c r="A267" t="str">
        <f>IF(ABS(H267)&gt;0,基础信息!$B$1,"")</f>
        <v/>
      </c>
      <c r="Q267" s="230">
        <f t="shared" si="5"/>
        <v>0</v>
      </c>
    </row>
    <row r="268" spans="1:17">
      <c r="A268" t="str">
        <f>IF(ABS(H268)&gt;0,基础信息!$B$1,"")</f>
        <v/>
      </c>
      <c r="Q268" s="230">
        <f t="shared" si="5"/>
        <v>0</v>
      </c>
    </row>
    <row r="269" spans="1:17">
      <c r="A269" t="str">
        <f>IF(ABS(H269)&gt;0,基础信息!$B$1,"")</f>
        <v/>
      </c>
      <c r="Q269" s="230">
        <f t="shared" si="5"/>
        <v>0</v>
      </c>
    </row>
    <row r="270" spans="1:17">
      <c r="A270" t="str">
        <f>IF(ABS(H270)&gt;0,基础信息!$B$1,"")</f>
        <v/>
      </c>
      <c r="Q270" s="230">
        <f t="shared" si="5"/>
        <v>0</v>
      </c>
    </row>
    <row r="271" spans="1:17">
      <c r="A271" t="str">
        <f>IF(ABS(H271)&gt;0,基础信息!$B$1,"")</f>
        <v/>
      </c>
      <c r="Q271" s="230">
        <f t="shared" si="5"/>
        <v>0</v>
      </c>
    </row>
    <row r="272" spans="1:17">
      <c r="A272" t="str">
        <f>IF(ABS(H272)&gt;0,基础信息!$B$1,"")</f>
        <v/>
      </c>
      <c r="Q272" s="230">
        <f t="shared" si="5"/>
        <v>0</v>
      </c>
    </row>
    <row r="273" spans="1:17">
      <c r="A273" t="str">
        <f>IF(ABS(H273)&gt;0,基础信息!$B$1,"")</f>
        <v/>
      </c>
      <c r="Q273" s="230">
        <f t="shared" si="5"/>
        <v>0</v>
      </c>
    </row>
    <row r="274" spans="1:17">
      <c r="A274" t="str">
        <f>IF(ABS(H274)&gt;0,基础信息!$B$1,"")</f>
        <v/>
      </c>
      <c r="Q274" s="230">
        <f t="shared" si="5"/>
        <v>0</v>
      </c>
    </row>
    <row r="275" spans="1:17">
      <c r="A275" t="str">
        <f>IF(ABS(H275)&gt;0,基础信息!$B$1,"")</f>
        <v/>
      </c>
      <c r="Q275" s="230">
        <f t="shared" si="5"/>
        <v>0</v>
      </c>
    </row>
    <row r="276" spans="1:17">
      <c r="A276" t="str">
        <f>IF(ABS(H276)&gt;0,基础信息!$B$1,"")</f>
        <v/>
      </c>
      <c r="Q276" s="230">
        <f t="shared" si="5"/>
        <v>0</v>
      </c>
    </row>
    <row r="277" spans="1:17">
      <c r="A277" t="str">
        <f>IF(ABS(H277)&gt;0,基础信息!$B$1,"")</f>
        <v/>
      </c>
      <c r="Q277" s="230">
        <f t="shared" si="5"/>
        <v>0</v>
      </c>
    </row>
    <row r="278" spans="1:17">
      <c r="A278" t="str">
        <f>IF(ABS(H278)&gt;0,基础信息!$B$1,"")</f>
        <v/>
      </c>
      <c r="Q278" s="230">
        <f t="shared" si="5"/>
        <v>0</v>
      </c>
    </row>
    <row r="279" spans="1:17">
      <c r="A279" t="str">
        <f>IF(ABS(H279)&gt;0,基础信息!$B$1,"")</f>
        <v/>
      </c>
      <c r="Q279" s="230">
        <f t="shared" si="5"/>
        <v>0</v>
      </c>
    </row>
    <row r="280" spans="1:17">
      <c r="A280" t="str">
        <f>IF(ABS(H280)&gt;0,基础信息!$B$1,"")</f>
        <v/>
      </c>
      <c r="Q280" s="230">
        <f t="shared" si="5"/>
        <v>0</v>
      </c>
    </row>
    <row r="281" spans="1:17">
      <c r="A281" t="str">
        <f>IF(ABS(H281)&gt;0,基础信息!$B$1,"")</f>
        <v/>
      </c>
      <c r="Q281" s="230">
        <f t="shared" si="5"/>
        <v>0</v>
      </c>
    </row>
    <row r="282" spans="1:17">
      <c r="A282" t="str">
        <f>IF(ABS(H282)&gt;0,基础信息!$B$1,"")</f>
        <v/>
      </c>
      <c r="Q282" s="230">
        <f t="shared" si="5"/>
        <v>0</v>
      </c>
    </row>
    <row r="283" spans="1:17">
      <c r="A283" t="str">
        <f>IF(ABS(H283)&gt;0,基础信息!$B$1,"")</f>
        <v/>
      </c>
      <c r="Q283" s="230">
        <f t="shared" si="5"/>
        <v>0</v>
      </c>
    </row>
    <row r="284" spans="1:17">
      <c r="A284" t="str">
        <f>IF(ABS(H284)&gt;0,基础信息!$B$1,"")</f>
        <v/>
      </c>
      <c r="Q284" s="230">
        <f t="shared" si="5"/>
        <v>0</v>
      </c>
    </row>
    <row r="285" spans="1:17">
      <c r="A285" t="str">
        <f>IF(ABS(H285)&gt;0,基础信息!$B$1,"")</f>
        <v/>
      </c>
      <c r="Q285" s="230">
        <f t="shared" si="5"/>
        <v>0</v>
      </c>
    </row>
    <row r="286" spans="1:17">
      <c r="A286" t="str">
        <f>IF(ABS(H286)&gt;0,基础信息!$B$1,"")</f>
        <v/>
      </c>
      <c r="Q286" s="230">
        <f t="shared" si="5"/>
        <v>0</v>
      </c>
    </row>
    <row r="287" spans="1:17">
      <c r="A287" t="str">
        <f>IF(ABS(H287)&gt;0,基础信息!$B$1,"")</f>
        <v/>
      </c>
      <c r="Q287" s="230">
        <f t="shared" si="5"/>
        <v>0</v>
      </c>
    </row>
    <row r="288" spans="1:17">
      <c r="A288" t="str">
        <f>IF(ABS(H288)&gt;0,基础信息!$B$1,"")</f>
        <v/>
      </c>
      <c r="Q288" s="230">
        <f t="shared" si="5"/>
        <v>0</v>
      </c>
    </row>
    <row r="289" spans="1:17">
      <c r="A289" t="str">
        <f>IF(ABS(H289)&gt;0,基础信息!$B$1,"")</f>
        <v/>
      </c>
      <c r="Q289" s="230">
        <f t="shared" si="5"/>
        <v>0</v>
      </c>
    </row>
    <row r="290" spans="1:17">
      <c r="A290" t="str">
        <f>IF(ABS(H290)&gt;0,基础信息!$B$1,"")</f>
        <v/>
      </c>
      <c r="Q290" s="230">
        <f t="shared" si="5"/>
        <v>0</v>
      </c>
    </row>
    <row r="291" spans="1:17">
      <c r="A291" t="str">
        <f>IF(ABS(H291)&gt;0,基础信息!$B$1,"")</f>
        <v/>
      </c>
      <c r="Q291" s="230">
        <f t="shared" si="5"/>
        <v>0</v>
      </c>
    </row>
    <row r="292" spans="1:17">
      <c r="A292" t="str">
        <f>IF(ABS(H292)&gt;0,基础信息!$B$1,"")</f>
        <v/>
      </c>
      <c r="Q292" s="230">
        <f t="shared" si="5"/>
        <v>0</v>
      </c>
    </row>
    <row r="293" spans="1:17">
      <c r="A293" t="str">
        <f>IF(ABS(H293)&gt;0,基础信息!$B$1,"")</f>
        <v/>
      </c>
      <c r="Q293" s="230">
        <f t="shared" si="5"/>
        <v>0</v>
      </c>
    </row>
    <row r="294" spans="1:17">
      <c r="A294" t="str">
        <f>IF(ABS(H294)&gt;0,基础信息!$B$1,"")</f>
        <v/>
      </c>
      <c r="Q294" s="230">
        <f t="shared" si="5"/>
        <v>0</v>
      </c>
    </row>
    <row r="295" spans="1:17">
      <c r="A295" t="str">
        <f>IF(ABS(H295)&gt;0,基础信息!$B$1,"")</f>
        <v/>
      </c>
      <c r="Q295" s="230">
        <f t="shared" si="5"/>
        <v>0</v>
      </c>
    </row>
    <row r="296" spans="1:17">
      <c r="A296" t="str">
        <f>IF(ABS(H296)&gt;0,基础信息!$B$1,"")</f>
        <v/>
      </c>
      <c r="Q296" s="230">
        <f t="shared" si="5"/>
        <v>0</v>
      </c>
    </row>
    <row r="297" spans="1:17">
      <c r="A297" t="str">
        <f>IF(ABS(H297)&gt;0,基础信息!$B$1,"")</f>
        <v/>
      </c>
      <c r="Q297" s="230">
        <f t="shared" si="5"/>
        <v>0</v>
      </c>
    </row>
    <row r="298" spans="1:17">
      <c r="A298" t="str">
        <f>IF(ABS(H298)&gt;0,基础信息!$B$1,"")</f>
        <v/>
      </c>
      <c r="Q298" s="230">
        <f t="shared" si="5"/>
        <v>0</v>
      </c>
    </row>
    <row r="299" spans="1:17">
      <c r="A299" t="str">
        <f>IF(ABS(H299)&gt;0,基础信息!$B$1,"")</f>
        <v/>
      </c>
      <c r="Q299" s="230">
        <f t="shared" si="5"/>
        <v>0</v>
      </c>
    </row>
    <row r="300" spans="1:17">
      <c r="A300" t="str">
        <f>IF(ABS(H300)&gt;0,基础信息!$B$1,"")</f>
        <v/>
      </c>
      <c r="Q300" s="230">
        <f t="shared" si="5"/>
        <v>0</v>
      </c>
    </row>
    <row r="301" spans="1:17">
      <c r="A301" t="str">
        <f>IF(ABS(H301)&gt;0,基础信息!$B$1,"")</f>
        <v/>
      </c>
      <c r="Q301" s="230">
        <f t="shared" si="5"/>
        <v>0</v>
      </c>
    </row>
    <row r="302" spans="1:17">
      <c r="A302" t="str">
        <f>IF(ABS(H302)&gt;0,基础信息!$B$1,"")</f>
        <v/>
      </c>
      <c r="Q302" s="230">
        <f t="shared" si="5"/>
        <v>0</v>
      </c>
    </row>
    <row r="303" spans="1:17">
      <c r="A303" t="str">
        <f>IF(ABS(H303)&gt;0,基础信息!$B$1,"")</f>
        <v/>
      </c>
      <c r="Q303" s="230">
        <f t="shared" si="5"/>
        <v>0</v>
      </c>
    </row>
    <row r="304" spans="1:17">
      <c r="A304" t="str">
        <f>IF(ABS(H304)&gt;0,基础信息!$B$1,"")</f>
        <v/>
      </c>
      <c r="Q304" s="230">
        <f t="shared" si="5"/>
        <v>0</v>
      </c>
    </row>
    <row r="305" spans="1:17">
      <c r="A305" t="str">
        <f>IF(ABS(H305)&gt;0,基础信息!$B$1,"")</f>
        <v/>
      </c>
      <c r="Q305" s="230">
        <f t="shared" si="5"/>
        <v>0</v>
      </c>
    </row>
    <row r="306" spans="1:17">
      <c r="A306" t="str">
        <f>IF(ABS(H306)&gt;0,基础信息!$B$1,"")</f>
        <v/>
      </c>
      <c r="Q306" s="230">
        <f t="shared" si="5"/>
        <v>0</v>
      </c>
    </row>
    <row r="307" spans="1:17">
      <c r="A307" t="str">
        <f>IF(ABS(H307)&gt;0,基础信息!$B$1,"")</f>
        <v/>
      </c>
      <c r="Q307" s="230">
        <f t="shared" si="5"/>
        <v>0</v>
      </c>
    </row>
    <row r="308" spans="1:17">
      <c r="A308" t="str">
        <f>IF(ABS(H308)&gt;0,基础信息!$B$1,"")</f>
        <v/>
      </c>
      <c r="Q308" s="230">
        <f t="shared" si="5"/>
        <v>0</v>
      </c>
    </row>
    <row r="309" spans="1:17">
      <c r="A309" t="str">
        <f>IF(ABS(H309)&gt;0,基础信息!$B$1,"")</f>
        <v/>
      </c>
      <c r="Q309" s="230">
        <f t="shared" si="5"/>
        <v>0</v>
      </c>
    </row>
    <row r="310" spans="1:17">
      <c r="A310" t="str">
        <f>IF(ABS(H310)&gt;0,基础信息!$B$1,"")</f>
        <v/>
      </c>
      <c r="Q310" s="230">
        <f t="shared" si="5"/>
        <v>0</v>
      </c>
    </row>
    <row r="311" spans="1:17">
      <c r="A311" t="str">
        <f>IF(ABS(H311)&gt;0,基础信息!$B$1,"")</f>
        <v/>
      </c>
      <c r="Q311" s="230">
        <f t="shared" si="5"/>
        <v>0</v>
      </c>
    </row>
    <row r="312" spans="1:17">
      <c r="A312" t="str">
        <f>IF(ABS(H312)&gt;0,基础信息!$B$1,"")</f>
        <v/>
      </c>
      <c r="Q312" s="230">
        <f t="shared" si="5"/>
        <v>0</v>
      </c>
    </row>
    <row r="313" spans="1:17">
      <c r="A313" t="str">
        <f>IF(ABS(H313)&gt;0,基础信息!$B$1,"")</f>
        <v/>
      </c>
      <c r="Q313" s="230">
        <f t="shared" si="5"/>
        <v>0</v>
      </c>
    </row>
    <row r="314" spans="1:17">
      <c r="A314" t="str">
        <f>IF(ABS(H314)&gt;0,基础信息!$B$1,"")</f>
        <v/>
      </c>
      <c r="Q314" s="230">
        <f t="shared" si="5"/>
        <v>0</v>
      </c>
    </row>
    <row r="315" spans="1:17">
      <c r="A315" t="str">
        <f>IF(ABS(H315)&gt;0,基础信息!$B$1,"")</f>
        <v/>
      </c>
      <c r="Q315" s="230">
        <f t="shared" si="5"/>
        <v>0</v>
      </c>
    </row>
    <row r="316" spans="1:17">
      <c r="A316" t="str">
        <f>IF(ABS(H316)&gt;0,基础信息!$B$1,"")</f>
        <v/>
      </c>
      <c r="Q316" s="230">
        <f t="shared" si="5"/>
        <v>0</v>
      </c>
    </row>
    <row r="317" spans="1:17">
      <c r="A317" t="str">
        <f>IF(ABS(H317)&gt;0,基础信息!$B$1,"")</f>
        <v/>
      </c>
      <c r="Q317" s="230">
        <f t="shared" si="5"/>
        <v>0</v>
      </c>
    </row>
    <row r="318" spans="1:17">
      <c r="A318" t="str">
        <f>IF(ABS(H318)&gt;0,基础信息!$B$1,"")</f>
        <v/>
      </c>
      <c r="Q318" s="230">
        <f t="shared" si="5"/>
        <v>0</v>
      </c>
    </row>
    <row r="319" spans="1:17">
      <c r="A319" t="str">
        <f>IF(ABS(H319)&gt;0,基础信息!$B$1,"")</f>
        <v/>
      </c>
      <c r="Q319" s="230">
        <f t="shared" si="5"/>
        <v>0</v>
      </c>
    </row>
    <row r="320" spans="1:17">
      <c r="A320" t="str">
        <f>IF(ABS(H320)&gt;0,基础信息!$B$1,"")</f>
        <v/>
      </c>
      <c r="Q320" s="230">
        <f t="shared" si="5"/>
        <v>0</v>
      </c>
    </row>
    <row r="321" spans="1:17">
      <c r="A321" t="str">
        <f>IF(ABS(H321)&gt;0,基础信息!$B$1,"")</f>
        <v/>
      </c>
      <c r="Q321" s="230">
        <f t="shared" si="5"/>
        <v>0</v>
      </c>
    </row>
    <row r="322" spans="1:17">
      <c r="A322" t="str">
        <f>IF(ABS(H322)&gt;0,基础信息!$B$1,"")</f>
        <v/>
      </c>
      <c r="Q322" s="230">
        <f t="shared" si="5"/>
        <v>0</v>
      </c>
    </row>
    <row r="323" spans="1:17">
      <c r="A323" t="str">
        <f>IF(ABS(H323)&gt;0,基础信息!$B$1,"")</f>
        <v/>
      </c>
      <c r="Q323" s="230">
        <f t="shared" ref="Q323:Q343" si="6">M323+N323-O323-P323</f>
        <v>0</v>
      </c>
    </row>
    <row r="324" spans="1:17">
      <c r="A324" t="str">
        <f>IF(ABS(H324)&gt;0,基础信息!$B$1,"")</f>
        <v/>
      </c>
      <c r="Q324" s="230">
        <f t="shared" si="6"/>
        <v>0</v>
      </c>
    </row>
    <row r="325" spans="1:17">
      <c r="A325" t="str">
        <f>IF(ABS(H325)&gt;0,基础信息!$B$1,"")</f>
        <v/>
      </c>
      <c r="Q325" s="230">
        <f t="shared" si="6"/>
        <v>0</v>
      </c>
    </row>
    <row r="326" spans="1:17">
      <c r="A326" t="str">
        <f>IF(ABS(H326)&gt;0,基础信息!$B$1,"")</f>
        <v/>
      </c>
      <c r="Q326" s="230">
        <f t="shared" si="6"/>
        <v>0</v>
      </c>
    </row>
    <row r="327" spans="1:17">
      <c r="A327" t="str">
        <f>IF(ABS(H327)&gt;0,基础信息!$B$1,"")</f>
        <v/>
      </c>
      <c r="Q327" s="230">
        <f t="shared" si="6"/>
        <v>0</v>
      </c>
    </row>
    <row r="328" spans="1:17">
      <c r="A328" t="str">
        <f>IF(ABS(H328)&gt;0,基础信息!$B$1,"")</f>
        <v/>
      </c>
      <c r="Q328" s="230">
        <f t="shared" si="6"/>
        <v>0</v>
      </c>
    </row>
    <row r="329" spans="1:17">
      <c r="A329" t="str">
        <f>IF(ABS(H329)&gt;0,基础信息!$B$1,"")</f>
        <v/>
      </c>
      <c r="Q329" s="230">
        <f t="shared" si="6"/>
        <v>0</v>
      </c>
    </row>
    <row r="330" spans="1:17">
      <c r="A330" t="str">
        <f>IF(ABS(H330)&gt;0,基础信息!$B$1,"")</f>
        <v/>
      </c>
      <c r="Q330" s="230">
        <f t="shared" si="6"/>
        <v>0</v>
      </c>
    </row>
    <row r="331" spans="1:17">
      <c r="A331" t="str">
        <f>IF(ABS(H331)&gt;0,基础信息!$B$1,"")</f>
        <v/>
      </c>
      <c r="Q331" s="230">
        <f t="shared" si="6"/>
        <v>0</v>
      </c>
    </row>
    <row r="332" spans="1:17">
      <c r="A332" t="str">
        <f>IF(ABS(H332)&gt;0,基础信息!$B$1,"")</f>
        <v/>
      </c>
      <c r="Q332" s="230">
        <f t="shared" si="6"/>
        <v>0</v>
      </c>
    </row>
    <row r="333" spans="1:17">
      <c r="A333" t="str">
        <f>IF(ABS(H333)&gt;0,基础信息!$B$1,"")</f>
        <v/>
      </c>
      <c r="Q333" s="230">
        <f t="shared" si="6"/>
        <v>0</v>
      </c>
    </row>
    <row r="334" spans="1:17">
      <c r="A334" t="str">
        <f>IF(ABS(H334)&gt;0,基础信息!$B$1,"")</f>
        <v/>
      </c>
      <c r="Q334" s="230">
        <f t="shared" si="6"/>
        <v>0</v>
      </c>
    </row>
    <row r="335" spans="1:17">
      <c r="A335" t="str">
        <f>IF(ABS(H335)&gt;0,基础信息!$B$1,"")</f>
        <v/>
      </c>
      <c r="Q335" s="230">
        <f t="shared" si="6"/>
        <v>0</v>
      </c>
    </row>
    <row r="336" spans="1:17">
      <c r="A336" t="str">
        <f>IF(ABS(H336)&gt;0,基础信息!$B$1,"")</f>
        <v/>
      </c>
      <c r="Q336" s="230">
        <f t="shared" si="6"/>
        <v>0</v>
      </c>
    </row>
    <row r="337" spans="1:17">
      <c r="A337" t="str">
        <f>IF(ABS(H337)&gt;0,基础信息!$B$1,"")</f>
        <v/>
      </c>
      <c r="Q337" s="230">
        <f t="shared" si="6"/>
        <v>0</v>
      </c>
    </row>
    <row r="338" spans="1:17">
      <c r="A338" t="str">
        <f>IF(ABS(H338)&gt;0,基础信息!$B$1,"")</f>
        <v/>
      </c>
      <c r="Q338" s="230">
        <f t="shared" si="6"/>
        <v>0</v>
      </c>
    </row>
    <row r="339" spans="1:17">
      <c r="A339" t="str">
        <f>IF(ABS(H339)&gt;0,基础信息!$B$1,"")</f>
        <v/>
      </c>
      <c r="Q339" s="230">
        <f t="shared" si="6"/>
        <v>0</v>
      </c>
    </row>
    <row r="340" spans="1:17">
      <c r="A340" t="str">
        <f>IF(ABS(H340)&gt;0,基础信息!$B$1,"")</f>
        <v/>
      </c>
      <c r="Q340" s="230">
        <f t="shared" si="6"/>
        <v>0</v>
      </c>
    </row>
    <row r="341" spans="1:17">
      <c r="A341" t="str">
        <f>IF(ABS(H341)&gt;0,基础信息!$B$1,"")</f>
        <v/>
      </c>
      <c r="Q341" s="230">
        <f t="shared" si="6"/>
        <v>0</v>
      </c>
    </row>
    <row r="342" spans="1:17">
      <c r="A342" t="str">
        <f>IF(ABS(H342)&gt;0,基础信息!$B$1,"")</f>
        <v/>
      </c>
      <c r="Q342" s="230">
        <f t="shared" si="6"/>
        <v>0</v>
      </c>
    </row>
    <row r="343" spans="1:17">
      <c r="A343" t="str">
        <f>IF(ABS(H343)&gt;0,基础信息!$B$1,"")</f>
        <v/>
      </c>
      <c r="Q343" s="230">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F23E14B-A2AB-45D9-B56A-9AC0F8689C60}">
          <x14:formula1>
            <xm:f>分类表!#REF!</xm:f>
          </x14:formula1>
          <xm:sqref>G2:G26 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codeName="Sheet101">
    <tabColor rgb="FFFFC000"/>
  </sheetPr>
  <dimension ref="A1:C4"/>
  <sheetViews>
    <sheetView workbookViewId="0">
      <selection activeCell="H14" sqref="H14:H15"/>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7">
        <f>ROUND(SUMIF(应收款项融资已转让已背书或已贴现未到期明细表!B:B,应收款项融资已转让已背书或已贴现未到期!A2,应收款项融资已转让已背书或已贴现未到期明细表!L:L),2)</f>
        <v>0</v>
      </c>
      <c r="C2" s="137">
        <f>ROUND(SUMIF(应收款项融资已转让已背书或已贴现未到期明细表!B:B,应收款项融资已转让已背书或已贴现未到期!A2,应收款项融资已转让已背书或已贴现未到期明细表!M:M),2)</f>
        <v>0</v>
      </c>
    </row>
    <row r="3" spans="1:3">
      <c r="A3" s="18" t="s">
        <v>9</v>
      </c>
      <c r="B3" s="137">
        <f>ROUND(SUMIF(应收款项融资已转让已背书或已贴现未到期明细表!B:B,应收款项融资已转让已背书或已贴现未到期!A3,应收款项融资已转让已背书或已贴现未到期明细表!L:L),2)</f>
        <v>0</v>
      </c>
      <c r="C3" s="137">
        <f>ROUND(SUMIF(应收款项融资已转让已背书或已贴现未到期明细表!B:B,应收款项融资已转让已背书或已贴现未到期!A3,应收款项融资已转让已背书或已贴现未到期明细表!M:M),2)</f>
        <v>0</v>
      </c>
    </row>
    <row r="4" spans="1:3">
      <c r="A4" s="18" t="s">
        <v>204</v>
      </c>
      <c r="B4" s="1">
        <f>ROUND(SUM(B2:B3),2)</f>
        <v>0</v>
      </c>
      <c r="C4" s="1">
        <f>ROUND(SUM(C2:C3),2)</f>
        <v>0</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sheetPr codeName="Sheet102"/>
  <dimension ref="A1:M21"/>
  <sheetViews>
    <sheetView workbookViewId="0">
      <selection activeCell="A6" sqref="A6"/>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2427</v>
      </c>
      <c r="B1" t="s">
        <v>4264</v>
      </c>
      <c r="C1" t="s">
        <v>2425</v>
      </c>
      <c r="D1" t="s">
        <v>2426</v>
      </c>
      <c r="E1" t="s">
        <v>2429</v>
      </c>
      <c r="F1" t="s">
        <v>2424</v>
      </c>
      <c r="G1" t="s">
        <v>404</v>
      </c>
      <c r="H1" t="s">
        <v>183</v>
      </c>
      <c r="I1" t="s">
        <v>213</v>
      </c>
      <c r="J1" t="s">
        <v>2432</v>
      </c>
      <c r="K1" t="s">
        <v>2433</v>
      </c>
      <c r="L1" t="s">
        <v>2430</v>
      </c>
      <c r="M1" t="s">
        <v>2431</v>
      </c>
    </row>
    <row r="2" spans="1:13">
      <c r="A2" t="str">
        <f>IF(ABS(H2)&gt;0,基础信息!$B$1,"")</f>
        <v/>
      </c>
      <c r="B2" s="277"/>
      <c r="C2" s="256"/>
      <c r="D2" s="277"/>
      <c r="E2" s="277"/>
      <c r="F2" s="256"/>
      <c r="G2" s="256"/>
      <c r="H2" s="256"/>
      <c r="I2" s="256"/>
      <c r="J2" s="256"/>
      <c r="K2" s="256"/>
      <c r="L2" s="256"/>
      <c r="M2" s="256"/>
    </row>
    <row r="3" spans="1:13">
      <c r="A3" t="str">
        <f>IF(ABS(H3)&gt;0,基础信息!$B$1,"")</f>
        <v/>
      </c>
      <c r="B3" s="277"/>
      <c r="C3" s="256"/>
      <c r="D3" s="277"/>
      <c r="E3" s="277"/>
      <c r="F3" s="256"/>
      <c r="G3" s="256"/>
      <c r="H3" s="256"/>
      <c r="I3" s="256"/>
      <c r="J3" s="256"/>
      <c r="K3" s="256"/>
      <c r="L3" s="256"/>
      <c r="M3" s="256"/>
    </row>
    <row r="4" spans="1:13">
      <c r="A4" t="str">
        <f>IF(ABS(H4)&gt;0,基础信息!$B$1,"")</f>
        <v/>
      </c>
      <c r="B4" s="277"/>
      <c r="C4" s="256"/>
      <c r="D4" s="277"/>
      <c r="E4" s="277"/>
      <c r="F4" s="256"/>
      <c r="G4" s="256"/>
      <c r="H4" s="256"/>
      <c r="I4" s="256"/>
      <c r="J4" s="256"/>
      <c r="K4" s="256"/>
      <c r="L4" s="256"/>
      <c r="M4" s="256"/>
    </row>
    <row r="5" spans="1:13">
      <c r="A5" t="str">
        <f>IF(ABS(H5)&gt;0,基础信息!$B$1,"")</f>
        <v/>
      </c>
      <c r="B5" s="277"/>
      <c r="C5" s="256"/>
      <c r="D5" s="277"/>
      <c r="E5" s="277"/>
      <c r="F5" s="256"/>
      <c r="G5" s="256"/>
      <c r="H5" s="256"/>
      <c r="I5" s="256"/>
      <c r="J5" s="256"/>
      <c r="K5" s="256"/>
      <c r="L5" s="256"/>
      <c r="M5" s="256"/>
    </row>
    <row r="6" spans="1:13">
      <c r="A6" t="str">
        <f>IF(ABS(H6)&gt;0,基础信息!$B$1,"")</f>
        <v/>
      </c>
      <c r="B6" s="277"/>
      <c r="C6" s="256"/>
      <c r="D6" s="277"/>
      <c r="E6" s="277"/>
      <c r="F6" s="256"/>
      <c r="G6" s="256"/>
      <c r="H6" s="256"/>
      <c r="I6" s="256"/>
      <c r="J6" s="256"/>
      <c r="K6" s="256"/>
      <c r="L6" s="256"/>
      <c r="M6" s="256"/>
    </row>
    <row r="7" spans="1:13">
      <c r="A7" t="str">
        <f>IF(ABS(H7)&gt;0,基础信息!$B$1,"")</f>
        <v/>
      </c>
      <c r="B7" s="277"/>
      <c r="C7" s="256"/>
      <c r="D7" s="277"/>
      <c r="E7" s="277"/>
      <c r="F7" s="256"/>
      <c r="G7" s="256"/>
      <c r="H7" s="256"/>
      <c r="I7" s="256"/>
      <c r="J7" s="256"/>
      <c r="K7" s="256"/>
      <c r="L7" s="256"/>
      <c r="M7" s="256"/>
    </row>
    <row r="8" spans="1:13">
      <c r="A8" t="str">
        <f>IF(ABS(H8)&gt;0,基础信息!$B$1,"")</f>
        <v/>
      </c>
      <c r="B8" s="277"/>
      <c r="C8" s="256"/>
      <c r="D8" s="277"/>
      <c r="E8" s="277"/>
      <c r="F8" s="256"/>
      <c r="G8" s="256"/>
      <c r="H8" s="256"/>
      <c r="I8" s="256"/>
      <c r="J8" s="256"/>
      <c r="K8" s="256"/>
      <c r="L8" s="256"/>
      <c r="M8" s="256"/>
    </row>
    <row r="9" spans="1:13">
      <c r="A9" t="str">
        <f>IF(ABS(H9)&gt;0,基础信息!$B$1,"")</f>
        <v/>
      </c>
      <c r="B9" s="277"/>
      <c r="C9" s="256"/>
      <c r="D9" s="277"/>
      <c r="E9" s="277"/>
      <c r="F9" s="256"/>
      <c r="G9" s="256"/>
      <c r="H9" s="256"/>
      <c r="I9" s="256"/>
      <c r="J9" s="256"/>
      <c r="K9" s="256"/>
      <c r="L9" s="256"/>
      <c r="M9" s="256"/>
    </row>
    <row r="10" spans="1:13">
      <c r="A10" t="str">
        <f>IF(ABS(H10)&gt;0,基础信息!$B$1,"")</f>
        <v/>
      </c>
      <c r="B10" s="277"/>
      <c r="C10" s="256"/>
      <c r="D10" s="277"/>
      <c r="E10" s="277"/>
      <c r="F10" s="256"/>
      <c r="G10" s="256"/>
      <c r="H10" s="256"/>
      <c r="I10" s="256"/>
      <c r="J10" s="256"/>
      <c r="K10" s="256"/>
      <c r="L10" s="256"/>
      <c r="M10" s="256"/>
    </row>
    <row r="11" spans="1:13">
      <c r="A11" t="str">
        <f>IF(ABS(H11)&gt;0,基础信息!$B$1,"")</f>
        <v/>
      </c>
      <c r="B11" s="277"/>
      <c r="C11" s="256"/>
      <c r="D11" s="277"/>
      <c r="E11" s="277"/>
      <c r="F11" s="256"/>
      <c r="G11" s="256"/>
      <c r="H11" s="256"/>
      <c r="I11" s="256"/>
      <c r="J11" s="256"/>
      <c r="K11" s="256"/>
      <c r="L11" s="256"/>
      <c r="M11" s="256"/>
    </row>
    <row r="12" spans="1:13">
      <c r="A12" t="str">
        <f>IF(ABS(H12)&gt;0,基础信息!$B$1,"")</f>
        <v/>
      </c>
      <c r="B12" s="277"/>
      <c r="C12" s="256"/>
      <c r="D12" s="277"/>
      <c r="E12" s="277"/>
      <c r="F12" s="256"/>
      <c r="G12" s="256"/>
      <c r="H12" s="256"/>
      <c r="I12" s="256"/>
      <c r="J12" s="256"/>
      <c r="K12" s="256"/>
      <c r="L12" s="256"/>
      <c r="M12" s="256"/>
    </row>
    <row r="13" spans="1:13">
      <c r="A13" t="str">
        <f>IF(ABS(H13)&gt;0,基础信息!$B$1,"")</f>
        <v/>
      </c>
      <c r="B13" s="277"/>
      <c r="C13" s="256"/>
      <c r="D13" s="277"/>
      <c r="E13" s="277"/>
      <c r="F13" s="256"/>
      <c r="G13" s="256"/>
      <c r="H13" s="256"/>
      <c r="I13" s="256"/>
      <c r="J13" s="256"/>
      <c r="K13" s="256"/>
      <c r="L13" s="256"/>
      <c r="M13" s="256"/>
    </row>
    <row r="14" spans="1:13">
      <c r="A14" t="str">
        <f>IF(ABS(H14)&gt;0,基础信息!$B$1,"")</f>
        <v/>
      </c>
      <c r="B14" s="277"/>
      <c r="C14" s="256"/>
      <c r="D14" s="277"/>
      <c r="E14" s="277"/>
      <c r="F14" s="256"/>
      <c r="G14" s="256"/>
      <c r="H14" s="256"/>
      <c r="I14" s="256"/>
      <c r="J14" s="256"/>
      <c r="K14" s="256"/>
      <c r="L14" s="256"/>
      <c r="M14" s="256"/>
    </row>
    <row r="15" spans="1:13">
      <c r="A15" t="str">
        <f>IF(ABS(H15)&gt;0,基础信息!$B$1,"")</f>
        <v/>
      </c>
      <c r="B15" s="277"/>
      <c r="C15" s="256"/>
      <c r="D15" s="277"/>
      <c r="E15" s="277"/>
      <c r="F15" s="256"/>
      <c r="G15" s="256"/>
      <c r="H15" s="256"/>
      <c r="I15" s="256"/>
      <c r="J15" s="256"/>
      <c r="K15" s="256"/>
      <c r="L15" s="256"/>
      <c r="M15" s="256"/>
    </row>
    <row r="16" spans="1:13">
      <c r="A16" t="str">
        <f>IF(ABS(H16)&gt;0,基础信息!$B$1,"")</f>
        <v/>
      </c>
      <c r="B16" s="277"/>
      <c r="C16" s="256"/>
      <c r="D16" s="277"/>
      <c r="E16" s="277"/>
      <c r="F16" s="256"/>
      <c r="G16" s="256"/>
      <c r="H16" s="256"/>
      <c r="I16" s="256"/>
      <c r="J16" s="256"/>
      <c r="K16" s="256"/>
      <c r="L16" s="256"/>
      <c r="M16" s="256"/>
    </row>
    <row r="17" spans="1:13">
      <c r="A17" t="str">
        <f>IF(ABS(H17)&gt;0,基础信息!$B$1,"")</f>
        <v/>
      </c>
      <c r="B17" s="277"/>
      <c r="C17" s="256"/>
      <c r="D17" s="277"/>
      <c r="E17" s="277"/>
      <c r="F17" s="256"/>
      <c r="G17" s="256"/>
      <c r="H17" s="256"/>
      <c r="I17" s="256"/>
      <c r="J17" s="256"/>
      <c r="K17" s="256"/>
      <c r="L17" s="256"/>
      <c r="M17" s="256"/>
    </row>
    <row r="18" spans="1:13">
      <c r="A18" t="str">
        <f>IF(ABS(H18)&gt;0,基础信息!$B$1,"")</f>
        <v/>
      </c>
      <c r="B18" s="277"/>
      <c r="C18" s="256"/>
      <c r="D18" s="277"/>
      <c r="E18" s="277"/>
      <c r="F18" s="256"/>
      <c r="G18" s="256"/>
      <c r="H18" s="256"/>
      <c r="I18" s="256"/>
      <c r="J18" s="256"/>
      <c r="K18" s="256"/>
      <c r="L18" s="256"/>
      <c r="M18" s="256"/>
    </row>
    <row r="19" spans="1:13">
      <c r="A19" t="str">
        <f>IF(ABS(H19)&gt;0,基础信息!$B$1,"")</f>
        <v/>
      </c>
      <c r="B19" s="277"/>
      <c r="C19" s="256"/>
      <c r="D19" s="277"/>
      <c r="E19" s="277"/>
      <c r="F19" s="256"/>
      <c r="G19" s="256"/>
      <c r="H19" s="256"/>
      <c r="I19" s="256"/>
      <c r="J19" s="256"/>
      <c r="K19" s="256"/>
      <c r="L19" s="256"/>
      <c r="M19" s="256"/>
    </row>
    <row r="20" spans="1:13">
      <c r="A20" t="str">
        <f>IF(ABS(H20)&gt;0,基础信息!$B$1,"")</f>
        <v/>
      </c>
      <c r="B20" s="277"/>
      <c r="C20" s="256"/>
      <c r="D20" s="277"/>
      <c r="E20" s="277"/>
      <c r="F20" s="256"/>
      <c r="G20" s="256"/>
      <c r="H20" s="256"/>
      <c r="I20" s="256"/>
      <c r="J20" s="256"/>
      <c r="K20" s="256"/>
      <c r="L20" s="256"/>
      <c r="M20" s="256"/>
    </row>
    <row r="21" spans="1:13">
      <c r="A21" t="str">
        <f>IF(ABS(H21)&gt;0,基础信息!$B$1,"")</f>
        <v/>
      </c>
      <c r="B21" s="277"/>
      <c r="C21" s="256"/>
      <c r="D21" s="277"/>
      <c r="E21" s="277"/>
      <c r="F21" s="256"/>
      <c r="G21" s="256"/>
      <c r="H21" s="256"/>
      <c r="I21" s="256"/>
      <c r="J21" s="256"/>
      <c r="K21" s="256"/>
      <c r="L21" s="256"/>
      <c r="M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codeName="Sheet103">
    <tabColor rgb="FFFFC000"/>
  </sheetPr>
  <dimension ref="A1:I6"/>
  <sheetViews>
    <sheetView workbookViewId="0">
      <selection activeCell="G14" sqref="G14"/>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ROUND(SUM(预付账款明细表!F:F),2)</f>
        <v>0</v>
      </c>
      <c r="C2" s="18" t="str">
        <f>IFERROR(B2/$B$6*100,"")</f>
        <v/>
      </c>
      <c r="D2" s="18">
        <f>ROUND(SUM(预付账款明细表!L:L),2)</f>
        <v>0</v>
      </c>
      <c r="E2" s="18">
        <f>ROUND(B2-D2,2)</f>
        <v>0</v>
      </c>
      <c r="F2" s="247"/>
      <c r="G2" s="18" t="str">
        <f>IFERROR(F2/$F$6*100,"")</f>
        <v/>
      </c>
      <c r="H2" s="247"/>
      <c r="I2" s="18">
        <f>ROUND(F2-H2,2)</f>
        <v>0</v>
      </c>
    </row>
    <row r="3" spans="1:9">
      <c r="A3" s="18" t="s">
        <v>278</v>
      </c>
      <c r="B3" s="18">
        <f>ROUND(SUM(预付账款明细表!G:G),2)</f>
        <v>0</v>
      </c>
      <c r="C3" s="18" t="str">
        <f t="shared" ref="C3:C6" si="0">IFERROR(B3/$B$6*100,"")</f>
        <v/>
      </c>
      <c r="D3" s="18">
        <f>ROUND(SUM(预付账款明细表!M:M),2)</f>
        <v>0</v>
      </c>
      <c r="E3" s="18">
        <f>ROUND(B3-D3,2)</f>
        <v>0</v>
      </c>
      <c r="F3" s="247"/>
      <c r="G3" s="18" t="str">
        <f t="shared" ref="G3:G6" si="1">IFERROR(F3/$F$6*100,"")</f>
        <v/>
      </c>
      <c r="H3" s="247"/>
      <c r="I3" s="18">
        <f>ROUND(F3-H3,2)</f>
        <v>0</v>
      </c>
    </row>
    <row r="4" spans="1:9">
      <c r="A4" s="18" t="s">
        <v>279</v>
      </c>
      <c r="B4" s="18">
        <f>ROUND(SUM(预付账款明细表!H:H),2)</f>
        <v>0</v>
      </c>
      <c r="C4" s="18" t="str">
        <f t="shared" si="0"/>
        <v/>
      </c>
      <c r="D4" s="18">
        <f>ROUND(SUM(预付账款明细表!N:N),2)</f>
        <v>0</v>
      </c>
      <c r="E4" s="18">
        <f>ROUND(B4-D4,2)</f>
        <v>0</v>
      </c>
      <c r="F4" s="247"/>
      <c r="G4" s="18" t="str">
        <f t="shared" si="1"/>
        <v/>
      </c>
      <c r="H4" s="247"/>
      <c r="I4" s="18">
        <f>ROUND(F4-H4,2)</f>
        <v>0</v>
      </c>
    </row>
    <row r="5" spans="1:9">
      <c r="A5" s="18" t="s">
        <v>280</v>
      </c>
      <c r="B5" s="18">
        <f>ROUND(SUM(预付账款明细表!I:I),2)</f>
        <v>0</v>
      </c>
      <c r="C5" s="18" t="str">
        <f t="shared" si="0"/>
        <v/>
      </c>
      <c r="D5" s="18">
        <f>ROUND(SUM(预付账款明细表!O:O),2)</f>
        <v>0</v>
      </c>
      <c r="E5" s="18">
        <f>ROUND(B5-D5,2)</f>
        <v>0</v>
      </c>
      <c r="F5" s="247"/>
      <c r="G5" s="18" t="str">
        <f t="shared" si="1"/>
        <v/>
      </c>
      <c r="H5" s="247"/>
      <c r="I5" s="18">
        <f>ROUND(F5-H5,2)</f>
        <v>0</v>
      </c>
    </row>
    <row r="6" spans="1:9">
      <c r="A6" s="18" t="s">
        <v>204</v>
      </c>
      <c r="B6" s="18">
        <f>ROUND(SUM(B2:B5),2)</f>
        <v>0</v>
      </c>
      <c r="C6" s="18" t="str">
        <f t="shared" si="0"/>
        <v/>
      </c>
      <c r="D6" s="18">
        <f>ROUND(SUM(D2:D5),2)</f>
        <v>0</v>
      </c>
      <c r="E6" s="18">
        <f>ROUND(SUM(E2:E5),2)</f>
        <v>0</v>
      </c>
      <c r="F6" s="18">
        <f>ROUND(SUM(F2:F5),2)</f>
        <v>0</v>
      </c>
      <c r="G6" s="18" t="str">
        <f t="shared" si="1"/>
        <v/>
      </c>
      <c r="H6" s="18">
        <f>ROUND(SUM(H2:H5),2)</f>
        <v>0</v>
      </c>
      <c r="I6" s="18">
        <f>ROUND(SUM(I2:I5),2)</f>
        <v>0</v>
      </c>
    </row>
  </sheetData>
  <phoneticPr fontId="1" type="noConversion"/>
  <pageMargins left="0.7" right="0.7" top="0.75" bottom="0.75" header="0.3" footer="0.3"/>
  <pageSetup paperSize="9" orientation="portrait" verticalDpi="0"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codeName="Sheet104">
    <tabColor rgb="FFFFC000"/>
  </sheetPr>
  <dimension ref="A1:E8"/>
  <sheetViews>
    <sheetView workbookViewId="0">
      <selection activeCell="F13" sqref="F13"/>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4207</v>
      </c>
      <c r="D1" s="18" t="s">
        <v>247</v>
      </c>
      <c r="E1" s="18" t="s">
        <v>300</v>
      </c>
    </row>
    <row r="2" spans="1:5">
      <c r="A2" s="247"/>
      <c r="B2" s="247"/>
      <c r="C2" s="139"/>
      <c r="D2" s="247"/>
      <c r="E2" s="247"/>
    </row>
    <row r="3" spans="1:5">
      <c r="A3" s="247"/>
      <c r="B3" s="247"/>
      <c r="C3" s="139"/>
      <c r="D3" s="247"/>
      <c r="E3" s="247"/>
    </row>
    <row r="4" spans="1:5">
      <c r="A4" s="247"/>
      <c r="B4" s="247"/>
      <c r="C4" s="139"/>
      <c r="D4" s="247"/>
      <c r="E4" s="247"/>
    </row>
    <row r="5" spans="1:5">
      <c r="A5" s="247"/>
      <c r="B5" s="247"/>
      <c r="C5" s="139"/>
      <c r="D5" s="247"/>
      <c r="E5" s="247"/>
    </row>
    <row r="6" spans="1:5">
      <c r="A6" s="247"/>
      <c r="B6" s="247"/>
      <c r="C6" s="139"/>
      <c r="D6" s="247"/>
      <c r="E6" s="247"/>
    </row>
    <row r="7" spans="1:5">
      <c r="A7" s="247"/>
      <c r="B7" s="247"/>
      <c r="C7" s="139"/>
      <c r="D7" s="247"/>
      <c r="E7" s="247"/>
    </row>
    <row r="8" spans="1:5">
      <c r="A8" s="18" t="s">
        <v>204</v>
      </c>
      <c r="C8" s="1">
        <f>ROUND(SUM(C2:C7),2)</f>
        <v>0</v>
      </c>
      <c r="D8" s="18" t="s">
        <v>239</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codeName="Sheet105">
    <tabColor rgb="FFFFC000"/>
  </sheetPr>
  <dimension ref="A1:D7"/>
  <sheetViews>
    <sheetView workbookViewId="0">
      <selection activeCell="D11" sqref="D11"/>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4208</v>
      </c>
      <c r="C1" s="18" t="s">
        <v>301</v>
      </c>
      <c r="D1" s="18" t="s">
        <v>213</v>
      </c>
    </row>
    <row r="2" spans="1:4">
      <c r="A2" t="str">
        <f>IFERROR(INDEX(预付账款明细表!B:B,MATCH(B2,预付账款明细表!C:C,0)),"")</f>
        <v/>
      </c>
      <c r="B2" t="str">
        <f>IFERROR(LARGE(预付账款明细表!C:C,1),"")</f>
        <v/>
      </c>
      <c r="C2" t="str">
        <f>IFERROR(B2/预付账款账龄明细!$B$6*100,"")</f>
        <v/>
      </c>
      <c r="D2" t="str">
        <f>IFERROR(VLOOKUP(A2,预付账款明细表!B:K,10,0),"")</f>
        <v/>
      </c>
    </row>
    <row r="3" spans="1:4">
      <c r="A3" t="str">
        <f>IFERROR(INDEX(预付账款明细表!B:B,MATCH(B3,预付账款明细表!C:C,0)),"")</f>
        <v/>
      </c>
      <c r="B3" t="str">
        <f>IFERROR(LARGE(预付账款明细表!C:C,2),"")</f>
        <v/>
      </c>
      <c r="C3" t="str">
        <f>IFERROR(B3/预付账款账龄明细!$B$6*100,"")</f>
        <v/>
      </c>
      <c r="D3" t="str">
        <f>IFERROR(VLOOKUP(A3,预付账款明细表!B:K,10,0),"")</f>
        <v/>
      </c>
    </row>
    <row r="4" spans="1:4">
      <c r="A4" t="str">
        <f>IFERROR(INDEX(预付账款明细表!B:B,MATCH(B4,预付账款明细表!C:C,0)),"")</f>
        <v/>
      </c>
      <c r="B4" t="str">
        <f>IFERROR(LARGE(预付账款明细表!C:C,3),"")</f>
        <v/>
      </c>
      <c r="C4" t="str">
        <f>IFERROR(B4/预付账款账龄明细!$B$6*100,"")</f>
        <v/>
      </c>
      <c r="D4" t="str">
        <f>IFERROR(VLOOKUP(A4,预付账款明细表!B:K,10,0),"")</f>
        <v/>
      </c>
    </row>
    <row r="5" spans="1:4">
      <c r="A5" t="str">
        <f>IFERROR(INDEX(预付账款明细表!B:B,MATCH(B5,预付账款明细表!C:C,0)),"")</f>
        <v/>
      </c>
      <c r="B5" t="str">
        <f>IFERROR(LARGE(预付账款明细表!C:C,4),"")</f>
        <v/>
      </c>
      <c r="C5" t="str">
        <f>IFERROR(B5/预付账款账龄明细!$B$6*100,"")</f>
        <v/>
      </c>
      <c r="D5" t="str">
        <f>IFERROR(VLOOKUP(A5,预付账款明细表!B:K,10,0),"")</f>
        <v/>
      </c>
    </row>
    <row r="6" spans="1:4">
      <c r="A6" t="str">
        <f>IFERROR(INDEX(预付账款明细表!B:B,MATCH(B6,预付账款明细表!C:C,0)),"")</f>
        <v/>
      </c>
      <c r="B6" t="str">
        <f>IFERROR(LARGE(预付账款明细表!C:C,5),"")</f>
        <v/>
      </c>
      <c r="C6" t="str">
        <f>IFERROR(B6/预付账款账龄明细!$B$6*100,"")</f>
        <v/>
      </c>
      <c r="D6" t="str">
        <f>IFERROR(VLOOKUP(A6,预付账款明细表!B:K,10,0),"")</f>
        <v/>
      </c>
    </row>
    <row r="7" spans="1:4">
      <c r="A7" t="s">
        <v>204</v>
      </c>
      <c r="B7">
        <f>ROUND(SUM(B2:B6),2)</f>
        <v>0</v>
      </c>
      <c r="C7" t="str">
        <f>IFERROR(B7/预付账款账龄明细!$B$6*100,"")</f>
        <v/>
      </c>
      <c r="D7">
        <f>ROUND(SUM(D2:D6),2)</f>
        <v>0</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sheetPr codeName="Sheet106"/>
  <dimension ref="A1:U156"/>
  <sheetViews>
    <sheetView workbookViewId="0">
      <pane xSplit="1" ySplit="1" topLeftCell="B17" activePane="bottomRight" state="frozen"/>
      <selection activeCell="D22" sqref="D22"/>
      <selection pane="topRight" activeCell="D22" sqref="D22"/>
      <selection pane="bottomLeft" activeCell="D22" sqref="D22"/>
      <selection pane="bottomRight" activeCell="H17" sqref="H17"/>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7" customFormat="1" ht="41.4">
      <c r="A1" s="271" t="s">
        <v>2015</v>
      </c>
      <c r="B1" s="596" t="s">
        <v>125</v>
      </c>
      <c r="C1" s="592" t="s">
        <v>4201</v>
      </c>
      <c r="D1" s="592" t="s">
        <v>1722</v>
      </c>
      <c r="E1" s="592" t="s">
        <v>2388</v>
      </c>
      <c r="F1" s="592" t="s">
        <v>4581</v>
      </c>
      <c r="G1" s="592" t="s">
        <v>4582</v>
      </c>
      <c r="H1" s="592" t="s">
        <v>4583</v>
      </c>
      <c r="I1" s="592" t="s">
        <v>4584</v>
      </c>
      <c r="J1" s="592" t="s">
        <v>2391</v>
      </c>
      <c r="K1" s="592" t="s">
        <v>2392</v>
      </c>
      <c r="L1" s="592" t="s">
        <v>4585</v>
      </c>
      <c r="M1" s="592" t="s">
        <v>4586</v>
      </c>
      <c r="N1" s="592" t="s">
        <v>4587</v>
      </c>
      <c r="O1" s="592" t="s">
        <v>4588</v>
      </c>
      <c r="P1" s="593" t="s">
        <v>349</v>
      </c>
      <c r="Q1" s="593" t="s">
        <v>4589</v>
      </c>
      <c r="R1" s="593" t="s">
        <v>4590</v>
      </c>
      <c r="S1" s="593" t="s">
        <v>4591</v>
      </c>
      <c r="T1" s="593" t="s">
        <v>4592</v>
      </c>
      <c r="U1" s="521"/>
    </row>
    <row r="2" spans="1:21">
      <c r="A2" t="str">
        <f>IF(ABS(C2)&gt;0,基础信息!$B$1,"")</f>
        <v/>
      </c>
      <c r="B2" s="256"/>
      <c r="C2" s="256"/>
      <c r="D2" s="277"/>
      <c r="E2" s="256"/>
      <c r="F2" s="256"/>
      <c r="G2" s="256"/>
      <c r="H2" s="256"/>
      <c r="I2" s="256"/>
      <c r="J2" s="230">
        <f>SUM(F2:I2)-C2</f>
        <v>0</v>
      </c>
      <c r="K2" s="230">
        <f>SUM(L2:O2)</f>
        <v>0</v>
      </c>
      <c r="L2" s="256"/>
      <c r="M2" s="256"/>
      <c r="N2" s="256"/>
      <c r="O2" s="256"/>
      <c r="P2" s="230">
        <f>C2-K2</f>
        <v>0</v>
      </c>
      <c r="Q2" s="230">
        <f>F2-L2</f>
        <v>0</v>
      </c>
      <c r="R2" s="230">
        <f t="shared" ref="R2:T17" si="0">G2-M2</f>
        <v>0</v>
      </c>
      <c r="S2" s="230">
        <f t="shared" si="0"/>
        <v>0</v>
      </c>
      <c r="T2" s="230">
        <f t="shared" si="0"/>
        <v>0</v>
      </c>
      <c r="U2" s="230"/>
    </row>
    <row r="3" spans="1:21">
      <c r="A3" t="str">
        <f>IF(ABS(C3)&gt;0,基础信息!$B$1,"")</f>
        <v/>
      </c>
      <c r="B3" s="256"/>
      <c r="C3" s="256"/>
      <c r="D3" s="277"/>
      <c r="E3" s="256"/>
      <c r="F3" s="256"/>
      <c r="G3" s="256"/>
      <c r="H3" s="256"/>
      <c r="I3" s="256"/>
      <c r="J3" s="230">
        <f t="shared" ref="J3:J20" si="1">SUM(F3:I3)-C3</f>
        <v>0</v>
      </c>
      <c r="K3" s="230">
        <f t="shared" ref="K3:K20" si="2">SUM(L3:O3)</f>
        <v>0</v>
      </c>
      <c r="L3" s="256"/>
      <c r="M3" s="256"/>
      <c r="N3" s="256"/>
      <c r="O3" s="256"/>
      <c r="P3" s="230">
        <f t="shared" ref="P3:P20" si="3">C3-K3</f>
        <v>0</v>
      </c>
      <c r="Q3" s="230">
        <f t="shared" ref="Q3:T20" si="4">F3-L3</f>
        <v>0</v>
      </c>
      <c r="R3" s="230">
        <f t="shared" si="0"/>
        <v>0</v>
      </c>
      <c r="S3" s="230">
        <f t="shared" si="0"/>
        <v>0</v>
      </c>
      <c r="T3" s="230">
        <f t="shared" si="0"/>
        <v>0</v>
      </c>
      <c r="U3" s="230"/>
    </row>
    <row r="4" spans="1:21">
      <c r="A4" t="str">
        <f>IF(ABS(C4)&gt;0,基础信息!$B$1,"")</f>
        <v/>
      </c>
      <c r="B4" s="256"/>
      <c r="C4" s="256"/>
      <c r="D4" s="277"/>
      <c r="E4" s="256"/>
      <c r="F4" s="256"/>
      <c r="G4" s="256"/>
      <c r="H4" s="256"/>
      <c r="I4" s="256"/>
      <c r="J4" s="230">
        <f t="shared" si="1"/>
        <v>0</v>
      </c>
      <c r="K4" s="230">
        <f t="shared" si="2"/>
        <v>0</v>
      </c>
      <c r="L4" s="256"/>
      <c r="M4" s="256"/>
      <c r="N4" s="256"/>
      <c r="O4" s="256"/>
      <c r="P4" s="230">
        <f t="shared" si="3"/>
        <v>0</v>
      </c>
      <c r="Q4" s="230">
        <f t="shared" si="4"/>
        <v>0</v>
      </c>
      <c r="R4" s="230">
        <f t="shared" si="0"/>
        <v>0</v>
      </c>
      <c r="S4" s="230">
        <f t="shared" si="0"/>
        <v>0</v>
      </c>
      <c r="T4" s="230">
        <f t="shared" si="0"/>
        <v>0</v>
      </c>
      <c r="U4" s="230"/>
    </row>
    <row r="5" spans="1:21">
      <c r="A5" t="str">
        <f>IF(ABS(C5)&gt;0,基础信息!$B$1,"")</f>
        <v/>
      </c>
      <c r="B5" s="256"/>
      <c r="C5" s="256"/>
      <c r="D5" s="277"/>
      <c r="E5" s="256"/>
      <c r="F5" s="256"/>
      <c r="G5" s="256"/>
      <c r="H5" s="256"/>
      <c r="I5" s="256"/>
      <c r="J5" s="230">
        <f t="shared" si="1"/>
        <v>0</v>
      </c>
      <c r="K5" s="230">
        <f t="shared" si="2"/>
        <v>0</v>
      </c>
      <c r="L5" s="256"/>
      <c r="M5" s="256"/>
      <c r="N5" s="256"/>
      <c r="O5" s="256"/>
      <c r="P5" s="230">
        <f t="shared" si="3"/>
        <v>0</v>
      </c>
      <c r="Q5" s="230">
        <f t="shared" si="4"/>
        <v>0</v>
      </c>
      <c r="R5" s="230">
        <f t="shared" si="0"/>
        <v>0</v>
      </c>
      <c r="S5" s="230">
        <f t="shared" si="0"/>
        <v>0</v>
      </c>
      <c r="T5" s="230">
        <f t="shared" si="0"/>
        <v>0</v>
      </c>
      <c r="U5" s="230"/>
    </row>
    <row r="6" spans="1:21">
      <c r="A6" t="str">
        <f>IF(ABS(C6)&gt;0,基础信息!$B$1,"")</f>
        <v/>
      </c>
      <c r="B6" s="256"/>
      <c r="C6" s="256"/>
      <c r="D6" s="277"/>
      <c r="E6" s="256"/>
      <c r="F6" s="256"/>
      <c r="G6" s="256"/>
      <c r="H6" s="256"/>
      <c r="I6" s="256"/>
      <c r="J6" s="230">
        <f t="shared" si="1"/>
        <v>0</v>
      </c>
      <c r="K6" s="230">
        <f t="shared" si="2"/>
        <v>0</v>
      </c>
      <c r="L6" s="256"/>
      <c r="M6" s="256"/>
      <c r="N6" s="256"/>
      <c r="O6" s="256"/>
      <c r="P6" s="230">
        <f t="shared" si="3"/>
        <v>0</v>
      </c>
      <c r="Q6" s="230">
        <f t="shared" si="4"/>
        <v>0</v>
      </c>
      <c r="R6" s="230">
        <f t="shared" si="0"/>
        <v>0</v>
      </c>
      <c r="S6" s="230">
        <f t="shared" si="0"/>
        <v>0</v>
      </c>
      <c r="T6" s="230">
        <f t="shared" si="0"/>
        <v>0</v>
      </c>
      <c r="U6" s="230"/>
    </row>
    <row r="7" spans="1:21">
      <c r="A7" t="str">
        <f>IF(ABS(C7)&gt;0,基础信息!$B$1,"")</f>
        <v/>
      </c>
      <c r="B7" s="256"/>
      <c r="C7" s="256"/>
      <c r="D7" s="277"/>
      <c r="E7" s="256"/>
      <c r="F7" s="256"/>
      <c r="G7" s="256"/>
      <c r="H7" s="256"/>
      <c r="I7" s="256"/>
      <c r="J7" s="230">
        <f t="shared" si="1"/>
        <v>0</v>
      </c>
      <c r="K7" s="230">
        <f t="shared" si="2"/>
        <v>0</v>
      </c>
      <c r="L7" s="256"/>
      <c r="M7" s="256"/>
      <c r="N7" s="256"/>
      <c r="O7" s="256"/>
      <c r="P7" s="230">
        <f t="shared" si="3"/>
        <v>0</v>
      </c>
      <c r="Q7" s="230">
        <f t="shared" si="4"/>
        <v>0</v>
      </c>
      <c r="R7" s="230">
        <f t="shared" si="0"/>
        <v>0</v>
      </c>
      <c r="S7" s="230">
        <f t="shared" si="0"/>
        <v>0</v>
      </c>
      <c r="T7" s="230">
        <f t="shared" si="0"/>
        <v>0</v>
      </c>
      <c r="U7" s="230"/>
    </row>
    <row r="8" spans="1:21">
      <c r="A8" t="str">
        <f>IF(ABS(C8)&gt;0,基础信息!$B$1,"")</f>
        <v/>
      </c>
      <c r="B8" s="256"/>
      <c r="C8" s="256"/>
      <c r="D8" s="277"/>
      <c r="E8" s="256"/>
      <c r="F8" s="256"/>
      <c r="G8" s="256"/>
      <c r="H8" s="256"/>
      <c r="I8" s="256"/>
      <c r="J8" s="230">
        <f t="shared" si="1"/>
        <v>0</v>
      </c>
      <c r="K8" s="230">
        <f t="shared" si="2"/>
        <v>0</v>
      </c>
      <c r="L8" s="256"/>
      <c r="M8" s="256"/>
      <c r="N8" s="256"/>
      <c r="O8" s="256"/>
      <c r="P8" s="230">
        <f t="shared" si="3"/>
        <v>0</v>
      </c>
      <c r="Q8" s="230">
        <f t="shared" si="4"/>
        <v>0</v>
      </c>
      <c r="R8" s="230">
        <f t="shared" si="0"/>
        <v>0</v>
      </c>
      <c r="S8" s="230">
        <f t="shared" si="0"/>
        <v>0</v>
      </c>
      <c r="T8" s="230">
        <f t="shared" si="0"/>
        <v>0</v>
      </c>
      <c r="U8" s="230"/>
    </row>
    <row r="9" spans="1:21">
      <c r="A9" t="str">
        <f>IF(ABS(C9)&gt;0,基础信息!$B$1,"")</f>
        <v/>
      </c>
      <c r="B9" s="256"/>
      <c r="C9" s="256"/>
      <c r="D9" s="277"/>
      <c r="E9" s="256"/>
      <c r="F9" s="256"/>
      <c r="G9" s="256"/>
      <c r="H9" s="256"/>
      <c r="I9" s="256"/>
      <c r="J9" s="230">
        <f t="shared" si="1"/>
        <v>0</v>
      </c>
      <c r="K9" s="230">
        <f t="shared" si="2"/>
        <v>0</v>
      </c>
      <c r="L9" s="256"/>
      <c r="M9" s="256"/>
      <c r="N9" s="256"/>
      <c r="O9" s="256"/>
      <c r="P9" s="230">
        <f t="shared" si="3"/>
        <v>0</v>
      </c>
      <c r="Q9" s="230">
        <f t="shared" si="4"/>
        <v>0</v>
      </c>
      <c r="R9" s="230">
        <f t="shared" si="0"/>
        <v>0</v>
      </c>
      <c r="S9" s="230">
        <f t="shared" si="0"/>
        <v>0</v>
      </c>
      <c r="T9" s="230">
        <f t="shared" si="0"/>
        <v>0</v>
      </c>
      <c r="U9" s="230"/>
    </row>
    <row r="10" spans="1:21">
      <c r="A10" t="str">
        <f>IF(ABS(C10)&gt;0,基础信息!$B$1,"")</f>
        <v/>
      </c>
      <c r="B10" s="256"/>
      <c r="C10" s="256"/>
      <c r="D10" s="277"/>
      <c r="E10" s="256"/>
      <c r="F10" s="256"/>
      <c r="G10" s="256"/>
      <c r="H10" s="256"/>
      <c r="I10" s="256"/>
      <c r="J10" s="230">
        <f t="shared" si="1"/>
        <v>0</v>
      </c>
      <c r="K10" s="230">
        <f t="shared" si="2"/>
        <v>0</v>
      </c>
      <c r="L10" s="256"/>
      <c r="M10" s="256"/>
      <c r="N10" s="256"/>
      <c r="O10" s="256"/>
      <c r="P10" s="230">
        <f t="shared" si="3"/>
        <v>0</v>
      </c>
      <c r="Q10" s="230">
        <f t="shared" si="4"/>
        <v>0</v>
      </c>
      <c r="R10" s="230">
        <f t="shared" si="0"/>
        <v>0</v>
      </c>
      <c r="S10" s="230">
        <f t="shared" si="0"/>
        <v>0</v>
      </c>
      <c r="T10" s="230">
        <f t="shared" si="0"/>
        <v>0</v>
      </c>
      <c r="U10" s="230"/>
    </row>
    <row r="11" spans="1:21">
      <c r="A11" t="str">
        <f>IF(ABS(C11)&gt;0,基础信息!$B$1,"")</f>
        <v/>
      </c>
      <c r="B11" s="256"/>
      <c r="C11" s="256"/>
      <c r="D11" s="277"/>
      <c r="E11" s="256"/>
      <c r="F11" s="256"/>
      <c r="G11" s="256"/>
      <c r="H11" s="256"/>
      <c r="I11" s="256"/>
      <c r="J11" s="230">
        <f t="shared" si="1"/>
        <v>0</v>
      </c>
      <c r="K11" s="230">
        <f t="shared" si="2"/>
        <v>0</v>
      </c>
      <c r="L11" s="256"/>
      <c r="M11" s="256"/>
      <c r="N11" s="256"/>
      <c r="O11" s="256"/>
      <c r="P11" s="230">
        <f t="shared" si="3"/>
        <v>0</v>
      </c>
      <c r="Q11" s="230">
        <f t="shared" si="4"/>
        <v>0</v>
      </c>
      <c r="R11" s="230">
        <f t="shared" si="0"/>
        <v>0</v>
      </c>
      <c r="S11" s="230">
        <f t="shared" si="0"/>
        <v>0</v>
      </c>
      <c r="T11" s="230">
        <f t="shared" si="0"/>
        <v>0</v>
      </c>
      <c r="U11" s="230"/>
    </row>
    <row r="12" spans="1:21">
      <c r="A12" t="str">
        <f>IF(ABS(C12)&gt;0,基础信息!$B$1,"")</f>
        <v/>
      </c>
      <c r="B12" s="256"/>
      <c r="C12" s="256"/>
      <c r="D12" s="277"/>
      <c r="E12" s="256"/>
      <c r="F12" s="256"/>
      <c r="G12" s="256"/>
      <c r="H12" s="256"/>
      <c r="I12" s="256"/>
      <c r="J12" s="230">
        <f t="shared" si="1"/>
        <v>0</v>
      </c>
      <c r="K12" s="230">
        <f t="shared" si="2"/>
        <v>0</v>
      </c>
      <c r="L12" s="256"/>
      <c r="M12" s="256"/>
      <c r="N12" s="256"/>
      <c r="O12" s="256"/>
      <c r="P12" s="230">
        <f t="shared" si="3"/>
        <v>0</v>
      </c>
      <c r="Q12" s="230">
        <f t="shared" si="4"/>
        <v>0</v>
      </c>
      <c r="R12" s="230">
        <f t="shared" si="0"/>
        <v>0</v>
      </c>
      <c r="S12" s="230">
        <f t="shared" si="0"/>
        <v>0</v>
      </c>
      <c r="T12" s="230">
        <f t="shared" si="0"/>
        <v>0</v>
      </c>
      <c r="U12" s="230"/>
    </row>
    <row r="13" spans="1:21">
      <c r="A13" t="str">
        <f>IF(ABS(C13)&gt;0,基础信息!$B$1,"")</f>
        <v/>
      </c>
      <c r="B13" s="256"/>
      <c r="C13" s="256"/>
      <c r="D13" s="277"/>
      <c r="E13" s="256"/>
      <c r="F13" s="256"/>
      <c r="G13" s="256"/>
      <c r="H13" s="256"/>
      <c r="I13" s="256"/>
      <c r="J13" s="230">
        <f t="shared" si="1"/>
        <v>0</v>
      </c>
      <c r="K13" s="230">
        <f t="shared" si="2"/>
        <v>0</v>
      </c>
      <c r="L13" s="256"/>
      <c r="M13" s="256"/>
      <c r="N13" s="256"/>
      <c r="O13" s="256"/>
      <c r="P13" s="230">
        <f t="shared" si="3"/>
        <v>0</v>
      </c>
      <c r="Q13" s="230">
        <f t="shared" si="4"/>
        <v>0</v>
      </c>
      <c r="R13" s="230">
        <f t="shared" si="0"/>
        <v>0</v>
      </c>
      <c r="S13" s="230">
        <f t="shared" si="0"/>
        <v>0</v>
      </c>
      <c r="T13" s="230">
        <f t="shared" si="0"/>
        <v>0</v>
      </c>
      <c r="U13" s="230"/>
    </row>
    <row r="14" spans="1:21">
      <c r="A14" t="str">
        <f>IF(ABS(C14)&gt;0,基础信息!$B$1,"")</f>
        <v/>
      </c>
      <c r="B14" s="256"/>
      <c r="C14" s="256"/>
      <c r="D14" s="277"/>
      <c r="E14" s="256"/>
      <c r="F14" s="256"/>
      <c r="G14" s="256"/>
      <c r="H14" s="256"/>
      <c r="I14" s="256"/>
      <c r="J14" s="230">
        <f t="shared" si="1"/>
        <v>0</v>
      </c>
      <c r="K14" s="230">
        <f t="shared" si="2"/>
        <v>0</v>
      </c>
      <c r="L14" s="256"/>
      <c r="M14" s="256"/>
      <c r="N14" s="256"/>
      <c r="O14" s="256"/>
      <c r="P14" s="230">
        <f t="shared" si="3"/>
        <v>0</v>
      </c>
      <c r="Q14" s="230">
        <f t="shared" si="4"/>
        <v>0</v>
      </c>
      <c r="R14" s="230">
        <f t="shared" si="0"/>
        <v>0</v>
      </c>
      <c r="S14" s="230">
        <f t="shared" si="0"/>
        <v>0</v>
      </c>
      <c r="T14" s="230">
        <f t="shared" si="0"/>
        <v>0</v>
      </c>
      <c r="U14" s="230"/>
    </row>
    <row r="15" spans="1:21">
      <c r="A15" t="str">
        <f>IF(ABS(C15)&gt;0,基础信息!$B$1,"")</f>
        <v/>
      </c>
      <c r="B15" s="256"/>
      <c r="C15" s="256"/>
      <c r="D15" s="277"/>
      <c r="E15" s="256"/>
      <c r="F15" s="256"/>
      <c r="G15" s="256"/>
      <c r="H15" s="256"/>
      <c r="I15" s="256"/>
      <c r="J15" s="230">
        <f t="shared" si="1"/>
        <v>0</v>
      </c>
      <c r="K15" s="230">
        <f t="shared" si="2"/>
        <v>0</v>
      </c>
      <c r="L15" s="256"/>
      <c r="M15" s="256"/>
      <c r="N15" s="256"/>
      <c r="O15" s="256"/>
      <c r="P15" s="230">
        <f t="shared" si="3"/>
        <v>0</v>
      </c>
      <c r="Q15" s="230">
        <f t="shared" si="4"/>
        <v>0</v>
      </c>
      <c r="R15" s="230">
        <f t="shared" si="0"/>
        <v>0</v>
      </c>
      <c r="S15" s="230">
        <f t="shared" si="0"/>
        <v>0</v>
      </c>
      <c r="T15" s="230">
        <f t="shared" si="0"/>
        <v>0</v>
      </c>
      <c r="U15" s="230"/>
    </row>
    <row r="16" spans="1:21">
      <c r="A16" t="str">
        <f>IF(ABS(C16)&gt;0,基础信息!$B$1,"")</f>
        <v/>
      </c>
      <c r="B16" s="256"/>
      <c r="C16" s="256"/>
      <c r="D16" s="277"/>
      <c r="E16" s="256"/>
      <c r="F16" s="256"/>
      <c r="G16" s="256"/>
      <c r="H16" s="256"/>
      <c r="I16" s="256"/>
      <c r="J16" s="230">
        <f t="shared" si="1"/>
        <v>0</v>
      </c>
      <c r="K16" s="230">
        <f t="shared" si="2"/>
        <v>0</v>
      </c>
      <c r="L16" s="256"/>
      <c r="M16" s="256"/>
      <c r="N16" s="256"/>
      <c r="O16" s="256"/>
      <c r="P16" s="230">
        <f t="shared" si="3"/>
        <v>0</v>
      </c>
      <c r="Q16" s="230">
        <f t="shared" si="4"/>
        <v>0</v>
      </c>
      <c r="R16" s="230">
        <f t="shared" si="0"/>
        <v>0</v>
      </c>
      <c r="S16" s="230">
        <f t="shared" si="0"/>
        <v>0</v>
      </c>
      <c r="T16" s="230">
        <f t="shared" si="0"/>
        <v>0</v>
      </c>
      <c r="U16" s="230"/>
    </row>
    <row r="17" spans="1:21">
      <c r="A17" t="str">
        <f>IF(ABS(C17)&gt;0,基础信息!$B$1,"")</f>
        <v/>
      </c>
      <c r="B17" s="256"/>
      <c r="C17" s="256"/>
      <c r="D17" s="277"/>
      <c r="E17" s="256"/>
      <c r="F17" s="256"/>
      <c r="G17" s="256"/>
      <c r="H17" s="256"/>
      <c r="I17" s="256"/>
      <c r="J17" s="230">
        <f t="shared" si="1"/>
        <v>0</v>
      </c>
      <c r="K17" s="230">
        <f t="shared" si="2"/>
        <v>0</v>
      </c>
      <c r="L17" s="256"/>
      <c r="M17" s="256"/>
      <c r="N17" s="256"/>
      <c r="O17" s="256"/>
      <c r="P17" s="230">
        <f t="shared" si="3"/>
        <v>0</v>
      </c>
      <c r="Q17" s="230">
        <f t="shared" si="4"/>
        <v>0</v>
      </c>
      <c r="R17" s="230">
        <f t="shared" si="0"/>
        <v>0</v>
      </c>
      <c r="S17" s="230">
        <f t="shared" si="0"/>
        <v>0</v>
      </c>
      <c r="T17" s="230">
        <f t="shared" si="0"/>
        <v>0</v>
      </c>
      <c r="U17" s="230"/>
    </row>
    <row r="18" spans="1:21">
      <c r="A18" t="str">
        <f>IF(ABS(C18)&gt;0,基础信息!$B$1,"")</f>
        <v/>
      </c>
      <c r="B18" s="256"/>
      <c r="C18" s="256"/>
      <c r="D18" s="277"/>
      <c r="E18" s="256"/>
      <c r="F18" s="256"/>
      <c r="G18" s="256"/>
      <c r="H18" s="256"/>
      <c r="I18" s="256"/>
      <c r="J18" s="230">
        <f t="shared" si="1"/>
        <v>0</v>
      </c>
      <c r="K18" s="230">
        <f t="shared" si="2"/>
        <v>0</v>
      </c>
      <c r="L18" s="256"/>
      <c r="M18" s="256"/>
      <c r="N18" s="256"/>
      <c r="O18" s="256"/>
      <c r="P18" s="230">
        <f t="shared" si="3"/>
        <v>0</v>
      </c>
      <c r="Q18" s="230">
        <f t="shared" si="4"/>
        <v>0</v>
      </c>
      <c r="R18" s="230">
        <f t="shared" si="4"/>
        <v>0</v>
      </c>
      <c r="S18" s="230">
        <f t="shared" si="4"/>
        <v>0</v>
      </c>
      <c r="T18" s="230">
        <f t="shared" si="4"/>
        <v>0</v>
      </c>
      <c r="U18" s="230"/>
    </row>
    <row r="19" spans="1:21">
      <c r="A19" t="str">
        <f>IF(ABS(C19)&gt;0,基础信息!$B$1,"")</f>
        <v/>
      </c>
      <c r="B19" s="256"/>
      <c r="C19" s="256"/>
      <c r="D19" s="277"/>
      <c r="E19" s="256"/>
      <c r="F19" s="256"/>
      <c r="G19" s="256"/>
      <c r="H19" s="256"/>
      <c r="I19" s="256"/>
      <c r="J19" s="230">
        <f t="shared" si="1"/>
        <v>0</v>
      </c>
      <c r="K19" s="230">
        <f t="shared" si="2"/>
        <v>0</v>
      </c>
      <c r="L19" s="256"/>
      <c r="M19" s="256"/>
      <c r="N19" s="256"/>
      <c r="O19" s="256"/>
      <c r="P19" s="230">
        <f t="shared" si="3"/>
        <v>0</v>
      </c>
      <c r="Q19" s="230">
        <f t="shared" si="4"/>
        <v>0</v>
      </c>
      <c r="R19" s="230">
        <f t="shared" si="4"/>
        <v>0</v>
      </c>
      <c r="S19" s="230">
        <f t="shared" si="4"/>
        <v>0</v>
      </c>
      <c r="T19" s="230">
        <f t="shared" si="4"/>
        <v>0</v>
      </c>
      <c r="U19" s="230"/>
    </row>
    <row r="20" spans="1:21">
      <c r="A20" t="str">
        <f>IF(ABS(C20)&gt;0,基础信息!$B$1,"")</f>
        <v/>
      </c>
      <c r="B20" s="256"/>
      <c r="C20" s="256"/>
      <c r="D20" s="277"/>
      <c r="E20" s="256"/>
      <c r="F20" s="256"/>
      <c r="G20" s="256"/>
      <c r="H20" s="256"/>
      <c r="I20" s="256"/>
      <c r="J20" s="230">
        <f t="shared" si="1"/>
        <v>0</v>
      </c>
      <c r="K20" s="230">
        <f t="shared" si="2"/>
        <v>0</v>
      </c>
      <c r="L20" s="256"/>
      <c r="M20" s="256"/>
      <c r="N20" s="256"/>
      <c r="O20" s="256"/>
      <c r="P20" s="230">
        <f t="shared" si="3"/>
        <v>0</v>
      </c>
      <c r="Q20" s="230">
        <f t="shared" si="4"/>
        <v>0</v>
      </c>
      <c r="R20" s="230">
        <f t="shared" si="4"/>
        <v>0</v>
      </c>
      <c r="S20" s="230">
        <f t="shared" si="4"/>
        <v>0</v>
      </c>
      <c r="T20" s="230">
        <f t="shared" si="4"/>
        <v>0</v>
      </c>
      <c r="U20" s="230"/>
    </row>
    <row r="21" spans="1:21">
      <c r="A21" t="str">
        <f>IF(ABS(C21)&gt;0,基础信息!$B$1,"")</f>
        <v/>
      </c>
      <c r="B21" s="256"/>
      <c r="C21" s="256"/>
      <c r="D21" s="277"/>
      <c r="E21" s="256"/>
      <c r="F21" s="256"/>
      <c r="G21" s="256"/>
      <c r="H21" s="256"/>
      <c r="I21" s="256"/>
      <c r="L21" s="256"/>
      <c r="M21" s="256"/>
      <c r="N21" s="256"/>
      <c r="O21" s="256"/>
    </row>
    <row r="22" spans="1:21">
      <c r="A22" t="str">
        <f>IF(ABS(C22)&gt;0,基础信息!$B$1,"")</f>
        <v/>
      </c>
      <c r="B22" s="256"/>
      <c r="C22" s="256"/>
      <c r="D22" s="277"/>
      <c r="E22" s="256"/>
      <c r="F22" s="256"/>
      <c r="G22" s="256"/>
      <c r="H22" s="256"/>
      <c r="I22" s="256"/>
      <c r="L22" s="256"/>
      <c r="M22" s="256"/>
      <c r="N22" s="256"/>
      <c r="O22" s="256"/>
    </row>
    <row r="23" spans="1:21">
      <c r="A23" t="str">
        <f>IF(ABS(C23)&gt;0,基础信息!$B$1,"")</f>
        <v/>
      </c>
      <c r="B23" s="256"/>
      <c r="C23" s="256"/>
      <c r="D23" s="277"/>
      <c r="E23" s="256"/>
      <c r="F23" s="256"/>
      <c r="G23" s="256"/>
      <c r="H23" s="256"/>
      <c r="I23" s="256"/>
      <c r="L23" s="256"/>
      <c r="M23" s="256"/>
      <c r="N23" s="256"/>
      <c r="O23" s="256"/>
    </row>
    <row r="24" spans="1:21">
      <c r="A24" t="str">
        <f>IF(ABS(C24)&gt;0,基础信息!$B$1,"")</f>
        <v/>
      </c>
      <c r="B24" s="256"/>
      <c r="C24" s="256"/>
      <c r="D24" s="277"/>
      <c r="E24" s="256"/>
      <c r="F24" s="256"/>
      <c r="G24" s="256"/>
      <c r="H24" s="256"/>
      <c r="I24" s="256"/>
      <c r="L24" s="256"/>
      <c r="M24" s="256"/>
      <c r="N24" s="256"/>
      <c r="O24" s="256"/>
    </row>
    <row r="25" spans="1:21">
      <c r="A25" t="str">
        <f>IF(ABS(C25)&gt;0,基础信息!$B$1,"")</f>
        <v/>
      </c>
      <c r="B25" s="256"/>
      <c r="C25" s="256"/>
      <c r="D25" s="277"/>
      <c r="E25" s="256"/>
      <c r="F25" s="256"/>
      <c r="G25" s="256"/>
      <c r="H25" s="256"/>
      <c r="I25" s="256"/>
      <c r="L25" s="256"/>
      <c r="M25" s="256"/>
      <c r="N25" s="256"/>
      <c r="O25" s="256"/>
    </row>
    <row r="26" spans="1:21">
      <c r="A26" t="str">
        <f>IF(ABS(C26)&gt;0,基础信息!$B$1,"")</f>
        <v/>
      </c>
      <c r="B26" s="256"/>
      <c r="C26" s="256"/>
      <c r="D26" s="277"/>
      <c r="E26" s="256"/>
      <c r="F26" s="256"/>
      <c r="G26" s="256"/>
      <c r="H26" s="256"/>
      <c r="I26" s="256"/>
      <c r="L26" s="256"/>
      <c r="M26" s="256"/>
      <c r="N26" s="256"/>
      <c r="O26" s="256"/>
    </row>
    <row r="27" spans="1:21">
      <c r="A27" t="str">
        <f>IF(ABS(C27)&gt;0,基础信息!$B$1,"")</f>
        <v/>
      </c>
      <c r="B27" s="256"/>
      <c r="C27" s="256"/>
      <c r="D27" s="277"/>
      <c r="E27" s="256"/>
      <c r="F27" s="256"/>
      <c r="G27" s="256"/>
      <c r="H27" s="256"/>
      <c r="I27" s="256"/>
      <c r="L27" s="256"/>
      <c r="M27" s="256"/>
      <c r="N27" s="256"/>
      <c r="O27" s="256"/>
    </row>
    <row r="28" spans="1:21">
      <c r="A28" t="str">
        <f>IF(ABS(C28)&gt;0,基础信息!$B$1,"")</f>
        <v/>
      </c>
      <c r="B28" s="256"/>
      <c r="C28" s="256"/>
      <c r="D28" s="277"/>
      <c r="E28" s="256"/>
      <c r="F28" s="256"/>
      <c r="G28" s="256"/>
      <c r="H28" s="256"/>
      <c r="I28" s="256"/>
      <c r="L28" s="256"/>
      <c r="M28" s="256"/>
      <c r="N28" s="256"/>
      <c r="O28" s="256"/>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codeName="Sheet107">
    <tabColor rgb="FFFFC000"/>
  </sheetPr>
  <dimension ref="A1:C5"/>
  <sheetViews>
    <sheetView workbookViewId="0">
      <selection activeCell="J14" sqref="J14"/>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302</v>
      </c>
      <c r="B2" s="1">
        <f>ROUND(应收利息分类!B6,2)</f>
        <v>0</v>
      </c>
      <c r="C2" s="1">
        <f>ROUND(应收利息分类!C6,2)</f>
        <v>0</v>
      </c>
    </row>
    <row r="3" spans="1:3">
      <c r="A3" s="18" t="s">
        <v>303</v>
      </c>
      <c r="B3" s="1">
        <f>ROUND(应收股利明细!B10,2)</f>
        <v>0</v>
      </c>
      <c r="C3" s="1">
        <f>ROUND(应收股利明细!C10,2)</f>
        <v>0</v>
      </c>
    </row>
    <row r="4" spans="1:3">
      <c r="A4" s="18" t="s">
        <v>304</v>
      </c>
      <c r="B4" s="1">
        <f>ROUND(其他应收款期末数首次新金融工具准则!F10,2)</f>
        <v>0</v>
      </c>
      <c r="C4" s="1">
        <f>ROUND(其他应收款期初数首次新金融工具准则!F5,2)</f>
        <v>0</v>
      </c>
    </row>
    <row r="5" spans="1:3">
      <c r="A5" s="18" t="s">
        <v>204</v>
      </c>
      <c r="B5" s="1">
        <f>ROUND(SUM(B2:B4),2)</f>
        <v>0</v>
      </c>
      <c r="C5" s="1">
        <f>ROUND(SUM(C2:C4),2)</f>
        <v>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codeName="Sheet108">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E18" sqref="E18"/>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4209</v>
      </c>
      <c r="C1" s="40" t="s">
        <v>342</v>
      </c>
      <c r="D1" s="40" t="s">
        <v>343</v>
      </c>
      <c r="E1" s="40" t="s">
        <v>344</v>
      </c>
      <c r="F1" s="67" t="s">
        <v>292</v>
      </c>
    </row>
    <row r="2" spans="1:6">
      <c r="A2" s="18" t="s">
        <v>244</v>
      </c>
      <c r="B2" s="1">
        <f>ROUND(SUM(B3:B5),2)</f>
        <v>0</v>
      </c>
      <c r="C2" s="1" t="e">
        <f t="shared" ref="C2:F2" si="0">SUM(C3:C5)</f>
        <v>#DIV/0!</v>
      </c>
      <c r="D2" s="1">
        <f>ROUND(SUM(D3:D5),2)</f>
        <v>0</v>
      </c>
      <c r="E2" s="1" t="e">
        <f t="shared" si="0"/>
        <v>#DIV/0!</v>
      </c>
      <c r="F2" s="1">
        <f>ROUND(SUM(F3:F5),2)</f>
        <v>0</v>
      </c>
    </row>
    <row r="3" spans="1:6">
      <c r="A3" s="18" t="s">
        <v>319</v>
      </c>
      <c r="B3" s="139"/>
      <c r="C3" s="1" t="e">
        <f>B3/$B$10*100</f>
        <v>#DIV/0!</v>
      </c>
      <c r="D3" s="139"/>
      <c r="E3" s="1" t="e">
        <f>D3/B3*100</f>
        <v>#DIV/0!</v>
      </c>
      <c r="F3" s="1">
        <f>ROUND(B3-D3,2)</f>
        <v>0</v>
      </c>
    </row>
    <row r="4" spans="1:6">
      <c r="A4" s="18" t="s">
        <v>303</v>
      </c>
      <c r="B4" s="139"/>
      <c r="C4" s="1" t="e">
        <f t="shared" ref="C4:C9" si="1">B4/$B$10*100</f>
        <v>#DIV/0!</v>
      </c>
      <c r="D4" s="139"/>
      <c r="E4" s="1" t="e">
        <f t="shared" ref="E4:E5" si="2">D4/B4*100</f>
        <v>#DIV/0!</v>
      </c>
      <c r="F4" s="1">
        <f>ROUND(B4-D4,2)</f>
        <v>0</v>
      </c>
    </row>
    <row r="5" spans="1:6">
      <c r="A5" s="18" t="s">
        <v>10</v>
      </c>
      <c r="B5" s="139"/>
      <c r="C5" s="1" t="e">
        <f t="shared" si="1"/>
        <v>#DIV/0!</v>
      </c>
      <c r="D5" s="139"/>
      <c r="E5" s="1" t="e">
        <f t="shared" si="2"/>
        <v>#DIV/0!</v>
      </c>
      <c r="F5" s="1">
        <f>ROUND(B5-D5,2)</f>
        <v>0</v>
      </c>
    </row>
    <row r="6" spans="1:6">
      <c r="A6" s="18" t="s">
        <v>245</v>
      </c>
      <c r="B6" s="1">
        <f>ROUND(SUM(B7:B9),2)</f>
        <v>0</v>
      </c>
      <c r="C6" s="1" t="e">
        <f t="shared" ref="C6:F6" si="3">SUM(C7:C9)</f>
        <v>#DIV/0!</v>
      </c>
      <c r="D6" s="1">
        <f>ROUND(SUM(D7:D9),2)</f>
        <v>0</v>
      </c>
      <c r="E6" s="1" t="e">
        <f t="shared" si="3"/>
        <v>#DIV/0!</v>
      </c>
      <c r="F6" s="1">
        <f>ROUND(SUM(F7:F9),2)</f>
        <v>0</v>
      </c>
    </row>
    <row r="7" spans="1:6">
      <c r="A7" s="18" t="s">
        <v>319</v>
      </c>
      <c r="B7" s="139"/>
      <c r="C7" s="1" t="e">
        <f t="shared" si="1"/>
        <v>#DIV/0!</v>
      </c>
      <c r="D7" s="139"/>
      <c r="E7" s="1" t="e">
        <f>D7/B7*100</f>
        <v>#DIV/0!</v>
      </c>
      <c r="F7" s="1">
        <f>ROUND(B7-D7,2)</f>
        <v>0</v>
      </c>
    </row>
    <row r="8" spans="1:6">
      <c r="A8" s="18" t="s">
        <v>303</v>
      </c>
      <c r="B8" s="139"/>
      <c r="C8" s="1" t="e">
        <f t="shared" si="1"/>
        <v>#DIV/0!</v>
      </c>
      <c r="D8" s="139"/>
      <c r="E8" s="1" t="e">
        <f t="shared" ref="E8:E9" si="4">D8/B8*100</f>
        <v>#DIV/0!</v>
      </c>
      <c r="F8" s="1">
        <f>ROUND(B8-D8,2)</f>
        <v>0</v>
      </c>
    </row>
    <row r="9" spans="1:6">
      <c r="A9" s="18" t="s">
        <v>10</v>
      </c>
      <c r="B9" s="139"/>
      <c r="C9" s="1" t="e">
        <f t="shared" si="1"/>
        <v>#DIV/0!</v>
      </c>
      <c r="D9" s="139"/>
      <c r="E9" s="1" t="e">
        <f t="shared" si="4"/>
        <v>#DIV/0!</v>
      </c>
      <c r="F9" s="1">
        <f>ROUND(B9-D9,2)</f>
        <v>0</v>
      </c>
    </row>
    <row r="10" spans="1:6">
      <c r="A10" s="18" t="s">
        <v>204</v>
      </c>
      <c r="B10" s="1">
        <f>ROUND(B2+B6,2)</f>
        <v>0</v>
      </c>
      <c r="C10" s="1" t="e">
        <f t="shared" ref="C10:F10" si="5">C2+C6</f>
        <v>#DIV/0!</v>
      </c>
      <c r="D10" s="1">
        <f>ROUND(D2+D6,2)</f>
        <v>0</v>
      </c>
      <c r="E10" s="1" t="e">
        <f t="shared" si="5"/>
        <v>#DIV/0!</v>
      </c>
      <c r="F10" s="1">
        <f>ROUND(F2+F6,2)</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codeName="Sheet109">
    <tabColor rgb="FFFFC000"/>
  </sheetPr>
  <dimension ref="A1:F5"/>
  <sheetViews>
    <sheetView workbookViewId="0">
      <selection activeCell="D13" sqref="D13"/>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2" t="s">
        <v>205</v>
      </c>
      <c r="B1" s="40" t="s">
        <v>4205</v>
      </c>
      <c r="C1" s="40" t="s">
        <v>242</v>
      </c>
      <c r="D1" s="40" t="s">
        <v>219</v>
      </c>
      <c r="E1" s="40" t="s">
        <v>243</v>
      </c>
      <c r="F1" s="67" t="s">
        <v>222</v>
      </c>
    </row>
    <row r="2" spans="1:6">
      <c r="A2" s="18" t="s">
        <v>320</v>
      </c>
      <c r="B2" s="139"/>
      <c r="C2" s="1" t="str">
        <f>IFERROR(B2/$B$5*100,"")</f>
        <v/>
      </c>
      <c r="D2" s="139"/>
      <c r="E2" s="1" t="str">
        <f>IFERROR(D2/B2*100,"")</f>
        <v/>
      </c>
      <c r="F2" s="1">
        <f>ROUND(B2-D2,2)</f>
        <v>0</v>
      </c>
    </row>
    <row r="3" spans="1:6">
      <c r="A3" s="18" t="s">
        <v>321</v>
      </c>
      <c r="B3" s="139"/>
      <c r="C3" s="1" t="str">
        <f t="shared" ref="C3:C4" si="0">IFERROR(B3/$B$5*100,"")</f>
        <v/>
      </c>
      <c r="D3" s="139"/>
      <c r="E3" s="1" t="str">
        <f t="shared" ref="E3:E4" si="1">IFERROR(D3/B3*100,"")</f>
        <v/>
      </c>
      <c r="F3" s="1">
        <f>ROUND(B3-D3,2)</f>
        <v>0</v>
      </c>
    </row>
    <row r="4" spans="1:6">
      <c r="A4" s="18" t="s">
        <v>322</v>
      </c>
      <c r="B4" s="139"/>
      <c r="C4" s="1" t="str">
        <f t="shared" si="0"/>
        <v/>
      </c>
      <c r="D4" s="139"/>
      <c r="E4" s="1" t="str">
        <f t="shared" si="1"/>
        <v/>
      </c>
      <c r="F4" s="1">
        <f>ROUND(B4-D4,2)</f>
        <v>0</v>
      </c>
    </row>
    <row r="5" spans="1:6">
      <c r="A5" s="62" t="s">
        <v>204</v>
      </c>
      <c r="B5" s="1">
        <f>ROUND(SUM(B2:B4),2)</f>
        <v>0</v>
      </c>
      <c r="C5" s="1">
        <f>ROUND(SUM(C2:C4),2)</f>
        <v>0</v>
      </c>
      <c r="D5" s="1">
        <f>ROUND(SUM(D2:D4),2)</f>
        <v>0</v>
      </c>
      <c r="E5" s="1">
        <f>ROUND(SUM(E2:E4),2)</f>
        <v>0</v>
      </c>
      <c r="F5" s="1">
        <f>ROUND(SUM(F2:F4),2)</f>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codeName="Sheet11">
    <tabColor rgb="FF00B0F0"/>
  </sheetPr>
  <dimension ref="A1:E72"/>
  <sheetViews>
    <sheetView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2" t="str">
        <f>"被审计单位:"&amp;基础信息!B1</f>
        <v>被审计单位:杭州市城市建设发展集团有限公司</v>
      </c>
      <c r="B1" s="163" t="s">
        <v>1584</v>
      </c>
      <c r="C1" s="164" t="s">
        <v>1585</v>
      </c>
      <c r="D1" s="163" t="s">
        <v>1586</v>
      </c>
      <c r="E1" s="165"/>
    </row>
    <row r="2" spans="1:5">
      <c r="A2" s="166" t="s">
        <v>1587</v>
      </c>
      <c r="B2" s="167" t="s">
        <v>1588</v>
      </c>
      <c r="C2" s="168">
        <f>审定报表分析性复核!C2</f>
        <v>0</v>
      </c>
      <c r="D2" s="167" t="s">
        <v>1589</v>
      </c>
      <c r="E2" s="169">
        <f>审定报表分析性复核!E2</f>
        <v>0</v>
      </c>
    </row>
    <row r="3" spans="1:5" ht="14.4" thickBot="1">
      <c r="A3" s="170" t="str">
        <f>审定报表分析性复核!A3</f>
        <v>财务报表截止日/期间：2020-12-31</v>
      </c>
      <c r="B3" s="171" t="s">
        <v>1590</v>
      </c>
      <c r="C3" s="172">
        <f>审定报表分析性复核!C3</f>
        <v>0</v>
      </c>
      <c r="D3" s="171" t="s">
        <v>1589</v>
      </c>
      <c r="E3" s="173">
        <f>审定报表分析性复核!E3</f>
        <v>0</v>
      </c>
    </row>
    <row r="4" spans="1:5" ht="14.4" thickBot="1">
      <c r="A4" s="174" t="s">
        <v>1591</v>
      </c>
      <c r="B4" s="175"/>
      <c r="C4" s="176"/>
      <c r="D4" s="175"/>
      <c r="E4" s="176"/>
    </row>
    <row r="5" spans="1:5">
      <c r="A5" s="698" t="s">
        <v>1592</v>
      </c>
      <c r="B5" s="699"/>
      <c r="C5" s="699"/>
      <c r="D5" s="699"/>
      <c r="E5" s="700"/>
    </row>
    <row r="6" spans="1:5" ht="24">
      <c r="A6" s="177" t="s">
        <v>1593</v>
      </c>
      <c r="B6" s="178" t="s">
        <v>1594</v>
      </c>
      <c r="C6" s="701" t="s">
        <v>1595</v>
      </c>
      <c r="D6" s="691"/>
      <c r="E6" s="702"/>
    </row>
    <row r="7" spans="1:5" ht="24">
      <c r="A7" s="177" t="s">
        <v>1596</v>
      </c>
      <c r="B7" s="179" t="s">
        <v>1597</v>
      </c>
      <c r="C7" s="703">
        <f>负债表!B72</f>
        <v>8169315980.5500002</v>
      </c>
      <c r="D7" s="703"/>
      <c r="E7" s="704"/>
    </row>
    <row r="8" spans="1:5">
      <c r="A8" s="180" t="s">
        <v>1598</v>
      </c>
      <c r="B8" s="181"/>
      <c r="C8" s="705"/>
      <c r="D8" s="705"/>
      <c r="E8" s="706"/>
    </row>
    <row r="9" spans="1:5">
      <c r="A9" s="707"/>
      <c r="B9" s="642"/>
      <c r="C9" s="642"/>
      <c r="D9" s="642"/>
      <c r="E9" s="643"/>
    </row>
    <row r="10" spans="1:5">
      <c r="A10" s="665" t="s">
        <v>1599</v>
      </c>
      <c r="B10" s="666"/>
      <c r="C10" s="666"/>
      <c r="D10" s="666"/>
      <c r="E10" s="667"/>
    </row>
    <row r="11" spans="1:5">
      <c r="A11" s="662" t="s">
        <v>1600</v>
      </c>
      <c r="B11" s="663"/>
      <c r="C11" s="663"/>
      <c r="D11" s="663"/>
      <c r="E11" s="664"/>
    </row>
    <row r="12" spans="1:5" ht="15.6">
      <c r="A12" s="177" t="s">
        <v>1601</v>
      </c>
      <c r="B12" s="178" t="s">
        <v>1602</v>
      </c>
      <c r="C12" s="639" t="s">
        <v>1603</v>
      </c>
      <c r="D12" s="691"/>
      <c r="E12" s="182" t="s">
        <v>1604</v>
      </c>
    </row>
    <row r="13" spans="1:5" ht="15.6">
      <c r="A13" s="183">
        <f>C7</f>
        <v>8169315980.5500002</v>
      </c>
      <c r="B13" s="181" t="s">
        <v>1605</v>
      </c>
      <c r="C13" s="692">
        <v>0.05</v>
      </c>
      <c r="D13" s="686"/>
      <c r="E13" s="184">
        <f>A13*C13</f>
        <v>408465799.02750003</v>
      </c>
    </row>
    <row r="14" spans="1:5">
      <c r="A14" s="662" t="s">
        <v>1606</v>
      </c>
      <c r="B14" s="663"/>
      <c r="C14" s="663"/>
      <c r="D14" s="663"/>
      <c r="E14" s="664"/>
    </row>
    <row r="15" spans="1:5">
      <c r="A15" s="177" t="s">
        <v>1607</v>
      </c>
      <c r="B15" s="693" t="s">
        <v>1608</v>
      </c>
      <c r="C15" s="693"/>
      <c r="D15" s="693"/>
      <c r="E15" s="694"/>
    </row>
    <row r="16" spans="1:5">
      <c r="A16" s="185"/>
      <c r="B16" s="693"/>
      <c r="C16" s="693"/>
      <c r="D16" s="693"/>
      <c r="E16" s="694"/>
    </row>
    <row r="17" spans="1:5">
      <c r="A17" s="186" t="s">
        <v>1609</v>
      </c>
      <c r="B17" s="187"/>
      <c r="C17" s="695">
        <f>INT(E13/10000)*10000</f>
        <v>408460000</v>
      </c>
      <c r="D17" s="696"/>
      <c r="E17" s="697"/>
    </row>
    <row r="18" spans="1:5">
      <c r="A18" s="683"/>
      <c r="B18" s="684"/>
      <c r="C18" s="684"/>
      <c r="D18" s="684"/>
      <c r="E18" s="685"/>
    </row>
    <row r="19" spans="1:5">
      <c r="A19" s="665" t="s">
        <v>1610</v>
      </c>
      <c r="B19" s="666"/>
      <c r="C19" s="666"/>
      <c r="D19" s="666"/>
      <c r="E19" s="667"/>
    </row>
    <row r="20" spans="1:5">
      <c r="A20" s="188" t="s">
        <v>1611</v>
      </c>
      <c r="B20" s="189" t="s">
        <v>1612</v>
      </c>
      <c r="C20" s="639" t="s">
        <v>1613</v>
      </c>
      <c r="D20" s="639"/>
      <c r="E20" s="640"/>
    </row>
    <row r="21" spans="1:5">
      <c r="A21" s="188"/>
      <c r="B21" s="190"/>
      <c r="C21" s="673"/>
      <c r="D21" s="673"/>
      <c r="E21" s="690"/>
    </row>
    <row r="22" spans="1:5">
      <c r="A22" s="188"/>
      <c r="B22" s="190"/>
      <c r="C22" s="673"/>
      <c r="D22" s="673"/>
      <c r="E22" s="690"/>
    </row>
    <row r="23" spans="1:5">
      <c r="A23" s="191"/>
      <c r="B23" s="190"/>
      <c r="C23" s="676"/>
      <c r="D23" s="676"/>
      <c r="E23" s="677"/>
    </row>
    <row r="24" spans="1:5">
      <c r="A24" s="191"/>
      <c r="B24" s="192"/>
      <c r="C24" s="678"/>
      <c r="D24" s="679"/>
      <c r="E24" s="680"/>
    </row>
    <row r="25" spans="1:5">
      <c r="A25" s="665" t="s">
        <v>1614</v>
      </c>
      <c r="B25" s="666"/>
      <c r="C25" s="666"/>
      <c r="D25" s="666"/>
      <c r="E25" s="667"/>
    </row>
    <row r="26" spans="1:5">
      <c r="A26" s="177" t="s">
        <v>1613</v>
      </c>
      <c r="B26" s="189" t="s">
        <v>1615</v>
      </c>
      <c r="C26" s="189" t="s">
        <v>1616</v>
      </c>
      <c r="D26" s="189" t="s">
        <v>1603</v>
      </c>
      <c r="E26" s="193" t="s">
        <v>1604</v>
      </c>
    </row>
    <row r="27" spans="1:5">
      <c r="A27" s="185" t="s">
        <v>1617</v>
      </c>
      <c r="B27" s="194">
        <f>C17</f>
        <v>408460000</v>
      </c>
      <c r="C27" s="195" t="s">
        <v>1618</v>
      </c>
      <c r="D27" s="196">
        <v>0.75</v>
      </c>
      <c r="E27" s="184">
        <f>D27*B27</f>
        <v>306345000</v>
      </c>
    </row>
    <row r="28" spans="1:5">
      <c r="A28" s="185" t="s">
        <v>1619</v>
      </c>
      <c r="B28" s="194"/>
      <c r="C28" s="195" t="s">
        <v>1620</v>
      </c>
      <c r="D28" s="196"/>
      <c r="E28" s="184">
        <f>B28*D28</f>
        <v>0</v>
      </c>
    </row>
    <row r="29" spans="1:5">
      <c r="A29" s="191"/>
      <c r="B29" s="197"/>
      <c r="C29" s="198"/>
      <c r="D29" s="181"/>
      <c r="E29" s="193"/>
    </row>
    <row r="30" spans="1:5">
      <c r="A30" s="668" t="s">
        <v>1621</v>
      </c>
      <c r="B30" s="669"/>
      <c r="C30" s="670">
        <f>E27</f>
        <v>306345000</v>
      </c>
      <c r="D30" s="681"/>
      <c r="E30" s="682"/>
    </row>
    <row r="31" spans="1:5">
      <c r="A31" s="683"/>
      <c r="B31" s="684"/>
      <c r="C31" s="684"/>
      <c r="D31" s="684"/>
      <c r="E31" s="685"/>
    </row>
    <row r="32" spans="1:5">
      <c r="A32" s="665" t="s">
        <v>1622</v>
      </c>
      <c r="B32" s="666"/>
      <c r="C32" s="666"/>
      <c r="D32" s="666"/>
      <c r="E32" s="667"/>
    </row>
    <row r="33" spans="1:5" ht="15.6">
      <c r="A33" s="188" t="s">
        <v>1611</v>
      </c>
      <c r="B33" s="178" t="s">
        <v>1623</v>
      </c>
      <c r="C33" s="639" t="s">
        <v>1613</v>
      </c>
      <c r="D33" s="686"/>
      <c r="E33" s="687"/>
    </row>
    <row r="34" spans="1:5">
      <c r="A34" s="199"/>
      <c r="B34" s="200"/>
      <c r="C34" s="688"/>
      <c r="D34" s="688"/>
      <c r="E34" s="689"/>
    </row>
    <row r="35" spans="1:5">
      <c r="A35" s="185"/>
      <c r="B35" s="201"/>
      <c r="C35" s="639"/>
      <c r="D35" s="639"/>
      <c r="E35" s="640"/>
    </row>
    <row r="36" spans="1:5">
      <c r="A36" s="185"/>
      <c r="B36" s="201"/>
      <c r="C36" s="639"/>
      <c r="D36" s="639"/>
      <c r="E36" s="640"/>
    </row>
    <row r="37" spans="1:5">
      <c r="A37" s="185"/>
      <c r="B37" s="202"/>
      <c r="C37" s="641"/>
      <c r="D37" s="642"/>
      <c r="E37" s="643"/>
    </row>
    <row r="38" spans="1:5">
      <c r="A38" s="665" t="s">
        <v>1624</v>
      </c>
      <c r="B38" s="666"/>
      <c r="C38" s="666"/>
      <c r="D38" s="666"/>
      <c r="E38" s="667"/>
    </row>
    <row r="39" spans="1:5">
      <c r="A39" s="177" t="s">
        <v>1613</v>
      </c>
      <c r="B39" s="189" t="s">
        <v>1615</v>
      </c>
      <c r="C39" s="189" t="s">
        <v>1616</v>
      </c>
      <c r="D39" s="189" t="s">
        <v>1603</v>
      </c>
      <c r="E39" s="193" t="s">
        <v>1604</v>
      </c>
    </row>
    <row r="40" spans="1:5" ht="24">
      <c r="A40" s="203" t="s">
        <v>1625</v>
      </c>
      <c r="B40" s="194">
        <f>C17</f>
        <v>408460000</v>
      </c>
      <c r="C40" s="195" t="s">
        <v>1626</v>
      </c>
      <c r="D40" s="196"/>
      <c r="E40" s="184">
        <f>D40*B40</f>
        <v>0</v>
      </c>
    </row>
    <row r="41" spans="1:5" ht="26.4">
      <c r="A41" s="203" t="s">
        <v>1627</v>
      </c>
      <c r="B41" s="194">
        <f>C17</f>
        <v>408460000</v>
      </c>
      <c r="C41" s="195" t="s">
        <v>1628</v>
      </c>
      <c r="D41" s="204">
        <v>0.03</v>
      </c>
      <c r="E41" s="184">
        <f>B41*D41</f>
        <v>12253800</v>
      </c>
    </row>
    <row r="42" spans="1:5">
      <c r="A42" s="668" t="s">
        <v>1629</v>
      </c>
      <c r="B42" s="669"/>
      <c r="C42" s="670">
        <f>E41</f>
        <v>12253800</v>
      </c>
      <c r="D42" s="670"/>
      <c r="E42" s="671"/>
    </row>
    <row r="43" spans="1:5">
      <c r="A43" s="665" t="s">
        <v>1630</v>
      </c>
      <c r="B43" s="666"/>
      <c r="C43" s="666"/>
      <c r="D43" s="666"/>
      <c r="E43" s="667"/>
    </row>
    <row r="44" spans="1:5">
      <c r="A44" s="672" t="s">
        <v>1631</v>
      </c>
      <c r="B44" s="673"/>
      <c r="C44" s="674"/>
      <c r="D44" s="674"/>
      <c r="E44" s="675"/>
    </row>
    <row r="45" spans="1:5">
      <c r="A45" s="651" t="s">
        <v>1632</v>
      </c>
      <c r="B45" s="652"/>
      <c r="C45" s="653"/>
      <c r="D45" s="653"/>
      <c r="E45" s="654"/>
    </row>
    <row r="46" spans="1:5" ht="15.6">
      <c r="A46" s="651" t="s">
        <v>1633</v>
      </c>
      <c r="B46" s="652"/>
      <c r="C46" s="653"/>
      <c r="D46" s="655"/>
      <c r="E46" s="656"/>
    </row>
    <row r="47" spans="1:5">
      <c r="A47" s="205" t="s">
        <v>1634</v>
      </c>
      <c r="B47" s="206"/>
      <c r="C47" s="657"/>
      <c r="D47" s="658"/>
      <c r="E47" s="659"/>
    </row>
    <row r="48" spans="1:5">
      <c r="A48" s="188" t="s">
        <v>1611</v>
      </c>
      <c r="B48" s="178" t="s">
        <v>1635</v>
      </c>
      <c r="C48" s="639" t="s">
        <v>1613</v>
      </c>
      <c r="D48" s="639"/>
      <c r="E48" s="640"/>
    </row>
    <row r="49" spans="1:5">
      <c r="A49" s="185"/>
      <c r="B49" s="207"/>
      <c r="C49" s="639"/>
      <c r="D49" s="639"/>
      <c r="E49" s="640"/>
    </row>
    <row r="50" spans="1:5">
      <c r="A50" s="185"/>
      <c r="B50" s="207"/>
      <c r="C50" s="639"/>
      <c r="D50" s="639"/>
      <c r="E50" s="640"/>
    </row>
    <row r="51" spans="1:5">
      <c r="A51" s="185"/>
      <c r="B51" s="207"/>
      <c r="C51" s="660"/>
      <c r="D51" s="660"/>
      <c r="E51" s="661"/>
    </row>
    <row r="52" spans="1:5">
      <c r="A52" s="662" t="s">
        <v>1636</v>
      </c>
      <c r="B52" s="663"/>
      <c r="C52" s="663"/>
      <c r="D52" s="663"/>
      <c r="E52" s="664"/>
    </row>
    <row r="53" spans="1:5">
      <c r="A53" s="188" t="s">
        <v>1611</v>
      </c>
      <c r="B53" s="178" t="s">
        <v>1637</v>
      </c>
      <c r="C53" s="639" t="s">
        <v>1638</v>
      </c>
      <c r="D53" s="639"/>
      <c r="E53" s="640"/>
    </row>
    <row r="54" spans="1:5">
      <c r="A54" s="185"/>
      <c r="B54" s="207"/>
      <c r="C54" s="639"/>
      <c r="D54" s="639"/>
      <c r="E54" s="640"/>
    </row>
    <row r="55" spans="1:5">
      <c r="A55" s="185"/>
      <c r="B55" s="207"/>
      <c r="C55" s="639"/>
      <c r="D55" s="639"/>
      <c r="E55" s="640"/>
    </row>
    <row r="56" spans="1:5">
      <c r="A56" s="185"/>
      <c r="B56" s="207"/>
      <c r="C56" s="641"/>
      <c r="D56" s="642"/>
      <c r="E56" s="643"/>
    </row>
    <row r="57" spans="1:5" ht="16.2" thickBot="1">
      <c r="A57" s="208" t="s">
        <v>1639</v>
      </c>
      <c r="B57" s="209"/>
      <c r="C57" s="644"/>
      <c r="D57" s="645"/>
      <c r="E57" s="646"/>
    </row>
    <row r="58" spans="1:5" ht="14.4" thickBot="1">
      <c r="A58" s="210"/>
      <c r="B58" s="211"/>
      <c r="C58" s="211"/>
      <c r="D58" s="212"/>
      <c r="E58" s="212"/>
    </row>
    <row r="59" spans="1:5">
      <c r="A59" s="647" t="s">
        <v>1640</v>
      </c>
      <c r="B59" s="648"/>
      <c r="C59" s="213"/>
      <c r="D59" s="214" t="s">
        <v>1589</v>
      </c>
      <c r="E59" s="215"/>
    </row>
    <row r="60" spans="1:5" ht="14.4" thickBot="1">
      <c r="A60" s="649" t="s">
        <v>1641</v>
      </c>
      <c r="B60" s="650"/>
      <c r="C60" s="216"/>
      <c r="D60" s="217" t="s">
        <v>1589</v>
      </c>
      <c r="E60" s="218"/>
    </row>
    <row r="61" spans="1:5">
      <c r="A61" s="210"/>
      <c r="B61" s="211"/>
      <c r="C61" s="211"/>
      <c r="D61" s="212"/>
      <c r="E61" s="212"/>
    </row>
    <row r="62" spans="1:5">
      <c r="A62" s="637" t="s">
        <v>1642</v>
      </c>
      <c r="B62" s="637"/>
      <c r="C62" s="637"/>
      <c r="D62" s="212"/>
      <c r="E62" s="212"/>
    </row>
    <row r="63" spans="1:5">
      <c r="A63" s="637" t="s">
        <v>1643</v>
      </c>
      <c r="B63" s="637"/>
      <c r="C63" s="637"/>
      <c r="D63" s="637"/>
      <c r="E63" s="637"/>
    </row>
    <row r="64" spans="1:5" ht="14.4" thickBot="1">
      <c r="A64" s="219" t="s">
        <v>1644</v>
      </c>
      <c r="B64" s="219" t="s">
        <v>1645</v>
      </c>
      <c r="C64" s="220"/>
      <c r="D64" s="221"/>
      <c r="E64" s="222"/>
    </row>
    <row r="65" spans="1:5" ht="43.8" thickBot="1">
      <c r="A65" s="223" t="s">
        <v>1646</v>
      </c>
      <c r="B65" s="223" t="s">
        <v>1647</v>
      </c>
      <c r="C65" s="224"/>
      <c r="D65" s="212"/>
      <c r="E65" s="225"/>
    </row>
    <row r="66" spans="1:5" ht="15" thickBot="1">
      <c r="A66" s="226" t="s">
        <v>1648</v>
      </c>
      <c r="B66" s="226" t="s">
        <v>1649</v>
      </c>
      <c r="C66" s="224"/>
      <c r="D66" s="227"/>
      <c r="E66" s="225"/>
    </row>
    <row r="67" spans="1:5" ht="15" thickBot="1">
      <c r="A67" s="226" t="s">
        <v>1650</v>
      </c>
      <c r="B67" s="226" t="s">
        <v>1651</v>
      </c>
      <c r="C67" s="224"/>
      <c r="D67" s="225"/>
      <c r="E67" s="225"/>
    </row>
    <row r="68" spans="1:5" ht="15" thickBot="1">
      <c r="A68" s="226" t="s">
        <v>1652</v>
      </c>
      <c r="B68" s="226" t="s">
        <v>1653</v>
      </c>
      <c r="C68" s="224"/>
      <c r="D68" s="228"/>
      <c r="E68" s="225"/>
    </row>
    <row r="69" spans="1:5" ht="15" thickBot="1">
      <c r="A69" s="229" t="s">
        <v>1654</v>
      </c>
      <c r="B69" s="229" t="s">
        <v>1655</v>
      </c>
      <c r="C69" s="224"/>
      <c r="D69" s="225"/>
      <c r="E69" s="225"/>
    </row>
    <row r="70" spans="1:5" ht="29.4" thickBot="1">
      <c r="A70" s="229" t="s">
        <v>1656</v>
      </c>
      <c r="B70" s="229" t="s">
        <v>1657</v>
      </c>
      <c r="C70" s="224"/>
      <c r="D70" s="225"/>
      <c r="E70" s="225"/>
    </row>
    <row r="71" spans="1:5">
      <c r="A71" s="638" t="s">
        <v>1658</v>
      </c>
      <c r="B71" s="638"/>
      <c r="C71" s="638"/>
      <c r="D71" s="638"/>
      <c r="E71" s="638"/>
    </row>
    <row r="72" spans="1:5">
      <c r="A72" s="638" t="s">
        <v>1659</v>
      </c>
      <c r="B72" s="638"/>
      <c r="C72" s="638"/>
      <c r="D72" s="638"/>
      <c r="E72" s="638"/>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codeName="Sheet110">
    <tabColor rgb="FFFFC000"/>
  </sheetPr>
  <dimension ref="A1:F10"/>
  <sheetViews>
    <sheetView workbookViewId="0">
      <selection activeCell="E17" sqref="E17"/>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4210</v>
      </c>
      <c r="C1" s="40" t="s">
        <v>342</v>
      </c>
      <c r="D1" s="40" t="s">
        <v>343</v>
      </c>
      <c r="E1" s="40" t="s">
        <v>344</v>
      </c>
      <c r="F1" s="67" t="s">
        <v>292</v>
      </c>
    </row>
    <row r="2" spans="1:6">
      <c r="A2" s="18" t="s">
        <v>244</v>
      </c>
      <c r="B2" s="1">
        <f>ROUND(SUM(B3:B5),2)</f>
        <v>0</v>
      </c>
      <c r="C2" s="1">
        <f>ROUND(SUM(C3:C5),2)</f>
        <v>0</v>
      </c>
      <c r="D2" s="1">
        <f>ROUND(SUM(D3:D5),2)</f>
        <v>0</v>
      </c>
      <c r="E2" s="1">
        <f>ROUND(SUM(E3:E5),2)</f>
        <v>0</v>
      </c>
      <c r="F2" s="1">
        <f>ROUND(SUM(F3:F5),2)</f>
        <v>0</v>
      </c>
    </row>
    <row r="3" spans="1:6">
      <c r="A3" s="18" t="s">
        <v>319</v>
      </c>
      <c r="B3" s="139"/>
      <c r="C3" s="1" t="str">
        <f>IFERROR(B3/$B$10*100,"")</f>
        <v/>
      </c>
      <c r="D3" s="139"/>
      <c r="E3" s="1" t="str">
        <f>IFERROR(D3/B3*100,"")</f>
        <v/>
      </c>
      <c r="F3" s="1">
        <f>ROUND(B3-D3,2)</f>
        <v>0</v>
      </c>
    </row>
    <row r="4" spans="1:6">
      <c r="A4" s="18" t="s">
        <v>303</v>
      </c>
      <c r="B4" s="139"/>
      <c r="C4" s="1" t="str">
        <f t="shared" ref="C4:C9" si="0">IFERROR(B4/$B$10*100,"")</f>
        <v/>
      </c>
      <c r="D4" s="139"/>
      <c r="E4" s="1" t="str">
        <f t="shared" ref="E4:E9" si="1">IFERROR(D4/B4*100,"")</f>
        <v/>
      </c>
      <c r="F4" s="1">
        <f>ROUND(B4-D4,2)</f>
        <v>0</v>
      </c>
    </row>
    <row r="5" spans="1:6">
      <c r="A5" s="18" t="s">
        <v>10</v>
      </c>
      <c r="B5" s="139"/>
      <c r="C5" s="1" t="str">
        <f t="shared" si="0"/>
        <v/>
      </c>
      <c r="D5" s="139"/>
      <c r="E5" s="1" t="str">
        <f t="shared" si="1"/>
        <v/>
      </c>
      <c r="F5" s="1">
        <f>ROUND(B5-D5,2)</f>
        <v>0</v>
      </c>
    </row>
    <row r="6" spans="1:6">
      <c r="A6" s="18" t="s">
        <v>245</v>
      </c>
      <c r="B6" s="1">
        <f>ROUND(SUM(B7:B9),2)</f>
        <v>0</v>
      </c>
      <c r="C6" s="1">
        <f>ROUND(SUM(C7:C9),2)</f>
        <v>0</v>
      </c>
      <c r="D6" s="1">
        <f>ROUND(SUM(D7:D9),2)</f>
        <v>0</v>
      </c>
      <c r="E6" s="1">
        <f>ROUND(SUM(E7:E9),2)</f>
        <v>0</v>
      </c>
      <c r="F6" s="1">
        <f>ROUND(SUM(F7:F9),2)</f>
        <v>0</v>
      </c>
    </row>
    <row r="7" spans="1:6">
      <c r="A7" s="18" t="s">
        <v>319</v>
      </c>
      <c r="B7" s="139"/>
      <c r="C7" s="1" t="str">
        <f t="shared" si="0"/>
        <v/>
      </c>
      <c r="D7" s="139"/>
      <c r="E7" s="1" t="str">
        <f t="shared" si="1"/>
        <v/>
      </c>
      <c r="F7" s="1">
        <f>ROUND(B7-D7,2)</f>
        <v>0</v>
      </c>
    </row>
    <row r="8" spans="1:6">
      <c r="A8" s="18" t="s">
        <v>303</v>
      </c>
      <c r="B8" s="139"/>
      <c r="C8" s="1" t="str">
        <f t="shared" si="0"/>
        <v/>
      </c>
      <c r="D8" s="139"/>
      <c r="E8" s="1" t="str">
        <f t="shared" si="1"/>
        <v/>
      </c>
      <c r="F8" s="1">
        <f>ROUND(B8-D8,2)</f>
        <v>0</v>
      </c>
    </row>
    <row r="9" spans="1:6">
      <c r="A9" s="18" t="s">
        <v>10</v>
      </c>
      <c r="B9" s="139"/>
      <c r="C9" s="1" t="str">
        <f t="shared" si="0"/>
        <v/>
      </c>
      <c r="D9" s="139"/>
      <c r="E9" s="1" t="str">
        <f t="shared" si="1"/>
        <v/>
      </c>
      <c r="F9" s="1">
        <f>ROUND(B9-D9,2)</f>
        <v>0</v>
      </c>
    </row>
    <row r="10" spans="1:6">
      <c r="A10" s="18" t="s">
        <v>204</v>
      </c>
      <c r="B10" s="1">
        <f>ROUND(B2+B6,2)</f>
        <v>0</v>
      </c>
      <c r="C10" s="1">
        <f>ROUND(C2+C6,2)</f>
        <v>0</v>
      </c>
      <c r="D10" s="1">
        <f>ROUND(D2+D6,2)</f>
        <v>0</v>
      </c>
      <c r="E10" s="1">
        <f>ROUND(E2+E6,2)</f>
        <v>0</v>
      </c>
      <c r="F10" s="1">
        <f>ROUND(F2+F6,2)</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codeName="Sheet111">
    <tabColor rgb="FFFFC000"/>
  </sheetPr>
  <dimension ref="A1:F10"/>
  <sheetViews>
    <sheetView workbookViewId="0">
      <selection activeCell="E16" sqref="E1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217</v>
      </c>
      <c r="C1" s="40" t="s">
        <v>242</v>
      </c>
      <c r="D1" s="40" t="s">
        <v>219</v>
      </c>
      <c r="E1" s="40" t="s">
        <v>243</v>
      </c>
      <c r="F1" s="67" t="s">
        <v>221</v>
      </c>
    </row>
    <row r="2" spans="1:6">
      <c r="A2" s="18" t="s">
        <v>244</v>
      </c>
      <c r="B2" s="1">
        <f>ROUND(SUM(B3:B5),2)</f>
        <v>0</v>
      </c>
      <c r="C2" s="1" t="e">
        <f t="shared" ref="C2:F2" si="0">SUM(C3:C5)</f>
        <v>#DIV/0!</v>
      </c>
      <c r="D2" s="1">
        <f>ROUND(SUM(D3:D5),2)</f>
        <v>0</v>
      </c>
      <c r="E2" s="1" t="e">
        <f t="shared" si="0"/>
        <v>#DIV/0!</v>
      </c>
      <c r="F2" s="1">
        <f>ROUND(SUM(F3:F5),2)</f>
        <v>0</v>
      </c>
    </row>
    <row r="3" spans="1:6">
      <c r="A3" s="18" t="s">
        <v>319</v>
      </c>
      <c r="B3" s="139"/>
      <c r="C3" s="1" t="e">
        <f>B3/$B$10*100</f>
        <v>#DIV/0!</v>
      </c>
      <c r="D3" s="139"/>
      <c r="E3" s="1" t="e">
        <f>D3/B3*100</f>
        <v>#DIV/0!</v>
      </c>
      <c r="F3" s="1">
        <f>ROUND(B3-D3,2)</f>
        <v>0</v>
      </c>
    </row>
    <row r="4" spans="1:6">
      <c r="A4" s="18" t="s">
        <v>303</v>
      </c>
      <c r="B4" s="139"/>
      <c r="C4" s="1" t="e">
        <f t="shared" ref="C4:C9" si="1">B4/$B$10*100</f>
        <v>#DIV/0!</v>
      </c>
      <c r="D4" s="139"/>
      <c r="E4" s="1" t="e">
        <f t="shared" ref="E4:E5" si="2">D4/B4*100</f>
        <v>#DIV/0!</v>
      </c>
      <c r="F4" s="1">
        <f>ROUND(B4-D4,2)</f>
        <v>0</v>
      </c>
    </row>
    <row r="5" spans="1:6">
      <c r="A5" s="18" t="s">
        <v>10</v>
      </c>
      <c r="B5" s="139"/>
      <c r="C5" s="1" t="e">
        <f t="shared" si="1"/>
        <v>#DIV/0!</v>
      </c>
      <c r="D5" s="139"/>
      <c r="E5" s="1" t="e">
        <f t="shared" si="2"/>
        <v>#DIV/0!</v>
      </c>
      <c r="F5" s="1">
        <f>ROUND(B5-D5,2)</f>
        <v>0</v>
      </c>
    </row>
    <row r="6" spans="1:6">
      <c r="A6" s="18" t="s">
        <v>245</v>
      </c>
      <c r="B6" s="1">
        <f>ROUND(SUM(B7:B9),2)</f>
        <v>0</v>
      </c>
      <c r="C6" s="1" t="e">
        <f t="shared" ref="C6:F6" si="3">SUM(C7:C9)</f>
        <v>#DIV/0!</v>
      </c>
      <c r="D6" s="1">
        <f>ROUND(SUM(D7:D9),2)</f>
        <v>0</v>
      </c>
      <c r="E6" s="1" t="e">
        <f t="shared" si="3"/>
        <v>#DIV/0!</v>
      </c>
      <c r="F6" s="1">
        <f>ROUND(SUM(F7:F9),2)</f>
        <v>0</v>
      </c>
    </row>
    <row r="7" spans="1:6">
      <c r="A7" s="18" t="s">
        <v>319</v>
      </c>
      <c r="B7" s="139"/>
      <c r="C7" s="1" t="e">
        <f t="shared" si="1"/>
        <v>#DIV/0!</v>
      </c>
      <c r="D7" s="139"/>
      <c r="E7" s="1" t="e">
        <f>D7/B7*100</f>
        <v>#DIV/0!</v>
      </c>
      <c r="F7" s="1">
        <f>ROUND(B7-D7,2)</f>
        <v>0</v>
      </c>
    </row>
    <row r="8" spans="1:6">
      <c r="A8" s="18" t="s">
        <v>303</v>
      </c>
      <c r="B8" s="139"/>
      <c r="C8" s="1" t="e">
        <f t="shared" si="1"/>
        <v>#DIV/0!</v>
      </c>
      <c r="D8" s="139"/>
      <c r="E8" s="1" t="e">
        <f t="shared" ref="E8:E9" si="4">D8/B8*100</f>
        <v>#DIV/0!</v>
      </c>
      <c r="F8" s="1">
        <f>ROUND(B8-D8,2)</f>
        <v>0</v>
      </c>
    </row>
    <row r="9" spans="1:6">
      <c r="A9" s="18" t="s">
        <v>10</v>
      </c>
      <c r="B9" s="139"/>
      <c r="C9" s="1" t="e">
        <f t="shared" si="1"/>
        <v>#DIV/0!</v>
      </c>
      <c r="D9" s="139"/>
      <c r="E9" s="1" t="e">
        <f t="shared" si="4"/>
        <v>#DIV/0!</v>
      </c>
      <c r="F9" s="1">
        <f>ROUND(B9-D9,2)</f>
        <v>0</v>
      </c>
    </row>
    <row r="10" spans="1:6">
      <c r="A10" s="18" t="s">
        <v>204</v>
      </c>
      <c r="B10" s="1">
        <f>ROUND(B2+B6,2)</f>
        <v>0</v>
      </c>
      <c r="C10" s="1" t="e">
        <f t="shared" ref="C10:F10" si="5">C2+C6</f>
        <v>#DIV/0!</v>
      </c>
      <c r="D10" s="1">
        <f>ROUND(D2+D6,2)</f>
        <v>0</v>
      </c>
      <c r="E10" s="1" t="e">
        <f t="shared" si="5"/>
        <v>#DIV/0!</v>
      </c>
      <c r="F10" s="1">
        <f>ROUND(F2+F6,2)</f>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codeName="Sheet112">
    <tabColor rgb="FFFFC000"/>
  </sheetPr>
  <dimension ref="A1:C6"/>
  <sheetViews>
    <sheetView workbookViewId="0">
      <selection activeCell="G13" sqref="G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8" t="s">
        <v>305</v>
      </c>
      <c r="B2" s="137">
        <f>ROUND(SUMIF(应收利息明细表!D:D,应收利息分类!A2,应收利息明细表!S:S),2)</f>
        <v>0</v>
      </c>
      <c r="C2" s="247"/>
    </row>
    <row r="3" spans="1:3">
      <c r="A3" s="138" t="s">
        <v>306</v>
      </c>
      <c r="B3" s="137">
        <f>ROUND(SUMIF(应收利息明细表!D:D,应收利息分类!A3,应收利息明细表!S:S),2)</f>
        <v>0</v>
      </c>
      <c r="C3" s="247"/>
    </row>
    <row r="4" spans="1:3">
      <c r="A4" s="138" t="s">
        <v>307</v>
      </c>
      <c r="B4" s="137">
        <f>ROUND(SUMIF(应收利息明细表!D:D,应收利息分类!A4,应收利息明细表!S:S),2)</f>
        <v>0</v>
      </c>
      <c r="C4" s="247"/>
    </row>
    <row r="5" spans="1:3">
      <c r="A5" s="138" t="s">
        <v>202</v>
      </c>
      <c r="B5" s="137">
        <f>ROUND(SUMIF(应收利息明细表!D:D,应收利息分类!A5,应收利息明细表!S:S),2)</f>
        <v>0</v>
      </c>
      <c r="C5" s="247"/>
    </row>
    <row r="6" spans="1:3">
      <c r="A6" s="18" t="s">
        <v>204</v>
      </c>
      <c r="B6" s="134">
        <f>ROUND(SUM(B2:B5),2)</f>
        <v>0</v>
      </c>
      <c r="C6" s="18">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codeName="Sheet113">
    <tabColor rgb="FFFFC000"/>
  </sheetPr>
  <dimension ref="A1:E7"/>
  <sheetViews>
    <sheetView workbookViewId="0">
      <selection activeCell="E13" sqref="E13"/>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308</v>
      </c>
      <c r="B1" s="18" t="s">
        <v>258</v>
      </c>
      <c r="C1" s="18" t="s">
        <v>309</v>
      </c>
      <c r="D1" s="18" t="s">
        <v>310</v>
      </c>
      <c r="E1" s="18" t="s">
        <v>311</v>
      </c>
    </row>
    <row r="2" spans="1:5">
      <c r="A2" s="247"/>
      <c r="B2" s="247"/>
      <c r="C2" s="247"/>
      <c r="D2" s="247"/>
      <c r="E2" s="247"/>
    </row>
    <row r="3" spans="1:5">
      <c r="A3" s="247"/>
      <c r="B3" s="247"/>
      <c r="C3" s="247"/>
      <c r="D3" s="247"/>
      <c r="E3" s="247"/>
    </row>
    <row r="4" spans="1:5">
      <c r="A4" s="247"/>
      <c r="B4" s="247"/>
      <c r="C4" s="247"/>
      <c r="D4" s="247"/>
      <c r="E4" s="247"/>
    </row>
    <row r="5" spans="1:5">
      <c r="A5" s="247"/>
      <c r="B5" s="247"/>
      <c r="C5" s="247"/>
      <c r="D5" s="247"/>
      <c r="E5" s="247"/>
    </row>
    <row r="6" spans="1:5">
      <c r="A6" s="247"/>
      <c r="B6" s="247"/>
      <c r="C6" s="247"/>
      <c r="D6" s="247"/>
      <c r="E6" s="247"/>
    </row>
    <row r="7" spans="1:5">
      <c r="A7" s="18" t="s">
        <v>204</v>
      </c>
      <c r="B7" s="18">
        <f>ROUND(SUM(B2:B6),2)</f>
        <v>0</v>
      </c>
      <c r="C7" s="18" t="s">
        <v>263</v>
      </c>
      <c r="D7" s="18" t="s">
        <v>263</v>
      </c>
      <c r="E7" s="18" t="s">
        <v>263</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sheetPr codeName="Sheet114"/>
  <dimension ref="A1:W102"/>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4" customFormat="1" ht="27.6">
      <c r="A1" s="354" t="s">
        <v>2015</v>
      </c>
      <c r="B1" s="354" t="s">
        <v>4265</v>
      </c>
      <c r="C1" s="354" t="s">
        <v>2384</v>
      </c>
      <c r="D1" s="354" t="s">
        <v>4272</v>
      </c>
      <c r="E1" s="354" t="s">
        <v>4593</v>
      </c>
      <c r="F1" s="354" t="s">
        <v>4594</v>
      </c>
      <c r="G1" s="354" t="s">
        <v>4595</v>
      </c>
      <c r="H1" s="354" t="s">
        <v>4596</v>
      </c>
      <c r="I1" s="354" t="s">
        <v>4597</v>
      </c>
      <c r="J1" s="354" t="s">
        <v>4598</v>
      </c>
      <c r="K1" s="354" t="s">
        <v>4599</v>
      </c>
      <c r="L1" s="354" t="s">
        <v>343</v>
      </c>
      <c r="M1" s="354" t="s">
        <v>4600</v>
      </c>
      <c r="N1" s="354" t="s">
        <v>4601</v>
      </c>
      <c r="O1" s="354" t="s">
        <v>4602</v>
      </c>
      <c r="P1" s="354" t="s">
        <v>4603</v>
      </c>
      <c r="Q1" s="354" t="s">
        <v>4604</v>
      </c>
      <c r="R1" s="354" t="s">
        <v>4605</v>
      </c>
      <c r="S1" s="354" t="s">
        <v>4273</v>
      </c>
      <c r="T1" s="354" t="s">
        <v>4269</v>
      </c>
      <c r="U1" s="354" t="s">
        <v>4270</v>
      </c>
      <c r="V1" s="354" t="s">
        <v>310</v>
      </c>
      <c r="W1" s="354" t="s">
        <v>4271</v>
      </c>
    </row>
    <row r="2" spans="1:23">
      <c r="A2" t="str">
        <f>IF(ABS(E2)&gt;0,基础信息!$B$1,"")</f>
        <v/>
      </c>
      <c r="B2" s="256"/>
      <c r="C2" s="277"/>
      <c r="D2" s="277"/>
      <c r="E2" s="230">
        <f>SUM(F2:K2)</f>
        <v>0</v>
      </c>
      <c r="F2" s="256"/>
      <c r="G2" s="256"/>
      <c r="H2" s="256"/>
      <c r="I2" s="256"/>
      <c r="J2" s="256"/>
      <c r="K2" s="256"/>
      <c r="L2" s="230">
        <f>SUM(M2:R2)</f>
        <v>0</v>
      </c>
      <c r="M2" s="256"/>
      <c r="N2" s="256"/>
      <c r="O2" s="256"/>
      <c r="P2" s="256"/>
      <c r="Q2" s="256"/>
      <c r="R2" s="256"/>
      <c r="S2" s="549">
        <f>E2-L2</f>
        <v>0</v>
      </c>
      <c r="T2" s="256"/>
      <c r="U2" s="256"/>
      <c r="V2" s="256"/>
      <c r="W2" s="256"/>
    </row>
    <row r="3" spans="1:23">
      <c r="A3" t="str">
        <f>IF(ABS(E3)&gt;0,基础信息!$B$1,"")</f>
        <v/>
      </c>
      <c r="B3" s="256"/>
      <c r="C3" s="277"/>
      <c r="D3" s="277"/>
      <c r="E3" s="230">
        <f t="shared" ref="E3:E66" si="0">SUM(F3:K3)</f>
        <v>0</v>
      </c>
      <c r="F3" s="256"/>
      <c r="G3" s="256"/>
      <c r="H3" s="256"/>
      <c r="I3" s="256"/>
      <c r="J3" s="256"/>
      <c r="K3" s="256"/>
      <c r="L3" s="230">
        <f t="shared" ref="L3:L66" si="1">SUM(M3:R3)</f>
        <v>0</v>
      </c>
      <c r="M3" s="256"/>
      <c r="N3" s="256"/>
      <c r="O3" s="256"/>
      <c r="P3" s="256"/>
      <c r="Q3" s="256"/>
      <c r="R3" s="256"/>
      <c r="S3" s="549">
        <f t="shared" ref="S3:S66" si="2">E3-L3</f>
        <v>0</v>
      </c>
      <c r="T3" s="256"/>
      <c r="U3" s="256"/>
      <c r="V3" s="256"/>
      <c r="W3" s="256"/>
    </row>
    <row r="4" spans="1:23">
      <c r="A4" t="str">
        <f>IF(ABS(E4)&gt;0,基础信息!$B$1,"")</f>
        <v/>
      </c>
      <c r="B4" s="256"/>
      <c r="C4" s="277"/>
      <c r="D4" s="277"/>
      <c r="E4" s="230">
        <f t="shared" si="0"/>
        <v>0</v>
      </c>
      <c r="F4" s="256"/>
      <c r="G4" s="256"/>
      <c r="H4" s="256"/>
      <c r="I4" s="256"/>
      <c r="J4" s="256"/>
      <c r="K4" s="256"/>
      <c r="L4" s="230">
        <f t="shared" si="1"/>
        <v>0</v>
      </c>
      <c r="M4" s="256"/>
      <c r="N4" s="256"/>
      <c r="O4" s="256"/>
      <c r="P4" s="256"/>
      <c r="Q4" s="256"/>
      <c r="R4" s="256"/>
      <c r="S4" s="549">
        <f t="shared" si="2"/>
        <v>0</v>
      </c>
      <c r="T4" s="256"/>
      <c r="U4" s="256"/>
      <c r="V4" s="256"/>
      <c r="W4" s="256"/>
    </row>
    <row r="5" spans="1:23">
      <c r="A5" t="str">
        <f>IF(ABS(E5)&gt;0,基础信息!$B$1,"")</f>
        <v/>
      </c>
      <c r="B5" s="256"/>
      <c r="C5" s="277"/>
      <c r="D5" s="277"/>
      <c r="E5" s="230">
        <f t="shared" si="0"/>
        <v>0</v>
      </c>
      <c r="F5" s="256"/>
      <c r="G5" s="256"/>
      <c r="H5" s="256"/>
      <c r="I5" s="256"/>
      <c r="J5" s="256"/>
      <c r="K5" s="256"/>
      <c r="L5" s="230">
        <f t="shared" si="1"/>
        <v>0</v>
      </c>
      <c r="M5" s="256"/>
      <c r="N5" s="256"/>
      <c r="O5" s="256"/>
      <c r="P5" s="256"/>
      <c r="Q5" s="256"/>
      <c r="R5" s="256"/>
      <c r="S5" s="549">
        <f t="shared" si="2"/>
        <v>0</v>
      </c>
      <c r="T5" s="256"/>
      <c r="U5" s="256"/>
      <c r="V5" s="256"/>
      <c r="W5" s="256"/>
    </row>
    <row r="6" spans="1:23">
      <c r="A6" t="str">
        <f>IF(ABS(E6)&gt;0,基础信息!$B$1,"")</f>
        <v/>
      </c>
      <c r="B6" s="256"/>
      <c r="C6" s="277"/>
      <c r="D6" s="277"/>
      <c r="E6" s="230">
        <f t="shared" si="0"/>
        <v>0</v>
      </c>
      <c r="F6" s="256"/>
      <c r="G6" s="256"/>
      <c r="H6" s="256"/>
      <c r="I6" s="256"/>
      <c r="J6" s="256"/>
      <c r="K6" s="256"/>
      <c r="L6" s="230">
        <f t="shared" si="1"/>
        <v>0</v>
      </c>
      <c r="M6" s="256"/>
      <c r="N6" s="256"/>
      <c r="O6" s="256"/>
      <c r="P6" s="256"/>
      <c r="Q6" s="256"/>
      <c r="R6" s="256"/>
      <c r="S6" s="549">
        <f t="shared" si="2"/>
        <v>0</v>
      </c>
      <c r="T6" s="256"/>
      <c r="U6" s="256"/>
      <c r="V6" s="256"/>
      <c r="W6" s="256"/>
    </row>
    <row r="7" spans="1:23">
      <c r="A7" t="str">
        <f>IF(ABS(E7)&gt;0,基础信息!$B$1,"")</f>
        <v/>
      </c>
      <c r="B7" s="256"/>
      <c r="C7" s="277"/>
      <c r="D7" s="277"/>
      <c r="E7" s="230">
        <f t="shared" si="0"/>
        <v>0</v>
      </c>
      <c r="F7" s="256"/>
      <c r="G7" s="256"/>
      <c r="H7" s="256"/>
      <c r="I7" s="256"/>
      <c r="J7" s="256"/>
      <c r="K7" s="256"/>
      <c r="L7" s="230">
        <f t="shared" si="1"/>
        <v>0</v>
      </c>
      <c r="M7" s="256"/>
      <c r="N7" s="256"/>
      <c r="O7" s="256"/>
      <c r="P7" s="256"/>
      <c r="Q7" s="256"/>
      <c r="R7" s="256"/>
      <c r="S7" s="549">
        <f t="shared" si="2"/>
        <v>0</v>
      </c>
      <c r="T7" s="256"/>
      <c r="U7" s="256"/>
      <c r="V7" s="256"/>
      <c r="W7" s="256"/>
    </row>
    <row r="8" spans="1:23">
      <c r="A8" t="str">
        <f>IF(ABS(E8)&gt;0,基础信息!$B$1,"")</f>
        <v/>
      </c>
      <c r="B8" s="256"/>
      <c r="C8" s="277"/>
      <c r="D8" s="277"/>
      <c r="E8" s="230">
        <f t="shared" si="0"/>
        <v>0</v>
      </c>
      <c r="F8" s="256"/>
      <c r="G8" s="256"/>
      <c r="H8" s="256"/>
      <c r="I8" s="256"/>
      <c r="J8" s="256"/>
      <c r="K8" s="256"/>
      <c r="L8" s="230">
        <f t="shared" si="1"/>
        <v>0</v>
      </c>
      <c r="M8" s="256"/>
      <c r="N8" s="256"/>
      <c r="O8" s="256"/>
      <c r="P8" s="256"/>
      <c r="Q8" s="256"/>
      <c r="R8" s="256"/>
      <c r="S8" s="549">
        <f t="shared" si="2"/>
        <v>0</v>
      </c>
      <c r="T8" s="256"/>
      <c r="U8" s="256"/>
      <c r="V8" s="256"/>
      <c r="W8" s="256"/>
    </row>
    <row r="9" spans="1:23">
      <c r="A9" t="str">
        <f>IF(ABS(E9)&gt;0,基础信息!$B$1,"")</f>
        <v/>
      </c>
      <c r="B9" s="256"/>
      <c r="C9" s="277"/>
      <c r="D9" s="277"/>
      <c r="E9" s="230">
        <f t="shared" si="0"/>
        <v>0</v>
      </c>
      <c r="F9" s="256"/>
      <c r="G9" s="256"/>
      <c r="H9" s="256"/>
      <c r="I9" s="256"/>
      <c r="J9" s="256"/>
      <c r="K9" s="256"/>
      <c r="L9" s="230">
        <f t="shared" si="1"/>
        <v>0</v>
      </c>
      <c r="M9" s="256"/>
      <c r="N9" s="256"/>
      <c r="O9" s="256"/>
      <c r="P9" s="256"/>
      <c r="Q9" s="256"/>
      <c r="R9" s="256"/>
      <c r="S9" s="549">
        <f t="shared" si="2"/>
        <v>0</v>
      </c>
      <c r="T9" s="256"/>
      <c r="U9" s="256"/>
      <c r="V9" s="256"/>
      <c r="W9" s="256"/>
    </row>
    <row r="10" spans="1:23">
      <c r="A10" t="str">
        <f>IF(ABS(E10)&gt;0,基础信息!$B$1,"")</f>
        <v/>
      </c>
      <c r="B10" s="256"/>
      <c r="C10" s="277"/>
      <c r="D10" s="277"/>
      <c r="E10" s="230">
        <f t="shared" si="0"/>
        <v>0</v>
      </c>
      <c r="F10" s="256"/>
      <c r="G10" s="256"/>
      <c r="H10" s="256"/>
      <c r="I10" s="256"/>
      <c r="J10" s="256"/>
      <c r="K10" s="256"/>
      <c r="L10" s="230">
        <f t="shared" si="1"/>
        <v>0</v>
      </c>
      <c r="M10" s="256"/>
      <c r="N10" s="256"/>
      <c r="O10" s="256"/>
      <c r="P10" s="256"/>
      <c r="Q10" s="256"/>
      <c r="R10" s="256"/>
      <c r="S10" s="549">
        <f t="shared" si="2"/>
        <v>0</v>
      </c>
      <c r="T10" s="256"/>
      <c r="U10" s="256"/>
      <c r="V10" s="256"/>
      <c r="W10" s="256"/>
    </row>
    <row r="11" spans="1:23">
      <c r="A11" t="str">
        <f>IF(ABS(E11)&gt;0,基础信息!$B$1,"")</f>
        <v/>
      </c>
      <c r="B11" s="256"/>
      <c r="C11" s="277"/>
      <c r="D11" s="277"/>
      <c r="E11" s="230">
        <f t="shared" si="0"/>
        <v>0</v>
      </c>
      <c r="F11" s="256"/>
      <c r="G11" s="256"/>
      <c r="H11" s="256"/>
      <c r="I11" s="256"/>
      <c r="J11" s="256"/>
      <c r="K11" s="256"/>
      <c r="L11" s="230">
        <f t="shared" si="1"/>
        <v>0</v>
      </c>
      <c r="M11" s="256"/>
      <c r="N11" s="256"/>
      <c r="O11" s="256"/>
      <c r="P11" s="256"/>
      <c r="Q11" s="256"/>
      <c r="R11" s="256"/>
      <c r="S11" s="549">
        <f t="shared" si="2"/>
        <v>0</v>
      </c>
      <c r="T11" s="256"/>
      <c r="U11" s="256"/>
      <c r="V11" s="256"/>
      <c r="W11" s="256"/>
    </row>
    <row r="12" spans="1:23">
      <c r="A12" t="str">
        <f>IF(ABS(E12)&gt;0,基础信息!$B$1,"")</f>
        <v/>
      </c>
      <c r="B12" s="256"/>
      <c r="C12" s="277"/>
      <c r="D12" s="277"/>
      <c r="E12" s="230">
        <f t="shared" si="0"/>
        <v>0</v>
      </c>
      <c r="F12" s="256"/>
      <c r="G12" s="256"/>
      <c r="H12" s="256"/>
      <c r="I12" s="256"/>
      <c r="J12" s="256"/>
      <c r="K12" s="256"/>
      <c r="L12" s="230">
        <f t="shared" si="1"/>
        <v>0</v>
      </c>
      <c r="M12" s="256"/>
      <c r="N12" s="256"/>
      <c r="O12" s="256"/>
      <c r="P12" s="256"/>
      <c r="Q12" s="256"/>
      <c r="R12" s="256"/>
      <c r="S12" s="549">
        <f t="shared" si="2"/>
        <v>0</v>
      </c>
      <c r="T12" s="256"/>
      <c r="U12" s="256"/>
      <c r="V12" s="256"/>
      <c r="W12" s="256"/>
    </row>
    <row r="13" spans="1:23">
      <c r="A13" t="str">
        <f>IF(ABS(E13)&gt;0,基础信息!$B$1,"")</f>
        <v/>
      </c>
      <c r="B13" s="256"/>
      <c r="C13" s="277"/>
      <c r="D13" s="277"/>
      <c r="E13" s="230">
        <f t="shared" si="0"/>
        <v>0</v>
      </c>
      <c r="F13" s="256"/>
      <c r="G13" s="256"/>
      <c r="H13" s="256"/>
      <c r="I13" s="256"/>
      <c r="J13" s="256"/>
      <c r="K13" s="256"/>
      <c r="L13" s="230">
        <f t="shared" si="1"/>
        <v>0</v>
      </c>
      <c r="M13" s="256"/>
      <c r="N13" s="256"/>
      <c r="O13" s="256"/>
      <c r="P13" s="256"/>
      <c r="Q13" s="256"/>
      <c r="R13" s="256"/>
      <c r="S13" s="549">
        <f t="shared" si="2"/>
        <v>0</v>
      </c>
      <c r="T13" s="256"/>
      <c r="U13" s="256"/>
      <c r="V13" s="256"/>
      <c r="W13" s="256"/>
    </row>
    <row r="14" spans="1:23">
      <c r="A14" t="str">
        <f>IF(ABS(E14)&gt;0,基础信息!$B$1,"")</f>
        <v/>
      </c>
      <c r="B14" s="256"/>
      <c r="C14" s="277"/>
      <c r="D14" s="277"/>
      <c r="E14" s="230">
        <f t="shared" si="0"/>
        <v>0</v>
      </c>
      <c r="F14" s="256"/>
      <c r="G14" s="256"/>
      <c r="H14" s="256"/>
      <c r="I14" s="256"/>
      <c r="J14" s="256"/>
      <c r="K14" s="256"/>
      <c r="L14" s="230">
        <f t="shared" si="1"/>
        <v>0</v>
      </c>
      <c r="M14" s="256"/>
      <c r="N14" s="256"/>
      <c r="O14" s="256"/>
      <c r="P14" s="256"/>
      <c r="Q14" s="256"/>
      <c r="R14" s="256"/>
      <c r="S14" s="549">
        <f t="shared" si="2"/>
        <v>0</v>
      </c>
      <c r="T14" s="256"/>
      <c r="U14" s="256"/>
      <c r="V14" s="256"/>
      <c r="W14" s="256"/>
    </row>
    <row r="15" spans="1:23">
      <c r="A15" t="str">
        <f>IF(ABS(E15)&gt;0,基础信息!$B$1,"")</f>
        <v/>
      </c>
      <c r="B15" s="256"/>
      <c r="C15" s="277"/>
      <c r="D15" s="277"/>
      <c r="E15" s="230">
        <f t="shared" si="0"/>
        <v>0</v>
      </c>
      <c r="F15" s="256"/>
      <c r="G15" s="256"/>
      <c r="H15" s="256"/>
      <c r="I15" s="256"/>
      <c r="J15" s="256"/>
      <c r="K15" s="256"/>
      <c r="L15" s="230">
        <f t="shared" si="1"/>
        <v>0</v>
      </c>
      <c r="M15" s="256"/>
      <c r="N15" s="256"/>
      <c r="O15" s="256"/>
      <c r="P15" s="256"/>
      <c r="Q15" s="256"/>
      <c r="R15" s="256"/>
      <c r="S15" s="549">
        <f t="shared" si="2"/>
        <v>0</v>
      </c>
      <c r="T15" s="256"/>
      <c r="U15" s="256"/>
      <c r="V15" s="256"/>
      <c r="W15" s="256"/>
    </row>
    <row r="16" spans="1:23">
      <c r="A16" t="str">
        <f>IF(ABS(E16)&gt;0,基础信息!$B$1,"")</f>
        <v/>
      </c>
      <c r="B16" s="256"/>
      <c r="C16" s="277"/>
      <c r="D16" s="277"/>
      <c r="E16" s="230">
        <f t="shared" si="0"/>
        <v>0</v>
      </c>
      <c r="F16" s="256"/>
      <c r="G16" s="256"/>
      <c r="H16" s="256"/>
      <c r="I16" s="256"/>
      <c r="J16" s="256"/>
      <c r="K16" s="256"/>
      <c r="L16" s="230">
        <f t="shared" si="1"/>
        <v>0</v>
      </c>
      <c r="M16" s="256"/>
      <c r="N16" s="256"/>
      <c r="O16" s="256"/>
      <c r="P16" s="256"/>
      <c r="Q16" s="256"/>
      <c r="R16" s="256"/>
      <c r="S16" s="549">
        <f t="shared" si="2"/>
        <v>0</v>
      </c>
      <c r="T16" s="256"/>
      <c r="U16" s="256"/>
      <c r="V16" s="256"/>
      <c r="W16" s="256"/>
    </row>
    <row r="17" spans="1:23">
      <c r="A17" t="str">
        <f>IF(ABS(E17)&gt;0,基础信息!$B$1,"")</f>
        <v/>
      </c>
      <c r="B17" s="256"/>
      <c r="C17" s="277"/>
      <c r="D17" s="277"/>
      <c r="E17" s="230">
        <f t="shared" si="0"/>
        <v>0</v>
      </c>
      <c r="F17" s="256"/>
      <c r="G17" s="256"/>
      <c r="H17" s="256"/>
      <c r="I17" s="256"/>
      <c r="J17" s="256"/>
      <c r="K17" s="256"/>
      <c r="L17" s="230">
        <f t="shared" si="1"/>
        <v>0</v>
      </c>
      <c r="M17" s="256"/>
      <c r="N17" s="256"/>
      <c r="O17" s="256"/>
      <c r="P17" s="256"/>
      <c r="Q17" s="256"/>
      <c r="R17" s="256"/>
      <c r="S17" s="549">
        <f t="shared" si="2"/>
        <v>0</v>
      </c>
      <c r="T17" s="256"/>
      <c r="U17" s="256"/>
      <c r="V17" s="256"/>
      <c r="W17" s="256"/>
    </row>
    <row r="18" spans="1:23">
      <c r="A18" t="str">
        <f>IF(ABS(E18)&gt;0,基础信息!$B$1,"")</f>
        <v/>
      </c>
      <c r="B18" s="256"/>
      <c r="C18" s="277"/>
      <c r="D18" s="277"/>
      <c r="E18" s="230">
        <f t="shared" si="0"/>
        <v>0</v>
      </c>
      <c r="F18" s="256"/>
      <c r="G18" s="256"/>
      <c r="H18" s="256"/>
      <c r="I18" s="256"/>
      <c r="J18" s="256"/>
      <c r="K18" s="256"/>
      <c r="L18" s="230">
        <f t="shared" si="1"/>
        <v>0</v>
      </c>
      <c r="M18" s="256"/>
      <c r="N18" s="256"/>
      <c r="O18" s="256"/>
      <c r="P18" s="256"/>
      <c r="Q18" s="256"/>
      <c r="R18" s="256"/>
      <c r="S18" s="549">
        <f t="shared" si="2"/>
        <v>0</v>
      </c>
      <c r="T18" s="256"/>
      <c r="U18" s="256"/>
      <c r="V18" s="256"/>
      <c r="W18" s="256"/>
    </row>
    <row r="19" spans="1:23">
      <c r="A19" t="str">
        <f>IF(ABS(E19)&gt;0,基础信息!$B$1,"")</f>
        <v/>
      </c>
      <c r="B19" s="256"/>
      <c r="C19" s="277"/>
      <c r="D19" s="277"/>
      <c r="E19" s="230">
        <f t="shared" si="0"/>
        <v>0</v>
      </c>
      <c r="F19" s="256"/>
      <c r="G19" s="256"/>
      <c r="H19" s="256"/>
      <c r="I19" s="256"/>
      <c r="J19" s="256"/>
      <c r="K19" s="256"/>
      <c r="L19" s="230">
        <f t="shared" si="1"/>
        <v>0</v>
      </c>
      <c r="M19" s="256"/>
      <c r="N19" s="256"/>
      <c r="O19" s="256"/>
      <c r="P19" s="256"/>
      <c r="Q19" s="256"/>
      <c r="R19" s="256"/>
      <c r="S19" s="549">
        <f t="shared" si="2"/>
        <v>0</v>
      </c>
      <c r="T19" s="256"/>
      <c r="U19" s="256"/>
      <c r="V19" s="256"/>
      <c r="W19" s="256"/>
    </row>
    <row r="20" spans="1:23">
      <c r="A20" t="str">
        <f>IF(ABS(E20)&gt;0,基础信息!$B$1,"")</f>
        <v/>
      </c>
      <c r="B20" s="256"/>
      <c r="C20" s="277"/>
      <c r="D20" s="277"/>
      <c r="E20" s="230">
        <f t="shared" si="0"/>
        <v>0</v>
      </c>
      <c r="F20" s="256"/>
      <c r="G20" s="256"/>
      <c r="H20" s="256"/>
      <c r="I20" s="256"/>
      <c r="J20" s="256"/>
      <c r="K20" s="256"/>
      <c r="L20" s="230">
        <f t="shared" si="1"/>
        <v>0</v>
      </c>
      <c r="M20" s="256"/>
      <c r="N20" s="256"/>
      <c r="O20" s="256"/>
      <c r="P20" s="256"/>
      <c r="Q20" s="256"/>
      <c r="R20" s="256"/>
      <c r="S20" s="549">
        <f t="shared" si="2"/>
        <v>0</v>
      </c>
      <c r="T20" s="256"/>
      <c r="U20" s="256"/>
      <c r="V20" s="256"/>
      <c r="W20" s="256"/>
    </row>
    <row r="21" spans="1:23">
      <c r="A21" t="str">
        <f>IF(ABS(E21)&gt;0,基础信息!$B$1,"")</f>
        <v/>
      </c>
      <c r="B21" s="256"/>
      <c r="C21" s="277"/>
      <c r="D21" s="277"/>
      <c r="E21" s="230">
        <f t="shared" si="0"/>
        <v>0</v>
      </c>
      <c r="F21" s="256"/>
      <c r="G21" s="256"/>
      <c r="H21" s="256"/>
      <c r="I21" s="256"/>
      <c r="J21" s="256"/>
      <c r="K21" s="256"/>
      <c r="L21" s="230">
        <f t="shared" si="1"/>
        <v>0</v>
      </c>
      <c r="M21" s="256"/>
      <c r="N21" s="256"/>
      <c r="O21" s="256"/>
      <c r="P21" s="256"/>
      <c r="Q21" s="256"/>
      <c r="R21" s="256"/>
      <c r="S21" s="549">
        <f t="shared" si="2"/>
        <v>0</v>
      </c>
      <c r="T21" s="256"/>
      <c r="U21" s="256"/>
      <c r="V21" s="256"/>
      <c r="W21" s="256"/>
    </row>
    <row r="22" spans="1:23">
      <c r="A22" t="str">
        <f>IF(ABS(E22)&gt;0,基础信息!$B$1,"")</f>
        <v/>
      </c>
      <c r="B22" s="256"/>
      <c r="C22" s="277"/>
      <c r="D22" s="277"/>
      <c r="E22" s="230">
        <f t="shared" si="0"/>
        <v>0</v>
      </c>
      <c r="F22" s="256"/>
      <c r="G22" s="256"/>
      <c r="H22" s="256"/>
      <c r="I22" s="256"/>
      <c r="J22" s="256"/>
      <c r="K22" s="256"/>
      <c r="L22" s="230">
        <f t="shared" si="1"/>
        <v>0</v>
      </c>
      <c r="M22" s="256"/>
      <c r="N22" s="256"/>
      <c r="O22" s="256"/>
      <c r="P22" s="256"/>
      <c r="Q22" s="256"/>
      <c r="R22" s="256"/>
      <c r="S22" s="549">
        <f t="shared" si="2"/>
        <v>0</v>
      </c>
      <c r="T22" s="256"/>
      <c r="U22" s="256"/>
      <c r="V22" s="256"/>
      <c r="W22" s="256"/>
    </row>
    <row r="23" spans="1:23">
      <c r="A23" t="str">
        <f>IF(ABS(E23)&gt;0,基础信息!$B$1,"")</f>
        <v/>
      </c>
      <c r="B23" s="256"/>
      <c r="C23" s="277"/>
      <c r="D23" s="277"/>
      <c r="E23" s="230">
        <f t="shared" si="0"/>
        <v>0</v>
      </c>
      <c r="F23" s="256"/>
      <c r="G23" s="256"/>
      <c r="H23" s="256"/>
      <c r="I23" s="256"/>
      <c r="J23" s="256"/>
      <c r="K23" s="256"/>
      <c r="L23" s="230">
        <f t="shared" si="1"/>
        <v>0</v>
      </c>
      <c r="M23" s="256"/>
      <c r="N23" s="256"/>
      <c r="O23" s="256"/>
      <c r="P23" s="256"/>
      <c r="Q23" s="256"/>
      <c r="R23" s="256"/>
      <c r="S23" s="549">
        <f t="shared" si="2"/>
        <v>0</v>
      </c>
      <c r="T23" s="256"/>
      <c r="U23" s="256"/>
      <c r="V23" s="256"/>
      <c r="W23" s="256"/>
    </row>
    <row r="24" spans="1:23">
      <c r="A24" t="str">
        <f>IF(ABS(E24)&gt;0,基础信息!$B$1,"")</f>
        <v/>
      </c>
      <c r="B24" s="256"/>
      <c r="C24" s="277"/>
      <c r="D24" s="277"/>
      <c r="E24" s="230">
        <f t="shared" si="0"/>
        <v>0</v>
      </c>
      <c r="F24" s="256"/>
      <c r="G24" s="256"/>
      <c r="H24" s="256"/>
      <c r="I24" s="256"/>
      <c r="J24" s="256"/>
      <c r="K24" s="256"/>
      <c r="L24" s="230">
        <f t="shared" si="1"/>
        <v>0</v>
      </c>
      <c r="M24" s="256"/>
      <c r="N24" s="256"/>
      <c r="O24" s="256"/>
      <c r="P24" s="256"/>
      <c r="Q24" s="256"/>
      <c r="R24" s="256"/>
      <c r="S24" s="549">
        <f t="shared" si="2"/>
        <v>0</v>
      </c>
      <c r="T24" s="256"/>
      <c r="U24" s="256"/>
      <c r="V24" s="256"/>
      <c r="W24" s="256"/>
    </row>
    <row r="25" spans="1:23">
      <c r="A25" t="str">
        <f>IF(ABS(E25)&gt;0,基础信息!$B$1,"")</f>
        <v/>
      </c>
      <c r="B25" s="256"/>
      <c r="C25" s="277"/>
      <c r="D25" s="277"/>
      <c r="E25" s="230">
        <f t="shared" si="0"/>
        <v>0</v>
      </c>
      <c r="F25" s="256"/>
      <c r="G25" s="256"/>
      <c r="H25" s="256"/>
      <c r="I25" s="256"/>
      <c r="J25" s="256"/>
      <c r="K25" s="256"/>
      <c r="L25" s="230">
        <f t="shared" si="1"/>
        <v>0</v>
      </c>
      <c r="M25" s="256"/>
      <c r="N25" s="256"/>
      <c r="O25" s="256"/>
      <c r="P25" s="256"/>
      <c r="Q25" s="256"/>
      <c r="R25" s="256"/>
      <c r="S25" s="549">
        <f t="shared" si="2"/>
        <v>0</v>
      </c>
      <c r="T25" s="256"/>
      <c r="U25" s="256"/>
      <c r="V25" s="256"/>
      <c r="W25" s="256"/>
    </row>
    <row r="26" spans="1:23">
      <c r="A26" t="str">
        <f>IF(ABS(E26)&gt;0,基础信息!$B$1,"")</f>
        <v/>
      </c>
      <c r="B26" s="256"/>
      <c r="C26" s="277"/>
      <c r="D26" s="277"/>
      <c r="E26" s="230">
        <f t="shared" si="0"/>
        <v>0</v>
      </c>
      <c r="F26" s="256"/>
      <c r="G26" s="256"/>
      <c r="H26" s="256"/>
      <c r="I26" s="256"/>
      <c r="J26" s="256"/>
      <c r="K26" s="256"/>
      <c r="L26" s="230">
        <f t="shared" si="1"/>
        <v>0</v>
      </c>
      <c r="M26" s="256"/>
      <c r="N26" s="256"/>
      <c r="O26" s="256"/>
      <c r="P26" s="256"/>
      <c r="Q26" s="256"/>
      <c r="R26" s="256"/>
      <c r="S26" s="549">
        <f t="shared" si="2"/>
        <v>0</v>
      </c>
      <c r="T26" s="256"/>
      <c r="U26" s="256"/>
      <c r="V26" s="256"/>
      <c r="W26" s="256"/>
    </row>
    <row r="27" spans="1:23">
      <c r="A27" t="str">
        <f>IF(ABS(E27)&gt;0,基础信息!$B$1,"")</f>
        <v/>
      </c>
      <c r="B27" s="256"/>
      <c r="C27" s="277"/>
      <c r="D27" s="277"/>
      <c r="E27" s="230">
        <f t="shared" si="0"/>
        <v>0</v>
      </c>
      <c r="F27" s="256"/>
      <c r="G27" s="256"/>
      <c r="H27" s="256"/>
      <c r="I27" s="256"/>
      <c r="J27" s="256"/>
      <c r="K27" s="256"/>
      <c r="L27" s="230">
        <f t="shared" si="1"/>
        <v>0</v>
      </c>
      <c r="M27" s="256"/>
      <c r="N27" s="256"/>
      <c r="O27" s="256"/>
      <c r="P27" s="256"/>
      <c r="Q27" s="256"/>
      <c r="R27" s="256"/>
      <c r="S27" s="549">
        <f t="shared" si="2"/>
        <v>0</v>
      </c>
      <c r="T27" s="256"/>
      <c r="U27" s="256"/>
      <c r="V27" s="256"/>
      <c r="W27" s="256"/>
    </row>
    <row r="28" spans="1:23">
      <c r="A28" t="str">
        <f>IF(ABS(E28)&gt;0,基础信息!$B$1,"")</f>
        <v/>
      </c>
      <c r="B28" s="256"/>
      <c r="C28" s="277"/>
      <c r="D28" s="277"/>
      <c r="E28" s="230">
        <f t="shared" si="0"/>
        <v>0</v>
      </c>
      <c r="F28" s="256"/>
      <c r="G28" s="256"/>
      <c r="H28" s="256"/>
      <c r="I28" s="256"/>
      <c r="J28" s="256"/>
      <c r="K28" s="256"/>
      <c r="L28" s="230">
        <f t="shared" si="1"/>
        <v>0</v>
      </c>
      <c r="M28" s="256"/>
      <c r="N28" s="256"/>
      <c r="O28" s="256"/>
      <c r="P28" s="256"/>
      <c r="Q28" s="256"/>
      <c r="R28" s="256"/>
      <c r="S28" s="549">
        <f t="shared" si="2"/>
        <v>0</v>
      </c>
      <c r="T28" s="256"/>
      <c r="U28" s="256"/>
      <c r="V28" s="256"/>
      <c r="W28" s="256"/>
    </row>
    <row r="29" spans="1:23">
      <c r="A29" t="str">
        <f>IF(ABS(E29)&gt;0,基础信息!$B$1,"")</f>
        <v/>
      </c>
      <c r="B29" s="256"/>
      <c r="C29" s="277"/>
      <c r="D29" s="277"/>
      <c r="E29" s="230">
        <f t="shared" si="0"/>
        <v>0</v>
      </c>
      <c r="F29" s="256"/>
      <c r="G29" s="256"/>
      <c r="H29" s="256"/>
      <c r="I29" s="256"/>
      <c r="J29" s="256"/>
      <c r="K29" s="256"/>
      <c r="L29" s="230">
        <f t="shared" si="1"/>
        <v>0</v>
      </c>
      <c r="M29" s="256"/>
      <c r="N29" s="256"/>
      <c r="O29" s="256"/>
      <c r="P29" s="256"/>
      <c r="Q29" s="256"/>
      <c r="R29" s="256"/>
      <c r="S29" s="549">
        <f t="shared" si="2"/>
        <v>0</v>
      </c>
      <c r="T29" s="256"/>
      <c r="U29" s="256"/>
      <c r="V29" s="256"/>
      <c r="W29" s="256"/>
    </row>
    <row r="30" spans="1:23">
      <c r="A30" t="str">
        <f>IF(ABS(E30)&gt;0,基础信息!$B$1,"")</f>
        <v/>
      </c>
      <c r="B30" s="256"/>
      <c r="C30" s="277"/>
      <c r="D30" s="277"/>
      <c r="E30" s="230">
        <f t="shared" si="0"/>
        <v>0</v>
      </c>
      <c r="F30" s="256"/>
      <c r="G30" s="256"/>
      <c r="H30" s="256"/>
      <c r="I30" s="256"/>
      <c r="J30" s="256"/>
      <c r="K30" s="256"/>
      <c r="L30" s="230">
        <f t="shared" si="1"/>
        <v>0</v>
      </c>
      <c r="M30" s="256"/>
      <c r="N30" s="256"/>
      <c r="O30" s="256"/>
      <c r="P30" s="256"/>
      <c r="Q30" s="256"/>
      <c r="R30" s="256"/>
      <c r="S30" s="549">
        <f t="shared" si="2"/>
        <v>0</v>
      </c>
      <c r="T30" s="256"/>
      <c r="U30" s="256"/>
      <c r="V30" s="256"/>
      <c r="W30" s="256"/>
    </row>
    <row r="31" spans="1:23">
      <c r="A31" t="str">
        <f>IF(ABS(E31)&gt;0,基础信息!$B$1,"")</f>
        <v/>
      </c>
      <c r="B31" s="256"/>
      <c r="C31" s="277"/>
      <c r="D31" s="277"/>
      <c r="E31" s="230">
        <f t="shared" si="0"/>
        <v>0</v>
      </c>
      <c r="F31" s="256"/>
      <c r="G31" s="256"/>
      <c r="H31" s="256"/>
      <c r="I31" s="256"/>
      <c r="J31" s="256"/>
      <c r="K31" s="256"/>
      <c r="L31" s="230">
        <f t="shared" si="1"/>
        <v>0</v>
      </c>
      <c r="M31" s="256"/>
      <c r="N31" s="256"/>
      <c r="O31" s="256"/>
      <c r="P31" s="256"/>
      <c r="Q31" s="256"/>
      <c r="R31" s="256"/>
      <c r="S31" s="549">
        <f t="shared" si="2"/>
        <v>0</v>
      </c>
      <c r="T31" s="256"/>
      <c r="U31" s="256"/>
      <c r="V31" s="256"/>
      <c r="W31" s="256"/>
    </row>
    <row r="32" spans="1:23">
      <c r="A32" t="str">
        <f>IF(ABS(E32)&gt;0,基础信息!$B$1,"")</f>
        <v/>
      </c>
      <c r="B32" s="256"/>
      <c r="C32" s="277"/>
      <c r="D32" s="277"/>
      <c r="E32" s="230">
        <f t="shared" si="0"/>
        <v>0</v>
      </c>
      <c r="F32" s="256"/>
      <c r="G32" s="256"/>
      <c r="H32" s="256"/>
      <c r="I32" s="256"/>
      <c r="J32" s="256"/>
      <c r="K32" s="256"/>
      <c r="L32" s="230">
        <f t="shared" si="1"/>
        <v>0</v>
      </c>
      <c r="M32" s="256"/>
      <c r="N32" s="256"/>
      <c r="O32" s="256"/>
      <c r="P32" s="256"/>
      <c r="Q32" s="256"/>
      <c r="R32" s="256"/>
      <c r="S32" s="549">
        <f t="shared" si="2"/>
        <v>0</v>
      </c>
      <c r="T32" s="256"/>
      <c r="U32" s="256"/>
      <c r="V32" s="256"/>
      <c r="W32" s="256"/>
    </row>
    <row r="33" spans="1:23">
      <c r="A33" t="str">
        <f>IF(ABS(E33)&gt;0,基础信息!$B$1,"")</f>
        <v/>
      </c>
      <c r="B33" s="256"/>
      <c r="C33" s="277"/>
      <c r="D33" s="277"/>
      <c r="E33" s="230">
        <f t="shared" si="0"/>
        <v>0</v>
      </c>
      <c r="F33" s="256"/>
      <c r="G33" s="256"/>
      <c r="H33" s="256"/>
      <c r="I33" s="256"/>
      <c r="J33" s="256"/>
      <c r="K33" s="256"/>
      <c r="L33" s="230">
        <f t="shared" si="1"/>
        <v>0</v>
      </c>
      <c r="M33" s="256"/>
      <c r="N33" s="256"/>
      <c r="O33" s="256"/>
      <c r="P33" s="256"/>
      <c r="Q33" s="256"/>
      <c r="R33" s="256"/>
      <c r="S33" s="549">
        <f t="shared" si="2"/>
        <v>0</v>
      </c>
      <c r="T33" s="256"/>
      <c r="U33" s="256"/>
      <c r="V33" s="256"/>
      <c r="W33" s="256"/>
    </row>
    <row r="34" spans="1:23">
      <c r="A34" t="str">
        <f>IF(ABS(E34)&gt;0,基础信息!$B$1,"")</f>
        <v/>
      </c>
      <c r="B34" s="256"/>
      <c r="C34" s="277"/>
      <c r="D34" s="277"/>
      <c r="E34" s="230">
        <f t="shared" si="0"/>
        <v>0</v>
      </c>
      <c r="F34" s="256"/>
      <c r="G34" s="256"/>
      <c r="H34" s="256"/>
      <c r="I34" s="256"/>
      <c r="J34" s="256"/>
      <c r="K34" s="256"/>
      <c r="L34" s="230">
        <f t="shared" si="1"/>
        <v>0</v>
      </c>
      <c r="M34" s="256"/>
      <c r="N34" s="256"/>
      <c r="O34" s="256"/>
      <c r="P34" s="256"/>
      <c r="Q34" s="256"/>
      <c r="R34" s="256"/>
      <c r="S34" s="549">
        <f t="shared" si="2"/>
        <v>0</v>
      </c>
      <c r="T34" s="256"/>
      <c r="U34" s="256"/>
      <c r="V34" s="256"/>
      <c r="W34" s="256"/>
    </row>
    <row r="35" spans="1:23">
      <c r="A35" t="str">
        <f>IF(ABS(E35)&gt;0,基础信息!$B$1,"")</f>
        <v/>
      </c>
      <c r="B35" s="256"/>
      <c r="C35" s="277"/>
      <c r="D35" s="277"/>
      <c r="E35" s="230">
        <f t="shared" si="0"/>
        <v>0</v>
      </c>
      <c r="F35" s="256"/>
      <c r="G35" s="256"/>
      <c r="H35" s="256"/>
      <c r="I35" s="256"/>
      <c r="J35" s="256"/>
      <c r="K35" s="256"/>
      <c r="L35" s="230">
        <f t="shared" si="1"/>
        <v>0</v>
      </c>
      <c r="M35" s="256"/>
      <c r="N35" s="256"/>
      <c r="O35" s="256"/>
      <c r="P35" s="256"/>
      <c r="Q35" s="256"/>
      <c r="R35" s="256"/>
      <c r="S35" s="549">
        <f t="shared" si="2"/>
        <v>0</v>
      </c>
      <c r="T35" s="256"/>
      <c r="U35" s="256"/>
      <c r="V35" s="256"/>
      <c r="W35" s="256"/>
    </row>
    <row r="36" spans="1:23">
      <c r="A36" t="str">
        <f>IF(ABS(E36)&gt;0,基础信息!$B$1,"")</f>
        <v/>
      </c>
      <c r="B36" s="256"/>
      <c r="C36" s="277"/>
      <c r="D36" s="277"/>
      <c r="E36" s="230">
        <f t="shared" si="0"/>
        <v>0</v>
      </c>
      <c r="F36" s="256"/>
      <c r="G36" s="256"/>
      <c r="H36" s="256"/>
      <c r="I36" s="256"/>
      <c r="J36" s="256"/>
      <c r="K36" s="256"/>
      <c r="L36" s="230">
        <f t="shared" si="1"/>
        <v>0</v>
      </c>
      <c r="M36" s="256"/>
      <c r="N36" s="256"/>
      <c r="O36" s="256"/>
      <c r="P36" s="256"/>
      <c r="Q36" s="256"/>
      <c r="R36" s="256"/>
      <c r="S36" s="549">
        <f t="shared" si="2"/>
        <v>0</v>
      </c>
      <c r="T36" s="256"/>
      <c r="U36" s="256"/>
      <c r="V36" s="256"/>
      <c r="W36" s="256"/>
    </row>
    <row r="37" spans="1:23">
      <c r="A37" t="str">
        <f>IF(ABS(E37)&gt;0,基础信息!$B$1,"")</f>
        <v/>
      </c>
      <c r="B37" s="256"/>
      <c r="C37" s="277"/>
      <c r="D37" s="277"/>
      <c r="E37" s="230">
        <f t="shared" si="0"/>
        <v>0</v>
      </c>
      <c r="F37" s="256"/>
      <c r="G37" s="256"/>
      <c r="H37" s="256"/>
      <c r="I37" s="256"/>
      <c r="J37" s="256"/>
      <c r="K37" s="256"/>
      <c r="L37" s="230">
        <f t="shared" si="1"/>
        <v>0</v>
      </c>
      <c r="M37" s="256"/>
      <c r="N37" s="256"/>
      <c r="O37" s="256"/>
      <c r="P37" s="256"/>
      <c r="Q37" s="256"/>
      <c r="R37" s="256"/>
      <c r="S37" s="549">
        <f t="shared" si="2"/>
        <v>0</v>
      </c>
      <c r="T37" s="256"/>
      <c r="U37" s="256"/>
      <c r="V37" s="256"/>
      <c r="W37" s="256"/>
    </row>
    <row r="38" spans="1:23">
      <c r="A38" t="str">
        <f>IF(ABS(E38)&gt;0,基础信息!$B$1,"")</f>
        <v/>
      </c>
      <c r="B38" s="256"/>
      <c r="C38" s="277"/>
      <c r="D38" s="277"/>
      <c r="E38" s="230">
        <f t="shared" si="0"/>
        <v>0</v>
      </c>
      <c r="F38" s="256"/>
      <c r="G38" s="256"/>
      <c r="H38" s="256"/>
      <c r="I38" s="256"/>
      <c r="J38" s="256"/>
      <c r="K38" s="256"/>
      <c r="L38" s="230">
        <f t="shared" si="1"/>
        <v>0</v>
      </c>
      <c r="M38" s="256"/>
      <c r="N38" s="256"/>
      <c r="O38" s="256"/>
      <c r="P38" s="256"/>
      <c r="Q38" s="256"/>
      <c r="R38" s="256"/>
      <c r="S38" s="549">
        <f t="shared" si="2"/>
        <v>0</v>
      </c>
      <c r="T38" s="256"/>
      <c r="U38" s="256"/>
      <c r="V38" s="256"/>
      <c r="W38" s="256"/>
    </row>
    <row r="39" spans="1:23">
      <c r="A39" t="str">
        <f>IF(ABS(E39)&gt;0,基础信息!$B$1,"")</f>
        <v/>
      </c>
      <c r="B39" s="256"/>
      <c r="C39" s="277"/>
      <c r="D39" s="277"/>
      <c r="E39" s="230">
        <f t="shared" si="0"/>
        <v>0</v>
      </c>
      <c r="F39" s="256"/>
      <c r="G39" s="256"/>
      <c r="H39" s="256"/>
      <c r="I39" s="256"/>
      <c r="J39" s="256"/>
      <c r="K39" s="256"/>
      <c r="L39" s="230">
        <f t="shared" si="1"/>
        <v>0</v>
      </c>
      <c r="M39" s="256"/>
      <c r="N39" s="256"/>
      <c r="O39" s="256"/>
      <c r="P39" s="256"/>
      <c r="Q39" s="256"/>
      <c r="R39" s="256"/>
      <c r="S39" s="549">
        <f t="shared" si="2"/>
        <v>0</v>
      </c>
      <c r="T39" s="256"/>
      <c r="U39" s="256"/>
      <c r="V39" s="256"/>
      <c r="W39" s="256"/>
    </row>
    <row r="40" spans="1:23">
      <c r="A40" t="str">
        <f>IF(ABS(E40)&gt;0,基础信息!$B$1,"")</f>
        <v/>
      </c>
      <c r="B40" s="256"/>
      <c r="C40" s="277"/>
      <c r="D40" s="277"/>
      <c r="E40" s="230">
        <f t="shared" si="0"/>
        <v>0</v>
      </c>
      <c r="F40" s="256"/>
      <c r="G40" s="256"/>
      <c r="H40" s="256"/>
      <c r="I40" s="256"/>
      <c r="J40" s="256"/>
      <c r="K40" s="256"/>
      <c r="L40" s="230">
        <f t="shared" si="1"/>
        <v>0</v>
      </c>
      <c r="M40" s="256"/>
      <c r="N40" s="256"/>
      <c r="O40" s="256"/>
      <c r="P40" s="256"/>
      <c r="Q40" s="256"/>
      <c r="R40" s="256"/>
      <c r="S40" s="549">
        <f t="shared" si="2"/>
        <v>0</v>
      </c>
      <c r="T40" s="256"/>
      <c r="U40" s="256"/>
      <c r="V40" s="256"/>
      <c r="W40" s="256"/>
    </row>
    <row r="41" spans="1:23">
      <c r="A41" t="str">
        <f>IF(ABS(E41)&gt;0,基础信息!$B$1,"")</f>
        <v/>
      </c>
      <c r="B41" s="256"/>
      <c r="C41" s="277"/>
      <c r="D41" s="277"/>
      <c r="E41" s="230">
        <f t="shared" si="0"/>
        <v>0</v>
      </c>
      <c r="F41" s="256"/>
      <c r="G41" s="256"/>
      <c r="H41" s="256"/>
      <c r="I41" s="256"/>
      <c r="J41" s="256"/>
      <c r="K41" s="256"/>
      <c r="L41" s="230">
        <f t="shared" si="1"/>
        <v>0</v>
      </c>
      <c r="M41" s="256"/>
      <c r="N41" s="256"/>
      <c r="O41" s="256"/>
      <c r="P41" s="256"/>
      <c r="Q41" s="256"/>
      <c r="R41" s="256"/>
      <c r="S41" s="549">
        <f t="shared" si="2"/>
        <v>0</v>
      </c>
      <c r="T41" s="256"/>
      <c r="U41" s="256"/>
      <c r="V41" s="256"/>
      <c r="W41" s="256"/>
    </row>
    <row r="42" spans="1:23">
      <c r="A42" t="str">
        <f>IF(ABS(E42)&gt;0,基础信息!$B$1,"")</f>
        <v/>
      </c>
      <c r="B42" s="256"/>
      <c r="C42" s="277"/>
      <c r="D42" s="277"/>
      <c r="E42" s="230">
        <f t="shared" si="0"/>
        <v>0</v>
      </c>
      <c r="F42" s="256"/>
      <c r="G42" s="256"/>
      <c r="H42" s="256"/>
      <c r="I42" s="256"/>
      <c r="J42" s="256"/>
      <c r="K42" s="256"/>
      <c r="L42" s="230">
        <f t="shared" si="1"/>
        <v>0</v>
      </c>
      <c r="M42" s="256"/>
      <c r="N42" s="256"/>
      <c r="O42" s="256"/>
      <c r="P42" s="256"/>
      <c r="Q42" s="256"/>
      <c r="R42" s="256"/>
      <c r="S42" s="549">
        <f t="shared" si="2"/>
        <v>0</v>
      </c>
      <c r="T42" s="256"/>
      <c r="U42" s="256"/>
      <c r="V42" s="256"/>
      <c r="W42" s="256"/>
    </row>
    <row r="43" spans="1:23">
      <c r="A43" t="str">
        <f>IF(ABS(E43)&gt;0,基础信息!$B$1,"")</f>
        <v/>
      </c>
      <c r="B43" s="256"/>
      <c r="C43" s="277"/>
      <c r="D43" s="277"/>
      <c r="E43" s="230">
        <f t="shared" si="0"/>
        <v>0</v>
      </c>
      <c r="F43" s="256"/>
      <c r="G43" s="256"/>
      <c r="H43" s="256"/>
      <c r="I43" s="256"/>
      <c r="J43" s="256"/>
      <c r="K43" s="256"/>
      <c r="L43" s="230">
        <f t="shared" si="1"/>
        <v>0</v>
      </c>
      <c r="M43" s="256"/>
      <c r="N43" s="256"/>
      <c r="O43" s="256"/>
      <c r="P43" s="256"/>
      <c r="Q43" s="256"/>
      <c r="R43" s="256"/>
      <c r="S43" s="549">
        <f t="shared" si="2"/>
        <v>0</v>
      </c>
      <c r="T43" s="256"/>
      <c r="U43" s="256"/>
      <c r="V43" s="256"/>
      <c r="W43" s="256"/>
    </row>
    <row r="44" spans="1:23">
      <c r="A44" t="str">
        <f>IF(ABS(E44)&gt;0,基础信息!$B$1,"")</f>
        <v/>
      </c>
      <c r="B44" s="256"/>
      <c r="C44" s="277"/>
      <c r="D44" s="277"/>
      <c r="E44" s="230">
        <f t="shared" si="0"/>
        <v>0</v>
      </c>
      <c r="F44" s="256"/>
      <c r="G44" s="256"/>
      <c r="H44" s="256"/>
      <c r="I44" s="256"/>
      <c r="J44" s="256"/>
      <c r="K44" s="256"/>
      <c r="L44" s="230">
        <f t="shared" si="1"/>
        <v>0</v>
      </c>
      <c r="M44" s="256"/>
      <c r="N44" s="256"/>
      <c r="O44" s="256"/>
      <c r="P44" s="256"/>
      <c r="Q44" s="256"/>
      <c r="R44" s="256"/>
      <c r="S44" s="549">
        <f t="shared" si="2"/>
        <v>0</v>
      </c>
      <c r="T44" s="256"/>
      <c r="U44" s="256"/>
      <c r="V44" s="256"/>
      <c r="W44" s="256"/>
    </row>
    <row r="45" spans="1:23">
      <c r="A45" t="str">
        <f>IF(ABS(E45)&gt;0,基础信息!$B$1,"")</f>
        <v/>
      </c>
      <c r="B45" s="256"/>
      <c r="C45" s="277"/>
      <c r="D45" s="277"/>
      <c r="E45" s="230">
        <f t="shared" si="0"/>
        <v>0</v>
      </c>
      <c r="F45" s="256"/>
      <c r="G45" s="256"/>
      <c r="H45" s="256"/>
      <c r="I45" s="256"/>
      <c r="J45" s="256"/>
      <c r="K45" s="256"/>
      <c r="L45" s="230">
        <f t="shared" si="1"/>
        <v>0</v>
      </c>
      <c r="M45" s="256"/>
      <c r="N45" s="256"/>
      <c r="O45" s="256"/>
      <c r="P45" s="256"/>
      <c r="Q45" s="256"/>
      <c r="R45" s="256"/>
      <c r="S45" s="549">
        <f t="shared" si="2"/>
        <v>0</v>
      </c>
      <c r="T45" s="256"/>
      <c r="U45" s="256"/>
      <c r="V45" s="256"/>
      <c r="W45" s="256"/>
    </row>
    <row r="46" spans="1:23">
      <c r="A46" t="str">
        <f>IF(ABS(E46)&gt;0,基础信息!$B$1,"")</f>
        <v/>
      </c>
      <c r="B46" s="256"/>
      <c r="C46" s="277"/>
      <c r="D46" s="277"/>
      <c r="E46" s="230">
        <f t="shared" si="0"/>
        <v>0</v>
      </c>
      <c r="F46" s="256"/>
      <c r="G46" s="256"/>
      <c r="H46" s="256"/>
      <c r="I46" s="256"/>
      <c r="J46" s="256"/>
      <c r="K46" s="256"/>
      <c r="L46" s="230">
        <f t="shared" si="1"/>
        <v>0</v>
      </c>
      <c r="M46" s="256"/>
      <c r="N46" s="256"/>
      <c r="O46" s="256"/>
      <c r="P46" s="256"/>
      <c r="Q46" s="256"/>
      <c r="R46" s="256"/>
      <c r="S46" s="549">
        <f t="shared" si="2"/>
        <v>0</v>
      </c>
      <c r="T46" s="256"/>
      <c r="U46" s="256"/>
      <c r="V46" s="256"/>
      <c r="W46" s="256"/>
    </row>
    <row r="47" spans="1:23">
      <c r="A47" t="str">
        <f>IF(ABS(E47)&gt;0,基础信息!$B$1,"")</f>
        <v/>
      </c>
      <c r="B47" s="256"/>
      <c r="C47" s="277"/>
      <c r="D47" s="277"/>
      <c r="E47" s="230">
        <f t="shared" si="0"/>
        <v>0</v>
      </c>
      <c r="F47" s="256"/>
      <c r="G47" s="256"/>
      <c r="H47" s="256"/>
      <c r="I47" s="256"/>
      <c r="J47" s="256"/>
      <c r="K47" s="256"/>
      <c r="L47" s="230">
        <f t="shared" si="1"/>
        <v>0</v>
      </c>
      <c r="M47" s="256"/>
      <c r="N47" s="256"/>
      <c r="O47" s="256"/>
      <c r="P47" s="256"/>
      <c r="Q47" s="256"/>
      <c r="R47" s="256"/>
      <c r="S47" s="549">
        <f t="shared" si="2"/>
        <v>0</v>
      </c>
      <c r="T47" s="256"/>
      <c r="U47" s="256"/>
      <c r="V47" s="256"/>
      <c r="W47" s="256"/>
    </row>
    <row r="48" spans="1:23">
      <c r="A48" t="str">
        <f>IF(ABS(E48)&gt;0,基础信息!$B$1,"")</f>
        <v/>
      </c>
      <c r="B48" s="256"/>
      <c r="C48" s="277"/>
      <c r="D48" s="277"/>
      <c r="E48" s="230">
        <f t="shared" si="0"/>
        <v>0</v>
      </c>
      <c r="F48" s="256"/>
      <c r="G48" s="256"/>
      <c r="H48" s="256"/>
      <c r="I48" s="256"/>
      <c r="J48" s="256"/>
      <c r="K48" s="256"/>
      <c r="L48" s="230">
        <f t="shared" si="1"/>
        <v>0</v>
      </c>
      <c r="M48" s="256"/>
      <c r="N48" s="256"/>
      <c r="O48" s="256"/>
      <c r="P48" s="256"/>
      <c r="Q48" s="256"/>
      <c r="R48" s="256"/>
      <c r="S48" s="549">
        <f t="shared" si="2"/>
        <v>0</v>
      </c>
      <c r="T48" s="256"/>
      <c r="U48" s="256"/>
      <c r="V48" s="256"/>
      <c r="W48" s="256"/>
    </row>
    <row r="49" spans="1:23">
      <c r="A49" t="str">
        <f>IF(ABS(E49)&gt;0,基础信息!$B$1,"")</f>
        <v/>
      </c>
      <c r="B49" s="256"/>
      <c r="C49" s="277"/>
      <c r="D49" s="277"/>
      <c r="E49" s="230">
        <f t="shared" si="0"/>
        <v>0</v>
      </c>
      <c r="F49" s="256"/>
      <c r="G49" s="256"/>
      <c r="H49" s="256"/>
      <c r="I49" s="256"/>
      <c r="J49" s="256"/>
      <c r="K49" s="256"/>
      <c r="L49" s="230">
        <f t="shared" si="1"/>
        <v>0</v>
      </c>
      <c r="M49" s="256"/>
      <c r="N49" s="256"/>
      <c r="O49" s="256"/>
      <c r="P49" s="256"/>
      <c r="Q49" s="256"/>
      <c r="R49" s="256"/>
      <c r="S49" s="549">
        <f t="shared" si="2"/>
        <v>0</v>
      </c>
      <c r="T49" s="256"/>
      <c r="U49" s="256"/>
      <c r="V49" s="256"/>
      <c r="W49" s="256"/>
    </row>
    <row r="50" spans="1:23">
      <c r="A50" t="str">
        <f>IF(ABS(E50)&gt;0,基础信息!$B$1,"")</f>
        <v/>
      </c>
      <c r="B50" s="256"/>
      <c r="C50" s="277"/>
      <c r="D50" s="277"/>
      <c r="E50" s="230">
        <f t="shared" si="0"/>
        <v>0</v>
      </c>
      <c r="F50" s="256"/>
      <c r="G50" s="256"/>
      <c r="H50" s="256"/>
      <c r="I50" s="256"/>
      <c r="J50" s="256"/>
      <c r="K50" s="256"/>
      <c r="L50" s="230">
        <f t="shared" si="1"/>
        <v>0</v>
      </c>
      <c r="M50" s="256"/>
      <c r="N50" s="256"/>
      <c r="O50" s="256"/>
      <c r="P50" s="256"/>
      <c r="Q50" s="256"/>
      <c r="R50" s="256"/>
      <c r="S50" s="549">
        <f t="shared" si="2"/>
        <v>0</v>
      </c>
      <c r="T50" s="256"/>
      <c r="U50" s="256"/>
      <c r="V50" s="256"/>
      <c r="W50" s="256"/>
    </row>
    <row r="51" spans="1:23">
      <c r="A51" t="str">
        <f>IF(ABS(E51)&gt;0,基础信息!$B$1,"")</f>
        <v/>
      </c>
      <c r="B51" s="256"/>
      <c r="C51" s="277"/>
      <c r="D51" s="277"/>
      <c r="E51" s="230">
        <f t="shared" si="0"/>
        <v>0</v>
      </c>
      <c r="F51" s="256"/>
      <c r="G51" s="256"/>
      <c r="H51" s="256"/>
      <c r="I51" s="256"/>
      <c r="J51" s="256"/>
      <c r="K51" s="256"/>
      <c r="L51" s="230">
        <f t="shared" si="1"/>
        <v>0</v>
      </c>
      <c r="M51" s="256"/>
      <c r="N51" s="256"/>
      <c r="O51" s="256"/>
      <c r="P51" s="256"/>
      <c r="Q51" s="256"/>
      <c r="R51" s="256"/>
      <c r="S51" s="549">
        <f t="shared" si="2"/>
        <v>0</v>
      </c>
      <c r="T51" s="256"/>
      <c r="U51" s="256"/>
      <c r="V51" s="256"/>
      <c r="W51" s="256"/>
    </row>
    <row r="52" spans="1:23">
      <c r="A52" t="str">
        <f>IF(ABS(E52)&gt;0,基础信息!$B$1,"")</f>
        <v/>
      </c>
      <c r="B52" s="256"/>
      <c r="C52" s="277"/>
      <c r="D52" s="277"/>
      <c r="E52" s="230">
        <f t="shared" si="0"/>
        <v>0</v>
      </c>
      <c r="F52" s="256"/>
      <c r="G52" s="256"/>
      <c r="H52" s="256"/>
      <c r="I52" s="256"/>
      <c r="J52" s="256"/>
      <c r="K52" s="256"/>
      <c r="L52" s="230">
        <f t="shared" si="1"/>
        <v>0</v>
      </c>
      <c r="M52" s="256"/>
      <c r="N52" s="256"/>
      <c r="O52" s="256"/>
      <c r="P52" s="256"/>
      <c r="Q52" s="256"/>
      <c r="R52" s="256"/>
      <c r="S52" s="549">
        <f t="shared" si="2"/>
        <v>0</v>
      </c>
      <c r="T52" s="256"/>
      <c r="U52" s="256"/>
      <c r="V52" s="256"/>
      <c r="W52" s="256"/>
    </row>
    <row r="53" spans="1:23">
      <c r="A53" t="str">
        <f>IF(ABS(E53)&gt;0,基础信息!$B$1,"")</f>
        <v/>
      </c>
      <c r="B53" s="256"/>
      <c r="C53" s="277"/>
      <c r="D53" s="277"/>
      <c r="E53" s="230">
        <f t="shared" si="0"/>
        <v>0</v>
      </c>
      <c r="F53" s="256"/>
      <c r="G53" s="256"/>
      <c r="H53" s="256"/>
      <c r="I53" s="256"/>
      <c r="J53" s="256"/>
      <c r="K53" s="256"/>
      <c r="L53" s="230">
        <f t="shared" si="1"/>
        <v>0</v>
      </c>
      <c r="M53" s="256"/>
      <c r="N53" s="256"/>
      <c r="O53" s="256"/>
      <c r="P53" s="256"/>
      <c r="Q53" s="256"/>
      <c r="R53" s="256"/>
      <c r="S53" s="549">
        <f t="shared" si="2"/>
        <v>0</v>
      </c>
      <c r="T53" s="256"/>
      <c r="U53" s="256"/>
      <c r="V53" s="256"/>
      <c r="W53" s="256"/>
    </row>
    <row r="54" spans="1:23">
      <c r="A54" t="str">
        <f>IF(ABS(E54)&gt;0,基础信息!$B$1,"")</f>
        <v/>
      </c>
      <c r="B54" s="256"/>
      <c r="C54" s="277"/>
      <c r="D54" s="277"/>
      <c r="E54" s="230">
        <f t="shared" si="0"/>
        <v>0</v>
      </c>
      <c r="F54" s="256"/>
      <c r="G54" s="256"/>
      <c r="H54" s="256"/>
      <c r="I54" s="256"/>
      <c r="J54" s="256"/>
      <c r="K54" s="256"/>
      <c r="L54" s="230">
        <f t="shared" si="1"/>
        <v>0</v>
      </c>
      <c r="M54" s="256"/>
      <c r="N54" s="256"/>
      <c r="O54" s="256"/>
      <c r="P54" s="256"/>
      <c r="Q54" s="256"/>
      <c r="R54" s="256"/>
      <c r="S54" s="549">
        <f t="shared" si="2"/>
        <v>0</v>
      </c>
      <c r="T54" s="256"/>
      <c r="U54" s="256"/>
      <c r="V54" s="256"/>
      <c r="W54" s="256"/>
    </row>
    <row r="55" spans="1:23">
      <c r="A55" t="str">
        <f>IF(ABS(E55)&gt;0,基础信息!$B$1,"")</f>
        <v/>
      </c>
      <c r="B55" s="256"/>
      <c r="C55" s="277"/>
      <c r="D55" s="277"/>
      <c r="E55" s="230">
        <f t="shared" si="0"/>
        <v>0</v>
      </c>
      <c r="F55" s="256"/>
      <c r="G55" s="256"/>
      <c r="H55" s="256"/>
      <c r="I55" s="256"/>
      <c r="J55" s="256"/>
      <c r="K55" s="256"/>
      <c r="L55" s="230">
        <f t="shared" si="1"/>
        <v>0</v>
      </c>
      <c r="M55" s="256"/>
      <c r="N55" s="256"/>
      <c r="O55" s="256"/>
      <c r="P55" s="256"/>
      <c r="Q55" s="256"/>
      <c r="R55" s="256"/>
      <c r="S55" s="549">
        <f t="shared" si="2"/>
        <v>0</v>
      </c>
      <c r="T55" s="256"/>
      <c r="U55" s="256"/>
      <c r="V55" s="256"/>
      <c r="W55" s="256"/>
    </row>
    <row r="56" spans="1:23">
      <c r="A56" t="str">
        <f>IF(ABS(E56)&gt;0,基础信息!$B$1,"")</f>
        <v/>
      </c>
      <c r="B56" s="256"/>
      <c r="C56" s="277"/>
      <c r="D56" s="277"/>
      <c r="E56" s="230">
        <f t="shared" si="0"/>
        <v>0</v>
      </c>
      <c r="F56" s="256"/>
      <c r="G56" s="256"/>
      <c r="H56" s="256"/>
      <c r="I56" s="256"/>
      <c r="J56" s="256"/>
      <c r="K56" s="256"/>
      <c r="L56" s="230">
        <f t="shared" si="1"/>
        <v>0</v>
      </c>
      <c r="M56" s="256"/>
      <c r="N56" s="256"/>
      <c r="O56" s="256"/>
      <c r="P56" s="256"/>
      <c r="Q56" s="256"/>
      <c r="R56" s="256"/>
      <c r="S56" s="549">
        <f t="shared" si="2"/>
        <v>0</v>
      </c>
      <c r="T56" s="256"/>
      <c r="U56" s="256"/>
      <c r="V56" s="256"/>
      <c r="W56" s="256"/>
    </row>
    <row r="57" spans="1:23">
      <c r="A57" t="str">
        <f>IF(ABS(E57)&gt;0,基础信息!$B$1,"")</f>
        <v/>
      </c>
      <c r="B57" s="256"/>
      <c r="C57" s="277"/>
      <c r="D57" s="277"/>
      <c r="E57" s="230">
        <f t="shared" si="0"/>
        <v>0</v>
      </c>
      <c r="F57" s="256"/>
      <c r="G57" s="256"/>
      <c r="H57" s="256"/>
      <c r="I57" s="256"/>
      <c r="J57" s="256"/>
      <c r="K57" s="256"/>
      <c r="L57" s="230">
        <f t="shared" si="1"/>
        <v>0</v>
      </c>
      <c r="M57" s="256"/>
      <c r="N57" s="256"/>
      <c r="O57" s="256"/>
      <c r="P57" s="256"/>
      <c r="Q57" s="256"/>
      <c r="R57" s="256"/>
      <c r="S57" s="549">
        <f t="shared" si="2"/>
        <v>0</v>
      </c>
      <c r="T57" s="256"/>
      <c r="U57" s="256"/>
      <c r="V57" s="256"/>
      <c r="W57" s="256"/>
    </row>
    <row r="58" spans="1:23">
      <c r="A58" t="str">
        <f>IF(ABS(E58)&gt;0,基础信息!$B$1,"")</f>
        <v/>
      </c>
      <c r="B58" s="256"/>
      <c r="C58" s="277"/>
      <c r="D58" s="277"/>
      <c r="E58" s="230">
        <f t="shared" si="0"/>
        <v>0</v>
      </c>
      <c r="F58" s="256"/>
      <c r="G58" s="256"/>
      <c r="H58" s="256"/>
      <c r="I58" s="256"/>
      <c r="J58" s="256"/>
      <c r="K58" s="256"/>
      <c r="L58" s="230">
        <f t="shared" si="1"/>
        <v>0</v>
      </c>
      <c r="M58" s="256"/>
      <c r="N58" s="256"/>
      <c r="O58" s="256"/>
      <c r="P58" s="256"/>
      <c r="Q58" s="256"/>
      <c r="R58" s="256"/>
      <c r="S58" s="549">
        <f t="shared" si="2"/>
        <v>0</v>
      </c>
      <c r="T58" s="256"/>
      <c r="U58" s="256"/>
      <c r="V58" s="256"/>
      <c r="W58" s="256"/>
    </row>
    <row r="59" spans="1:23">
      <c r="A59" t="str">
        <f>IF(ABS(E59)&gt;0,基础信息!$B$1,"")</f>
        <v/>
      </c>
      <c r="B59" s="256"/>
      <c r="C59" s="277"/>
      <c r="D59" s="277"/>
      <c r="E59" s="230">
        <f t="shared" si="0"/>
        <v>0</v>
      </c>
      <c r="F59" s="256"/>
      <c r="G59" s="256"/>
      <c r="H59" s="256"/>
      <c r="I59" s="256"/>
      <c r="J59" s="256"/>
      <c r="K59" s="256"/>
      <c r="L59" s="230">
        <f t="shared" si="1"/>
        <v>0</v>
      </c>
      <c r="M59" s="256"/>
      <c r="N59" s="256"/>
      <c r="O59" s="256"/>
      <c r="P59" s="256"/>
      <c r="Q59" s="256"/>
      <c r="R59" s="256"/>
      <c r="S59" s="549">
        <f t="shared" si="2"/>
        <v>0</v>
      </c>
      <c r="T59" s="256"/>
      <c r="U59" s="256"/>
      <c r="V59" s="256"/>
      <c r="W59" s="256"/>
    </row>
    <row r="60" spans="1:23">
      <c r="A60" t="str">
        <f>IF(ABS(E60)&gt;0,基础信息!$B$1,"")</f>
        <v/>
      </c>
      <c r="B60" s="256"/>
      <c r="C60" s="277"/>
      <c r="D60" s="277"/>
      <c r="E60" s="230">
        <f t="shared" si="0"/>
        <v>0</v>
      </c>
      <c r="F60" s="256"/>
      <c r="G60" s="256"/>
      <c r="H60" s="256"/>
      <c r="I60" s="256"/>
      <c r="J60" s="256"/>
      <c r="K60" s="256"/>
      <c r="L60" s="230">
        <f t="shared" si="1"/>
        <v>0</v>
      </c>
      <c r="M60" s="256"/>
      <c r="N60" s="256"/>
      <c r="O60" s="256"/>
      <c r="P60" s="256"/>
      <c r="Q60" s="256"/>
      <c r="R60" s="256"/>
      <c r="S60" s="549">
        <f t="shared" si="2"/>
        <v>0</v>
      </c>
      <c r="T60" s="256"/>
      <c r="U60" s="256"/>
      <c r="V60" s="256"/>
      <c r="W60" s="256"/>
    </row>
    <row r="61" spans="1:23">
      <c r="A61" t="str">
        <f>IF(ABS(E61)&gt;0,基础信息!$B$1,"")</f>
        <v/>
      </c>
      <c r="B61" s="256"/>
      <c r="C61" s="277"/>
      <c r="D61" s="277"/>
      <c r="E61" s="230">
        <f t="shared" si="0"/>
        <v>0</v>
      </c>
      <c r="F61" s="256"/>
      <c r="G61" s="256"/>
      <c r="H61" s="256"/>
      <c r="I61" s="256"/>
      <c r="J61" s="256"/>
      <c r="K61" s="256"/>
      <c r="L61" s="230">
        <f t="shared" si="1"/>
        <v>0</v>
      </c>
      <c r="M61" s="256"/>
      <c r="N61" s="256"/>
      <c r="O61" s="256"/>
      <c r="P61" s="256"/>
      <c r="Q61" s="256"/>
      <c r="R61" s="256"/>
      <c r="S61" s="549">
        <f t="shared" si="2"/>
        <v>0</v>
      </c>
      <c r="T61" s="256"/>
      <c r="U61" s="256"/>
      <c r="V61" s="256"/>
      <c r="W61" s="256"/>
    </row>
    <row r="62" spans="1:23">
      <c r="A62" t="str">
        <f>IF(ABS(E62)&gt;0,基础信息!$B$1,"")</f>
        <v/>
      </c>
      <c r="B62" s="256"/>
      <c r="C62" s="277"/>
      <c r="D62" s="277"/>
      <c r="E62" s="230">
        <f t="shared" si="0"/>
        <v>0</v>
      </c>
      <c r="F62" s="256"/>
      <c r="G62" s="256"/>
      <c r="H62" s="256"/>
      <c r="I62" s="256"/>
      <c r="J62" s="256"/>
      <c r="K62" s="256"/>
      <c r="L62" s="230">
        <f t="shared" si="1"/>
        <v>0</v>
      </c>
      <c r="M62" s="256"/>
      <c r="N62" s="256"/>
      <c r="O62" s="256"/>
      <c r="P62" s="256"/>
      <c r="Q62" s="256"/>
      <c r="R62" s="256"/>
      <c r="S62" s="549">
        <f t="shared" si="2"/>
        <v>0</v>
      </c>
      <c r="T62" s="256"/>
      <c r="U62" s="256"/>
      <c r="V62" s="256"/>
      <c r="W62" s="256"/>
    </row>
    <row r="63" spans="1:23">
      <c r="A63" t="str">
        <f>IF(ABS(E63)&gt;0,基础信息!$B$1,"")</f>
        <v/>
      </c>
      <c r="B63" s="256"/>
      <c r="C63" s="277"/>
      <c r="D63" s="277"/>
      <c r="E63" s="230">
        <f t="shared" si="0"/>
        <v>0</v>
      </c>
      <c r="F63" s="256"/>
      <c r="G63" s="256"/>
      <c r="H63" s="256"/>
      <c r="I63" s="256"/>
      <c r="J63" s="256"/>
      <c r="K63" s="256"/>
      <c r="L63" s="230">
        <f t="shared" si="1"/>
        <v>0</v>
      </c>
      <c r="M63" s="256"/>
      <c r="N63" s="256"/>
      <c r="O63" s="256"/>
      <c r="P63" s="256"/>
      <c r="Q63" s="256"/>
      <c r="R63" s="256"/>
      <c r="S63" s="549">
        <f t="shared" si="2"/>
        <v>0</v>
      </c>
      <c r="T63" s="256"/>
      <c r="U63" s="256"/>
      <c r="V63" s="256"/>
      <c r="W63" s="256"/>
    </row>
    <row r="64" spans="1:23">
      <c r="A64" t="str">
        <f>IF(ABS(E64)&gt;0,基础信息!$B$1,"")</f>
        <v/>
      </c>
      <c r="B64" s="256"/>
      <c r="C64" s="277"/>
      <c r="D64" s="277"/>
      <c r="E64" s="230">
        <f t="shared" si="0"/>
        <v>0</v>
      </c>
      <c r="F64" s="256"/>
      <c r="G64" s="256"/>
      <c r="H64" s="256"/>
      <c r="I64" s="256"/>
      <c r="J64" s="256"/>
      <c r="K64" s="256"/>
      <c r="L64" s="230">
        <f t="shared" si="1"/>
        <v>0</v>
      </c>
      <c r="M64" s="256"/>
      <c r="N64" s="256"/>
      <c r="O64" s="256"/>
      <c r="P64" s="256"/>
      <c r="Q64" s="256"/>
      <c r="R64" s="256"/>
      <c r="S64" s="549">
        <f t="shared" si="2"/>
        <v>0</v>
      </c>
      <c r="T64" s="256"/>
      <c r="U64" s="256"/>
      <c r="V64" s="256"/>
      <c r="W64" s="256"/>
    </row>
    <row r="65" spans="1:23">
      <c r="A65" t="str">
        <f>IF(ABS(E65)&gt;0,基础信息!$B$1,"")</f>
        <v/>
      </c>
      <c r="B65" s="256"/>
      <c r="C65" s="277"/>
      <c r="D65" s="277"/>
      <c r="E65" s="230">
        <f t="shared" si="0"/>
        <v>0</v>
      </c>
      <c r="F65" s="256"/>
      <c r="G65" s="256"/>
      <c r="H65" s="256"/>
      <c r="I65" s="256"/>
      <c r="J65" s="256"/>
      <c r="K65" s="256"/>
      <c r="L65" s="230">
        <f t="shared" si="1"/>
        <v>0</v>
      </c>
      <c r="M65" s="256"/>
      <c r="N65" s="256"/>
      <c r="O65" s="256"/>
      <c r="P65" s="256"/>
      <c r="Q65" s="256"/>
      <c r="R65" s="256"/>
      <c r="S65" s="549">
        <f t="shared" si="2"/>
        <v>0</v>
      </c>
      <c r="T65" s="256"/>
      <c r="U65" s="256"/>
      <c r="V65" s="256"/>
      <c r="W65" s="256"/>
    </row>
    <row r="66" spans="1:23">
      <c r="A66" t="str">
        <f>IF(ABS(E66)&gt;0,基础信息!$B$1,"")</f>
        <v/>
      </c>
      <c r="B66" s="256"/>
      <c r="C66" s="277"/>
      <c r="D66" s="277"/>
      <c r="E66" s="230">
        <f t="shared" si="0"/>
        <v>0</v>
      </c>
      <c r="F66" s="256"/>
      <c r="G66" s="256"/>
      <c r="H66" s="256"/>
      <c r="I66" s="256"/>
      <c r="J66" s="256"/>
      <c r="K66" s="256"/>
      <c r="L66" s="230">
        <f t="shared" si="1"/>
        <v>0</v>
      </c>
      <c r="M66" s="256"/>
      <c r="N66" s="256"/>
      <c r="O66" s="256"/>
      <c r="P66" s="256"/>
      <c r="Q66" s="256"/>
      <c r="R66" s="256"/>
      <c r="S66" s="549">
        <f t="shared" si="2"/>
        <v>0</v>
      </c>
      <c r="T66" s="256"/>
      <c r="U66" s="256"/>
      <c r="V66" s="256"/>
      <c r="W66" s="256"/>
    </row>
    <row r="67" spans="1:23">
      <c r="A67" t="str">
        <f>IF(ABS(E67)&gt;0,基础信息!$B$1,"")</f>
        <v/>
      </c>
      <c r="B67" s="256"/>
      <c r="C67" s="277"/>
      <c r="D67" s="277"/>
      <c r="E67" s="230">
        <f t="shared" ref="E67:E102" si="3">SUM(F67:K67)</f>
        <v>0</v>
      </c>
      <c r="F67" s="256"/>
      <c r="G67" s="256"/>
      <c r="H67" s="256"/>
      <c r="I67" s="256"/>
      <c r="J67" s="256"/>
      <c r="K67" s="256"/>
      <c r="L67" s="230">
        <f t="shared" ref="L67:L102" si="4">SUM(M67:R67)</f>
        <v>0</v>
      </c>
      <c r="M67" s="256"/>
      <c r="N67" s="256"/>
      <c r="O67" s="256"/>
      <c r="P67" s="256"/>
      <c r="Q67" s="256"/>
      <c r="R67" s="256"/>
      <c r="S67" s="549">
        <f t="shared" ref="S67:S102" si="5">E67-L67</f>
        <v>0</v>
      </c>
      <c r="T67" s="256"/>
      <c r="U67" s="256"/>
      <c r="V67" s="256"/>
      <c r="W67" s="256"/>
    </row>
    <row r="68" spans="1:23">
      <c r="A68" t="str">
        <f>IF(ABS(E68)&gt;0,基础信息!$B$1,"")</f>
        <v/>
      </c>
      <c r="B68" s="256"/>
      <c r="C68" s="277"/>
      <c r="D68" s="277"/>
      <c r="E68" s="230">
        <f t="shared" si="3"/>
        <v>0</v>
      </c>
      <c r="F68" s="256"/>
      <c r="G68" s="256"/>
      <c r="H68" s="256"/>
      <c r="I68" s="256"/>
      <c r="J68" s="256"/>
      <c r="K68" s="256"/>
      <c r="L68" s="230">
        <f t="shared" si="4"/>
        <v>0</v>
      </c>
      <c r="M68" s="256"/>
      <c r="N68" s="256"/>
      <c r="O68" s="256"/>
      <c r="P68" s="256"/>
      <c r="Q68" s="256"/>
      <c r="R68" s="256"/>
      <c r="S68" s="549">
        <f t="shared" si="5"/>
        <v>0</v>
      </c>
      <c r="T68" s="256"/>
      <c r="U68" s="256"/>
      <c r="V68" s="256"/>
      <c r="W68" s="256"/>
    </row>
    <row r="69" spans="1:23">
      <c r="A69" t="str">
        <f>IF(ABS(E69)&gt;0,基础信息!$B$1,"")</f>
        <v/>
      </c>
      <c r="B69" s="256"/>
      <c r="C69" s="277"/>
      <c r="D69" s="277"/>
      <c r="E69" s="230">
        <f t="shared" si="3"/>
        <v>0</v>
      </c>
      <c r="F69" s="256"/>
      <c r="G69" s="256"/>
      <c r="H69" s="256"/>
      <c r="I69" s="256"/>
      <c r="J69" s="256"/>
      <c r="K69" s="256"/>
      <c r="L69" s="230">
        <f t="shared" si="4"/>
        <v>0</v>
      </c>
      <c r="M69" s="256"/>
      <c r="N69" s="256"/>
      <c r="O69" s="256"/>
      <c r="P69" s="256"/>
      <c r="Q69" s="256"/>
      <c r="R69" s="256"/>
      <c r="S69" s="549">
        <f t="shared" si="5"/>
        <v>0</v>
      </c>
      <c r="T69" s="256"/>
      <c r="U69" s="256"/>
      <c r="V69" s="256"/>
      <c r="W69" s="256"/>
    </row>
    <row r="70" spans="1:23">
      <c r="A70" t="str">
        <f>IF(ABS(E70)&gt;0,基础信息!$B$1,"")</f>
        <v/>
      </c>
      <c r="B70" s="256"/>
      <c r="C70" s="277"/>
      <c r="D70" s="277"/>
      <c r="E70" s="230">
        <f t="shared" si="3"/>
        <v>0</v>
      </c>
      <c r="F70" s="256"/>
      <c r="G70" s="256"/>
      <c r="H70" s="256"/>
      <c r="I70" s="256"/>
      <c r="J70" s="256"/>
      <c r="K70" s="256"/>
      <c r="L70" s="230">
        <f t="shared" si="4"/>
        <v>0</v>
      </c>
      <c r="M70" s="256"/>
      <c r="N70" s="256"/>
      <c r="O70" s="256"/>
      <c r="P70" s="256"/>
      <c r="Q70" s="256"/>
      <c r="R70" s="256"/>
      <c r="S70" s="549">
        <f t="shared" si="5"/>
        <v>0</v>
      </c>
      <c r="T70" s="256"/>
      <c r="U70" s="256"/>
      <c r="V70" s="256"/>
      <c r="W70" s="256"/>
    </row>
    <row r="71" spans="1:23">
      <c r="A71" t="str">
        <f>IF(ABS(E71)&gt;0,基础信息!$B$1,"")</f>
        <v/>
      </c>
      <c r="B71" s="256"/>
      <c r="C71" s="277"/>
      <c r="D71" s="277"/>
      <c r="E71" s="230">
        <f t="shared" si="3"/>
        <v>0</v>
      </c>
      <c r="F71" s="256"/>
      <c r="G71" s="256"/>
      <c r="H71" s="256"/>
      <c r="I71" s="256"/>
      <c r="J71" s="256"/>
      <c r="K71" s="256"/>
      <c r="L71" s="230">
        <f t="shared" si="4"/>
        <v>0</v>
      </c>
      <c r="M71" s="256"/>
      <c r="N71" s="256"/>
      <c r="O71" s="256"/>
      <c r="P71" s="256"/>
      <c r="Q71" s="256"/>
      <c r="R71" s="256"/>
      <c r="S71" s="549">
        <f t="shared" si="5"/>
        <v>0</v>
      </c>
      <c r="T71" s="256"/>
      <c r="U71" s="256"/>
      <c r="V71" s="256"/>
      <c r="W71" s="256"/>
    </row>
    <row r="72" spans="1:23">
      <c r="A72" t="str">
        <f>IF(ABS(E72)&gt;0,基础信息!$B$1,"")</f>
        <v/>
      </c>
      <c r="B72" s="256"/>
      <c r="C72" s="277"/>
      <c r="D72" s="277"/>
      <c r="E72" s="230">
        <f t="shared" si="3"/>
        <v>0</v>
      </c>
      <c r="F72" s="256"/>
      <c r="G72" s="256"/>
      <c r="H72" s="256"/>
      <c r="I72" s="256"/>
      <c r="J72" s="256"/>
      <c r="K72" s="256"/>
      <c r="L72" s="230">
        <f t="shared" si="4"/>
        <v>0</v>
      </c>
      <c r="M72" s="256"/>
      <c r="N72" s="256"/>
      <c r="O72" s="256"/>
      <c r="P72" s="256"/>
      <c r="Q72" s="256"/>
      <c r="R72" s="256"/>
      <c r="S72" s="549">
        <f t="shared" si="5"/>
        <v>0</v>
      </c>
      <c r="T72" s="256"/>
      <c r="U72" s="256"/>
      <c r="V72" s="256"/>
      <c r="W72" s="256"/>
    </row>
    <row r="73" spans="1:23">
      <c r="A73" t="str">
        <f>IF(ABS(E73)&gt;0,基础信息!$B$1,"")</f>
        <v/>
      </c>
      <c r="B73" s="256"/>
      <c r="C73" s="277"/>
      <c r="D73" s="277"/>
      <c r="E73" s="230">
        <f t="shared" si="3"/>
        <v>0</v>
      </c>
      <c r="F73" s="256"/>
      <c r="G73" s="256"/>
      <c r="H73" s="256"/>
      <c r="I73" s="256"/>
      <c r="J73" s="256"/>
      <c r="K73" s="256"/>
      <c r="L73" s="230">
        <f t="shared" si="4"/>
        <v>0</v>
      </c>
      <c r="M73" s="256"/>
      <c r="N73" s="256"/>
      <c r="O73" s="256"/>
      <c r="P73" s="256"/>
      <c r="Q73" s="256"/>
      <c r="R73" s="256"/>
      <c r="S73" s="549">
        <f t="shared" si="5"/>
        <v>0</v>
      </c>
      <c r="T73" s="256"/>
      <c r="U73" s="256"/>
      <c r="V73" s="256"/>
      <c r="W73" s="256"/>
    </row>
    <row r="74" spans="1:23">
      <c r="A74" t="str">
        <f>IF(ABS(E74)&gt;0,基础信息!$B$1,"")</f>
        <v/>
      </c>
      <c r="B74" s="256"/>
      <c r="C74" s="277"/>
      <c r="D74" s="277"/>
      <c r="E74" s="230">
        <f t="shared" si="3"/>
        <v>0</v>
      </c>
      <c r="F74" s="256"/>
      <c r="G74" s="256"/>
      <c r="H74" s="256"/>
      <c r="I74" s="256"/>
      <c r="J74" s="256"/>
      <c r="K74" s="256"/>
      <c r="L74" s="230">
        <f t="shared" si="4"/>
        <v>0</v>
      </c>
      <c r="M74" s="256"/>
      <c r="N74" s="256"/>
      <c r="O74" s="256"/>
      <c r="P74" s="256"/>
      <c r="Q74" s="256"/>
      <c r="R74" s="256"/>
      <c r="S74" s="549">
        <f t="shared" si="5"/>
        <v>0</v>
      </c>
      <c r="T74" s="256"/>
      <c r="U74" s="256"/>
      <c r="V74" s="256"/>
      <c r="W74" s="256"/>
    </row>
    <row r="75" spans="1:23">
      <c r="A75" t="str">
        <f>IF(ABS(E75)&gt;0,基础信息!$B$1,"")</f>
        <v/>
      </c>
      <c r="B75" s="256"/>
      <c r="C75" s="277"/>
      <c r="D75" s="277"/>
      <c r="E75" s="230">
        <f t="shared" si="3"/>
        <v>0</v>
      </c>
      <c r="F75" s="256"/>
      <c r="G75" s="256"/>
      <c r="H75" s="256"/>
      <c r="I75" s="256"/>
      <c r="J75" s="256"/>
      <c r="K75" s="256"/>
      <c r="L75" s="230">
        <f t="shared" si="4"/>
        <v>0</v>
      </c>
      <c r="M75" s="256"/>
      <c r="N75" s="256"/>
      <c r="O75" s="256"/>
      <c r="P75" s="256"/>
      <c r="Q75" s="256"/>
      <c r="R75" s="256"/>
      <c r="S75" s="549">
        <f t="shared" si="5"/>
        <v>0</v>
      </c>
      <c r="T75" s="256"/>
      <c r="U75" s="256"/>
      <c r="V75" s="256"/>
      <c r="W75" s="256"/>
    </row>
    <row r="76" spans="1:23">
      <c r="A76" t="str">
        <f>IF(ABS(E76)&gt;0,基础信息!$B$1,"")</f>
        <v/>
      </c>
      <c r="B76" s="256"/>
      <c r="C76" s="277"/>
      <c r="D76" s="277"/>
      <c r="E76" s="230">
        <f t="shared" si="3"/>
        <v>0</v>
      </c>
      <c r="F76" s="256"/>
      <c r="G76" s="256"/>
      <c r="H76" s="256"/>
      <c r="I76" s="256"/>
      <c r="J76" s="256"/>
      <c r="K76" s="256"/>
      <c r="L76" s="230">
        <f t="shared" si="4"/>
        <v>0</v>
      </c>
      <c r="M76" s="256"/>
      <c r="N76" s="256"/>
      <c r="O76" s="256"/>
      <c r="P76" s="256"/>
      <c r="Q76" s="256"/>
      <c r="R76" s="256"/>
      <c r="S76" s="549">
        <f t="shared" si="5"/>
        <v>0</v>
      </c>
      <c r="T76" s="256"/>
      <c r="U76" s="256"/>
      <c r="V76" s="256"/>
      <c r="W76" s="256"/>
    </row>
    <row r="77" spans="1:23">
      <c r="A77" t="str">
        <f>IF(ABS(E77)&gt;0,基础信息!$B$1,"")</f>
        <v/>
      </c>
      <c r="B77" s="256"/>
      <c r="C77" s="277"/>
      <c r="D77" s="277"/>
      <c r="E77" s="230">
        <f t="shared" si="3"/>
        <v>0</v>
      </c>
      <c r="F77" s="256"/>
      <c r="G77" s="256"/>
      <c r="H77" s="256"/>
      <c r="I77" s="256"/>
      <c r="J77" s="256"/>
      <c r="K77" s="256"/>
      <c r="L77" s="230">
        <f t="shared" si="4"/>
        <v>0</v>
      </c>
      <c r="M77" s="256"/>
      <c r="N77" s="256"/>
      <c r="O77" s="256"/>
      <c r="P77" s="256"/>
      <c r="Q77" s="256"/>
      <c r="R77" s="256"/>
      <c r="S77" s="549">
        <f t="shared" si="5"/>
        <v>0</v>
      </c>
      <c r="T77" s="256"/>
      <c r="U77" s="256"/>
      <c r="V77" s="256"/>
      <c r="W77" s="256"/>
    </row>
    <row r="78" spans="1:23">
      <c r="A78" t="str">
        <f>IF(ABS(E78)&gt;0,基础信息!$B$1,"")</f>
        <v/>
      </c>
      <c r="B78" s="256"/>
      <c r="C78" s="277"/>
      <c r="D78" s="277"/>
      <c r="E78" s="230">
        <f t="shared" si="3"/>
        <v>0</v>
      </c>
      <c r="F78" s="256"/>
      <c r="G78" s="256"/>
      <c r="H78" s="256"/>
      <c r="I78" s="256"/>
      <c r="J78" s="256"/>
      <c r="K78" s="256"/>
      <c r="L78" s="230">
        <f t="shared" si="4"/>
        <v>0</v>
      </c>
      <c r="M78" s="256"/>
      <c r="N78" s="256"/>
      <c r="O78" s="256"/>
      <c r="P78" s="256"/>
      <c r="Q78" s="256"/>
      <c r="R78" s="256"/>
      <c r="S78" s="549">
        <f t="shared" si="5"/>
        <v>0</v>
      </c>
      <c r="T78" s="256"/>
      <c r="U78" s="256"/>
      <c r="V78" s="256"/>
      <c r="W78" s="256"/>
    </row>
    <row r="79" spans="1:23">
      <c r="A79" t="str">
        <f>IF(ABS(E79)&gt;0,基础信息!$B$1,"")</f>
        <v/>
      </c>
      <c r="B79" s="256"/>
      <c r="C79" s="277"/>
      <c r="D79" s="277"/>
      <c r="E79" s="230">
        <f t="shared" si="3"/>
        <v>0</v>
      </c>
      <c r="F79" s="256"/>
      <c r="G79" s="256"/>
      <c r="H79" s="256"/>
      <c r="I79" s="256"/>
      <c r="J79" s="256"/>
      <c r="K79" s="256"/>
      <c r="L79" s="230">
        <f t="shared" si="4"/>
        <v>0</v>
      </c>
      <c r="M79" s="256"/>
      <c r="N79" s="256"/>
      <c r="O79" s="256"/>
      <c r="P79" s="256"/>
      <c r="Q79" s="256"/>
      <c r="R79" s="256"/>
      <c r="S79" s="549">
        <f t="shared" si="5"/>
        <v>0</v>
      </c>
      <c r="T79" s="256"/>
      <c r="U79" s="256"/>
      <c r="V79" s="256"/>
      <c r="W79" s="256"/>
    </row>
    <row r="80" spans="1:23">
      <c r="A80" t="str">
        <f>IF(ABS(E80)&gt;0,基础信息!$B$1,"")</f>
        <v/>
      </c>
      <c r="B80" s="256"/>
      <c r="C80" s="277"/>
      <c r="D80" s="277"/>
      <c r="E80" s="230">
        <f t="shared" si="3"/>
        <v>0</v>
      </c>
      <c r="F80" s="256"/>
      <c r="G80" s="256"/>
      <c r="H80" s="256"/>
      <c r="I80" s="256"/>
      <c r="J80" s="256"/>
      <c r="K80" s="256"/>
      <c r="L80" s="230">
        <f t="shared" si="4"/>
        <v>0</v>
      </c>
      <c r="M80" s="256"/>
      <c r="N80" s="256"/>
      <c r="O80" s="256"/>
      <c r="P80" s="256"/>
      <c r="Q80" s="256"/>
      <c r="R80" s="256"/>
      <c r="S80" s="549">
        <f t="shared" si="5"/>
        <v>0</v>
      </c>
      <c r="T80" s="256"/>
      <c r="U80" s="256"/>
      <c r="V80" s="256"/>
      <c r="W80" s="256"/>
    </row>
    <row r="81" spans="1:23">
      <c r="A81" t="str">
        <f>IF(ABS(E81)&gt;0,基础信息!$B$1,"")</f>
        <v/>
      </c>
      <c r="B81" s="256"/>
      <c r="C81" s="277"/>
      <c r="D81" s="277"/>
      <c r="E81" s="230">
        <f t="shared" si="3"/>
        <v>0</v>
      </c>
      <c r="F81" s="256"/>
      <c r="G81" s="256"/>
      <c r="H81" s="256"/>
      <c r="I81" s="256"/>
      <c r="J81" s="256"/>
      <c r="K81" s="256"/>
      <c r="L81" s="230">
        <f t="shared" si="4"/>
        <v>0</v>
      </c>
      <c r="M81" s="256"/>
      <c r="N81" s="256"/>
      <c r="O81" s="256"/>
      <c r="P81" s="256"/>
      <c r="Q81" s="256"/>
      <c r="R81" s="256"/>
      <c r="S81" s="549">
        <f t="shared" si="5"/>
        <v>0</v>
      </c>
      <c r="T81" s="256"/>
      <c r="U81" s="256"/>
      <c r="V81" s="256"/>
      <c r="W81" s="256"/>
    </row>
    <row r="82" spans="1:23">
      <c r="A82" t="str">
        <f>IF(ABS(E82)&gt;0,基础信息!$B$1,"")</f>
        <v/>
      </c>
      <c r="B82" s="256"/>
      <c r="C82" s="277"/>
      <c r="D82" s="277"/>
      <c r="E82" s="230">
        <f t="shared" si="3"/>
        <v>0</v>
      </c>
      <c r="F82" s="256"/>
      <c r="G82" s="256"/>
      <c r="H82" s="256"/>
      <c r="I82" s="256"/>
      <c r="J82" s="256"/>
      <c r="K82" s="256"/>
      <c r="L82" s="230">
        <f t="shared" si="4"/>
        <v>0</v>
      </c>
      <c r="M82" s="256"/>
      <c r="N82" s="256"/>
      <c r="O82" s="256"/>
      <c r="P82" s="256"/>
      <c r="Q82" s="256"/>
      <c r="R82" s="256"/>
      <c r="S82" s="549">
        <f t="shared" si="5"/>
        <v>0</v>
      </c>
      <c r="T82" s="256"/>
      <c r="U82" s="256"/>
      <c r="V82" s="256"/>
      <c r="W82" s="256"/>
    </row>
    <row r="83" spans="1:23">
      <c r="A83" t="str">
        <f>IF(ABS(E83)&gt;0,基础信息!$B$1,"")</f>
        <v/>
      </c>
      <c r="B83" s="256"/>
      <c r="C83" s="277"/>
      <c r="D83" s="277"/>
      <c r="E83" s="230">
        <f t="shared" si="3"/>
        <v>0</v>
      </c>
      <c r="F83" s="256"/>
      <c r="G83" s="256"/>
      <c r="H83" s="256"/>
      <c r="I83" s="256"/>
      <c r="J83" s="256"/>
      <c r="K83" s="256"/>
      <c r="L83" s="230">
        <f t="shared" si="4"/>
        <v>0</v>
      </c>
      <c r="M83" s="256"/>
      <c r="N83" s="256"/>
      <c r="O83" s="256"/>
      <c r="P83" s="256"/>
      <c r="Q83" s="256"/>
      <c r="R83" s="256"/>
      <c r="S83" s="549">
        <f t="shared" si="5"/>
        <v>0</v>
      </c>
      <c r="T83" s="256"/>
      <c r="U83" s="256"/>
      <c r="V83" s="256"/>
      <c r="W83" s="256"/>
    </row>
    <row r="84" spans="1:23">
      <c r="A84" t="str">
        <f>IF(ABS(E84)&gt;0,基础信息!$B$1,"")</f>
        <v/>
      </c>
      <c r="B84" s="256"/>
      <c r="C84" s="277"/>
      <c r="D84" s="277"/>
      <c r="E84" s="230">
        <f t="shared" si="3"/>
        <v>0</v>
      </c>
      <c r="F84" s="256"/>
      <c r="G84" s="256"/>
      <c r="H84" s="256"/>
      <c r="I84" s="256"/>
      <c r="J84" s="256"/>
      <c r="K84" s="256"/>
      <c r="L84" s="230">
        <f t="shared" si="4"/>
        <v>0</v>
      </c>
      <c r="M84" s="256"/>
      <c r="N84" s="256"/>
      <c r="O84" s="256"/>
      <c r="P84" s="256"/>
      <c r="Q84" s="256"/>
      <c r="R84" s="256"/>
      <c r="S84" s="549">
        <f t="shared" si="5"/>
        <v>0</v>
      </c>
      <c r="T84" s="256"/>
      <c r="U84" s="256"/>
      <c r="V84" s="256"/>
      <c r="W84" s="256"/>
    </row>
    <row r="85" spans="1:23">
      <c r="A85" t="str">
        <f>IF(ABS(E85)&gt;0,基础信息!$B$1,"")</f>
        <v/>
      </c>
      <c r="B85" s="256"/>
      <c r="C85" s="277"/>
      <c r="D85" s="277"/>
      <c r="E85" s="230">
        <f t="shared" si="3"/>
        <v>0</v>
      </c>
      <c r="F85" s="256"/>
      <c r="G85" s="256"/>
      <c r="H85" s="256"/>
      <c r="I85" s="256"/>
      <c r="J85" s="256"/>
      <c r="K85" s="256"/>
      <c r="L85" s="230">
        <f t="shared" si="4"/>
        <v>0</v>
      </c>
      <c r="M85" s="256"/>
      <c r="N85" s="256"/>
      <c r="O85" s="256"/>
      <c r="P85" s="256"/>
      <c r="Q85" s="256"/>
      <c r="R85" s="256"/>
      <c r="S85" s="549">
        <f t="shared" si="5"/>
        <v>0</v>
      </c>
      <c r="T85" s="256"/>
      <c r="U85" s="256"/>
      <c r="V85" s="256"/>
      <c r="W85" s="256"/>
    </row>
    <row r="86" spans="1:23">
      <c r="A86" t="str">
        <f>IF(ABS(E86)&gt;0,基础信息!$B$1,"")</f>
        <v/>
      </c>
      <c r="B86" s="256"/>
      <c r="C86" s="277"/>
      <c r="D86" s="277"/>
      <c r="E86" s="230">
        <f t="shared" si="3"/>
        <v>0</v>
      </c>
      <c r="F86" s="256"/>
      <c r="G86" s="256"/>
      <c r="H86" s="256"/>
      <c r="I86" s="256"/>
      <c r="J86" s="256"/>
      <c r="K86" s="256"/>
      <c r="L86" s="230">
        <f t="shared" si="4"/>
        <v>0</v>
      </c>
      <c r="M86" s="256"/>
      <c r="N86" s="256"/>
      <c r="O86" s="256"/>
      <c r="P86" s="256"/>
      <c r="Q86" s="256"/>
      <c r="R86" s="256"/>
      <c r="S86" s="549">
        <f t="shared" si="5"/>
        <v>0</v>
      </c>
      <c r="T86" s="256"/>
      <c r="U86" s="256"/>
      <c r="V86" s="256"/>
      <c r="W86" s="256"/>
    </row>
    <row r="87" spans="1:23">
      <c r="A87" t="str">
        <f>IF(ABS(E87)&gt;0,基础信息!$B$1,"")</f>
        <v/>
      </c>
      <c r="B87" s="256"/>
      <c r="C87" s="277"/>
      <c r="D87" s="277"/>
      <c r="E87" s="230">
        <f t="shared" si="3"/>
        <v>0</v>
      </c>
      <c r="F87" s="256"/>
      <c r="G87" s="256"/>
      <c r="H87" s="256"/>
      <c r="I87" s="256"/>
      <c r="J87" s="256"/>
      <c r="K87" s="256"/>
      <c r="L87" s="230">
        <f t="shared" si="4"/>
        <v>0</v>
      </c>
      <c r="M87" s="256"/>
      <c r="N87" s="256"/>
      <c r="O87" s="256"/>
      <c r="P87" s="256"/>
      <c r="Q87" s="256"/>
      <c r="R87" s="256"/>
      <c r="S87" s="549">
        <f t="shared" si="5"/>
        <v>0</v>
      </c>
      <c r="T87" s="256"/>
      <c r="U87" s="256"/>
      <c r="V87" s="256"/>
      <c r="W87" s="256"/>
    </row>
    <row r="88" spans="1:23">
      <c r="A88" t="str">
        <f>IF(ABS(E88)&gt;0,基础信息!$B$1,"")</f>
        <v/>
      </c>
      <c r="B88" s="256"/>
      <c r="C88" s="277"/>
      <c r="D88" s="277"/>
      <c r="E88" s="230">
        <f t="shared" si="3"/>
        <v>0</v>
      </c>
      <c r="F88" s="256"/>
      <c r="G88" s="256"/>
      <c r="H88" s="256"/>
      <c r="I88" s="256"/>
      <c r="J88" s="256"/>
      <c r="K88" s="256"/>
      <c r="L88" s="230">
        <f t="shared" si="4"/>
        <v>0</v>
      </c>
      <c r="M88" s="256"/>
      <c r="N88" s="256"/>
      <c r="O88" s="256"/>
      <c r="P88" s="256"/>
      <c r="Q88" s="256"/>
      <c r="R88" s="256"/>
      <c r="S88" s="549">
        <f t="shared" si="5"/>
        <v>0</v>
      </c>
      <c r="T88" s="256"/>
      <c r="U88" s="256"/>
      <c r="V88" s="256"/>
      <c r="W88" s="256"/>
    </row>
    <row r="89" spans="1:23">
      <c r="A89" t="str">
        <f>IF(ABS(E89)&gt;0,基础信息!$B$1,"")</f>
        <v/>
      </c>
      <c r="B89" s="256"/>
      <c r="C89" s="277"/>
      <c r="D89" s="277"/>
      <c r="E89" s="230">
        <f t="shared" si="3"/>
        <v>0</v>
      </c>
      <c r="F89" s="256"/>
      <c r="G89" s="256"/>
      <c r="H89" s="256"/>
      <c r="I89" s="256"/>
      <c r="J89" s="256"/>
      <c r="K89" s="256"/>
      <c r="L89" s="230">
        <f t="shared" si="4"/>
        <v>0</v>
      </c>
      <c r="M89" s="256"/>
      <c r="N89" s="256"/>
      <c r="O89" s="256"/>
      <c r="P89" s="256"/>
      <c r="Q89" s="256"/>
      <c r="R89" s="256"/>
      <c r="S89" s="549">
        <f t="shared" si="5"/>
        <v>0</v>
      </c>
      <c r="T89" s="256"/>
      <c r="U89" s="256"/>
      <c r="V89" s="256"/>
      <c r="W89" s="256"/>
    </row>
    <row r="90" spans="1:23">
      <c r="A90" t="str">
        <f>IF(ABS(E90)&gt;0,基础信息!$B$1,"")</f>
        <v/>
      </c>
      <c r="B90" s="256"/>
      <c r="C90" s="277"/>
      <c r="D90" s="277"/>
      <c r="E90" s="230">
        <f t="shared" si="3"/>
        <v>0</v>
      </c>
      <c r="F90" s="256"/>
      <c r="G90" s="256"/>
      <c r="H90" s="256"/>
      <c r="I90" s="256"/>
      <c r="J90" s="256"/>
      <c r="K90" s="256"/>
      <c r="L90" s="230">
        <f t="shared" si="4"/>
        <v>0</v>
      </c>
      <c r="M90" s="256"/>
      <c r="N90" s="256"/>
      <c r="O90" s="256"/>
      <c r="P90" s="256"/>
      <c r="Q90" s="256"/>
      <c r="R90" s="256"/>
      <c r="S90" s="549">
        <f t="shared" si="5"/>
        <v>0</v>
      </c>
      <c r="T90" s="256"/>
      <c r="U90" s="256"/>
      <c r="V90" s="256"/>
      <c r="W90" s="256"/>
    </row>
    <row r="91" spans="1:23">
      <c r="A91" t="str">
        <f>IF(ABS(E91)&gt;0,基础信息!$B$1,"")</f>
        <v/>
      </c>
      <c r="B91" s="256"/>
      <c r="C91" s="277"/>
      <c r="D91" s="277"/>
      <c r="E91" s="230">
        <f t="shared" si="3"/>
        <v>0</v>
      </c>
      <c r="F91" s="256"/>
      <c r="G91" s="256"/>
      <c r="H91" s="256"/>
      <c r="I91" s="256"/>
      <c r="J91" s="256"/>
      <c r="K91" s="256"/>
      <c r="L91" s="230">
        <f t="shared" si="4"/>
        <v>0</v>
      </c>
      <c r="M91" s="256"/>
      <c r="N91" s="256"/>
      <c r="O91" s="256"/>
      <c r="P91" s="256"/>
      <c r="Q91" s="256"/>
      <c r="R91" s="256"/>
      <c r="S91" s="549">
        <f t="shared" si="5"/>
        <v>0</v>
      </c>
      <c r="T91" s="256"/>
      <c r="U91" s="256"/>
      <c r="V91" s="256"/>
      <c r="W91" s="256"/>
    </row>
    <row r="92" spans="1:23">
      <c r="A92" t="str">
        <f>IF(ABS(E92)&gt;0,基础信息!$B$1,"")</f>
        <v/>
      </c>
      <c r="B92" s="256"/>
      <c r="C92" s="277"/>
      <c r="D92" s="277"/>
      <c r="E92" s="230">
        <f t="shared" si="3"/>
        <v>0</v>
      </c>
      <c r="F92" s="256"/>
      <c r="G92" s="256"/>
      <c r="H92" s="256"/>
      <c r="I92" s="256"/>
      <c r="J92" s="256"/>
      <c r="K92" s="256"/>
      <c r="L92" s="230">
        <f t="shared" si="4"/>
        <v>0</v>
      </c>
      <c r="M92" s="256"/>
      <c r="N92" s="256"/>
      <c r="O92" s="256"/>
      <c r="P92" s="256"/>
      <c r="Q92" s="256"/>
      <c r="R92" s="256"/>
      <c r="S92" s="549">
        <f t="shared" si="5"/>
        <v>0</v>
      </c>
      <c r="T92" s="256"/>
      <c r="U92" s="256"/>
      <c r="V92" s="256"/>
      <c r="W92" s="256"/>
    </row>
    <row r="93" spans="1:23">
      <c r="A93" t="str">
        <f>IF(ABS(E93)&gt;0,基础信息!$B$1,"")</f>
        <v/>
      </c>
      <c r="B93" s="256"/>
      <c r="C93" s="277"/>
      <c r="D93" s="277"/>
      <c r="E93" s="230">
        <f t="shared" si="3"/>
        <v>0</v>
      </c>
      <c r="F93" s="256"/>
      <c r="G93" s="256"/>
      <c r="H93" s="256"/>
      <c r="I93" s="256"/>
      <c r="J93" s="256"/>
      <c r="K93" s="256"/>
      <c r="L93" s="230">
        <f t="shared" si="4"/>
        <v>0</v>
      </c>
      <c r="M93" s="256"/>
      <c r="N93" s="256"/>
      <c r="O93" s="256"/>
      <c r="P93" s="256"/>
      <c r="Q93" s="256"/>
      <c r="R93" s="256"/>
      <c r="S93" s="549">
        <f t="shared" si="5"/>
        <v>0</v>
      </c>
      <c r="T93" s="256"/>
      <c r="U93" s="256"/>
      <c r="V93" s="256"/>
      <c r="W93" s="256"/>
    </row>
    <row r="94" spans="1:23">
      <c r="A94" t="str">
        <f>IF(ABS(E94)&gt;0,基础信息!$B$1,"")</f>
        <v/>
      </c>
      <c r="B94" s="256"/>
      <c r="C94" s="277"/>
      <c r="D94" s="277"/>
      <c r="E94" s="230">
        <f t="shared" si="3"/>
        <v>0</v>
      </c>
      <c r="F94" s="256"/>
      <c r="G94" s="256"/>
      <c r="H94" s="256"/>
      <c r="I94" s="256"/>
      <c r="J94" s="256"/>
      <c r="K94" s="256"/>
      <c r="L94" s="230">
        <f t="shared" si="4"/>
        <v>0</v>
      </c>
      <c r="M94" s="256"/>
      <c r="N94" s="256"/>
      <c r="O94" s="256"/>
      <c r="P94" s="256"/>
      <c r="Q94" s="256"/>
      <c r="R94" s="256"/>
      <c r="S94" s="549">
        <f t="shared" si="5"/>
        <v>0</v>
      </c>
      <c r="T94" s="256"/>
      <c r="U94" s="256"/>
      <c r="V94" s="256"/>
      <c r="W94" s="256"/>
    </row>
    <row r="95" spans="1:23">
      <c r="A95" t="str">
        <f>IF(ABS(E95)&gt;0,基础信息!$B$1,"")</f>
        <v/>
      </c>
      <c r="B95" s="256"/>
      <c r="C95" s="277"/>
      <c r="D95" s="277"/>
      <c r="E95" s="230">
        <f t="shared" si="3"/>
        <v>0</v>
      </c>
      <c r="F95" s="256"/>
      <c r="G95" s="256"/>
      <c r="H95" s="256"/>
      <c r="I95" s="256"/>
      <c r="J95" s="256"/>
      <c r="K95" s="256"/>
      <c r="L95" s="230">
        <f t="shared" si="4"/>
        <v>0</v>
      </c>
      <c r="M95" s="256"/>
      <c r="N95" s="256"/>
      <c r="O95" s="256"/>
      <c r="P95" s="256"/>
      <c r="Q95" s="256"/>
      <c r="R95" s="256"/>
      <c r="S95" s="549">
        <f t="shared" si="5"/>
        <v>0</v>
      </c>
      <c r="T95" s="256"/>
      <c r="U95" s="256"/>
      <c r="V95" s="256"/>
      <c r="W95" s="256"/>
    </row>
    <row r="96" spans="1:23">
      <c r="A96" t="str">
        <f>IF(ABS(E96)&gt;0,基础信息!$B$1,"")</f>
        <v/>
      </c>
      <c r="B96" s="256"/>
      <c r="C96" s="277"/>
      <c r="D96" s="277"/>
      <c r="E96" s="230">
        <f t="shared" si="3"/>
        <v>0</v>
      </c>
      <c r="F96" s="256"/>
      <c r="G96" s="256"/>
      <c r="H96" s="256"/>
      <c r="I96" s="256"/>
      <c r="J96" s="256"/>
      <c r="K96" s="256"/>
      <c r="L96" s="230">
        <f t="shared" si="4"/>
        <v>0</v>
      </c>
      <c r="M96" s="256"/>
      <c r="N96" s="256"/>
      <c r="O96" s="256"/>
      <c r="P96" s="256"/>
      <c r="Q96" s="256"/>
      <c r="R96" s="256"/>
      <c r="S96" s="549">
        <f t="shared" si="5"/>
        <v>0</v>
      </c>
      <c r="T96" s="256"/>
      <c r="U96" s="256"/>
      <c r="V96" s="256"/>
      <c r="W96" s="256"/>
    </row>
    <row r="97" spans="1:23">
      <c r="A97" t="str">
        <f>IF(ABS(E97)&gt;0,基础信息!$B$1,"")</f>
        <v/>
      </c>
      <c r="B97" s="256"/>
      <c r="C97" s="277"/>
      <c r="D97" s="277"/>
      <c r="E97" s="230">
        <f t="shared" si="3"/>
        <v>0</v>
      </c>
      <c r="F97" s="256"/>
      <c r="G97" s="256"/>
      <c r="H97" s="256"/>
      <c r="I97" s="256"/>
      <c r="J97" s="256"/>
      <c r="K97" s="256"/>
      <c r="L97" s="230">
        <f t="shared" si="4"/>
        <v>0</v>
      </c>
      <c r="M97" s="256"/>
      <c r="N97" s="256"/>
      <c r="O97" s="256"/>
      <c r="P97" s="256"/>
      <c r="Q97" s="256"/>
      <c r="R97" s="256"/>
      <c r="S97" s="549">
        <f t="shared" si="5"/>
        <v>0</v>
      </c>
      <c r="T97" s="256"/>
      <c r="U97" s="256"/>
      <c r="V97" s="256"/>
      <c r="W97" s="256"/>
    </row>
    <row r="98" spans="1:23">
      <c r="A98" t="str">
        <f>IF(ABS(E98)&gt;0,基础信息!$B$1,"")</f>
        <v/>
      </c>
      <c r="B98" s="256"/>
      <c r="C98" s="277"/>
      <c r="D98" s="277"/>
      <c r="E98" s="230">
        <f t="shared" si="3"/>
        <v>0</v>
      </c>
      <c r="F98" s="256"/>
      <c r="G98" s="256"/>
      <c r="H98" s="256"/>
      <c r="I98" s="256"/>
      <c r="J98" s="256"/>
      <c r="K98" s="256"/>
      <c r="L98" s="230">
        <f t="shared" si="4"/>
        <v>0</v>
      </c>
      <c r="M98" s="256"/>
      <c r="N98" s="256"/>
      <c r="O98" s="256"/>
      <c r="P98" s="256"/>
      <c r="Q98" s="256"/>
      <c r="R98" s="256"/>
      <c r="S98" s="549">
        <f t="shared" si="5"/>
        <v>0</v>
      </c>
      <c r="T98" s="256"/>
      <c r="U98" s="256"/>
      <c r="V98" s="256"/>
      <c r="W98" s="256"/>
    </row>
    <row r="99" spans="1:23">
      <c r="A99" t="str">
        <f>IF(ABS(E99)&gt;0,基础信息!$B$1,"")</f>
        <v/>
      </c>
      <c r="B99" s="256"/>
      <c r="C99" s="277"/>
      <c r="D99" s="277"/>
      <c r="E99" s="230">
        <f t="shared" si="3"/>
        <v>0</v>
      </c>
      <c r="F99" s="256"/>
      <c r="G99" s="256"/>
      <c r="H99" s="256"/>
      <c r="I99" s="256"/>
      <c r="J99" s="256"/>
      <c r="K99" s="256"/>
      <c r="L99" s="230">
        <f t="shared" si="4"/>
        <v>0</v>
      </c>
      <c r="M99" s="256"/>
      <c r="N99" s="256"/>
      <c r="O99" s="256"/>
      <c r="P99" s="256"/>
      <c r="Q99" s="256"/>
      <c r="R99" s="256"/>
      <c r="S99" s="549">
        <f t="shared" si="5"/>
        <v>0</v>
      </c>
      <c r="T99" s="256"/>
      <c r="U99" s="256"/>
      <c r="V99" s="256"/>
      <c r="W99" s="256"/>
    </row>
    <row r="100" spans="1:23">
      <c r="A100" t="str">
        <f>IF(ABS(E100)&gt;0,基础信息!$B$1,"")</f>
        <v/>
      </c>
      <c r="B100" s="256"/>
      <c r="C100" s="277"/>
      <c r="D100" s="277"/>
      <c r="E100" s="230">
        <f t="shared" si="3"/>
        <v>0</v>
      </c>
      <c r="F100" s="256"/>
      <c r="G100" s="256"/>
      <c r="H100" s="256"/>
      <c r="I100" s="256"/>
      <c r="J100" s="256"/>
      <c r="K100" s="256"/>
      <c r="L100" s="230">
        <f t="shared" si="4"/>
        <v>0</v>
      </c>
      <c r="M100" s="256"/>
      <c r="N100" s="256"/>
      <c r="O100" s="256"/>
      <c r="P100" s="256"/>
      <c r="Q100" s="256"/>
      <c r="R100" s="256"/>
      <c r="S100" s="549">
        <f t="shared" si="5"/>
        <v>0</v>
      </c>
      <c r="T100" s="256"/>
      <c r="U100" s="256"/>
      <c r="V100" s="256"/>
      <c r="W100" s="256"/>
    </row>
    <row r="101" spans="1:23">
      <c r="A101" t="str">
        <f>IF(ABS(E101)&gt;0,基础信息!$B$1,"")</f>
        <v/>
      </c>
      <c r="B101" s="256"/>
      <c r="C101" s="277"/>
      <c r="D101" s="277"/>
      <c r="E101" s="230">
        <f t="shared" si="3"/>
        <v>0</v>
      </c>
      <c r="F101" s="256"/>
      <c r="G101" s="256"/>
      <c r="H101" s="256"/>
      <c r="I101" s="256"/>
      <c r="J101" s="256"/>
      <c r="K101" s="256"/>
      <c r="L101" s="230">
        <f t="shared" si="4"/>
        <v>0</v>
      </c>
      <c r="M101" s="256"/>
      <c r="N101" s="256"/>
      <c r="O101" s="256"/>
      <c r="P101" s="256"/>
      <c r="Q101" s="256"/>
      <c r="R101" s="256"/>
      <c r="S101" s="549">
        <f t="shared" si="5"/>
        <v>0</v>
      </c>
      <c r="T101" s="256"/>
      <c r="U101" s="256"/>
      <c r="V101" s="256"/>
      <c r="W101" s="256"/>
    </row>
    <row r="102" spans="1:23">
      <c r="A102" t="str">
        <f>IF(ABS(E102)&gt;0,基础信息!$B$1,"")</f>
        <v/>
      </c>
      <c r="B102" s="256"/>
      <c r="C102" s="277"/>
      <c r="D102" s="277"/>
      <c r="E102" s="230">
        <f t="shared" si="3"/>
        <v>0</v>
      </c>
      <c r="F102" s="256"/>
      <c r="G102" s="256"/>
      <c r="H102" s="256"/>
      <c r="I102" s="256"/>
      <c r="J102" s="256"/>
      <c r="K102" s="256"/>
      <c r="L102" s="230">
        <f t="shared" si="4"/>
        <v>0</v>
      </c>
      <c r="M102" s="256"/>
      <c r="N102" s="256"/>
      <c r="O102" s="256"/>
      <c r="P102" s="256"/>
      <c r="Q102" s="256"/>
      <c r="R102" s="256"/>
      <c r="S102" s="549">
        <f t="shared" si="5"/>
        <v>0</v>
      </c>
      <c r="T102" s="256"/>
      <c r="U102" s="256"/>
      <c r="V102" s="256"/>
      <c r="W102"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codeName="Sheet115">
    <tabColor rgb="FFFFC000"/>
  </sheetPr>
  <dimension ref="A1:E10"/>
  <sheetViews>
    <sheetView workbookViewId="0">
      <selection activeCell="E17" sqref="E17"/>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312</v>
      </c>
      <c r="E1" s="18" t="s">
        <v>311</v>
      </c>
    </row>
    <row r="2" spans="1:5">
      <c r="A2" s="18" t="s">
        <v>313</v>
      </c>
      <c r="B2" s="18">
        <f>ROUND(SUM(B3:B5),2)</f>
        <v>0</v>
      </c>
      <c r="C2" s="18">
        <f>ROUND(SUM(C3:C5),2)</f>
        <v>0</v>
      </c>
    </row>
    <row r="3" spans="1:5">
      <c r="A3" s="247" t="s">
        <v>314</v>
      </c>
      <c r="B3" s="247"/>
      <c r="C3" s="247"/>
      <c r="D3" s="247"/>
      <c r="E3" s="247"/>
    </row>
    <row r="4" spans="1:5">
      <c r="A4" s="301" t="s">
        <v>2393</v>
      </c>
      <c r="B4" s="247"/>
      <c r="C4" s="247"/>
      <c r="D4" s="247"/>
      <c r="E4" s="247"/>
    </row>
    <row r="5" spans="1:5">
      <c r="A5" s="247" t="s">
        <v>315</v>
      </c>
      <c r="B5" s="247"/>
      <c r="C5" s="247"/>
      <c r="D5" s="247"/>
      <c r="E5" s="247"/>
    </row>
    <row r="6" spans="1:5">
      <c r="A6" s="18" t="s">
        <v>316</v>
      </c>
      <c r="B6" s="18">
        <f>ROUND(SUM(B7:B9),2)</f>
        <v>0</v>
      </c>
      <c r="C6" s="18">
        <f>ROUND(SUM(C7:C9),2)</f>
        <v>0</v>
      </c>
    </row>
    <row r="7" spans="1:5">
      <c r="A7" s="247" t="s">
        <v>314</v>
      </c>
      <c r="B7" s="247"/>
      <c r="C7" s="247"/>
      <c r="D7" s="247"/>
      <c r="E7" s="247"/>
    </row>
    <row r="8" spans="1:5">
      <c r="A8" s="301" t="s">
        <v>2393</v>
      </c>
      <c r="B8" s="247"/>
      <c r="C8" s="247"/>
      <c r="D8" s="247"/>
      <c r="E8" s="247"/>
    </row>
    <row r="9" spans="1:5">
      <c r="A9" s="247" t="s">
        <v>315</v>
      </c>
      <c r="B9" s="247"/>
      <c r="C9" s="247"/>
      <c r="D9" s="247"/>
      <c r="E9" s="247"/>
    </row>
    <row r="10" spans="1:5">
      <c r="A10" s="18" t="s">
        <v>204</v>
      </c>
      <c r="B10" s="18">
        <f>ROUND(B6+B2,2)</f>
        <v>0</v>
      </c>
      <c r="C10" s="18">
        <f>ROUND(C6+C2,2)</f>
        <v>0</v>
      </c>
      <c r="D10" s="18" t="s">
        <v>263</v>
      </c>
      <c r="E10" s="18" t="s">
        <v>263</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sheetPr codeName="Sheet116"/>
  <dimension ref="A1:Y185"/>
  <sheetViews>
    <sheetView workbookViewId="0">
      <pane xSplit="2" ySplit="1" topLeftCell="H2" activePane="bottomRight" state="frozen"/>
      <selection pane="topRight" activeCell="C1" sqref="C1"/>
      <selection pane="bottomLeft" activeCell="A2" sqref="A2"/>
      <selection pane="bottomRight" activeCell="A5" sqref="A5"/>
    </sheetView>
  </sheetViews>
  <sheetFormatPr defaultRowHeight="13.8"/>
  <cols>
    <col min="1" max="1" width="13.88671875" style="230" bestFit="1" customWidth="1"/>
    <col min="2" max="2" width="16.109375" style="230" bestFit="1" customWidth="1"/>
    <col min="3" max="3" width="18.33203125" style="230" bestFit="1" customWidth="1"/>
    <col min="4" max="4" width="7.5546875" style="230" bestFit="1" customWidth="1"/>
    <col min="5" max="5" width="13.88671875" style="230" bestFit="1" customWidth="1"/>
    <col min="6" max="6" width="32.33203125" style="230" customWidth="1"/>
    <col min="7" max="7" width="19.88671875" style="230" customWidth="1"/>
    <col min="8" max="8" width="9.5546875" style="230" bestFit="1" customWidth="1"/>
    <col min="9" max="9" width="13.88671875" style="230" bestFit="1" customWidth="1"/>
    <col min="10" max="10" width="8.5546875" style="230" bestFit="1" customWidth="1"/>
    <col min="11" max="14" width="7.5546875" style="230" bestFit="1" customWidth="1"/>
    <col min="15" max="15" width="8.5546875" style="230" bestFit="1" customWidth="1"/>
    <col min="16" max="16" width="18.33203125" style="230" bestFit="1" customWidth="1"/>
    <col min="17" max="17" width="8.5546875" style="230" bestFit="1" customWidth="1"/>
    <col min="18" max="21" width="7.5546875" style="230" bestFit="1" customWidth="1"/>
    <col min="22" max="22" width="8.5546875" style="230" bestFit="1" customWidth="1"/>
    <col min="23" max="23" width="7.6640625" style="230" bestFit="1" customWidth="1"/>
    <col min="24" max="24" width="13.88671875" style="230" bestFit="1" customWidth="1"/>
    <col min="25" max="16384" width="8.88671875" style="230"/>
  </cols>
  <sheetData>
    <row r="1" spans="1:25" s="521" customFormat="1" ht="41.4">
      <c r="A1" s="521" t="s">
        <v>2015</v>
      </c>
      <c r="B1" s="521" t="s">
        <v>3151</v>
      </c>
      <c r="C1" s="597" t="s">
        <v>2384</v>
      </c>
      <c r="D1" s="521" t="s">
        <v>285</v>
      </c>
      <c r="E1" s="521" t="s">
        <v>219</v>
      </c>
      <c r="F1" s="521" t="s">
        <v>4274</v>
      </c>
      <c r="G1" s="521" t="s">
        <v>4275</v>
      </c>
      <c r="H1" s="521" t="s">
        <v>509</v>
      </c>
      <c r="I1" s="521" t="s">
        <v>4606</v>
      </c>
      <c r="J1" s="521" t="s">
        <v>4594</v>
      </c>
      <c r="K1" s="521" t="s">
        <v>4595</v>
      </c>
      <c r="L1" s="521" t="s">
        <v>4596</v>
      </c>
      <c r="M1" s="521" t="s">
        <v>4597</v>
      </c>
      <c r="N1" s="521" t="s">
        <v>4598</v>
      </c>
      <c r="O1" s="521" t="s">
        <v>4599</v>
      </c>
      <c r="P1" s="521" t="s">
        <v>4276</v>
      </c>
      <c r="Q1" s="521" t="s">
        <v>4600</v>
      </c>
      <c r="R1" s="521" t="s">
        <v>4601</v>
      </c>
      <c r="S1" s="521" t="s">
        <v>4602</v>
      </c>
      <c r="T1" s="521" t="s">
        <v>4603</v>
      </c>
      <c r="U1" s="521" t="s">
        <v>4604</v>
      </c>
      <c r="V1" s="521" t="s">
        <v>4605</v>
      </c>
      <c r="W1" s="521" t="s">
        <v>4273</v>
      </c>
      <c r="X1" s="521" t="s">
        <v>312</v>
      </c>
      <c r="Y1" s="521" t="s">
        <v>2391</v>
      </c>
    </row>
    <row r="2" spans="1:25">
      <c r="A2" s="230" t="str">
        <f>IF(OR((ABS(D2)&gt;0),(ABS(I2)&gt;0)),基础信息!$B$1,"")</f>
        <v/>
      </c>
      <c r="C2" s="550"/>
      <c r="I2" s="230">
        <f>D2+F2+G2-H2</f>
        <v>0</v>
      </c>
      <c r="P2" s="230">
        <f>SUM(Q2:V2)</f>
        <v>0</v>
      </c>
      <c r="W2" s="230">
        <f>I2-P2</f>
        <v>0</v>
      </c>
      <c r="Y2" s="230">
        <f>SUM(J2:O2)-I2</f>
        <v>0</v>
      </c>
    </row>
    <row r="3" spans="1:25">
      <c r="A3" s="230" t="str">
        <f>IF(OR((ABS(D3)&gt;0),(ABS(I3)&gt;0)),基础信息!$B$1,"")</f>
        <v/>
      </c>
      <c r="C3" s="550"/>
      <c r="I3" s="230">
        <f t="shared" ref="I3:I66" si="0">D3+F3+G3-H3</f>
        <v>0</v>
      </c>
      <c r="P3" s="230">
        <f t="shared" ref="P3:P66" si="1">SUM(Q3:V3)</f>
        <v>0</v>
      </c>
      <c r="W3" s="230">
        <f t="shared" ref="W3:W66" si="2">I3-P3</f>
        <v>0</v>
      </c>
      <c r="Y3" s="230">
        <f t="shared" ref="Y3:Y66" si="3">SUM(J3:O3)-I3</f>
        <v>0</v>
      </c>
    </row>
    <row r="4" spans="1:25">
      <c r="A4" s="230" t="str">
        <f>IF(OR((ABS(D4)&gt;0),(ABS(I4)&gt;0)),基础信息!$B$1,"")</f>
        <v/>
      </c>
      <c r="C4" s="550"/>
      <c r="I4" s="230">
        <f t="shared" si="0"/>
        <v>0</v>
      </c>
      <c r="P4" s="230">
        <f t="shared" si="1"/>
        <v>0</v>
      </c>
      <c r="W4" s="230">
        <f t="shared" si="2"/>
        <v>0</v>
      </c>
      <c r="Y4" s="230">
        <f t="shared" si="3"/>
        <v>0</v>
      </c>
    </row>
    <row r="5" spans="1:25">
      <c r="A5" s="230" t="str">
        <f>IF(OR((ABS(D5)&gt;0),(ABS(I5)&gt;0)),基础信息!$B$1,"")</f>
        <v/>
      </c>
      <c r="C5" s="550"/>
      <c r="I5" s="230">
        <f t="shared" si="0"/>
        <v>0</v>
      </c>
      <c r="P5" s="230">
        <f t="shared" si="1"/>
        <v>0</v>
      </c>
      <c r="W5" s="230">
        <f t="shared" si="2"/>
        <v>0</v>
      </c>
      <c r="Y5" s="230">
        <f t="shared" si="3"/>
        <v>0</v>
      </c>
    </row>
    <row r="6" spans="1:25">
      <c r="A6" s="230" t="str">
        <f>IF(OR((ABS(D6)&gt;0),(ABS(I6)&gt;0)),基础信息!$B$1,"")</f>
        <v/>
      </c>
      <c r="C6" s="550"/>
      <c r="I6" s="230">
        <f t="shared" si="0"/>
        <v>0</v>
      </c>
      <c r="P6" s="230">
        <f t="shared" si="1"/>
        <v>0</v>
      </c>
      <c r="W6" s="230">
        <f t="shared" si="2"/>
        <v>0</v>
      </c>
      <c r="Y6" s="230">
        <f t="shared" si="3"/>
        <v>0</v>
      </c>
    </row>
    <row r="7" spans="1:25">
      <c r="A7" s="230" t="str">
        <f>IF(OR((ABS(D7)&gt;0),(ABS(I7)&gt;0)),基础信息!$B$1,"")</f>
        <v/>
      </c>
      <c r="C7" s="550"/>
      <c r="I7" s="230">
        <f t="shared" si="0"/>
        <v>0</v>
      </c>
      <c r="P7" s="230">
        <f t="shared" si="1"/>
        <v>0</v>
      </c>
      <c r="W7" s="230">
        <f t="shared" si="2"/>
        <v>0</v>
      </c>
      <c r="Y7" s="230">
        <f t="shared" si="3"/>
        <v>0</v>
      </c>
    </row>
    <row r="8" spans="1:25">
      <c r="A8" s="230" t="str">
        <f>IF(OR((ABS(D8)&gt;0),(ABS(I8)&gt;0)),基础信息!$B$1,"")</f>
        <v/>
      </c>
      <c r="C8" s="550"/>
      <c r="I8" s="230">
        <f t="shared" si="0"/>
        <v>0</v>
      </c>
      <c r="P8" s="230">
        <f t="shared" si="1"/>
        <v>0</v>
      </c>
      <c r="W8" s="230">
        <f t="shared" si="2"/>
        <v>0</v>
      </c>
      <c r="Y8" s="230">
        <f t="shared" si="3"/>
        <v>0</v>
      </c>
    </row>
    <row r="9" spans="1:25">
      <c r="A9" s="230" t="str">
        <f>IF(OR((ABS(D9)&gt;0),(ABS(I9)&gt;0)),基础信息!$B$1,"")</f>
        <v/>
      </c>
      <c r="C9" s="550"/>
      <c r="I9" s="230">
        <f t="shared" si="0"/>
        <v>0</v>
      </c>
      <c r="P9" s="230">
        <f t="shared" si="1"/>
        <v>0</v>
      </c>
      <c r="W9" s="230">
        <f t="shared" si="2"/>
        <v>0</v>
      </c>
      <c r="Y9" s="230">
        <f t="shared" si="3"/>
        <v>0</v>
      </c>
    </row>
    <row r="10" spans="1:25">
      <c r="A10" s="230" t="str">
        <f>IF(OR((ABS(D10)&gt;0),(ABS(I10)&gt;0)),基础信息!$B$1,"")</f>
        <v/>
      </c>
      <c r="C10" s="550"/>
      <c r="I10" s="230">
        <f t="shared" si="0"/>
        <v>0</v>
      </c>
      <c r="P10" s="230">
        <f t="shared" si="1"/>
        <v>0</v>
      </c>
      <c r="W10" s="230">
        <f t="shared" si="2"/>
        <v>0</v>
      </c>
      <c r="Y10" s="230">
        <f t="shared" si="3"/>
        <v>0</v>
      </c>
    </row>
    <row r="11" spans="1:25">
      <c r="A11" s="230" t="str">
        <f>IF(OR((ABS(D11)&gt;0),(ABS(I11)&gt;0)),基础信息!$B$1,"")</f>
        <v/>
      </c>
      <c r="C11" s="550"/>
      <c r="I11" s="230">
        <f t="shared" si="0"/>
        <v>0</v>
      </c>
      <c r="P11" s="230">
        <f t="shared" si="1"/>
        <v>0</v>
      </c>
      <c r="W11" s="230">
        <f t="shared" si="2"/>
        <v>0</v>
      </c>
      <c r="Y11" s="230">
        <f t="shared" si="3"/>
        <v>0</v>
      </c>
    </row>
    <row r="12" spans="1:25">
      <c r="A12" s="230" t="str">
        <f>IF(OR((ABS(D12)&gt;0),(ABS(I12)&gt;0)),基础信息!$B$1,"")</f>
        <v/>
      </c>
      <c r="C12" s="550"/>
      <c r="I12" s="230">
        <f t="shared" si="0"/>
        <v>0</v>
      </c>
      <c r="P12" s="230">
        <f t="shared" si="1"/>
        <v>0</v>
      </c>
      <c r="W12" s="230">
        <f t="shared" si="2"/>
        <v>0</v>
      </c>
      <c r="Y12" s="230">
        <f t="shared" si="3"/>
        <v>0</v>
      </c>
    </row>
    <row r="13" spans="1:25">
      <c r="A13" s="230" t="str">
        <f>IF(OR((ABS(D13)&gt;0),(ABS(I13)&gt;0)),基础信息!$B$1,"")</f>
        <v/>
      </c>
      <c r="C13" s="550"/>
      <c r="I13" s="230">
        <f t="shared" si="0"/>
        <v>0</v>
      </c>
      <c r="P13" s="230">
        <f t="shared" si="1"/>
        <v>0</v>
      </c>
      <c r="W13" s="230">
        <f t="shared" si="2"/>
        <v>0</v>
      </c>
      <c r="Y13" s="230">
        <f t="shared" si="3"/>
        <v>0</v>
      </c>
    </row>
    <row r="14" spans="1:25">
      <c r="A14" s="230" t="str">
        <f>IF(OR((ABS(D14)&gt;0),(ABS(I14)&gt;0)),基础信息!$B$1,"")</f>
        <v/>
      </c>
      <c r="C14" s="550"/>
      <c r="I14" s="230">
        <f t="shared" si="0"/>
        <v>0</v>
      </c>
      <c r="P14" s="230">
        <f t="shared" si="1"/>
        <v>0</v>
      </c>
      <c r="W14" s="230">
        <f t="shared" si="2"/>
        <v>0</v>
      </c>
      <c r="Y14" s="230">
        <f t="shared" si="3"/>
        <v>0</v>
      </c>
    </row>
    <row r="15" spans="1:25">
      <c r="A15" s="230" t="str">
        <f>IF(OR((ABS(D15)&gt;0),(ABS(I15)&gt;0)),基础信息!$B$1,"")</f>
        <v/>
      </c>
      <c r="C15" s="550"/>
      <c r="I15" s="230">
        <f t="shared" si="0"/>
        <v>0</v>
      </c>
      <c r="P15" s="230">
        <f t="shared" si="1"/>
        <v>0</v>
      </c>
      <c r="W15" s="230">
        <f t="shared" si="2"/>
        <v>0</v>
      </c>
      <c r="Y15" s="230">
        <f t="shared" si="3"/>
        <v>0</v>
      </c>
    </row>
    <row r="16" spans="1:25">
      <c r="A16" s="230" t="str">
        <f>IF(OR((ABS(D16)&gt;0),(ABS(I16)&gt;0)),基础信息!$B$1,"")</f>
        <v/>
      </c>
      <c r="C16" s="550"/>
      <c r="I16" s="230">
        <f t="shared" si="0"/>
        <v>0</v>
      </c>
      <c r="P16" s="230">
        <f t="shared" si="1"/>
        <v>0</v>
      </c>
      <c r="W16" s="230">
        <f t="shared" si="2"/>
        <v>0</v>
      </c>
      <c r="Y16" s="230">
        <f t="shared" si="3"/>
        <v>0</v>
      </c>
    </row>
    <row r="17" spans="1:25">
      <c r="A17" s="230" t="str">
        <f>IF(OR((ABS(D17)&gt;0),(ABS(I17)&gt;0)),基础信息!$B$1,"")</f>
        <v/>
      </c>
      <c r="C17" s="550"/>
      <c r="I17" s="230">
        <f t="shared" si="0"/>
        <v>0</v>
      </c>
      <c r="P17" s="230">
        <f t="shared" si="1"/>
        <v>0</v>
      </c>
      <c r="W17" s="230">
        <f t="shared" si="2"/>
        <v>0</v>
      </c>
      <c r="Y17" s="230">
        <f t="shared" si="3"/>
        <v>0</v>
      </c>
    </row>
    <row r="18" spans="1:25">
      <c r="A18" s="230" t="str">
        <f>IF(OR((ABS(D18)&gt;0),(ABS(I18)&gt;0)),基础信息!$B$1,"")</f>
        <v/>
      </c>
      <c r="C18" s="550"/>
      <c r="I18" s="230">
        <f t="shared" si="0"/>
        <v>0</v>
      </c>
      <c r="P18" s="230">
        <f t="shared" si="1"/>
        <v>0</v>
      </c>
      <c r="W18" s="230">
        <f t="shared" si="2"/>
        <v>0</v>
      </c>
      <c r="Y18" s="230">
        <f t="shared" si="3"/>
        <v>0</v>
      </c>
    </row>
    <row r="19" spans="1:25">
      <c r="A19" s="230" t="str">
        <f>IF(OR((ABS(D19)&gt;0),(ABS(I19)&gt;0)),基础信息!$B$1,"")</f>
        <v/>
      </c>
      <c r="C19" s="550"/>
      <c r="I19" s="230">
        <f t="shared" si="0"/>
        <v>0</v>
      </c>
      <c r="P19" s="230">
        <f t="shared" si="1"/>
        <v>0</v>
      </c>
      <c r="W19" s="230">
        <f t="shared" si="2"/>
        <v>0</v>
      </c>
      <c r="Y19" s="230">
        <f t="shared" si="3"/>
        <v>0</v>
      </c>
    </row>
    <row r="20" spans="1:25">
      <c r="A20" s="230" t="str">
        <f>IF(OR((ABS(D20)&gt;0),(ABS(I20)&gt;0)),基础信息!$B$1,"")</f>
        <v/>
      </c>
      <c r="C20" s="550"/>
      <c r="I20" s="230">
        <f t="shared" si="0"/>
        <v>0</v>
      </c>
      <c r="P20" s="230">
        <f t="shared" si="1"/>
        <v>0</v>
      </c>
      <c r="W20" s="230">
        <f t="shared" si="2"/>
        <v>0</v>
      </c>
      <c r="Y20" s="230">
        <f t="shared" si="3"/>
        <v>0</v>
      </c>
    </row>
    <row r="21" spans="1:25">
      <c r="A21" s="230" t="str">
        <f>IF(OR((ABS(D21)&gt;0),(ABS(I21)&gt;0)),基础信息!$B$1,"")</f>
        <v/>
      </c>
      <c r="C21" s="550"/>
      <c r="I21" s="230">
        <f t="shared" si="0"/>
        <v>0</v>
      </c>
      <c r="P21" s="230">
        <f t="shared" si="1"/>
        <v>0</v>
      </c>
      <c r="W21" s="230">
        <f t="shared" si="2"/>
        <v>0</v>
      </c>
      <c r="Y21" s="230">
        <f t="shared" si="3"/>
        <v>0</v>
      </c>
    </row>
    <row r="22" spans="1:25">
      <c r="A22" s="230" t="str">
        <f>IF(OR((ABS(D22)&gt;0),(ABS(I22)&gt;0)),基础信息!$B$1,"")</f>
        <v/>
      </c>
      <c r="C22" s="550"/>
      <c r="I22" s="230">
        <f t="shared" si="0"/>
        <v>0</v>
      </c>
      <c r="P22" s="230">
        <f t="shared" si="1"/>
        <v>0</v>
      </c>
      <c r="W22" s="230">
        <f t="shared" si="2"/>
        <v>0</v>
      </c>
      <c r="Y22" s="230">
        <f t="shared" si="3"/>
        <v>0</v>
      </c>
    </row>
    <row r="23" spans="1:25">
      <c r="A23" s="230" t="str">
        <f>IF(OR((ABS(D23)&gt;0),(ABS(I23)&gt;0)),基础信息!$B$1,"")</f>
        <v/>
      </c>
      <c r="C23" s="550"/>
      <c r="I23" s="230">
        <f t="shared" si="0"/>
        <v>0</v>
      </c>
      <c r="P23" s="230">
        <f t="shared" si="1"/>
        <v>0</v>
      </c>
      <c r="W23" s="230">
        <f t="shared" si="2"/>
        <v>0</v>
      </c>
      <c r="Y23" s="230">
        <f t="shared" si="3"/>
        <v>0</v>
      </c>
    </row>
    <row r="24" spans="1:25">
      <c r="A24" s="230" t="str">
        <f>IF(OR((ABS(D24)&gt;0),(ABS(I24)&gt;0)),基础信息!$B$1,"")</f>
        <v/>
      </c>
      <c r="C24" s="550"/>
      <c r="I24" s="230">
        <f t="shared" si="0"/>
        <v>0</v>
      </c>
      <c r="P24" s="230">
        <f t="shared" si="1"/>
        <v>0</v>
      </c>
      <c r="W24" s="230">
        <f t="shared" si="2"/>
        <v>0</v>
      </c>
      <c r="Y24" s="230">
        <f t="shared" si="3"/>
        <v>0</v>
      </c>
    </row>
    <row r="25" spans="1:25">
      <c r="A25" s="230" t="str">
        <f>IF(OR((ABS(D25)&gt;0),(ABS(I25)&gt;0)),基础信息!$B$1,"")</f>
        <v/>
      </c>
      <c r="I25" s="230">
        <f t="shared" si="0"/>
        <v>0</v>
      </c>
      <c r="P25" s="230">
        <f t="shared" si="1"/>
        <v>0</v>
      </c>
      <c r="W25" s="230">
        <f t="shared" si="2"/>
        <v>0</v>
      </c>
      <c r="Y25" s="230">
        <f t="shared" si="3"/>
        <v>0</v>
      </c>
    </row>
    <row r="26" spans="1:25">
      <c r="A26" s="230" t="str">
        <f>IF(OR((ABS(D26)&gt;0),(ABS(I26)&gt;0)),基础信息!$B$1,"")</f>
        <v/>
      </c>
      <c r="I26" s="230">
        <f t="shared" si="0"/>
        <v>0</v>
      </c>
      <c r="P26" s="230">
        <f t="shared" si="1"/>
        <v>0</v>
      </c>
      <c r="W26" s="230">
        <f t="shared" si="2"/>
        <v>0</v>
      </c>
      <c r="Y26" s="230">
        <f t="shared" si="3"/>
        <v>0</v>
      </c>
    </row>
    <row r="27" spans="1:25">
      <c r="A27" s="230" t="str">
        <f>IF(OR((ABS(D27)&gt;0),(ABS(I27)&gt;0)),基础信息!$B$1,"")</f>
        <v/>
      </c>
      <c r="I27" s="230">
        <f t="shared" si="0"/>
        <v>0</v>
      </c>
      <c r="P27" s="230">
        <f t="shared" si="1"/>
        <v>0</v>
      </c>
      <c r="W27" s="230">
        <f t="shared" si="2"/>
        <v>0</v>
      </c>
      <c r="Y27" s="230">
        <f t="shared" si="3"/>
        <v>0</v>
      </c>
    </row>
    <row r="28" spans="1:25">
      <c r="A28" s="230" t="str">
        <f>IF(OR((ABS(D28)&gt;0),(ABS(I28)&gt;0)),基础信息!$B$1,"")</f>
        <v/>
      </c>
      <c r="I28" s="230">
        <f t="shared" si="0"/>
        <v>0</v>
      </c>
      <c r="P28" s="230">
        <f t="shared" si="1"/>
        <v>0</v>
      </c>
      <c r="W28" s="230">
        <f t="shared" si="2"/>
        <v>0</v>
      </c>
      <c r="Y28" s="230">
        <f t="shared" si="3"/>
        <v>0</v>
      </c>
    </row>
    <row r="29" spans="1:25">
      <c r="A29" s="230" t="str">
        <f>IF(OR((ABS(D29)&gt;0),(ABS(I29)&gt;0)),基础信息!$B$1,"")</f>
        <v/>
      </c>
      <c r="I29" s="230">
        <f t="shared" si="0"/>
        <v>0</v>
      </c>
      <c r="P29" s="230">
        <f t="shared" si="1"/>
        <v>0</v>
      </c>
      <c r="W29" s="230">
        <f t="shared" si="2"/>
        <v>0</v>
      </c>
      <c r="Y29" s="230">
        <f t="shared" si="3"/>
        <v>0</v>
      </c>
    </row>
    <row r="30" spans="1:25">
      <c r="A30" s="230" t="str">
        <f>IF(OR((ABS(D30)&gt;0),(ABS(I30)&gt;0)),基础信息!$B$1,"")</f>
        <v/>
      </c>
      <c r="I30" s="230">
        <f t="shared" si="0"/>
        <v>0</v>
      </c>
      <c r="P30" s="230">
        <f t="shared" si="1"/>
        <v>0</v>
      </c>
      <c r="W30" s="230">
        <f t="shared" si="2"/>
        <v>0</v>
      </c>
      <c r="Y30" s="230">
        <f t="shared" si="3"/>
        <v>0</v>
      </c>
    </row>
    <row r="31" spans="1:25">
      <c r="A31" s="230" t="str">
        <f>IF(OR((ABS(D31)&gt;0),(ABS(I31)&gt;0)),基础信息!$B$1,"")</f>
        <v/>
      </c>
      <c r="I31" s="230">
        <f t="shared" si="0"/>
        <v>0</v>
      </c>
      <c r="P31" s="230">
        <f t="shared" si="1"/>
        <v>0</v>
      </c>
      <c r="W31" s="230">
        <f t="shared" si="2"/>
        <v>0</v>
      </c>
      <c r="Y31" s="230">
        <f t="shared" si="3"/>
        <v>0</v>
      </c>
    </row>
    <row r="32" spans="1:25">
      <c r="A32" s="230" t="str">
        <f>IF(OR((ABS(D32)&gt;0),(ABS(I32)&gt;0)),基础信息!$B$1,"")</f>
        <v/>
      </c>
      <c r="I32" s="230">
        <f t="shared" si="0"/>
        <v>0</v>
      </c>
      <c r="P32" s="230">
        <f t="shared" si="1"/>
        <v>0</v>
      </c>
      <c r="W32" s="230">
        <f t="shared" si="2"/>
        <v>0</v>
      </c>
      <c r="Y32" s="230">
        <f t="shared" si="3"/>
        <v>0</v>
      </c>
    </row>
    <row r="33" spans="1:25">
      <c r="A33" s="230" t="str">
        <f>IF(OR((ABS(D33)&gt;0),(ABS(I33)&gt;0)),基础信息!$B$1,"")</f>
        <v/>
      </c>
      <c r="I33" s="230">
        <f t="shared" si="0"/>
        <v>0</v>
      </c>
      <c r="P33" s="230">
        <f t="shared" si="1"/>
        <v>0</v>
      </c>
      <c r="W33" s="230">
        <f t="shared" si="2"/>
        <v>0</v>
      </c>
      <c r="Y33" s="230">
        <f t="shared" si="3"/>
        <v>0</v>
      </c>
    </row>
    <row r="34" spans="1:25">
      <c r="A34" s="230" t="str">
        <f>IF(OR((ABS(D34)&gt;0),(ABS(I34)&gt;0)),基础信息!$B$1,"")</f>
        <v/>
      </c>
      <c r="I34" s="230">
        <f t="shared" si="0"/>
        <v>0</v>
      </c>
      <c r="P34" s="230">
        <f t="shared" si="1"/>
        <v>0</v>
      </c>
      <c r="W34" s="230">
        <f t="shared" si="2"/>
        <v>0</v>
      </c>
      <c r="Y34" s="230">
        <f t="shared" si="3"/>
        <v>0</v>
      </c>
    </row>
    <row r="35" spans="1:25">
      <c r="A35" s="230" t="str">
        <f>IF(OR((ABS(D35)&gt;0),(ABS(I35)&gt;0)),基础信息!$B$1,"")</f>
        <v/>
      </c>
      <c r="I35" s="230">
        <f t="shared" si="0"/>
        <v>0</v>
      </c>
      <c r="P35" s="230">
        <f t="shared" si="1"/>
        <v>0</v>
      </c>
      <c r="W35" s="230">
        <f t="shared" si="2"/>
        <v>0</v>
      </c>
      <c r="Y35" s="230">
        <f t="shared" si="3"/>
        <v>0</v>
      </c>
    </row>
    <row r="36" spans="1:25">
      <c r="A36" s="230" t="str">
        <f>IF(OR((ABS(D36)&gt;0),(ABS(I36)&gt;0)),基础信息!$B$1,"")</f>
        <v/>
      </c>
      <c r="I36" s="230">
        <f t="shared" si="0"/>
        <v>0</v>
      </c>
      <c r="P36" s="230">
        <f t="shared" si="1"/>
        <v>0</v>
      </c>
      <c r="W36" s="230">
        <f t="shared" si="2"/>
        <v>0</v>
      </c>
      <c r="Y36" s="230">
        <f t="shared" si="3"/>
        <v>0</v>
      </c>
    </row>
    <row r="37" spans="1:25">
      <c r="A37" s="230" t="str">
        <f>IF(OR((ABS(D37)&gt;0),(ABS(I37)&gt;0)),基础信息!$B$1,"")</f>
        <v/>
      </c>
      <c r="I37" s="230">
        <f t="shared" si="0"/>
        <v>0</v>
      </c>
      <c r="P37" s="230">
        <f t="shared" si="1"/>
        <v>0</v>
      </c>
      <c r="W37" s="230">
        <f t="shared" si="2"/>
        <v>0</v>
      </c>
      <c r="Y37" s="230">
        <f t="shared" si="3"/>
        <v>0</v>
      </c>
    </row>
    <row r="38" spans="1:25">
      <c r="A38" s="230" t="str">
        <f>IF(OR((ABS(D38)&gt;0),(ABS(I38)&gt;0)),基础信息!$B$1,"")</f>
        <v/>
      </c>
      <c r="I38" s="230">
        <f t="shared" si="0"/>
        <v>0</v>
      </c>
      <c r="P38" s="230">
        <f t="shared" si="1"/>
        <v>0</v>
      </c>
      <c r="W38" s="230">
        <f t="shared" si="2"/>
        <v>0</v>
      </c>
      <c r="Y38" s="230">
        <f t="shared" si="3"/>
        <v>0</v>
      </c>
    </row>
    <row r="39" spans="1:25">
      <c r="A39" s="230" t="str">
        <f>IF(OR((ABS(D39)&gt;0),(ABS(I39)&gt;0)),基础信息!$B$1,"")</f>
        <v/>
      </c>
      <c r="I39" s="230">
        <f t="shared" si="0"/>
        <v>0</v>
      </c>
      <c r="P39" s="230">
        <f t="shared" si="1"/>
        <v>0</v>
      </c>
      <c r="W39" s="230">
        <f t="shared" si="2"/>
        <v>0</v>
      </c>
      <c r="Y39" s="230">
        <f t="shared" si="3"/>
        <v>0</v>
      </c>
    </row>
    <row r="40" spans="1:25">
      <c r="A40" s="230" t="str">
        <f>IF(OR((ABS(D40)&gt;0),(ABS(I40)&gt;0)),基础信息!$B$1,"")</f>
        <v/>
      </c>
      <c r="I40" s="230">
        <f t="shared" si="0"/>
        <v>0</v>
      </c>
      <c r="P40" s="230">
        <f t="shared" si="1"/>
        <v>0</v>
      </c>
      <c r="W40" s="230">
        <f t="shared" si="2"/>
        <v>0</v>
      </c>
      <c r="Y40" s="230">
        <f t="shared" si="3"/>
        <v>0</v>
      </c>
    </row>
    <row r="41" spans="1:25">
      <c r="A41" s="230" t="str">
        <f>IF(OR((ABS(D41)&gt;0),(ABS(I41)&gt;0)),基础信息!$B$1,"")</f>
        <v/>
      </c>
      <c r="I41" s="230">
        <f t="shared" si="0"/>
        <v>0</v>
      </c>
      <c r="P41" s="230">
        <f t="shared" si="1"/>
        <v>0</v>
      </c>
      <c r="W41" s="230">
        <f t="shared" si="2"/>
        <v>0</v>
      </c>
      <c r="Y41" s="230">
        <f t="shared" si="3"/>
        <v>0</v>
      </c>
    </row>
    <row r="42" spans="1:25">
      <c r="A42" s="230" t="str">
        <f>IF(OR((ABS(D42)&gt;0),(ABS(I42)&gt;0)),基础信息!$B$1,"")</f>
        <v/>
      </c>
      <c r="I42" s="230">
        <f t="shared" si="0"/>
        <v>0</v>
      </c>
      <c r="P42" s="230">
        <f t="shared" si="1"/>
        <v>0</v>
      </c>
      <c r="W42" s="230">
        <f t="shared" si="2"/>
        <v>0</v>
      </c>
      <c r="Y42" s="230">
        <f t="shared" si="3"/>
        <v>0</v>
      </c>
    </row>
    <row r="43" spans="1:25">
      <c r="A43" s="230" t="str">
        <f>IF(OR((ABS(D43)&gt;0),(ABS(I43)&gt;0)),基础信息!$B$1,"")</f>
        <v/>
      </c>
      <c r="I43" s="230">
        <f t="shared" si="0"/>
        <v>0</v>
      </c>
      <c r="P43" s="230">
        <f t="shared" si="1"/>
        <v>0</v>
      </c>
      <c r="W43" s="230">
        <f t="shared" si="2"/>
        <v>0</v>
      </c>
      <c r="Y43" s="230">
        <f t="shared" si="3"/>
        <v>0</v>
      </c>
    </row>
    <row r="44" spans="1:25">
      <c r="A44" s="230" t="str">
        <f>IF(OR((ABS(D44)&gt;0),(ABS(I44)&gt;0)),基础信息!$B$1,"")</f>
        <v/>
      </c>
      <c r="I44" s="230">
        <f t="shared" si="0"/>
        <v>0</v>
      </c>
      <c r="P44" s="230">
        <f t="shared" si="1"/>
        <v>0</v>
      </c>
      <c r="W44" s="230">
        <f t="shared" si="2"/>
        <v>0</v>
      </c>
      <c r="Y44" s="230">
        <f t="shared" si="3"/>
        <v>0</v>
      </c>
    </row>
    <row r="45" spans="1:25">
      <c r="A45" s="230" t="str">
        <f>IF(OR((ABS(D45)&gt;0),(ABS(I45)&gt;0)),基础信息!$B$1,"")</f>
        <v/>
      </c>
      <c r="I45" s="230">
        <f t="shared" si="0"/>
        <v>0</v>
      </c>
      <c r="P45" s="230">
        <f t="shared" si="1"/>
        <v>0</v>
      </c>
      <c r="W45" s="230">
        <f t="shared" si="2"/>
        <v>0</v>
      </c>
      <c r="Y45" s="230">
        <f t="shared" si="3"/>
        <v>0</v>
      </c>
    </row>
    <row r="46" spans="1:25">
      <c r="A46" s="230" t="str">
        <f>IF(OR((ABS(D46)&gt;0),(ABS(I46)&gt;0)),基础信息!$B$1,"")</f>
        <v/>
      </c>
      <c r="I46" s="230">
        <f t="shared" si="0"/>
        <v>0</v>
      </c>
      <c r="P46" s="230">
        <f t="shared" si="1"/>
        <v>0</v>
      </c>
      <c r="W46" s="230">
        <f t="shared" si="2"/>
        <v>0</v>
      </c>
      <c r="Y46" s="230">
        <f t="shared" si="3"/>
        <v>0</v>
      </c>
    </row>
    <row r="47" spans="1:25">
      <c r="A47" s="230" t="str">
        <f>IF(OR((ABS(D47)&gt;0),(ABS(I47)&gt;0)),基础信息!$B$1,"")</f>
        <v/>
      </c>
      <c r="I47" s="230">
        <f t="shared" si="0"/>
        <v>0</v>
      </c>
      <c r="P47" s="230">
        <f t="shared" si="1"/>
        <v>0</v>
      </c>
      <c r="W47" s="230">
        <f t="shared" si="2"/>
        <v>0</v>
      </c>
      <c r="Y47" s="230">
        <f t="shared" si="3"/>
        <v>0</v>
      </c>
    </row>
    <row r="48" spans="1:25">
      <c r="A48" s="230" t="str">
        <f>IF(OR((ABS(D48)&gt;0),(ABS(I48)&gt;0)),基础信息!$B$1,"")</f>
        <v/>
      </c>
      <c r="I48" s="230">
        <f t="shared" si="0"/>
        <v>0</v>
      </c>
      <c r="P48" s="230">
        <f t="shared" si="1"/>
        <v>0</v>
      </c>
      <c r="W48" s="230">
        <f t="shared" si="2"/>
        <v>0</v>
      </c>
      <c r="Y48" s="230">
        <f t="shared" si="3"/>
        <v>0</v>
      </c>
    </row>
    <row r="49" spans="1:25">
      <c r="A49" s="230" t="str">
        <f>IF(OR((ABS(D49)&gt;0),(ABS(I49)&gt;0)),基础信息!$B$1,"")</f>
        <v/>
      </c>
      <c r="I49" s="230">
        <f t="shared" si="0"/>
        <v>0</v>
      </c>
      <c r="P49" s="230">
        <f t="shared" si="1"/>
        <v>0</v>
      </c>
      <c r="W49" s="230">
        <f t="shared" si="2"/>
        <v>0</v>
      </c>
      <c r="Y49" s="230">
        <f t="shared" si="3"/>
        <v>0</v>
      </c>
    </row>
    <row r="50" spans="1:25">
      <c r="A50" s="230" t="str">
        <f>IF(OR((ABS(D50)&gt;0),(ABS(I50)&gt;0)),基础信息!$B$1,"")</f>
        <v/>
      </c>
      <c r="I50" s="230">
        <f t="shared" si="0"/>
        <v>0</v>
      </c>
      <c r="P50" s="230">
        <f t="shared" si="1"/>
        <v>0</v>
      </c>
      <c r="W50" s="230">
        <f t="shared" si="2"/>
        <v>0</v>
      </c>
      <c r="Y50" s="230">
        <f t="shared" si="3"/>
        <v>0</v>
      </c>
    </row>
    <row r="51" spans="1:25">
      <c r="A51" s="230" t="str">
        <f>IF(OR((ABS(D51)&gt;0),(ABS(I51)&gt;0)),基础信息!$B$1,"")</f>
        <v/>
      </c>
      <c r="I51" s="230">
        <f t="shared" si="0"/>
        <v>0</v>
      </c>
      <c r="P51" s="230">
        <f t="shared" si="1"/>
        <v>0</v>
      </c>
      <c r="W51" s="230">
        <f t="shared" si="2"/>
        <v>0</v>
      </c>
      <c r="Y51" s="230">
        <f t="shared" si="3"/>
        <v>0</v>
      </c>
    </row>
    <row r="52" spans="1:25">
      <c r="A52" s="230" t="str">
        <f>IF(OR((ABS(D52)&gt;0),(ABS(I52)&gt;0)),基础信息!$B$1,"")</f>
        <v/>
      </c>
      <c r="I52" s="230">
        <f t="shared" si="0"/>
        <v>0</v>
      </c>
      <c r="P52" s="230">
        <f t="shared" si="1"/>
        <v>0</v>
      </c>
      <c r="W52" s="230">
        <f t="shared" si="2"/>
        <v>0</v>
      </c>
      <c r="Y52" s="230">
        <f t="shared" si="3"/>
        <v>0</v>
      </c>
    </row>
    <row r="53" spans="1:25">
      <c r="A53" s="230" t="str">
        <f>IF(OR((ABS(D53)&gt;0),(ABS(I53)&gt;0)),基础信息!$B$1,"")</f>
        <v/>
      </c>
      <c r="I53" s="230">
        <f t="shared" si="0"/>
        <v>0</v>
      </c>
      <c r="P53" s="230">
        <f t="shared" si="1"/>
        <v>0</v>
      </c>
      <c r="W53" s="230">
        <f t="shared" si="2"/>
        <v>0</v>
      </c>
      <c r="Y53" s="230">
        <f t="shared" si="3"/>
        <v>0</v>
      </c>
    </row>
    <row r="54" spans="1:25">
      <c r="A54" s="230" t="str">
        <f>IF(OR((ABS(D54)&gt;0),(ABS(I54)&gt;0)),基础信息!$B$1,"")</f>
        <v/>
      </c>
      <c r="I54" s="230">
        <f t="shared" si="0"/>
        <v>0</v>
      </c>
      <c r="P54" s="230">
        <f t="shared" si="1"/>
        <v>0</v>
      </c>
      <c r="W54" s="230">
        <f t="shared" si="2"/>
        <v>0</v>
      </c>
      <c r="Y54" s="230">
        <f t="shared" si="3"/>
        <v>0</v>
      </c>
    </row>
    <row r="55" spans="1:25">
      <c r="A55" s="230" t="str">
        <f>IF(OR((ABS(D55)&gt;0),(ABS(I55)&gt;0)),基础信息!$B$1,"")</f>
        <v/>
      </c>
      <c r="I55" s="230">
        <f t="shared" si="0"/>
        <v>0</v>
      </c>
      <c r="P55" s="230">
        <f t="shared" si="1"/>
        <v>0</v>
      </c>
      <c r="W55" s="230">
        <f t="shared" si="2"/>
        <v>0</v>
      </c>
      <c r="Y55" s="230">
        <f t="shared" si="3"/>
        <v>0</v>
      </c>
    </row>
    <row r="56" spans="1:25">
      <c r="A56" s="230" t="str">
        <f>IF(OR((ABS(D56)&gt;0),(ABS(I56)&gt;0)),基础信息!$B$1,"")</f>
        <v/>
      </c>
      <c r="I56" s="230">
        <f t="shared" si="0"/>
        <v>0</v>
      </c>
      <c r="P56" s="230">
        <f t="shared" si="1"/>
        <v>0</v>
      </c>
      <c r="W56" s="230">
        <f t="shared" si="2"/>
        <v>0</v>
      </c>
      <c r="Y56" s="230">
        <f t="shared" si="3"/>
        <v>0</v>
      </c>
    </row>
    <row r="57" spans="1:25">
      <c r="A57" s="230" t="str">
        <f>IF(OR((ABS(D57)&gt;0),(ABS(I57)&gt;0)),基础信息!$B$1,"")</f>
        <v/>
      </c>
      <c r="I57" s="230">
        <f t="shared" si="0"/>
        <v>0</v>
      </c>
      <c r="P57" s="230">
        <f t="shared" si="1"/>
        <v>0</v>
      </c>
      <c r="W57" s="230">
        <f t="shared" si="2"/>
        <v>0</v>
      </c>
      <c r="Y57" s="230">
        <f t="shared" si="3"/>
        <v>0</v>
      </c>
    </row>
    <row r="58" spans="1:25">
      <c r="A58" s="230" t="str">
        <f>IF(OR((ABS(D58)&gt;0),(ABS(I58)&gt;0)),基础信息!$B$1,"")</f>
        <v/>
      </c>
      <c r="I58" s="230">
        <f t="shared" si="0"/>
        <v>0</v>
      </c>
      <c r="P58" s="230">
        <f t="shared" si="1"/>
        <v>0</v>
      </c>
      <c r="W58" s="230">
        <f t="shared" si="2"/>
        <v>0</v>
      </c>
      <c r="Y58" s="230">
        <f t="shared" si="3"/>
        <v>0</v>
      </c>
    </row>
    <row r="59" spans="1:25">
      <c r="A59" s="230" t="str">
        <f>IF(OR((ABS(D59)&gt;0),(ABS(I59)&gt;0)),基础信息!$B$1,"")</f>
        <v/>
      </c>
      <c r="I59" s="230">
        <f t="shared" si="0"/>
        <v>0</v>
      </c>
      <c r="P59" s="230">
        <f t="shared" si="1"/>
        <v>0</v>
      </c>
      <c r="W59" s="230">
        <f t="shared" si="2"/>
        <v>0</v>
      </c>
      <c r="Y59" s="230">
        <f t="shared" si="3"/>
        <v>0</v>
      </c>
    </row>
    <row r="60" spans="1:25">
      <c r="A60" s="230" t="str">
        <f>IF(OR((ABS(D60)&gt;0),(ABS(I60)&gt;0)),基础信息!$B$1,"")</f>
        <v/>
      </c>
      <c r="I60" s="230">
        <f t="shared" si="0"/>
        <v>0</v>
      </c>
      <c r="P60" s="230">
        <f t="shared" si="1"/>
        <v>0</v>
      </c>
      <c r="W60" s="230">
        <f t="shared" si="2"/>
        <v>0</v>
      </c>
      <c r="Y60" s="230">
        <f t="shared" si="3"/>
        <v>0</v>
      </c>
    </row>
    <row r="61" spans="1:25">
      <c r="A61" s="230" t="str">
        <f>IF(OR((ABS(D61)&gt;0),(ABS(I61)&gt;0)),基础信息!$B$1,"")</f>
        <v/>
      </c>
      <c r="I61" s="230">
        <f t="shared" si="0"/>
        <v>0</v>
      </c>
      <c r="P61" s="230">
        <f t="shared" si="1"/>
        <v>0</v>
      </c>
      <c r="W61" s="230">
        <f t="shared" si="2"/>
        <v>0</v>
      </c>
      <c r="Y61" s="230">
        <f t="shared" si="3"/>
        <v>0</v>
      </c>
    </row>
    <row r="62" spans="1:25">
      <c r="A62" s="230" t="str">
        <f>IF(OR((ABS(D62)&gt;0),(ABS(I62)&gt;0)),基础信息!$B$1,"")</f>
        <v/>
      </c>
      <c r="I62" s="230">
        <f t="shared" si="0"/>
        <v>0</v>
      </c>
      <c r="P62" s="230">
        <f t="shared" si="1"/>
        <v>0</v>
      </c>
      <c r="W62" s="230">
        <f t="shared" si="2"/>
        <v>0</v>
      </c>
      <c r="Y62" s="230">
        <f t="shared" si="3"/>
        <v>0</v>
      </c>
    </row>
    <row r="63" spans="1:25">
      <c r="A63" s="230" t="str">
        <f>IF(OR((ABS(D63)&gt;0),(ABS(I63)&gt;0)),基础信息!$B$1,"")</f>
        <v/>
      </c>
      <c r="I63" s="230">
        <f t="shared" si="0"/>
        <v>0</v>
      </c>
      <c r="P63" s="230">
        <f t="shared" si="1"/>
        <v>0</v>
      </c>
      <c r="W63" s="230">
        <f t="shared" si="2"/>
        <v>0</v>
      </c>
      <c r="Y63" s="230">
        <f t="shared" si="3"/>
        <v>0</v>
      </c>
    </row>
    <row r="64" spans="1:25">
      <c r="A64" s="230" t="str">
        <f>IF(OR((ABS(D64)&gt;0),(ABS(I64)&gt;0)),基础信息!$B$1,"")</f>
        <v/>
      </c>
      <c r="I64" s="230">
        <f t="shared" si="0"/>
        <v>0</v>
      </c>
      <c r="P64" s="230">
        <f t="shared" si="1"/>
        <v>0</v>
      </c>
      <c r="W64" s="230">
        <f t="shared" si="2"/>
        <v>0</v>
      </c>
      <c r="Y64" s="230">
        <f t="shared" si="3"/>
        <v>0</v>
      </c>
    </row>
    <row r="65" spans="1:25">
      <c r="A65" s="230" t="str">
        <f>IF(OR((ABS(D65)&gt;0),(ABS(I65)&gt;0)),基础信息!$B$1,"")</f>
        <v/>
      </c>
      <c r="I65" s="230">
        <f t="shared" si="0"/>
        <v>0</v>
      </c>
      <c r="P65" s="230">
        <f t="shared" si="1"/>
        <v>0</v>
      </c>
      <c r="W65" s="230">
        <f t="shared" si="2"/>
        <v>0</v>
      </c>
      <c r="Y65" s="230">
        <f t="shared" si="3"/>
        <v>0</v>
      </c>
    </row>
    <row r="66" spans="1:25">
      <c r="A66" s="230" t="str">
        <f>IF(OR((ABS(D66)&gt;0),(ABS(I66)&gt;0)),基础信息!$B$1,"")</f>
        <v/>
      </c>
      <c r="I66" s="230">
        <f t="shared" si="0"/>
        <v>0</v>
      </c>
      <c r="P66" s="230">
        <f t="shared" si="1"/>
        <v>0</v>
      </c>
      <c r="W66" s="230">
        <f t="shared" si="2"/>
        <v>0</v>
      </c>
      <c r="Y66" s="230">
        <f t="shared" si="3"/>
        <v>0</v>
      </c>
    </row>
    <row r="67" spans="1:25">
      <c r="A67" s="230" t="str">
        <f>IF(OR((ABS(D67)&gt;0),(ABS(I67)&gt;0)),基础信息!$B$1,"")</f>
        <v/>
      </c>
      <c r="I67" s="230">
        <f t="shared" ref="I67:I130" si="4">D67+F67+G67-H67</f>
        <v>0</v>
      </c>
      <c r="P67" s="230">
        <f t="shared" ref="P67:P130" si="5">SUM(Q67:V67)</f>
        <v>0</v>
      </c>
      <c r="W67" s="230">
        <f t="shared" ref="W67:W130" si="6">I67-P67</f>
        <v>0</v>
      </c>
      <c r="Y67" s="230">
        <f t="shared" ref="Y67:Y130" si="7">SUM(J67:O67)-I67</f>
        <v>0</v>
      </c>
    </row>
    <row r="68" spans="1:25">
      <c r="A68" s="230" t="str">
        <f>IF(OR((ABS(D68)&gt;0),(ABS(I68)&gt;0)),基础信息!$B$1,"")</f>
        <v/>
      </c>
      <c r="I68" s="230">
        <f t="shared" si="4"/>
        <v>0</v>
      </c>
      <c r="P68" s="230">
        <f t="shared" si="5"/>
        <v>0</v>
      </c>
      <c r="W68" s="230">
        <f t="shared" si="6"/>
        <v>0</v>
      </c>
      <c r="Y68" s="230">
        <f t="shared" si="7"/>
        <v>0</v>
      </c>
    </row>
    <row r="69" spans="1:25">
      <c r="A69" s="230" t="str">
        <f>IF(OR((ABS(D69)&gt;0),(ABS(I69)&gt;0)),基础信息!$B$1,"")</f>
        <v/>
      </c>
      <c r="I69" s="230">
        <f t="shared" si="4"/>
        <v>0</v>
      </c>
      <c r="P69" s="230">
        <f t="shared" si="5"/>
        <v>0</v>
      </c>
      <c r="W69" s="230">
        <f t="shared" si="6"/>
        <v>0</v>
      </c>
      <c r="Y69" s="230">
        <f t="shared" si="7"/>
        <v>0</v>
      </c>
    </row>
    <row r="70" spans="1:25">
      <c r="A70" s="230" t="str">
        <f>IF(OR((ABS(D70)&gt;0),(ABS(I70)&gt;0)),基础信息!$B$1,"")</f>
        <v/>
      </c>
      <c r="I70" s="230">
        <f t="shared" si="4"/>
        <v>0</v>
      </c>
      <c r="P70" s="230">
        <f t="shared" si="5"/>
        <v>0</v>
      </c>
      <c r="W70" s="230">
        <f t="shared" si="6"/>
        <v>0</v>
      </c>
      <c r="Y70" s="230">
        <f t="shared" si="7"/>
        <v>0</v>
      </c>
    </row>
    <row r="71" spans="1:25">
      <c r="A71" s="230" t="str">
        <f>IF(OR((ABS(D71)&gt;0),(ABS(I71)&gt;0)),基础信息!$B$1,"")</f>
        <v/>
      </c>
      <c r="I71" s="230">
        <f t="shared" si="4"/>
        <v>0</v>
      </c>
      <c r="P71" s="230">
        <f t="shared" si="5"/>
        <v>0</v>
      </c>
      <c r="W71" s="230">
        <f t="shared" si="6"/>
        <v>0</v>
      </c>
      <c r="Y71" s="230">
        <f t="shared" si="7"/>
        <v>0</v>
      </c>
    </row>
    <row r="72" spans="1:25">
      <c r="A72" s="230" t="str">
        <f>IF(OR((ABS(D72)&gt;0),(ABS(I72)&gt;0)),基础信息!$B$1,"")</f>
        <v/>
      </c>
      <c r="I72" s="230">
        <f t="shared" si="4"/>
        <v>0</v>
      </c>
      <c r="P72" s="230">
        <f t="shared" si="5"/>
        <v>0</v>
      </c>
      <c r="W72" s="230">
        <f t="shared" si="6"/>
        <v>0</v>
      </c>
      <c r="Y72" s="230">
        <f t="shared" si="7"/>
        <v>0</v>
      </c>
    </row>
    <row r="73" spans="1:25">
      <c r="A73" s="230" t="str">
        <f>IF(OR((ABS(D73)&gt;0),(ABS(I73)&gt;0)),基础信息!$B$1,"")</f>
        <v/>
      </c>
      <c r="I73" s="230">
        <f t="shared" si="4"/>
        <v>0</v>
      </c>
      <c r="P73" s="230">
        <f t="shared" si="5"/>
        <v>0</v>
      </c>
      <c r="W73" s="230">
        <f t="shared" si="6"/>
        <v>0</v>
      </c>
      <c r="Y73" s="230">
        <f t="shared" si="7"/>
        <v>0</v>
      </c>
    </row>
    <row r="74" spans="1:25">
      <c r="A74" s="230" t="str">
        <f>IF(OR((ABS(D74)&gt;0),(ABS(I74)&gt;0)),基础信息!$B$1,"")</f>
        <v/>
      </c>
      <c r="I74" s="230">
        <f t="shared" si="4"/>
        <v>0</v>
      </c>
      <c r="P74" s="230">
        <f t="shared" si="5"/>
        <v>0</v>
      </c>
      <c r="W74" s="230">
        <f t="shared" si="6"/>
        <v>0</v>
      </c>
      <c r="Y74" s="230">
        <f t="shared" si="7"/>
        <v>0</v>
      </c>
    </row>
    <row r="75" spans="1:25">
      <c r="A75" s="230" t="str">
        <f>IF(OR((ABS(D75)&gt;0),(ABS(I75)&gt;0)),基础信息!$B$1,"")</f>
        <v/>
      </c>
      <c r="I75" s="230">
        <f t="shared" si="4"/>
        <v>0</v>
      </c>
      <c r="P75" s="230">
        <f t="shared" si="5"/>
        <v>0</v>
      </c>
      <c r="W75" s="230">
        <f t="shared" si="6"/>
        <v>0</v>
      </c>
      <c r="Y75" s="230">
        <f t="shared" si="7"/>
        <v>0</v>
      </c>
    </row>
    <row r="76" spans="1:25">
      <c r="A76" s="230" t="str">
        <f>IF(OR((ABS(D76)&gt;0),(ABS(I76)&gt;0)),基础信息!$B$1,"")</f>
        <v/>
      </c>
      <c r="I76" s="230">
        <f t="shared" si="4"/>
        <v>0</v>
      </c>
      <c r="P76" s="230">
        <f t="shared" si="5"/>
        <v>0</v>
      </c>
      <c r="W76" s="230">
        <f t="shared" si="6"/>
        <v>0</v>
      </c>
      <c r="Y76" s="230">
        <f t="shared" si="7"/>
        <v>0</v>
      </c>
    </row>
    <row r="77" spans="1:25">
      <c r="A77" s="230" t="str">
        <f>IF(OR((ABS(D77)&gt;0),(ABS(I77)&gt;0)),基础信息!$B$1,"")</f>
        <v/>
      </c>
      <c r="I77" s="230">
        <f t="shared" si="4"/>
        <v>0</v>
      </c>
      <c r="P77" s="230">
        <f t="shared" si="5"/>
        <v>0</v>
      </c>
      <c r="W77" s="230">
        <f t="shared" si="6"/>
        <v>0</v>
      </c>
      <c r="Y77" s="230">
        <f t="shared" si="7"/>
        <v>0</v>
      </c>
    </row>
    <row r="78" spans="1:25">
      <c r="A78" s="230" t="str">
        <f>IF(OR((ABS(D78)&gt;0),(ABS(I78)&gt;0)),基础信息!$B$1,"")</f>
        <v/>
      </c>
      <c r="I78" s="230">
        <f t="shared" si="4"/>
        <v>0</v>
      </c>
      <c r="P78" s="230">
        <f t="shared" si="5"/>
        <v>0</v>
      </c>
      <c r="W78" s="230">
        <f t="shared" si="6"/>
        <v>0</v>
      </c>
      <c r="Y78" s="230">
        <f t="shared" si="7"/>
        <v>0</v>
      </c>
    </row>
    <row r="79" spans="1:25">
      <c r="A79" s="230" t="str">
        <f>IF(OR((ABS(D79)&gt;0),(ABS(I79)&gt;0)),基础信息!$B$1,"")</f>
        <v/>
      </c>
      <c r="I79" s="230">
        <f t="shared" si="4"/>
        <v>0</v>
      </c>
      <c r="P79" s="230">
        <f t="shared" si="5"/>
        <v>0</v>
      </c>
      <c r="W79" s="230">
        <f t="shared" si="6"/>
        <v>0</v>
      </c>
      <c r="Y79" s="230">
        <f t="shared" si="7"/>
        <v>0</v>
      </c>
    </row>
    <row r="80" spans="1:25">
      <c r="A80" s="230" t="str">
        <f>IF(OR((ABS(D80)&gt;0),(ABS(I80)&gt;0)),基础信息!$B$1,"")</f>
        <v/>
      </c>
      <c r="I80" s="230">
        <f t="shared" si="4"/>
        <v>0</v>
      </c>
      <c r="P80" s="230">
        <f t="shared" si="5"/>
        <v>0</v>
      </c>
      <c r="W80" s="230">
        <f t="shared" si="6"/>
        <v>0</v>
      </c>
      <c r="Y80" s="230">
        <f t="shared" si="7"/>
        <v>0</v>
      </c>
    </row>
    <row r="81" spans="1:25">
      <c r="A81" s="230" t="str">
        <f>IF(OR((ABS(D81)&gt;0),(ABS(I81)&gt;0)),基础信息!$B$1,"")</f>
        <v/>
      </c>
      <c r="I81" s="230">
        <f t="shared" si="4"/>
        <v>0</v>
      </c>
      <c r="P81" s="230">
        <f t="shared" si="5"/>
        <v>0</v>
      </c>
      <c r="W81" s="230">
        <f t="shared" si="6"/>
        <v>0</v>
      </c>
      <c r="Y81" s="230">
        <f t="shared" si="7"/>
        <v>0</v>
      </c>
    </row>
    <row r="82" spans="1:25">
      <c r="A82" s="230" t="str">
        <f>IF(OR((ABS(D82)&gt;0),(ABS(I82)&gt;0)),基础信息!$B$1,"")</f>
        <v/>
      </c>
      <c r="I82" s="230">
        <f t="shared" si="4"/>
        <v>0</v>
      </c>
      <c r="P82" s="230">
        <f t="shared" si="5"/>
        <v>0</v>
      </c>
      <c r="W82" s="230">
        <f t="shared" si="6"/>
        <v>0</v>
      </c>
      <c r="Y82" s="230">
        <f t="shared" si="7"/>
        <v>0</v>
      </c>
    </row>
    <row r="83" spans="1:25">
      <c r="A83" s="230" t="str">
        <f>IF(OR((ABS(D83)&gt;0),(ABS(I83)&gt;0)),基础信息!$B$1,"")</f>
        <v/>
      </c>
      <c r="I83" s="230">
        <f t="shared" si="4"/>
        <v>0</v>
      </c>
      <c r="P83" s="230">
        <f t="shared" si="5"/>
        <v>0</v>
      </c>
      <c r="W83" s="230">
        <f t="shared" si="6"/>
        <v>0</v>
      </c>
      <c r="Y83" s="230">
        <f t="shared" si="7"/>
        <v>0</v>
      </c>
    </row>
    <row r="84" spans="1:25">
      <c r="A84" s="230" t="str">
        <f>IF(OR((ABS(D84)&gt;0),(ABS(I84)&gt;0)),基础信息!$B$1,"")</f>
        <v/>
      </c>
      <c r="I84" s="230">
        <f t="shared" si="4"/>
        <v>0</v>
      </c>
      <c r="P84" s="230">
        <f t="shared" si="5"/>
        <v>0</v>
      </c>
      <c r="W84" s="230">
        <f t="shared" si="6"/>
        <v>0</v>
      </c>
      <c r="Y84" s="230">
        <f t="shared" si="7"/>
        <v>0</v>
      </c>
    </row>
    <row r="85" spans="1:25">
      <c r="A85" s="230" t="str">
        <f>IF(OR((ABS(D85)&gt;0),(ABS(I85)&gt;0)),基础信息!$B$1,"")</f>
        <v/>
      </c>
      <c r="I85" s="230">
        <f t="shared" si="4"/>
        <v>0</v>
      </c>
      <c r="P85" s="230">
        <f t="shared" si="5"/>
        <v>0</v>
      </c>
      <c r="W85" s="230">
        <f t="shared" si="6"/>
        <v>0</v>
      </c>
      <c r="Y85" s="230">
        <f t="shared" si="7"/>
        <v>0</v>
      </c>
    </row>
    <row r="86" spans="1:25">
      <c r="A86" s="230" t="str">
        <f>IF(OR((ABS(D86)&gt;0),(ABS(I86)&gt;0)),基础信息!$B$1,"")</f>
        <v/>
      </c>
      <c r="I86" s="230">
        <f t="shared" si="4"/>
        <v>0</v>
      </c>
      <c r="P86" s="230">
        <f t="shared" si="5"/>
        <v>0</v>
      </c>
      <c r="W86" s="230">
        <f t="shared" si="6"/>
        <v>0</v>
      </c>
      <c r="Y86" s="230">
        <f t="shared" si="7"/>
        <v>0</v>
      </c>
    </row>
    <row r="87" spans="1:25">
      <c r="A87" s="230" t="str">
        <f>IF(OR((ABS(D87)&gt;0),(ABS(I87)&gt;0)),基础信息!$B$1,"")</f>
        <v/>
      </c>
      <c r="I87" s="230">
        <f t="shared" si="4"/>
        <v>0</v>
      </c>
      <c r="P87" s="230">
        <f t="shared" si="5"/>
        <v>0</v>
      </c>
      <c r="W87" s="230">
        <f t="shared" si="6"/>
        <v>0</v>
      </c>
      <c r="Y87" s="230">
        <f t="shared" si="7"/>
        <v>0</v>
      </c>
    </row>
    <row r="88" spans="1:25">
      <c r="A88" s="230" t="str">
        <f>IF(OR((ABS(D88)&gt;0),(ABS(I88)&gt;0)),基础信息!$B$1,"")</f>
        <v/>
      </c>
      <c r="I88" s="230">
        <f t="shared" si="4"/>
        <v>0</v>
      </c>
      <c r="P88" s="230">
        <f t="shared" si="5"/>
        <v>0</v>
      </c>
      <c r="W88" s="230">
        <f t="shared" si="6"/>
        <v>0</v>
      </c>
      <c r="Y88" s="230">
        <f t="shared" si="7"/>
        <v>0</v>
      </c>
    </row>
    <row r="89" spans="1:25">
      <c r="A89" s="230" t="str">
        <f>IF(OR((ABS(D89)&gt;0),(ABS(I89)&gt;0)),基础信息!$B$1,"")</f>
        <v/>
      </c>
      <c r="I89" s="230">
        <f t="shared" si="4"/>
        <v>0</v>
      </c>
      <c r="P89" s="230">
        <f t="shared" si="5"/>
        <v>0</v>
      </c>
      <c r="W89" s="230">
        <f t="shared" si="6"/>
        <v>0</v>
      </c>
      <c r="Y89" s="230">
        <f t="shared" si="7"/>
        <v>0</v>
      </c>
    </row>
    <row r="90" spans="1:25">
      <c r="A90" s="230" t="str">
        <f>IF(OR((ABS(D90)&gt;0),(ABS(I90)&gt;0)),基础信息!$B$1,"")</f>
        <v/>
      </c>
      <c r="I90" s="230">
        <f t="shared" si="4"/>
        <v>0</v>
      </c>
      <c r="P90" s="230">
        <f t="shared" si="5"/>
        <v>0</v>
      </c>
      <c r="W90" s="230">
        <f t="shared" si="6"/>
        <v>0</v>
      </c>
      <c r="Y90" s="230">
        <f t="shared" si="7"/>
        <v>0</v>
      </c>
    </row>
    <row r="91" spans="1:25">
      <c r="A91" s="230" t="str">
        <f>IF(OR((ABS(D91)&gt;0),(ABS(I91)&gt;0)),基础信息!$B$1,"")</f>
        <v/>
      </c>
      <c r="I91" s="230">
        <f t="shared" si="4"/>
        <v>0</v>
      </c>
      <c r="P91" s="230">
        <f t="shared" si="5"/>
        <v>0</v>
      </c>
      <c r="W91" s="230">
        <f t="shared" si="6"/>
        <v>0</v>
      </c>
      <c r="Y91" s="230">
        <f t="shared" si="7"/>
        <v>0</v>
      </c>
    </row>
    <row r="92" spans="1:25">
      <c r="A92" s="230" t="str">
        <f>IF(OR((ABS(D92)&gt;0),(ABS(I92)&gt;0)),基础信息!$B$1,"")</f>
        <v/>
      </c>
      <c r="I92" s="230">
        <f t="shared" si="4"/>
        <v>0</v>
      </c>
      <c r="P92" s="230">
        <f t="shared" si="5"/>
        <v>0</v>
      </c>
      <c r="W92" s="230">
        <f t="shared" si="6"/>
        <v>0</v>
      </c>
      <c r="Y92" s="230">
        <f t="shared" si="7"/>
        <v>0</v>
      </c>
    </row>
    <row r="93" spans="1:25">
      <c r="A93" s="230" t="str">
        <f>IF(OR((ABS(D93)&gt;0),(ABS(I93)&gt;0)),基础信息!$B$1,"")</f>
        <v/>
      </c>
      <c r="I93" s="230">
        <f t="shared" si="4"/>
        <v>0</v>
      </c>
      <c r="P93" s="230">
        <f t="shared" si="5"/>
        <v>0</v>
      </c>
      <c r="W93" s="230">
        <f t="shared" si="6"/>
        <v>0</v>
      </c>
      <c r="Y93" s="230">
        <f t="shared" si="7"/>
        <v>0</v>
      </c>
    </row>
    <row r="94" spans="1:25">
      <c r="A94" s="230" t="str">
        <f>IF(OR((ABS(D94)&gt;0),(ABS(I94)&gt;0)),基础信息!$B$1,"")</f>
        <v/>
      </c>
      <c r="I94" s="230">
        <f t="shared" si="4"/>
        <v>0</v>
      </c>
      <c r="P94" s="230">
        <f t="shared" si="5"/>
        <v>0</v>
      </c>
      <c r="W94" s="230">
        <f t="shared" si="6"/>
        <v>0</v>
      </c>
      <c r="Y94" s="230">
        <f t="shared" si="7"/>
        <v>0</v>
      </c>
    </row>
    <row r="95" spans="1:25">
      <c r="A95" s="230" t="str">
        <f>IF(OR((ABS(D95)&gt;0),(ABS(I95)&gt;0)),基础信息!$B$1,"")</f>
        <v/>
      </c>
      <c r="I95" s="230">
        <f t="shared" si="4"/>
        <v>0</v>
      </c>
      <c r="P95" s="230">
        <f t="shared" si="5"/>
        <v>0</v>
      </c>
      <c r="W95" s="230">
        <f t="shared" si="6"/>
        <v>0</v>
      </c>
      <c r="Y95" s="230">
        <f t="shared" si="7"/>
        <v>0</v>
      </c>
    </row>
    <row r="96" spans="1:25">
      <c r="A96" s="230" t="str">
        <f>IF(OR((ABS(D96)&gt;0),(ABS(I96)&gt;0)),基础信息!$B$1,"")</f>
        <v/>
      </c>
      <c r="I96" s="230">
        <f t="shared" si="4"/>
        <v>0</v>
      </c>
      <c r="P96" s="230">
        <f t="shared" si="5"/>
        <v>0</v>
      </c>
      <c r="W96" s="230">
        <f t="shared" si="6"/>
        <v>0</v>
      </c>
      <c r="Y96" s="230">
        <f t="shared" si="7"/>
        <v>0</v>
      </c>
    </row>
    <row r="97" spans="1:25">
      <c r="A97" s="230" t="str">
        <f>IF(OR((ABS(D97)&gt;0),(ABS(I97)&gt;0)),基础信息!$B$1,"")</f>
        <v/>
      </c>
      <c r="I97" s="230">
        <f t="shared" si="4"/>
        <v>0</v>
      </c>
      <c r="P97" s="230">
        <f t="shared" si="5"/>
        <v>0</v>
      </c>
      <c r="W97" s="230">
        <f t="shared" si="6"/>
        <v>0</v>
      </c>
      <c r="Y97" s="230">
        <f t="shared" si="7"/>
        <v>0</v>
      </c>
    </row>
    <row r="98" spans="1:25">
      <c r="A98" s="230" t="str">
        <f>IF(OR((ABS(D98)&gt;0),(ABS(I98)&gt;0)),基础信息!$B$1,"")</f>
        <v/>
      </c>
      <c r="I98" s="230">
        <f t="shared" si="4"/>
        <v>0</v>
      </c>
      <c r="P98" s="230">
        <f t="shared" si="5"/>
        <v>0</v>
      </c>
      <c r="W98" s="230">
        <f t="shared" si="6"/>
        <v>0</v>
      </c>
      <c r="Y98" s="230">
        <f t="shared" si="7"/>
        <v>0</v>
      </c>
    </row>
    <row r="99" spans="1:25">
      <c r="A99" s="230" t="str">
        <f>IF(OR((ABS(D99)&gt;0),(ABS(I99)&gt;0)),基础信息!$B$1,"")</f>
        <v/>
      </c>
      <c r="I99" s="230">
        <f t="shared" si="4"/>
        <v>0</v>
      </c>
      <c r="P99" s="230">
        <f t="shared" si="5"/>
        <v>0</v>
      </c>
      <c r="W99" s="230">
        <f t="shared" si="6"/>
        <v>0</v>
      </c>
      <c r="Y99" s="230">
        <f t="shared" si="7"/>
        <v>0</v>
      </c>
    </row>
    <row r="100" spans="1:25">
      <c r="A100" s="230" t="str">
        <f>IF(OR((ABS(D100)&gt;0),(ABS(I100)&gt;0)),基础信息!$B$1,"")</f>
        <v/>
      </c>
      <c r="I100" s="230">
        <f t="shared" si="4"/>
        <v>0</v>
      </c>
      <c r="P100" s="230">
        <f t="shared" si="5"/>
        <v>0</v>
      </c>
      <c r="W100" s="230">
        <f t="shared" si="6"/>
        <v>0</v>
      </c>
      <c r="Y100" s="230">
        <f t="shared" si="7"/>
        <v>0</v>
      </c>
    </row>
    <row r="101" spans="1:25">
      <c r="A101" s="230" t="str">
        <f>IF(OR((ABS(D101)&gt;0),(ABS(I101)&gt;0)),基础信息!$B$1,"")</f>
        <v/>
      </c>
      <c r="I101" s="230">
        <f t="shared" si="4"/>
        <v>0</v>
      </c>
      <c r="P101" s="230">
        <f t="shared" si="5"/>
        <v>0</v>
      </c>
      <c r="W101" s="230">
        <f t="shared" si="6"/>
        <v>0</v>
      </c>
      <c r="Y101" s="230">
        <f t="shared" si="7"/>
        <v>0</v>
      </c>
    </row>
    <row r="102" spans="1:25">
      <c r="A102" s="230" t="str">
        <f>IF(OR((ABS(D102)&gt;0),(ABS(I102)&gt;0)),基础信息!$B$1,"")</f>
        <v/>
      </c>
      <c r="I102" s="230">
        <f t="shared" si="4"/>
        <v>0</v>
      </c>
      <c r="P102" s="230">
        <f t="shared" si="5"/>
        <v>0</v>
      </c>
      <c r="W102" s="230">
        <f t="shared" si="6"/>
        <v>0</v>
      </c>
      <c r="Y102" s="230">
        <f t="shared" si="7"/>
        <v>0</v>
      </c>
    </row>
    <row r="103" spans="1:25">
      <c r="A103" s="230" t="str">
        <f>IF(OR((ABS(D103)&gt;0),(ABS(I103)&gt;0)),基础信息!$B$1,"")</f>
        <v/>
      </c>
      <c r="I103" s="230">
        <f t="shared" si="4"/>
        <v>0</v>
      </c>
      <c r="P103" s="230">
        <f t="shared" si="5"/>
        <v>0</v>
      </c>
      <c r="W103" s="230">
        <f t="shared" si="6"/>
        <v>0</v>
      </c>
      <c r="Y103" s="230">
        <f t="shared" si="7"/>
        <v>0</v>
      </c>
    </row>
    <row r="104" spans="1:25">
      <c r="A104" s="230" t="str">
        <f>IF(OR((ABS(D104)&gt;0),(ABS(I104)&gt;0)),基础信息!$B$1,"")</f>
        <v/>
      </c>
      <c r="I104" s="230">
        <f t="shared" si="4"/>
        <v>0</v>
      </c>
      <c r="P104" s="230">
        <f t="shared" si="5"/>
        <v>0</v>
      </c>
      <c r="W104" s="230">
        <f t="shared" si="6"/>
        <v>0</v>
      </c>
      <c r="Y104" s="230">
        <f t="shared" si="7"/>
        <v>0</v>
      </c>
    </row>
    <row r="105" spans="1:25">
      <c r="A105" s="230" t="str">
        <f>IF(OR((ABS(D105)&gt;0),(ABS(I105)&gt;0)),基础信息!$B$1,"")</f>
        <v/>
      </c>
      <c r="I105" s="230">
        <f t="shared" si="4"/>
        <v>0</v>
      </c>
      <c r="P105" s="230">
        <f t="shared" si="5"/>
        <v>0</v>
      </c>
      <c r="W105" s="230">
        <f t="shared" si="6"/>
        <v>0</v>
      </c>
      <c r="Y105" s="230">
        <f t="shared" si="7"/>
        <v>0</v>
      </c>
    </row>
    <row r="106" spans="1:25">
      <c r="A106" s="230" t="str">
        <f>IF(OR((ABS(D106)&gt;0),(ABS(I106)&gt;0)),基础信息!$B$1,"")</f>
        <v/>
      </c>
      <c r="I106" s="230">
        <f t="shared" si="4"/>
        <v>0</v>
      </c>
      <c r="P106" s="230">
        <f t="shared" si="5"/>
        <v>0</v>
      </c>
      <c r="W106" s="230">
        <f t="shared" si="6"/>
        <v>0</v>
      </c>
      <c r="Y106" s="230">
        <f t="shared" si="7"/>
        <v>0</v>
      </c>
    </row>
    <row r="107" spans="1:25">
      <c r="A107" s="230" t="str">
        <f>IF(OR((ABS(D107)&gt;0),(ABS(I107)&gt;0)),基础信息!$B$1,"")</f>
        <v/>
      </c>
      <c r="I107" s="230">
        <f t="shared" si="4"/>
        <v>0</v>
      </c>
      <c r="P107" s="230">
        <f t="shared" si="5"/>
        <v>0</v>
      </c>
      <c r="W107" s="230">
        <f t="shared" si="6"/>
        <v>0</v>
      </c>
      <c r="Y107" s="230">
        <f t="shared" si="7"/>
        <v>0</v>
      </c>
    </row>
    <row r="108" spans="1:25">
      <c r="A108" s="230" t="str">
        <f>IF(OR((ABS(D108)&gt;0),(ABS(I108)&gt;0)),基础信息!$B$1,"")</f>
        <v/>
      </c>
      <c r="I108" s="230">
        <f t="shared" si="4"/>
        <v>0</v>
      </c>
      <c r="P108" s="230">
        <f t="shared" si="5"/>
        <v>0</v>
      </c>
      <c r="W108" s="230">
        <f t="shared" si="6"/>
        <v>0</v>
      </c>
      <c r="Y108" s="230">
        <f t="shared" si="7"/>
        <v>0</v>
      </c>
    </row>
    <row r="109" spans="1:25">
      <c r="A109" s="230" t="str">
        <f>IF(OR((ABS(D109)&gt;0),(ABS(I109)&gt;0)),基础信息!$B$1,"")</f>
        <v/>
      </c>
      <c r="I109" s="230">
        <f t="shared" si="4"/>
        <v>0</v>
      </c>
      <c r="P109" s="230">
        <f t="shared" si="5"/>
        <v>0</v>
      </c>
      <c r="W109" s="230">
        <f t="shared" si="6"/>
        <v>0</v>
      </c>
      <c r="Y109" s="230">
        <f t="shared" si="7"/>
        <v>0</v>
      </c>
    </row>
    <row r="110" spans="1:25">
      <c r="A110" s="230" t="str">
        <f>IF(OR((ABS(D110)&gt;0),(ABS(I110)&gt;0)),基础信息!$B$1,"")</f>
        <v/>
      </c>
      <c r="I110" s="230">
        <f t="shared" si="4"/>
        <v>0</v>
      </c>
      <c r="P110" s="230">
        <f t="shared" si="5"/>
        <v>0</v>
      </c>
      <c r="W110" s="230">
        <f t="shared" si="6"/>
        <v>0</v>
      </c>
      <c r="Y110" s="230">
        <f t="shared" si="7"/>
        <v>0</v>
      </c>
    </row>
    <row r="111" spans="1:25">
      <c r="A111" s="230" t="str">
        <f>IF(OR((ABS(D111)&gt;0),(ABS(I111)&gt;0)),基础信息!$B$1,"")</f>
        <v/>
      </c>
      <c r="I111" s="230">
        <f t="shared" si="4"/>
        <v>0</v>
      </c>
      <c r="P111" s="230">
        <f t="shared" si="5"/>
        <v>0</v>
      </c>
      <c r="W111" s="230">
        <f t="shared" si="6"/>
        <v>0</v>
      </c>
      <c r="Y111" s="230">
        <f t="shared" si="7"/>
        <v>0</v>
      </c>
    </row>
    <row r="112" spans="1:25">
      <c r="A112" s="230" t="str">
        <f>IF(OR((ABS(D112)&gt;0),(ABS(I112)&gt;0)),基础信息!$B$1,"")</f>
        <v/>
      </c>
      <c r="I112" s="230">
        <f t="shared" si="4"/>
        <v>0</v>
      </c>
      <c r="P112" s="230">
        <f t="shared" si="5"/>
        <v>0</v>
      </c>
      <c r="W112" s="230">
        <f t="shared" si="6"/>
        <v>0</v>
      </c>
      <c r="Y112" s="230">
        <f t="shared" si="7"/>
        <v>0</v>
      </c>
    </row>
    <row r="113" spans="1:25">
      <c r="A113" s="230" t="str">
        <f>IF(OR((ABS(D113)&gt;0),(ABS(I113)&gt;0)),基础信息!$B$1,"")</f>
        <v/>
      </c>
      <c r="I113" s="230">
        <f t="shared" si="4"/>
        <v>0</v>
      </c>
      <c r="P113" s="230">
        <f t="shared" si="5"/>
        <v>0</v>
      </c>
      <c r="W113" s="230">
        <f t="shared" si="6"/>
        <v>0</v>
      </c>
      <c r="Y113" s="230">
        <f t="shared" si="7"/>
        <v>0</v>
      </c>
    </row>
    <row r="114" spans="1:25">
      <c r="A114" s="230" t="str">
        <f>IF(OR((ABS(D114)&gt;0),(ABS(I114)&gt;0)),基础信息!$B$1,"")</f>
        <v/>
      </c>
      <c r="I114" s="230">
        <f t="shared" si="4"/>
        <v>0</v>
      </c>
      <c r="P114" s="230">
        <f t="shared" si="5"/>
        <v>0</v>
      </c>
      <c r="W114" s="230">
        <f t="shared" si="6"/>
        <v>0</v>
      </c>
      <c r="Y114" s="230">
        <f t="shared" si="7"/>
        <v>0</v>
      </c>
    </row>
    <row r="115" spans="1:25">
      <c r="A115" s="230" t="str">
        <f>IF(OR((ABS(D115)&gt;0),(ABS(I115)&gt;0)),基础信息!$B$1,"")</f>
        <v/>
      </c>
      <c r="I115" s="230">
        <f t="shared" si="4"/>
        <v>0</v>
      </c>
      <c r="P115" s="230">
        <f t="shared" si="5"/>
        <v>0</v>
      </c>
      <c r="W115" s="230">
        <f t="shared" si="6"/>
        <v>0</v>
      </c>
      <c r="Y115" s="230">
        <f t="shared" si="7"/>
        <v>0</v>
      </c>
    </row>
    <row r="116" spans="1:25">
      <c r="A116" s="230" t="str">
        <f>IF(OR((ABS(D116)&gt;0),(ABS(I116)&gt;0)),基础信息!$B$1,"")</f>
        <v/>
      </c>
      <c r="I116" s="230">
        <f t="shared" si="4"/>
        <v>0</v>
      </c>
      <c r="P116" s="230">
        <f t="shared" si="5"/>
        <v>0</v>
      </c>
      <c r="W116" s="230">
        <f t="shared" si="6"/>
        <v>0</v>
      </c>
      <c r="Y116" s="230">
        <f t="shared" si="7"/>
        <v>0</v>
      </c>
    </row>
    <row r="117" spans="1:25">
      <c r="A117" s="230" t="str">
        <f>IF(OR((ABS(D117)&gt;0),(ABS(I117)&gt;0)),基础信息!$B$1,"")</f>
        <v/>
      </c>
      <c r="I117" s="230">
        <f t="shared" si="4"/>
        <v>0</v>
      </c>
      <c r="P117" s="230">
        <f t="shared" si="5"/>
        <v>0</v>
      </c>
      <c r="W117" s="230">
        <f t="shared" si="6"/>
        <v>0</v>
      </c>
      <c r="Y117" s="230">
        <f t="shared" si="7"/>
        <v>0</v>
      </c>
    </row>
    <row r="118" spans="1:25">
      <c r="A118" s="230" t="str">
        <f>IF(OR((ABS(D118)&gt;0),(ABS(I118)&gt;0)),基础信息!$B$1,"")</f>
        <v/>
      </c>
      <c r="I118" s="230">
        <f t="shared" si="4"/>
        <v>0</v>
      </c>
      <c r="P118" s="230">
        <f t="shared" si="5"/>
        <v>0</v>
      </c>
      <c r="W118" s="230">
        <f t="shared" si="6"/>
        <v>0</v>
      </c>
      <c r="Y118" s="230">
        <f t="shared" si="7"/>
        <v>0</v>
      </c>
    </row>
    <row r="119" spans="1:25">
      <c r="A119" s="230" t="str">
        <f>IF(OR((ABS(D119)&gt;0),(ABS(I119)&gt;0)),基础信息!$B$1,"")</f>
        <v/>
      </c>
      <c r="I119" s="230">
        <f t="shared" si="4"/>
        <v>0</v>
      </c>
      <c r="P119" s="230">
        <f t="shared" si="5"/>
        <v>0</v>
      </c>
      <c r="W119" s="230">
        <f t="shared" si="6"/>
        <v>0</v>
      </c>
      <c r="Y119" s="230">
        <f t="shared" si="7"/>
        <v>0</v>
      </c>
    </row>
    <row r="120" spans="1:25">
      <c r="A120" s="230" t="str">
        <f>IF(OR((ABS(D120)&gt;0),(ABS(I120)&gt;0)),基础信息!$B$1,"")</f>
        <v/>
      </c>
      <c r="I120" s="230">
        <f t="shared" si="4"/>
        <v>0</v>
      </c>
      <c r="P120" s="230">
        <f t="shared" si="5"/>
        <v>0</v>
      </c>
      <c r="W120" s="230">
        <f t="shared" si="6"/>
        <v>0</v>
      </c>
      <c r="Y120" s="230">
        <f t="shared" si="7"/>
        <v>0</v>
      </c>
    </row>
    <row r="121" spans="1:25">
      <c r="A121" s="230" t="str">
        <f>IF(OR((ABS(D121)&gt;0),(ABS(I121)&gt;0)),基础信息!$B$1,"")</f>
        <v/>
      </c>
      <c r="I121" s="230">
        <f t="shared" si="4"/>
        <v>0</v>
      </c>
      <c r="P121" s="230">
        <f t="shared" si="5"/>
        <v>0</v>
      </c>
      <c r="W121" s="230">
        <f t="shared" si="6"/>
        <v>0</v>
      </c>
      <c r="Y121" s="230">
        <f t="shared" si="7"/>
        <v>0</v>
      </c>
    </row>
    <row r="122" spans="1:25">
      <c r="A122" s="230" t="str">
        <f>IF(OR((ABS(D122)&gt;0),(ABS(I122)&gt;0)),基础信息!$B$1,"")</f>
        <v/>
      </c>
      <c r="I122" s="230">
        <f t="shared" si="4"/>
        <v>0</v>
      </c>
      <c r="P122" s="230">
        <f t="shared" si="5"/>
        <v>0</v>
      </c>
      <c r="W122" s="230">
        <f t="shared" si="6"/>
        <v>0</v>
      </c>
      <c r="Y122" s="230">
        <f t="shared" si="7"/>
        <v>0</v>
      </c>
    </row>
    <row r="123" spans="1:25">
      <c r="A123" s="230" t="str">
        <f>IF(OR((ABS(D123)&gt;0),(ABS(I123)&gt;0)),基础信息!$B$1,"")</f>
        <v/>
      </c>
      <c r="I123" s="230">
        <f t="shared" si="4"/>
        <v>0</v>
      </c>
      <c r="P123" s="230">
        <f t="shared" si="5"/>
        <v>0</v>
      </c>
      <c r="W123" s="230">
        <f t="shared" si="6"/>
        <v>0</v>
      </c>
      <c r="Y123" s="230">
        <f t="shared" si="7"/>
        <v>0</v>
      </c>
    </row>
    <row r="124" spans="1:25">
      <c r="A124" s="230" t="str">
        <f>IF(OR((ABS(D124)&gt;0),(ABS(I124)&gt;0)),基础信息!$B$1,"")</f>
        <v/>
      </c>
      <c r="I124" s="230">
        <f t="shared" si="4"/>
        <v>0</v>
      </c>
      <c r="P124" s="230">
        <f t="shared" si="5"/>
        <v>0</v>
      </c>
      <c r="W124" s="230">
        <f t="shared" si="6"/>
        <v>0</v>
      </c>
      <c r="Y124" s="230">
        <f t="shared" si="7"/>
        <v>0</v>
      </c>
    </row>
    <row r="125" spans="1:25">
      <c r="A125" s="230" t="str">
        <f>IF(OR((ABS(D125)&gt;0),(ABS(I125)&gt;0)),基础信息!$B$1,"")</f>
        <v/>
      </c>
      <c r="I125" s="230">
        <f t="shared" si="4"/>
        <v>0</v>
      </c>
      <c r="P125" s="230">
        <f t="shared" si="5"/>
        <v>0</v>
      </c>
      <c r="W125" s="230">
        <f t="shared" si="6"/>
        <v>0</v>
      </c>
      <c r="Y125" s="230">
        <f t="shared" si="7"/>
        <v>0</v>
      </c>
    </row>
    <row r="126" spans="1:25">
      <c r="A126" s="230" t="str">
        <f>IF(OR((ABS(D126)&gt;0),(ABS(I126)&gt;0)),基础信息!$B$1,"")</f>
        <v/>
      </c>
      <c r="I126" s="230">
        <f t="shared" si="4"/>
        <v>0</v>
      </c>
      <c r="P126" s="230">
        <f t="shared" si="5"/>
        <v>0</v>
      </c>
      <c r="W126" s="230">
        <f t="shared" si="6"/>
        <v>0</v>
      </c>
      <c r="Y126" s="230">
        <f t="shared" si="7"/>
        <v>0</v>
      </c>
    </row>
    <row r="127" spans="1:25">
      <c r="A127" s="230" t="str">
        <f>IF(OR((ABS(D127)&gt;0),(ABS(I127)&gt;0)),基础信息!$B$1,"")</f>
        <v/>
      </c>
      <c r="I127" s="230">
        <f t="shared" si="4"/>
        <v>0</v>
      </c>
      <c r="P127" s="230">
        <f t="shared" si="5"/>
        <v>0</v>
      </c>
      <c r="W127" s="230">
        <f t="shared" si="6"/>
        <v>0</v>
      </c>
      <c r="Y127" s="230">
        <f t="shared" si="7"/>
        <v>0</v>
      </c>
    </row>
    <row r="128" spans="1:25">
      <c r="A128" s="230" t="str">
        <f>IF(OR((ABS(D128)&gt;0),(ABS(I128)&gt;0)),基础信息!$B$1,"")</f>
        <v/>
      </c>
      <c r="I128" s="230">
        <f t="shared" si="4"/>
        <v>0</v>
      </c>
      <c r="P128" s="230">
        <f t="shared" si="5"/>
        <v>0</v>
      </c>
      <c r="W128" s="230">
        <f t="shared" si="6"/>
        <v>0</v>
      </c>
      <c r="Y128" s="230">
        <f t="shared" si="7"/>
        <v>0</v>
      </c>
    </row>
    <row r="129" spans="1:25">
      <c r="A129" s="230" t="str">
        <f>IF(OR((ABS(D129)&gt;0),(ABS(I129)&gt;0)),基础信息!$B$1,"")</f>
        <v/>
      </c>
      <c r="I129" s="230">
        <f t="shared" si="4"/>
        <v>0</v>
      </c>
      <c r="P129" s="230">
        <f t="shared" si="5"/>
        <v>0</v>
      </c>
      <c r="W129" s="230">
        <f t="shared" si="6"/>
        <v>0</v>
      </c>
      <c r="Y129" s="230">
        <f t="shared" si="7"/>
        <v>0</v>
      </c>
    </row>
    <row r="130" spans="1:25">
      <c r="A130" s="230" t="str">
        <f>IF(OR((ABS(D130)&gt;0),(ABS(I130)&gt;0)),基础信息!$B$1,"")</f>
        <v/>
      </c>
      <c r="I130" s="230">
        <f t="shared" si="4"/>
        <v>0</v>
      </c>
      <c r="P130" s="230">
        <f t="shared" si="5"/>
        <v>0</v>
      </c>
      <c r="W130" s="230">
        <f t="shared" si="6"/>
        <v>0</v>
      </c>
      <c r="Y130" s="230">
        <f t="shared" si="7"/>
        <v>0</v>
      </c>
    </row>
    <row r="131" spans="1:25">
      <c r="A131" s="230" t="str">
        <f>IF(OR((ABS(D131)&gt;0),(ABS(I131)&gt;0)),基础信息!$B$1,"")</f>
        <v/>
      </c>
      <c r="I131" s="230">
        <f t="shared" ref="I131:I185" si="8">D131+F131+G131-H131</f>
        <v>0</v>
      </c>
      <c r="P131" s="230">
        <f t="shared" ref="P131:P185" si="9">SUM(Q131:V131)</f>
        <v>0</v>
      </c>
      <c r="W131" s="230">
        <f t="shared" ref="W131:W185" si="10">I131-P131</f>
        <v>0</v>
      </c>
      <c r="Y131" s="230">
        <f t="shared" ref="Y131:Y185" si="11">SUM(J131:O131)-I131</f>
        <v>0</v>
      </c>
    </row>
    <row r="132" spans="1:25">
      <c r="A132" s="230" t="str">
        <f>IF(OR((ABS(D132)&gt;0),(ABS(I132)&gt;0)),基础信息!$B$1,"")</f>
        <v/>
      </c>
      <c r="I132" s="230">
        <f t="shared" si="8"/>
        <v>0</v>
      </c>
      <c r="P132" s="230">
        <f t="shared" si="9"/>
        <v>0</v>
      </c>
      <c r="W132" s="230">
        <f t="shared" si="10"/>
        <v>0</v>
      </c>
      <c r="Y132" s="230">
        <f t="shared" si="11"/>
        <v>0</v>
      </c>
    </row>
    <row r="133" spans="1:25">
      <c r="A133" s="230" t="str">
        <f>IF(OR((ABS(D133)&gt;0),(ABS(I133)&gt;0)),基础信息!$B$1,"")</f>
        <v/>
      </c>
      <c r="I133" s="230">
        <f t="shared" si="8"/>
        <v>0</v>
      </c>
      <c r="P133" s="230">
        <f t="shared" si="9"/>
        <v>0</v>
      </c>
      <c r="W133" s="230">
        <f t="shared" si="10"/>
        <v>0</v>
      </c>
      <c r="Y133" s="230">
        <f t="shared" si="11"/>
        <v>0</v>
      </c>
    </row>
    <row r="134" spans="1:25">
      <c r="A134" s="230" t="str">
        <f>IF(OR((ABS(D134)&gt;0),(ABS(I134)&gt;0)),基础信息!$B$1,"")</f>
        <v/>
      </c>
      <c r="I134" s="230">
        <f t="shared" si="8"/>
        <v>0</v>
      </c>
      <c r="P134" s="230">
        <f t="shared" si="9"/>
        <v>0</v>
      </c>
      <c r="W134" s="230">
        <f t="shared" si="10"/>
        <v>0</v>
      </c>
      <c r="Y134" s="230">
        <f t="shared" si="11"/>
        <v>0</v>
      </c>
    </row>
    <row r="135" spans="1:25">
      <c r="A135" s="230" t="str">
        <f>IF(OR((ABS(D135)&gt;0),(ABS(I135)&gt;0)),基础信息!$B$1,"")</f>
        <v/>
      </c>
      <c r="I135" s="230">
        <f t="shared" si="8"/>
        <v>0</v>
      </c>
      <c r="P135" s="230">
        <f t="shared" si="9"/>
        <v>0</v>
      </c>
      <c r="W135" s="230">
        <f t="shared" si="10"/>
        <v>0</v>
      </c>
      <c r="Y135" s="230">
        <f t="shared" si="11"/>
        <v>0</v>
      </c>
    </row>
    <row r="136" spans="1:25">
      <c r="A136" s="230" t="str">
        <f>IF(OR((ABS(D136)&gt;0),(ABS(I136)&gt;0)),基础信息!$B$1,"")</f>
        <v/>
      </c>
      <c r="I136" s="230">
        <f t="shared" si="8"/>
        <v>0</v>
      </c>
      <c r="P136" s="230">
        <f t="shared" si="9"/>
        <v>0</v>
      </c>
      <c r="W136" s="230">
        <f t="shared" si="10"/>
        <v>0</v>
      </c>
      <c r="Y136" s="230">
        <f t="shared" si="11"/>
        <v>0</v>
      </c>
    </row>
    <row r="137" spans="1:25">
      <c r="A137" s="230" t="str">
        <f>IF(OR((ABS(D137)&gt;0),(ABS(I137)&gt;0)),基础信息!$B$1,"")</f>
        <v/>
      </c>
      <c r="I137" s="230">
        <f t="shared" si="8"/>
        <v>0</v>
      </c>
      <c r="P137" s="230">
        <f t="shared" si="9"/>
        <v>0</v>
      </c>
      <c r="W137" s="230">
        <f t="shared" si="10"/>
        <v>0</v>
      </c>
      <c r="Y137" s="230">
        <f t="shared" si="11"/>
        <v>0</v>
      </c>
    </row>
    <row r="138" spans="1:25">
      <c r="A138" s="230" t="str">
        <f>IF(OR((ABS(D138)&gt;0),(ABS(I138)&gt;0)),基础信息!$B$1,"")</f>
        <v/>
      </c>
      <c r="I138" s="230">
        <f t="shared" si="8"/>
        <v>0</v>
      </c>
      <c r="P138" s="230">
        <f t="shared" si="9"/>
        <v>0</v>
      </c>
      <c r="W138" s="230">
        <f t="shared" si="10"/>
        <v>0</v>
      </c>
      <c r="Y138" s="230">
        <f t="shared" si="11"/>
        <v>0</v>
      </c>
    </row>
    <row r="139" spans="1:25">
      <c r="A139" s="230" t="str">
        <f>IF(OR((ABS(D139)&gt;0),(ABS(I139)&gt;0)),基础信息!$B$1,"")</f>
        <v/>
      </c>
      <c r="I139" s="230">
        <f t="shared" si="8"/>
        <v>0</v>
      </c>
      <c r="P139" s="230">
        <f t="shared" si="9"/>
        <v>0</v>
      </c>
      <c r="W139" s="230">
        <f t="shared" si="10"/>
        <v>0</v>
      </c>
      <c r="Y139" s="230">
        <f t="shared" si="11"/>
        <v>0</v>
      </c>
    </row>
    <row r="140" spans="1:25">
      <c r="A140" s="230" t="str">
        <f>IF(OR((ABS(D140)&gt;0),(ABS(I140)&gt;0)),基础信息!$B$1,"")</f>
        <v/>
      </c>
      <c r="I140" s="230">
        <f t="shared" si="8"/>
        <v>0</v>
      </c>
      <c r="P140" s="230">
        <f t="shared" si="9"/>
        <v>0</v>
      </c>
      <c r="W140" s="230">
        <f t="shared" si="10"/>
        <v>0</v>
      </c>
      <c r="Y140" s="230">
        <f t="shared" si="11"/>
        <v>0</v>
      </c>
    </row>
    <row r="141" spans="1:25">
      <c r="A141" s="230" t="str">
        <f>IF(OR((ABS(D141)&gt;0),(ABS(I141)&gt;0)),基础信息!$B$1,"")</f>
        <v/>
      </c>
      <c r="I141" s="230">
        <f t="shared" si="8"/>
        <v>0</v>
      </c>
      <c r="P141" s="230">
        <f t="shared" si="9"/>
        <v>0</v>
      </c>
      <c r="W141" s="230">
        <f t="shared" si="10"/>
        <v>0</v>
      </c>
      <c r="Y141" s="230">
        <f t="shared" si="11"/>
        <v>0</v>
      </c>
    </row>
    <row r="142" spans="1:25">
      <c r="A142" s="230" t="str">
        <f>IF(OR((ABS(D142)&gt;0),(ABS(I142)&gt;0)),基础信息!$B$1,"")</f>
        <v/>
      </c>
      <c r="I142" s="230">
        <f t="shared" si="8"/>
        <v>0</v>
      </c>
      <c r="P142" s="230">
        <f t="shared" si="9"/>
        <v>0</v>
      </c>
      <c r="W142" s="230">
        <f t="shared" si="10"/>
        <v>0</v>
      </c>
      <c r="Y142" s="230">
        <f t="shared" si="11"/>
        <v>0</v>
      </c>
    </row>
    <row r="143" spans="1:25">
      <c r="A143" s="230" t="str">
        <f>IF(OR((ABS(D143)&gt;0),(ABS(I143)&gt;0)),基础信息!$B$1,"")</f>
        <v/>
      </c>
      <c r="I143" s="230">
        <f t="shared" si="8"/>
        <v>0</v>
      </c>
      <c r="P143" s="230">
        <f t="shared" si="9"/>
        <v>0</v>
      </c>
      <c r="W143" s="230">
        <f t="shared" si="10"/>
        <v>0</v>
      </c>
      <c r="Y143" s="230">
        <f t="shared" si="11"/>
        <v>0</v>
      </c>
    </row>
    <row r="144" spans="1:25">
      <c r="A144" s="230" t="str">
        <f>IF(OR((ABS(D144)&gt;0),(ABS(I144)&gt;0)),基础信息!$B$1,"")</f>
        <v/>
      </c>
      <c r="I144" s="230">
        <f t="shared" si="8"/>
        <v>0</v>
      </c>
      <c r="P144" s="230">
        <f t="shared" si="9"/>
        <v>0</v>
      </c>
      <c r="W144" s="230">
        <f t="shared" si="10"/>
        <v>0</v>
      </c>
      <c r="Y144" s="230">
        <f t="shared" si="11"/>
        <v>0</v>
      </c>
    </row>
    <row r="145" spans="1:25">
      <c r="A145" s="230" t="str">
        <f>IF(OR((ABS(D145)&gt;0),(ABS(I145)&gt;0)),基础信息!$B$1,"")</f>
        <v/>
      </c>
      <c r="I145" s="230">
        <f t="shared" si="8"/>
        <v>0</v>
      </c>
      <c r="P145" s="230">
        <f t="shared" si="9"/>
        <v>0</v>
      </c>
      <c r="W145" s="230">
        <f t="shared" si="10"/>
        <v>0</v>
      </c>
      <c r="Y145" s="230">
        <f t="shared" si="11"/>
        <v>0</v>
      </c>
    </row>
    <row r="146" spans="1:25">
      <c r="A146" s="230" t="str">
        <f>IF(OR((ABS(D146)&gt;0),(ABS(I146)&gt;0)),基础信息!$B$1,"")</f>
        <v/>
      </c>
      <c r="I146" s="230">
        <f t="shared" si="8"/>
        <v>0</v>
      </c>
      <c r="P146" s="230">
        <f t="shared" si="9"/>
        <v>0</v>
      </c>
      <c r="W146" s="230">
        <f t="shared" si="10"/>
        <v>0</v>
      </c>
      <c r="Y146" s="230">
        <f t="shared" si="11"/>
        <v>0</v>
      </c>
    </row>
    <row r="147" spans="1:25">
      <c r="A147" s="230" t="str">
        <f>IF(OR((ABS(D147)&gt;0),(ABS(I147)&gt;0)),基础信息!$B$1,"")</f>
        <v/>
      </c>
      <c r="I147" s="230">
        <f t="shared" si="8"/>
        <v>0</v>
      </c>
      <c r="P147" s="230">
        <f t="shared" si="9"/>
        <v>0</v>
      </c>
      <c r="W147" s="230">
        <f t="shared" si="10"/>
        <v>0</v>
      </c>
      <c r="Y147" s="230">
        <f t="shared" si="11"/>
        <v>0</v>
      </c>
    </row>
    <row r="148" spans="1:25">
      <c r="A148" s="230" t="str">
        <f>IF(OR((ABS(D148)&gt;0),(ABS(I148)&gt;0)),基础信息!$B$1,"")</f>
        <v/>
      </c>
      <c r="I148" s="230">
        <f t="shared" si="8"/>
        <v>0</v>
      </c>
      <c r="P148" s="230">
        <f t="shared" si="9"/>
        <v>0</v>
      </c>
      <c r="W148" s="230">
        <f t="shared" si="10"/>
        <v>0</v>
      </c>
      <c r="Y148" s="230">
        <f t="shared" si="11"/>
        <v>0</v>
      </c>
    </row>
    <row r="149" spans="1:25">
      <c r="A149" s="230" t="str">
        <f>IF(OR((ABS(D149)&gt;0),(ABS(I149)&gt;0)),基础信息!$B$1,"")</f>
        <v/>
      </c>
      <c r="I149" s="230">
        <f t="shared" si="8"/>
        <v>0</v>
      </c>
      <c r="P149" s="230">
        <f t="shared" si="9"/>
        <v>0</v>
      </c>
      <c r="W149" s="230">
        <f t="shared" si="10"/>
        <v>0</v>
      </c>
      <c r="Y149" s="230">
        <f t="shared" si="11"/>
        <v>0</v>
      </c>
    </row>
    <row r="150" spans="1:25">
      <c r="A150" s="230" t="str">
        <f>IF(OR((ABS(D150)&gt;0),(ABS(I150)&gt;0)),基础信息!$B$1,"")</f>
        <v/>
      </c>
      <c r="I150" s="230">
        <f t="shared" si="8"/>
        <v>0</v>
      </c>
      <c r="P150" s="230">
        <f t="shared" si="9"/>
        <v>0</v>
      </c>
      <c r="W150" s="230">
        <f t="shared" si="10"/>
        <v>0</v>
      </c>
      <c r="Y150" s="230">
        <f t="shared" si="11"/>
        <v>0</v>
      </c>
    </row>
    <row r="151" spans="1:25">
      <c r="A151" s="230" t="str">
        <f>IF(OR((ABS(D151)&gt;0),(ABS(I151)&gt;0)),基础信息!$B$1,"")</f>
        <v/>
      </c>
      <c r="I151" s="230">
        <f t="shared" si="8"/>
        <v>0</v>
      </c>
      <c r="P151" s="230">
        <f t="shared" si="9"/>
        <v>0</v>
      </c>
      <c r="W151" s="230">
        <f t="shared" si="10"/>
        <v>0</v>
      </c>
      <c r="Y151" s="230">
        <f t="shared" si="11"/>
        <v>0</v>
      </c>
    </row>
    <row r="152" spans="1:25">
      <c r="A152" s="230" t="str">
        <f>IF(OR((ABS(D152)&gt;0),(ABS(I152)&gt;0)),基础信息!$B$1,"")</f>
        <v/>
      </c>
      <c r="I152" s="230">
        <f t="shared" si="8"/>
        <v>0</v>
      </c>
      <c r="P152" s="230">
        <f t="shared" si="9"/>
        <v>0</v>
      </c>
      <c r="W152" s="230">
        <f t="shared" si="10"/>
        <v>0</v>
      </c>
      <c r="Y152" s="230">
        <f t="shared" si="11"/>
        <v>0</v>
      </c>
    </row>
    <row r="153" spans="1:25">
      <c r="A153" s="230" t="str">
        <f>IF(OR((ABS(D153)&gt;0),(ABS(I153)&gt;0)),基础信息!$B$1,"")</f>
        <v/>
      </c>
      <c r="I153" s="230">
        <f t="shared" si="8"/>
        <v>0</v>
      </c>
      <c r="P153" s="230">
        <f t="shared" si="9"/>
        <v>0</v>
      </c>
      <c r="W153" s="230">
        <f t="shared" si="10"/>
        <v>0</v>
      </c>
      <c r="Y153" s="230">
        <f t="shared" si="11"/>
        <v>0</v>
      </c>
    </row>
    <row r="154" spans="1:25">
      <c r="A154" s="230" t="str">
        <f>IF(OR((ABS(D154)&gt;0),(ABS(I154)&gt;0)),基础信息!$B$1,"")</f>
        <v/>
      </c>
      <c r="I154" s="230">
        <f t="shared" si="8"/>
        <v>0</v>
      </c>
      <c r="P154" s="230">
        <f t="shared" si="9"/>
        <v>0</v>
      </c>
      <c r="W154" s="230">
        <f t="shared" si="10"/>
        <v>0</v>
      </c>
      <c r="Y154" s="230">
        <f t="shared" si="11"/>
        <v>0</v>
      </c>
    </row>
    <row r="155" spans="1:25">
      <c r="A155" s="230" t="str">
        <f>IF(OR((ABS(D155)&gt;0),(ABS(I155)&gt;0)),基础信息!$B$1,"")</f>
        <v/>
      </c>
      <c r="I155" s="230">
        <f t="shared" si="8"/>
        <v>0</v>
      </c>
      <c r="P155" s="230">
        <f t="shared" si="9"/>
        <v>0</v>
      </c>
      <c r="W155" s="230">
        <f t="shared" si="10"/>
        <v>0</v>
      </c>
      <c r="Y155" s="230">
        <f t="shared" si="11"/>
        <v>0</v>
      </c>
    </row>
    <row r="156" spans="1:25">
      <c r="A156" s="230" t="str">
        <f>IF(OR((ABS(D156)&gt;0),(ABS(I156)&gt;0)),基础信息!$B$1,"")</f>
        <v/>
      </c>
      <c r="I156" s="230">
        <f t="shared" si="8"/>
        <v>0</v>
      </c>
      <c r="P156" s="230">
        <f t="shared" si="9"/>
        <v>0</v>
      </c>
      <c r="W156" s="230">
        <f t="shared" si="10"/>
        <v>0</v>
      </c>
      <c r="Y156" s="230">
        <f t="shared" si="11"/>
        <v>0</v>
      </c>
    </row>
    <row r="157" spans="1:25">
      <c r="A157" s="230" t="str">
        <f>IF(OR((ABS(D157)&gt;0),(ABS(I157)&gt;0)),基础信息!$B$1,"")</f>
        <v/>
      </c>
      <c r="I157" s="230">
        <f t="shared" si="8"/>
        <v>0</v>
      </c>
      <c r="P157" s="230">
        <f t="shared" si="9"/>
        <v>0</v>
      </c>
      <c r="W157" s="230">
        <f t="shared" si="10"/>
        <v>0</v>
      </c>
      <c r="Y157" s="230">
        <f t="shared" si="11"/>
        <v>0</v>
      </c>
    </row>
    <row r="158" spans="1:25">
      <c r="A158" s="230" t="str">
        <f>IF(OR((ABS(D158)&gt;0),(ABS(I158)&gt;0)),基础信息!$B$1,"")</f>
        <v/>
      </c>
      <c r="I158" s="230">
        <f t="shared" si="8"/>
        <v>0</v>
      </c>
      <c r="P158" s="230">
        <f t="shared" si="9"/>
        <v>0</v>
      </c>
      <c r="W158" s="230">
        <f t="shared" si="10"/>
        <v>0</v>
      </c>
      <c r="Y158" s="230">
        <f t="shared" si="11"/>
        <v>0</v>
      </c>
    </row>
    <row r="159" spans="1:25">
      <c r="A159" s="230" t="str">
        <f>IF(OR((ABS(D159)&gt;0),(ABS(I159)&gt;0)),基础信息!$B$1,"")</f>
        <v/>
      </c>
      <c r="I159" s="230">
        <f t="shared" si="8"/>
        <v>0</v>
      </c>
      <c r="P159" s="230">
        <f t="shared" si="9"/>
        <v>0</v>
      </c>
      <c r="W159" s="230">
        <f t="shared" si="10"/>
        <v>0</v>
      </c>
      <c r="Y159" s="230">
        <f t="shared" si="11"/>
        <v>0</v>
      </c>
    </row>
    <row r="160" spans="1:25">
      <c r="A160" s="230" t="str">
        <f>IF(OR((ABS(D160)&gt;0),(ABS(I160)&gt;0)),基础信息!$B$1,"")</f>
        <v/>
      </c>
      <c r="I160" s="230">
        <f t="shared" si="8"/>
        <v>0</v>
      </c>
      <c r="P160" s="230">
        <f t="shared" si="9"/>
        <v>0</v>
      </c>
      <c r="W160" s="230">
        <f t="shared" si="10"/>
        <v>0</v>
      </c>
      <c r="Y160" s="230">
        <f t="shared" si="11"/>
        <v>0</v>
      </c>
    </row>
    <row r="161" spans="1:25">
      <c r="A161" s="230" t="str">
        <f>IF(OR((ABS(D161)&gt;0),(ABS(I161)&gt;0)),基础信息!$B$1,"")</f>
        <v/>
      </c>
      <c r="I161" s="230">
        <f t="shared" si="8"/>
        <v>0</v>
      </c>
      <c r="P161" s="230">
        <f t="shared" si="9"/>
        <v>0</v>
      </c>
      <c r="W161" s="230">
        <f t="shared" si="10"/>
        <v>0</v>
      </c>
      <c r="Y161" s="230">
        <f t="shared" si="11"/>
        <v>0</v>
      </c>
    </row>
    <row r="162" spans="1:25">
      <c r="A162" s="230" t="str">
        <f>IF(OR((ABS(D162)&gt;0),(ABS(I162)&gt;0)),基础信息!$B$1,"")</f>
        <v/>
      </c>
      <c r="I162" s="230">
        <f t="shared" si="8"/>
        <v>0</v>
      </c>
      <c r="P162" s="230">
        <f t="shared" si="9"/>
        <v>0</v>
      </c>
      <c r="W162" s="230">
        <f t="shared" si="10"/>
        <v>0</v>
      </c>
      <c r="Y162" s="230">
        <f t="shared" si="11"/>
        <v>0</v>
      </c>
    </row>
    <row r="163" spans="1:25">
      <c r="A163" s="230" t="str">
        <f>IF(OR((ABS(D163)&gt;0),(ABS(I163)&gt;0)),基础信息!$B$1,"")</f>
        <v/>
      </c>
      <c r="I163" s="230">
        <f t="shared" si="8"/>
        <v>0</v>
      </c>
      <c r="P163" s="230">
        <f t="shared" si="9"/>
        <v>0</v>
      </c>
      <c r="W163" s="230">
        <f t="shared" si="10"/>
        <v>0</v>
      </c>
      <c r="Y163" s="230">
        <f t="shared" si="11"/>
        <v>0</v>
      </c>
    </row>
    <row r="164" spans="1:25">
      <c r="A164" s="230" t="str">
        <f>IF(OR((ABS(D164)&gt;0),(ABS(I164)&gt;0)),基础信息!$B$1,"")</f>
        <v/>
      </c>
      <c r="I164" s="230">
        <f t="shared" si="8"/>
        <v>0</v>
      </c>
      <c r="P164" s="230">
        <f t="shared" si="9"/>
        <v>0</v>
      </c>
      <c r="W164" s="230">
        <f t="shared" si="10"/>
        <v>0</v>
      </c>
      <c r="Y164" s="230">
        <f t="shared" si="11"/>
        <v>0</v>
      </c>
    </row>
    <row r="165" spans="1:25">
      <c r="A165" s="230" t="str">
        <f>IF(OR((ABS(D165)&gt;0),(ABS(I165)&gt;0)),基础信息!$B$1,"")</f>
        <v/>
      </c>
      <c r="I165" s="230">
        <f t="shared" si="8"/>
        <v>0</v>
      </c>
      <c r="P165" s="230">
        <f t="shared" si="9"/>
        <v>0</v>
      </c>
      <c r="W165" s="230">
        <f t="shared" si="10"/>
        <v>0</v>
      </c>
      <c r="Y165" s="230">
        <f t="shared" si="11"/>
        <v>0</v>
      </c>
    </row>
    <row r="166" spans="1:25">
      <c r="A166" s="230" t="str">
        <f>IF(OR((ABS(D166)&gt;0),(ABS(I166)&gt;0)),基础信息!$B$1,"")</f>
        <v/>
      </c>
      <c r="I166" s="230">
        <f t="shared" si="8"/>
        <v>0</v>
      </c>
      <c r="P166" s="230">
        <f t="shared" si="9"/>
        <v>0</v>
      </c>
      <c r="W166" s="230">
        <f t="shared" si="10"/>
        <v>0</v>
      </c>
      <c r="Y166" s="230">
        <f t="shared" si="11"/>
        <v>0</v>
      </c>
    </row>
    <row r="167" spans="1:25">
      <c r="A167" s="230" t="str">
        <f>IF(OR((ABS(D167)&gt;0),(ABS(I167)&gt;0)),基础信息!$B$1,"")</f>
        <v/>
      </c>
      <c r="I167" s="230">
        <f t="shared" si="8"/>
        <v>0</v>
      </c>
      <c r="P167" s="230">
        <f t="shared" si="9"/>
        <v>0</v>
      </c>
      <c r="W167" s="230">
        <f t="shared" si="10"/>
        <v>0</v>
      </c>
      <c r="Y167" s="230">
        <f t="shared" si="11"/>
        <v>0</v>
      </c>
    </row>
    <row r="168" spans="1:25">
      <c r="A168" s="230" t="str">
        <f>IF(OR((ABS(D168)&gt;0),(ABS(I168)&gt;0)),基础信息!$B$1,"")</f>
        <v/>
      </c>
      <c r="I168" s="230">
        <f t="shared" si="8"/>
        <v>0</v>
      </c>
      <c r="P168" s="230">
        <f t="shared" si="9"/>
        <v>0</v>
      </c>
      <c r="W168" s="230">
        <f t="shared" si="10"/>
        <v>0</v>
      </c>
      <c r="Y168" s="230">
        <f t="shared" si="11"/>
        <v>0</v>
      </c>
    </row>
    <row r="169" spans="1:25">
      <c r="A169" s="230" t="str">
        <f>IF(OR((ABS(D169)&gt;0),(ABS(I169)&gt;0)),基础信息!$B$1,"")</f>
        <v/>
      </c>
      <c r="I169" s="230">
        <f t="shared" si="8"/>
        <v>0</v>
      </c>
      <c r="P169" s="230">
        <f t="shared" si="9"/>
        <v>0</v>
      </c>
      <c r="W169" s="230">
        <f t="shared" si="10"/>
        <v>0</v>
      </c>
      <c r="Y169" s="230">
        <f t="shared" si="11"/>
        <v>0</v>
      </c>
    </row>
    <row r="170" spans="1:25">
      <c r="A170" s="230" t="str">
        <f>IF(OR((ABS(D170)&gt;0),(ABS(I170)&gt;0)),基础信息!$B$1,"")</f>
        <v/>
      </c>
      <c r="I170" s="230">
        <f t="shared" si="8"/>
        <v>0</v>
      </c>
      <c r="P170" s="230">
        <f t="shared" si="9"/>
        <v>0</v>
      </c>
      <c r="W170" s="230">
        <f t="shared" si="10"/>
        <v>0</v>
      </c>
      <c r="Y170" s="230">
        <f t="shared" si="11"/>
        <v>0</v>
      </c>
    </row>
    <row r="171" spans="1:25">
      <c r="A171" s="230" t="str">
        <f>IF(OR((ABS(D171)&gt;0),(ABS(I171)&gt;0)),基础信息!$B$1,"")</f>
        <v/>
      </c>
      <c r="I171" s="230">
        <f t="shared" si="8"/>
        <v>0</v>
      </c>
      <c r="P171" s="230">
        <f t="shared" si="9"/>
        <v>0</v>
      </c>
      <c r="W171" s="230">
        <f t="shared" si="10"/>
        <v>0</v>
      </c>
      <c r="Y171" s="230">
        <f t="shared" si="11"/>
        <v>0</v>
      </c>
    </row>
    <row r="172" spans="1:25">
      <c r="A172" s="230" t="str">
        <f>IF(OR((ABS(D172)&gt;0),(ABS(I172)&gt;0)),基础信息!$B$1,"")</f>
        <v/>
      </c>
      <c r="I172" s="230">
        <f t="shared" si="8"/>
        <v>0</v>
      </c>
      <c r="P172" s="230">
        <f t="shared" si="9"/>
        <v>0</v>
      </c>
      <c r="W172" s="230">
        <f t="shared" si="10"/>
        <v>0</v>
      </c>
      <c r="Y172" s="230">
        <f t="shared" si="11"/>
        <v>0</v>
      </c>
    </row>
    <row r="173" spans="1:25">
      <c r="A173" s="230" t="str">
        <f>IF(OR((ABS(D173)&gt;0),(ABS(I173)&gt;0)),基础信息!$B$1,"")</f>
        <v/>
      </c>
      <c r="I173" s="230">
        <f t="shared" si="8"/>
        <v>0</v>
      </c>
      <c r="P173" s="230">
        <f t="shared" si="9"/>
        <v>0</v>
      </c>
      <c r="W173" s="230">
        <f t="shared" si="10"/>
        <v>0</v>
      </c>
      <c r="Y173" s="230">
        <f t="shared" si="11"/>
        <v>0</v>
      </c>
    </row>
    <row r="174" spans="1:25">
      <c r="A174" s="230" t="str">
        <f>IF(OR((ABS(D174)&gt;0),(ABS(I174)&gt;0)),基础信息!$B$1,"")</f>
        <v/>
      </c>
      <c r="I174" s="230">
        <f t="shared" si="8"/>
        <v>0</v>
      </c>
      <c r="P174" s="230">
        <f t="shared" si="9"/>
        <v>0</v>
      </c>
      <c r="W174" s="230">
        <f t="shared" si="10"/>
        <v>0</v>
      </c>
      <c r="Y174" s="230">
        <f t="shared" si="11"/>
        <v>0</v>
      </c>
    </row>
    <row r="175" spans="1:25">
      <c r="A175" s="230" t="str">
        <f>IF(OR((ABS(D175)&gt;0),(ABS(I175)&gt;0)),基础信息!$B$1,"")</f>
        <v/>
      </c>
      <c r="I175" s="230">
        <f t="shared" si="8"/>
        <v>0</v>
      </c>
      <c r="P175" s="230">
        <f t="shared" si="9"/>
        <v>0</v>
      </c>
      <c r="W175" s="230">
        <f t="shared" si="10"/>
        <v>0</v>
      </c>
      <c r="Y175" s="230">
        <f t="shared" si="11"/>
        <v>0</v>
      </c>
    </row>
    <row r="176" spans="1:25">
      <c r="A176" s="230" t="str">
        <f>IF(OR((ABS(D176)&gt;0),(ABS(I176)&gt;0)),基础信息!$B$1,"")</f>
        <v/>
      </c>
      <c r="I176" s="230">
        <f t="shared" si="8"/>
        <v>0</v>
      </c>
      <c r="P176" s="230">
        <f t="shared" si="9"/>
        <v>0</v>
      </c>
      <c r="W176" s="230">
        <f t="shared" si="10"/>
        <v>0</v>
      </c>
      <c r="Y176" s="230">
        <f t="shared" si="11"/>
        <v>0</v>
      </c>
    </row>
    <row r="177" spans="1:25">
      <c r="A177" s="230" t="str">
        <f>IF(OR((ABS(D177)&gt;0),(ABS(I177)&gt;0)),基础信息!$B$1,"")</f>
        <v/>
      </c>
      <c r="I177" s="230">
        <f t="shared" si="8"/>
        <v>0</v>
      </c>
      <c r="P177" s="230">
        <f t="shared" si="9"/>
        <v>0</v>
      </c>
      <c r="W177" s="230">
        <f t="shared" si="10"/>
        <v>0</v>
      </c>
      <c r="Y177" s="230">
        <f t="shared" si="11"/>
        <v>0</v>
      </c>
    </row>
    <row r="178" spans="1:25">
      <c r="A178" s="230" t="str">
        <f>IF(OR((ABS(D178)&gt;0),(ABS(I178)&gt;0)),基础信息!$B$1,"")</f>
        <v/>
      </c>
      <c r="I178" s="230">
        <f t="shared" si="8"/>
        <v>0</v>
      </c>
      <c r="P178" s="230">
        <f t="shared" si="9"/>
        <v>0</v>
      </c>
      <c r="W178" s="230">
        <f t="shared" si="10"/>
        <v>0</v>
      </c>
      <c r="Y178" s="230">
        <f t="shared" si="11"/>
        <v>0</v>
      </c>
    </row>
    <row r="179" spans="1:25">
      <c r="A179" s="230" t="str">
        <f>IF(OR((ABS(D179)&gt;0),(ABS(I179)&gt;0)),基础信息!$B$1,"")</f>
        <v/>
      </c>
      <c r="I179" s="230">
        <f t="shared" si="8"/>
        <v>0</v>
      </c>
      <c r="P179" s="230">
        <f t="shared" si="9"/>
        <v>0</v>
      </c>
      <c r="W179" s="230">
        <f t="shared" si="10"/>
        <v>0</v>
      </c>
      <c r="Y179" s="230">
        <f t="shared" si="11"/>
        <v>0</v>
      </c>
    </row>
    <row r="180" spans="1:25">
      <c r="A180" s="230" t="str">
        <f>IF(OR((ABS(D180)&gt;0),(ABS(I180)&gt;0)),基础信息!$B$1,"")</f>
        <v/>
      </c>
      <c r="I180" s="230">
        <f t="shared" si="8"/>
        <v>0</v>
      </c>
      <c r="P180" s="230">
        <f t="shared" si="9"/>
        <v>0</v>
      </c>
      <c r="W180" s="230">
        <f t="shared" si="10"/>
        <v>0</v>
      </c>
      <c r="Y180" s="230">
        <f t="shared" si="11"/>
        <v>0</v>
      </c>
    </row>
    <row r="181" spans="1:25">
      <c r="A181" s="230" t="str">
        <f>IF(OR((ABS(D181)&gt;0),(ABS(I181)&gt;0)),基础信息!$B$1,"")</f>
        <v/>
      </c>
      <c r="I181" s="230">
        <f t="shared" si="8"/>
        <v>0</v>
      </c>
      <c r="P181" s="230">
        <f t="shared" si="9"/>
        <v>0</v>
      </c>
      <c r="W181" s="230">
        <f t="shared" si="10"/>
        <v>0</v>
      </c>
      <c r="Y181" s="230">
        <f t="shared" si="11"/>
        <v>0</v>
      </c>
    </row>
    <row r="182" spans="1:25">
      <c r="A182" s="230" t="str">
        <f>IF(OR((ABS(D182)&gt;0),(ABS(I182)&gt;0)),基础信息!$B$1,"")</f>
        <v/>
      </c>
      <c r="I182" s="230">
        <f t="shared" si="8"/>
        <v>0</v>
      </c>
      <c r="P182" s="230">
        <f t="shared" si="9"/>
        <v>0</v>
      </c>
      <c r="W182" s="230">
        <f t="shared" si="10"/>
        <v>0</v>
      </c>
      <c r="Y182" s="230">
        <f t="shared" si="11"/>
        <v>0</v>
      </c>
    </row>
    <row r="183" spans="1:25">
      <c r="A183" s="230" t="str">
        <f>IF(OR((ABS(D183)&gt;0),(ABS(I183)&gt;0)),基础信息!$B$1,"")</f>
        <v/>
      </c>
      <c r="I183" s="230">
        <f t="shared" si="8"/>
        <v>0</v>
      </c>
      <c r="P183" s="230">
        <f t="shared" si="9"/>
        <v>0</v>
      </c>
      <c r="W183" s="230">
        <f t="shared" si="10"/>
        <v>0</v>
      </c>
      <c r="Y183" s="230">
        <f t="shared" si="11"/>
        <v>0</v>
      </c>
    </row>
    <row r="184" spans="1:25">
      <c r="A184" s="230" t="str">
        <f>IF(OR((ABS(D184)&gt;0),(ABS(I184)&gt;0)),基础信息!$B$1,"")</f>
        <v/>
      </c>
      <c r="I184" s="230">
        <f t="shared" si="8"/>
        <v>0</v>
      </c>
      <c r="P184" s="230">
        <f t="shared" si="9"/>
        <v>0</v>
      </c>
      <c r="W184" s="230">
        <f t="shared" si="10"/>
        <v>0</v>
      </c>
      <c r="Y184" s="230">
        <f t="shared" si="11"/>
        <v>0</v>
      </c>
    </row>
    <row r="185" spans="1:25">
      <c r="A185" s="230" t="str">
        <f>IF(OR((ABS(D185)&gt;0),(ABS(I185)&gt;0)),基础信息!$B$1,"")</f>
        <v/>
      </c>
      <c r="I185" s="230">
        <f t="shared" si="8"/>
        <v>0</v>
      </c>
      <c r="P185" s="230">
        <f t="shared" si="9"/>
        <v>0</v>
      </c>
      <c r="W185" s="230">
        <f t="shared" si="10"/>
        <v>0</v>
      </c>
      <c r="Y185" s="230">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codeName="Sheet117">
    <tabColor rgb="FFFFC000"/>
  </sheetPr>
  <dimension ref="A1:F8"/>
  <sheetViews>
    <sheetView workbookViewId="0">
      <selection activeCell="B8" sqref="B8:C8"/>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4201</v>
      </c>
      <c r="C1" s="18" t="s">
        <v>213</v>
      </c>
      <c r="D1" s="18" t="s">
        <v>247</v>
      </c>
      <c r="E1" s="18" t="s">
        <v>262</v>
      </c>
      <c r="F1" s="18" t="s">
        <v>225</v>
      </c>
    </row>
    <row r="2" spans="1:6">
      <c r="A2" s="247"/>
      <c r="B2" s="139"/>
      <c r="C2" s="139"/>
      <c r="D2" s="139"/>
      <c r="E2" s="139"/>
      <c r="F2" s="139"/>
    </row>
    <row r="3" spans="1:6">
      <c r="A3" s="247"/>
      <c r="B3" s="139"/>
      <c r="C3" s="139"/>
      <c r="D3" s="139"/>
      <c r="E3" s="139"/>
      <c r="F3" s="139"/>
    </row>
    <row r="4" spans="1:6">
      <c r="A4" s="247"/>
      <c r="B4" s="139"/>
      <c r="C4" s="139"/>
      <c r="D4" s="139"/>
      <c r="E4" s="139"/>
      <c r="F4" s="139"/>
    </row>
    <row r="5" spans="1:6">
      <c r="A5" s="247"/>
      <c r="B5" s="139"/>
      <c r="C5" s="139"/>
      <c r="D5" s="139"/>
      <c r="E5" s="139"/>
      <c r="F5" s="139"/>
    </row>
    <row r="6" spans="1:6">
      <c r="A6" s="247"/>
      <c r="B6" s="139"/>
      <c r="C6" s="139"/>
      <c r="D6" s="139"/>
      <c r="E6" s="139"/>
      <c r="F6" s="139"/>
    </row>
    <row r="7" spans="1:6">
      <c r="A7" s="247"/>
      <c r="B7" s="139"/>
      <c r="C7" s="139"/>
      <c r="D7" s="139"/>
      <c r="E7" s="139"/>
      <c r="F7" s="139"/>
    </row>
    <row r="8" spans="1:6">
      <c r="A8" s="18" t="s">
        <v>204</v>
      </c>
      <c r="B8" s="1">
        <f>ROUND(SUM(B2:B7),2)</f>
        <v>0</v>
      </c>
      <c r="C8" s="1">
        <f>ROUND(SUM(C2:C7),2)</f>
        <v>0</v>
      </c>
      <c r="D8" s="1" t="s">
        <v>263</v>
      </c>
      <c r="E8" s="1" t="s">
        <v>263</v>
      </c>
      <c r="F8" s="1" t="s">
        <v>263</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codeName="Sheet118">
    <tabColor rgb="FFFFC000"/>
  </sheetPr>
  <dimension ref="A1:D5"/>
  <sheetViews>
    <sheetView workbookViewId="0">
      <selection activeCell="H13" sqref="H13:H14"/>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7" t="s">
        <v>275</v>
      </c>
      <c r="B2" s="247"/>
      <c r="C2" s="247"/>
      <c r="D2" s="18" t="str">
        <f>IFERROR(C2/B2*100,"")</f>
        <v/>
      </c>
    </row>
    <row r="3" spans="1:4">
      <c r="A3" s="247" t="s">
        <v>276</v>
      </c>
      <c r="B3" s="247"/>
      <c r="C3" s="247"/>
      <c r="D3" s="18" t="str">
        <f t="shared" ref="D3:D4" si="0">IFERROR(C3/B3*100,"")</f>
        <v/>
      </c>
    </row>
    <row r="4" spans="1:4">
      <c r="A4" s="247"/>
      <c r="B4" s="247"/>
      <c r="C4" s="247"/>
      <c r="D4" s="18" t="str">
        <f t="shared" si="0"/>
        <v/>
      </c>
    </row>
    <row r="5" spans="1:4">
      <c r="A5" s="18" t="s">
        <v>282</v>
      </c>
      <c r="B5" s="18">
        <f>ROUND(SUM(B2:B4),2)</f>
        <v>0</v>
      </c>
      <c r="C5" s="18">
        <f>ROUND(SUM(C2:C4),2)</f>
        <v>0</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codeName="Sheet119">
    <tabColor rgb="FFFFC000"/>
  </sheetPr>
  <dimension ref="A1:G4"/>
  <sheetViews>
    <sheetView workbookViewId="0">
      <selection activeCell="D11" sqref="D11"/>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ht="14.4">
      <c r="A2" s="302" t="s">
        <v>256</v>
      </c>
      <c r="B2" s="275"/>
      <c r="C2" s="39" t="str">
        <f>IFERROR(D2/B2*100,"")</f>
        <v/>
      </c>
      <c r="D2" s="276"/>
      <c r="E2" s="275"/>
      <c r="F2" s="39" t="str">
        <f>IFERROR(G2/E2*100,"")</f>
        <v/>
      </c>
      <c r="G2" s="276"/>
    </row>
    <row r="3" spans="1:7" ht="14.4">
      <c r="A3" s="302" t="s">
        <v>257</v>
      </c>
      <c r="B3" s="275"/>
      <c r="C3" s="39" t="str">
        <f>IFERROR(D3/B3*100,"")</f>
        <v/>
      </c>
      <c r="D3" s="276"/>
      <c r="E3" s="275"/>
      <c r="F3" s="39" t="str">
        <f>IFERROR(G3/E3*100,"")</f>
        <v/>
      </c>
      <c r="G3" s="276"/>
    </row>
    <row r="4" spans="1:7" ht="14.4">
      <c r="A4" s="20" t="s">
        <v>204</v>
      </c>
      <c r="B4" s="39">
        <f>ROUND(SUM(B2:B3),2)</f>
        <v>0</v>
      </c>
      <c r="C4" s="41" t="s">
        <v>239</v>
      </c>
      <c r="D4" s="39">
        <f>ROUND(SUM(D2:D3),2)</f>
        <v>0</v>
      </c>
      <c r="E4" s="39">
        <f>ROUND(SUM(E2:E3),2)</f>
        <v>0</v>
      </c>
      <c r="F4" s="41" t="s">
        <v>239</v>
      </c>
      <c r="G4" s="39">
        <f>ROUND(SUM(G2:G3),2)</f>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sheetPr codeName="Sheet12"/>
  <dimension ref="A1:C54"/>
  <sheetViews>
    <sheetView workbookViewId="0">
      <pane xSplit="1" ySplit="1" topLeftCell="B35" activePane="bottomRight" state="frozen"/>
      <selection pane="topRight" activeCell="B1" sqref="B1"/>
      <selection pane="bottomLeft" activeCell="A2" sqref="A2"/>
      <selection pane="bottomRight" activeCell="C43" sqref="C43"/>
    </sheetView>
  </sheetViews>
  <sheetFormatPr defaultRowHeight="13.8"/>
  <cols>
    <col min="1" max="1" width="57.77734375" style="18" bestFit="1" customWidth="1"/>
    <col min="2" max="3" width="20.44140625" style="18" bestFit="1" customWidth="1"/>
    <col min="4" max="16384" width="8.88671875" style="18"/>
  </cols>
  <sheetData>
    <row r="1" spans="1:3" ht="14.4">
      <c r="A1" s="88" t="s">
        <v>1325</v>
      </c>
      <c r="B1" s="89" t="s">
        <v>299</v>
      </c>
      <c r="C1" s="90" t="s">
        <v>429</v>
      </c>
    </row>
    <row r="2" spans="1:3" ht="14.4">
      <c r="A2" s="91" t="s">
        <v>1326</v>
      </c>
      <c r="B2" s="90"/>
      <c r="C2" s="90"/>
    </row>
    <row r="3" spans="1:3" ht="14.4">
      <c r="A3" s="92" t="s">
        <v>1327</v>
      </c>
      <c r="B3" s="101">
        <f>ROUND(本期TB!H3,2)</f>
        <v>820851019.66999996</v>
      </c>
      <c r="C3" s="101">
        <f>ROUND(上期TB!H3,2)</f>
        <v>820851019.66999996</v>
      </c>
    </row>
    <row r="4" spans="1:3" ht="14.4">
      <c r="A4" s="94" t="s">
        <v>1328</v>
      </c>
      <c r="B4" s="101">
        <f>ROUND(本期TB!H7,2)</f>
        <v>0</v>
      </c>
      <c r="C4" s="101">
        <f>ROUND(上期TB!H7,2)</f>
        <v>0</v>
      </c>
    </row>
    <row r="5" spans="1:3" ht="14.4">
      <c r="A5" s="94" t="s">
        <v>1329</v>
      </c>
      <c r="B5" s="101">
        <f>ROUND(本期TB!H8,2)</f>
        <v>0</v>
      </c>
      <c r="C5" s="101">
        <f>ROUND(上期TB!H8,2)</f>
        <v>0</v>
      </c>
    </row>
    <row r="6" spans="1:3" ht="14.4">
      <c r="A6" s="95" t="s">
        <v>1330</v>
      </c>
      <c r="B6" s="101">
        <f>ROUND(本期TB!H9,2)</f>
        <v>0</v>
      </c>
      <c r="C6" s="101">
        <f>ROUND(上期TB!H9,2)</f>
        <v>0</v>
      </c>
    </row>
    <row r="7" spans="1:3" ht="14.4">
      <c r="A7" s="92" t="s">
        <v>1331</v>
      </c>
      <c r="B7" s="101">
        <f>ROUND(本期TB!H10,2)</f>
        <v>0</v>
      </c>
      <c r="C7" s="101">
        <f>ROUND(上期TB!H10,2)</f>
        <v>0</v>
      </c>
    </row>
    <row r="8" spans="1:3" ht="14.4">
      <c r="A8" s="95" t="s">
        <v>1332</v>
      </c>
      <c r="B8" s="101">
        <f>ROUND(本期TB!H11,2)</f>
        <v>0</v>
      </c>
      <c r="C8" s="101">
        <f>ROUND(上期TB!H11,2)</f>
        <v>0</v>
      </c>
    </row>
    <row r="9" spans="1:3" ht="14.4">
      <c r="A9" s="100" t="s">
        <v>1333</v>
      </c>
      <c r="B9" s="101">
        <f>ROUND(本期TB!H14,2)</f>
        <v>2000000</v>
      </c>
      <c r="C9" s="101">
        <f>ROUND(上期TB!H14,2)</f>
        <v>2000000</v>
      </c>
    </row>
    <row r="10" spans="1:3" ht="14.4">
      <c r="A10" s="100" t="s">
        <v>1334</v>
      </c>
      <c r="B10" s="101">
        <f>ROUND(本期TB!H17,2)</f>
        <v>88139471.689999998</v>
      </c>
      <c r="C10" s="101">
        <f>ROUND(上期TB!H17,2)</f>
        <v>88139471.689999998</v>
      </c>
    </row>
    <row r="11" spans="1:3" ht="14.4">
      <c r="A11" s="100" t="s">
        <v>1335</v>
      </c>
      <c r="B11" s="101">
        <f>ROUND(本期TB!H18,2)</f>
        <v>0</v>
      </c>
      <c r="C11" s="101">
        <f>ROUND(上期TB!H18,2)</f>
        <v>0</v>
      </c>
    </row>
    <row r="12" spans="1:3" ht="14.4">
      <c r="A12" s="92" t="s">
        <v>1336</v>
      </c>
      <c r="B12" s="101">
        <f>ROUND(本期TB!H19,2)</f>
        <v>360794.15</v>
      </c>
      <c r="C12" s="101">
        <f>ROUND(上期TB!H19,2)</f>
        <v>360794.15</v>
      </c>
    </row>
    <row r="13" spans="1:3" ht="14.4">
      <c r="A13" s="94" t="s">
        <v>1337</v>
      </c>
      <c r="B13" s="101">
        <f>ROUND(本期TB!H20,2)</f>
        <v>0</v>
      </c>
      <c r="C13" s="101">
        <f>ROUND(上期TB!H20,2)</f>
        <v>0</v>
      </c>
    </row>
    <row r="14" spans="1:3" ht="14.4">
      <c r="A14" s="94" t="s">
        <v>1338</v>
      </c>
      <c r="B14" s="101">
        <f>ROUND(本期TB!H21,2)</f>
        <v>0</v>
      </c>
      <c r="C14" s="101">
        <f>ROUND(上期TB!H21,2)</f>
        <v>0</v>
      </c>
    </row>
    <row r="15" spans="1:3" ht="14.4">
      <c r="A15" s="94" t="s">
        <v>1339</v>
      </c>
      <c r="B15" s="101">
        <f>ROUND(本期TB!H22,2)</f>
        <v>0</v>
      </c>
      <c r="C15" s="101">
        <f>ROUND(上期TB!H22,2)</f>
        <v>0</v>
      </c>
    </row>
    <row r="16" spans="1:3" ht="14.4">
      <c r="A16" s="92" t="s">
        <v>1340</v>
      </c>
      <c r="B16" s="101">
        <f>ROUND(本期TB!H25+本期TB!H28+本期TB!H31,2)</f>
        <v>2180382902.6100001</v>
      </c>
      <c r="C16" s="101">
        <f>ROUND(上期TB!H25+上期TB!H28+上期TB!H31,2)</f>
        <v>2180382902.6100001</v>
      </c>
    </row>
    <row r="17" spans="1:3" ht="14.4">
      <c r="A17" s="92" t="s">
        <v>4618</v>
      </c>
      <c r="B17" s="101"/>
      <c r="C17" s="101"/>
    </row>
    <row r="18" spans="1:3" ht="14.4">
      <c r="A18" s="94" t="s">
        <v>1341</v>
      </c>
      <c r="B18" s="101">
        <f>ROUND(本期TB!H32,2)</f>
        <v>0</v>
      </c>
      <c r="C18" s="101">
        <f>ROUND(上期TB!H32,2)</f>
        <v>0</v>
      </c>
    </row>
    <row r="19" spans="1:3" ht="14.4">
      <c r="A19" s="92" t="s">
        <v>1342</v>
      </c>
      <c r="B19" s="101">
        <f>ROUND(本期TB!H50,2)</f>
        <v>94178028.810000002</v>
      </c>
      <c r="C19" s="101">
        <f>ROUND(上期TB!H50,2)</f>
        <v>94178028.810000002</v>
      </c>
    </row>
    <row r="20" spans="1:3" ht="14.4">
      <c r="A20" s="96" t="s">
        <v>1343</v>
      </c>
      <c r="B20" s="101"/>
      <c r="C20" s="101"/>
    </row>
    <row r="21" spans="1:3" ht="14.4">
      <c r="A21" s="96" t="s">
        <v>1344</v>
      </c>
      <c r="B21" s="101"/>
      <c r="C21" s="101"/>
    </row>
    <row r="22" spans="1:3" ht="14.4">
      <c r="A22" s="96" t="s">
        <v>1345</v>
      </c>
      <c r="B22" s="101">
        <f>ROUND(本期TB!H53,2)</f>
        <v>0</v>
      </c>
      <c r="C22" s="101">
        <f>ROUND(上期TB!H53,2)</f>
        <v>0</v>
      </c>
    </row>
    <row r="23" spans="1:3" ht="14.4">
      <c r="A23" s="95" t="s">
        <v>1346</v>
      </c>
      <c r="B23" s="101">
        <f>ROUND(本期TB!H54,2)</f>
        <v>0</v>
      </c>
      <c r="C23" s="101">
        <f>ROUND(上期TB!H54,2)</f>
        <v>0</v>
      </c>
    </row>
    <row r="24" spans="1:3" ht="14.4">
      <c r="A24" s="95" t="s">
        <v>1347</v>
      </c>
      <c r="B24" s="101">
        <f>ROUND(本期TB!H55,2)</f>
        <v>0</v>
      </c>
      <c r="C24" s="101">
        <f>ROUND(上期TB!H55,2)</f>
        <v>0</v>
      </c>
    </row>
    <row r="25" spans="1:3" ht="14.4">
      <c r="A25" s="92" t="s">
        <v>1348</v>
      </c>
      <c r="B25" s="101">
        <f>ROUND(本期TB!H56,2)</f>
        <v>0</v>
      </c>
      <c r="C25" s="101">
        <f>ROUND(上期TB!H56,2)</f>
        <v>0</v>
      </c>
    </row>
    <row r="26" spans="1:3" ht="14.4">
      <c r="A26" s="97" t="s">
        <v>1349</v>
      </c>
      <c r="B26" s="102">
        <f>ROUND(SUM(B3:B19)+SUM(B22:B25),2)</f>
        <v>3185912216.9299998</v>
      </c>
      <c r="C26" s="102">
        <f>ROUND(SUM(C3:C19)+SUM(C22:C25),2)</f>
        <v>3185912216.9299998</v>
      </c>
    </row>
    <row r="27" spans="1:3" ht="14.4">
      <c r="A27" s="91" t="s">
        <v>1350</v>
      </c>
      <c r="B27" s="103"/>
      <c r="C27" s="103"/>
    </row>
    <row r="28" spans="1:3" ht="14.4">
      <c r="A28" s="94" t="s">
        <v>1351</v>
      </c>
      <c r="B28" s="103">
        <f>ROUND(本期TB!H59,2)</f>
        <v>0</v>
      </c>
      <c r="C28" s="103">
        <f>ROUND(上期TB!H59,2)</f>
        <v>0</v>
      </c>
    </row>
    <row r="29" spans="1:3" ht="14.4">
      <c r="A29" s="95" t="s">
        <v>1352</v>
      </c>
      <c r="B29" s="103">
        <f>ROUND(本期TB!H60,2)</f>
        <v>0</v>
      </c>
      <c r="C29" s="103">
        <f>ROUND(上期TB!H60,2)</f>
        <v>0</v>
      </c>
    </row>
    <row r="30" spans="1:3" ht="14.4">
      <c r="A30" s="95" t="s">
        <v>1353</v>
      </c>
      <c r="B30" s="101">
        <f>ROUND(本期TB!H63,2)</f>
        <v>987346438.25999999</v>
      </c>
      <c r="C30" s="101">
        <f>ROUND(上期TB!H63,2)</f>
        <v>987346438.25999999</v>
      </c>
    </row>
    <row r="31" spans="1:3" ht="14.4">
      <c r="A31" s="95" t="s">
        <v>1354</v>
      </c>
      <c r="B31" s="101">
        <f>ROUND(本期TB!H66,2)</f>
        <v>0</v>
      </c>
      <c r="C31" s="101">
        <f>ROUND(上期TB!H66,2)</f>
        <v>0</v>
      </c>
    </row>
    <row r="32" spans="1:3" ht="14.4">
      <c r="A32" s="95" t="s">
        <v>1355</v>
      </c>
      <c r="B32" s="101">
        <f>ROUND(本期TB!H67,2)</f>
        <v>0</v>
      </c>
      <c r="C32" s="101">
        <f>ROUND(上期TB!H67,2)</f>
        <v>0</v>
      </c>
    </row>
    <row r="33" spans="1:3" ht="14.4">
      <c r="A33" s="95" t="s">
        <v>1356</v>
      </c>
      <c r="B33" s="101">
        <f>ROUND(本期TB!H71,2)</f>
        <v>-30046177.920000002</v>
      </c>
      <c r="C33" s="101">
        <f>ROUND(上期TB!H71,2)</f>
        <v>-30046177.920000002</v>
      </c>
    </row>
    <row r="34" spans="1:3" ht="14.4">
      <c r="A34" s="95" t="s">
        <v>1357</v>
      </c>
      <c r="B34" s="101">
        <f>ROUND(本期TB!H74,2)</f>
        <v>2232281356.0500002</v>
      </c>
      <c r="C34" s="101">
        <f>ROUND(上期TB!H74,2)</f>
        <v>2232281356.0500002</v>
      </c>
    </row>
    <row r="35" spans="1:3" ht="14.4">
      <c r="A35" s="95" t="s">
        <v>1358</v>
      </c>
      <c r="B35" s="101">
        <f>ROUND(本期TB!H75,2)</f>
        <v>0</v>
      </c>
      <c r="C35" s="101">
        <f>ROUND(上期TB!H75,2)</f>
        <v>0</v>
      </c>
    </row>
    <row r="36" spans="1:3" ht="14.4">
      <c r="A36" s="95" t="s">
        <v>1359</v>
      </c>
      <c r="B36" s="101">
        <f>ROUND(本期TB!H76,2)</f>
        <v>0</v>
      </c>
      <c r="C36" s="101">
        <f>ROUND(上期TB!H76,2)</f>
        <v>0</v>
      </c>
    </row>
    <row r="37" spans="1:3" ht="14.4">
      <c r="A37" s="95" t="s">
        <v>1360</v>
      </c>
      <c r="B37" s="101">
        <f>ROUND(本期TB!H80,2)</f>
        <v>649965285.88999999</v>
      </c>
      <c r="C37" s="101">
        <f>ROUND(上期TB!H80,2)</f>
        <v>649965285.88999999</v>
      </c>
    </row>
    <row r="38" spans="1:3" ht="14.4">
      <c r="A38" s="95" t="s">
        <v>1361</v>
      </c>
      <c r="B38" s="101">
        <f>ROUND(本期TB!H84+本期TB!H85,2)</f>
        <v>2825446811.5999999</v>
      </c>
      <c r="C38" s="101">
        <f>ROUND(上期TB!H84+本期TB!H85,2)</f>
        <v>2825446811.5999999</v>
      </c>
    </row>
    <row r="39" spans="1:3" ht="14.4">
      <c r="A39" s="95" t="s">
        <v>4619</v>
      </c>
      <c r="B39" s="101"/>
      <c r="C39" s="101"/>
    </row>
    <row r="40" spans="1:3" ht="14.4">
      <c r="A40" s="95" t="s">
        <v>4620</v>
      </c>
      <c r="B40" s="101"/>
      <c r="C40" s="101"/>
    </row>
    <row r="41" spans="1:3" ht="14.4">
      <c r="A41" s="95" t="s">
        <v>4621</v>
      </c>
      <c r="B41" s="101"/>
      <c r="C41" s="101"/>
    </row>
    <row r="42" spans="1:3" ht="14.4">
      <c r="A42" s="100" t="s">
        <v>1362</v>
      </c>
      <c r="B42" s="101">
        <f>ROUND(本期TB!H88+本期TB!H89,2)</f>
        <v>148814764.12</v>
      </c>
      <c r="C42" s="101">
        <f>ROUND(上期TB!H86+上期TB!H87,2)</f>
        <v>148814764.12</v>
      </c>
    </row>
    <row r="43" spans="1:3" ht="14.4">
      <c r="A43" s="95" t="s">
        <v>1363</v>
      </c>
      <c r="B43" s="101">
        <f>ROUND(本期TB!H90,2)</f>
        <v>0</v>
      </c>
      <c r="C43" s="101">
        <f>ROUND(上期TB!H88,2)</f>
        <v>0</v>
      </c>
    </row>
    <row r="44" spans="1:3" ht="14.4">
      <c r="A44" s="95" t="s">
        <v>1364</v>
      </c>
      <c r="B44" s="101">
        <f>ROUND(本期TB!H91,2)</f>
        <v>0</v>
      </c>
      <c r="C44" s="101">
        <f>ROUND(上期TB!H89,2)</f>
        <v>0</v>
      </c>
    </row>
    <row r="45" spans="1:3" ht="14.4">
      <c r="A45" s="95" t="s">
        <v>1365</v>
      </c>
      <c r="B45" s="101">
        <f>ROUND(本期TB!H95,2)</f>
        <v>0</v>
      </c>
      <c r="C45" s="101">
        <f>ROUND(上期TB!H93,2)</f>
        <v>0</v>
      </c>
    </row>
    <row r="46" spans="1:3" ht="14.4">
      <c r="A46" s="100" t="s">
        <v>1366</v>
      </c>
      <c r="B46" s="101">
        <f>ROUND(本期TB!H99,2)</f>
        <v>0</v>
      </c>
      <c r="C46" s="101">
        <f>ROUND(上期TB!H97,2)</f>
        <v>0</v>
      </c>
    </row>
    <row r="47" spans="1:3" ht="14.4">
      <c r="A47" s="95" t="s">
        <v>1367</v>
      </c>
      <c r="B47" s="101">
        <f>ROUND(本期TB!H100,2)</f>
        <v>0</v>
      </c>
      <c r="C47" s="101">
        <f>ROUND(上期TB!H98,2)</f>
        <v>0</v>
      </c>
    </row>
    <row r="48" spans="1:3" ht="14.4">
      <c r="A48" s="95" t="s">
        <v>1368</v>
      </c>
      <c r="B48" s="101">
        <f>ROUND(本期TB!H103,2)</f>
        <v>0</v>
      </c>
      <c r="C48" s="101">
        <f>ROUND(上期TB!H101,2)</f>
        <v>0</v>
      </c>
    </row>
    <row r="49" spans="1:3" ht="14.4">
      <c r="A49" s="100" t="s">
        <v>1369</v>
      </c>
      <c r="B49" s="101">
        <f>ROUND(本期TB!H104,2)</f>
        <v>26751496.309999999</v>
      </c>
      <c r="C49" s="101">
        <f>ROUND(上期TB!H102,2)</f>
        <v>26751496.309999999</v>
      </c>
    </row>
    <row r="50" spans="1:3" ht="14.4">
      <c r="A50" s="100" t="s">
        <v>1370</v>
      </c>
      <c r="B50" s="101">
        <f>ROUND(本期TB!H105,2)</f>
        <v>0</v>
      </c>
      <c r="C50" s="101">
        <f>ROUND(上期TB!H103,2)</f>
        <v>0</v>
      </c>
    </row>
    <row r="51" spans="1:3" ht="14.4">
      <c r="A51" s="100" t="s">
        <v>1371</v>
      </c>
      <c r="B51" s="101">
        <f>ROUND(本期TB!H106,2)</f>
        <v>5764452392.1000004</v>
      </c>
      <c r="C51" s="101">
        <f>ROUND(上期TB!H104,2)</f>
        <v>5764452392.1000004</v>
      </c>
    </row>
    <row r="52" spans="1:3" ht="14.4">
      <c r="A52" s="96" t="s">
        <v>1372</v>
      </c>
      <c r="B52" s="103"/>
      <c r="C52" s="103"/>
    </row>
    <row r="53" spans="1:3" ht="14.4">
      <c r="A53" s="104" t="s">
        <v>1373</v>
      </c>
      <c r="B53" s="102">
        <f>ROUND(SUM(B28:B38,B42:B51),2)</f>
        <v>12605012366.41</v>
      </c>
      <c r="C53" s="102">
        <f>ROUND(SUM(C28:C38,C42:C51),2)</f>
        <v>12605012366.41</v>
      </c>
    </row>
    <row r="54" spans="1:3" ht="14.4">
      <c r="A54" s="97" t="s">
        <v>1374</v>
      </c>
      <c r="B54" s="105">
        <f>ROUND(B53+B26,2)</f>
        <v>15790924583.34</v>
      </c>
      <c r="C54" s="105">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codeName="Sheet120">
    <tabColor rgb="FFFFC000"/>
  </sheetPr>
  <dimension ref="A1:G19"/>
  <sheetViews>
    <sheetView workbookViewId="0">
      <selection activeCell="H13" sqref="H1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7"/>
      <c r="C2" s="247"/>
    </row>
    <row r="3" spans="1:7">
      <c r="A3" s="18" t="s">
        <v>278</v>
      </c>
      <c r="B3" s="247"/>
      <c r="C3" s="247"/>
    </row>
    <row r="4" spans="1:7">
      <c r="A4" s="18" t="s">
        <v>279</v>
      </c>
      <c r="B4" s="247"/>
      <c r="C4" s="247"/>
    </row>
    <row r="5" spans="1:7">
      <c r="A5" s="18" t="s">
        <v>323</v>
      </c>
      <c r="B5" s="247"/>
      <c r="C5" s="247"/>
    </row>
    <row r="6" spans="1:7">
      <c r="A6" s="18" t="s">
        <v>324</v>
      </c>
      <c r="B6" s="247"/>
      <c r="C6" s="247"/>
    </row>
    <row r="7" spans="1:7">
      <c r="A7" s="18" t="s">
        <v>325</v>
      </c>
      <c r="B7" s="247"/>
      <c r="C7" s="247"/>
    </row>
    <row r="8" spans="1:7">
      <c r="A8" s="18" t="s">
        <v>282</v>
      </c>
      <c r="B8" s="18">
        <f>ROUND(SUM(B2:B7),2)</f>
        <v>0</v>
      </c>
      <c r="C8" s="18">
        <f>ROUND(SUM(C2:C7),2)</f>
        <v>0</v>
      </c>
    </row>
    <row r="16" spans="1:7">
      <c r="G16" s="241"/>
    </row>
    <row r="17" spans="7:7">
      <c r="G17" s="241"/>
    </row>
    <row r="18" spans="7:7">
      <c r="G18" s="241"/>
    </row>
    <row r="19" spans="7:7">
      <c r="G19" s="241"/>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codeName="Sheet121">
    <tabColor rgb="FFFFC000"/>
  </sheetPr>
  <dimension ref="A1:E13"/>
  <sheetViews>
    <sheetView workbookViewId="0">
      <selection activeCell="H19" sqref="H19"/>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326</v>
      </c>
      <c r="C1" s="18" t="s">
        <v>327</v>
      </c>
      <c r="D1" s="18" t="s">
        <v>328</v>
      </c>
      <c r="E1" s="18" t="s">
        <v>204</v>
      </c>
    </row>
    <row r="2" spans="1:5">
      <c r="A2" s="18" t="s">
        <v>260</v>
      </c>
      <c r="B2" s="139">
        <f>ROUND(SUMIF(其他应收款减值准备明细表新金融工具准则!$C:$C,其他应收款坏账准备变动情况新金融工具准则!B$1,其他应收款减值准备明细表新金融工具准则!$D:$D),2)</f>
        <v>0</v>
      </c>
      <c r="C2" s="139">
        <f>ROUND(SUMIF(其他应收款减值准备明细表新金融工具准则!$C:$C,其他应收款坏账准备变动情况新金融工具准则!C$1,其他应收款减值准备明细表新金融工具准则!$D:$D),2)</f>
        <v>0</v>
      </c>
      <c r="D2" s="139">
        <f>ROUND(SUMIF(其他应收款减值准备明细表新金融工具准则!$C:$C,其他应收款坏账准备变动情况新金融工具准则!D$1,其他应收款减值准备明细表新金融工具准则!$D:$D),2)</f>
        <v>0</v>
      </c>
      <c r="E2" s="134">
        <f>ROUND(SUM(B2:D2),2)</f>
        <v>0</v>
      </c>
    </row>
    <row r="3" spans="1:5">
      <c r="A3" s="18" t="s">
        <v>334</v>
      </c>
      <c r="B3" s="139">
        <f>ROUND(SUMIF(其他应收款减值准备明细表新金融工具准则!$C:$C,其他应收款坏账准备变动情况新金融工具准则!B$1,其他应收款减值准备明细表新金融工具准则!$E:$E),2)</f>
        <v>0</v>
      </c>
      <c r="C3" s="139">
        <f>ROUND(SUMIF(其他应收款减值准备明细表新金融工具准则!$C:$C,其他应收款坏账准备变动情况新金融工具准则!C$1,其他应收款减值准备明细表新金融工具准则!$E:$E),2)</f>
        <v>0</v>
      </c>
      <c r="D3" s="139">
        <f>ROUND(SUMIF(其他应收款减值准备明细表新金融工具准则!$C:$C,其他应收款坏账准备变动情况新金融工具准则!D$1,其他应收款减值准备明细表新金融工具准则!$E:$E),2)</f>
        <v>0</v>
      </c>
      <c r="E3" s="134">
        <f>ROUND(SUM(B3:D3),2)</f>
        <v>0</v>
      </c>
    </row>
    <row r="4" spans="1:5">
      <c r="A4" s="57" t="s">
        <v>335</v>
      </c>
      <c r="B4" s="139">
        <f>ROUND(SUMIF(其他应收款减值准备明细表新金融工具准则!$C:$C,其他应收款坏账准备变动情况新金融工具准则!B$1,其他应收款减值准备明细表新金融工具准则!$F:$F),2)</f>
        <v>0</v>
      </c>
      <c r="C4" s="139">
        <f>ROUND(SUMIF(其他应收款减值准备明细表新金融工具准则!$C:$C,其他应收款坏账准备变动情况新金融工具准则!C$1,其他应收款减值准备明细表新金融工具准则!$F:$F),2)</f>
        <v>0</v>
      </c>
      <c r="D4" s="139">
        <f>ROUND(SUMIF(其他应收款减值准备明细表新金融工具准则!$C:$C,其他应收款坏账准备变动情况新金融工具准则!D$1,其他应收款减值准备明细表新金融工具准则!$F:$F),2)</f>
        <v>0</v>
      </c>
      <c r="E4" s="134">
        <f>ROUND(SUM(B4:D4),2)</f>
        <v>0</v>
      </c>
    </row>
    <row r="5" spans="1:5">
      <c r="A5" s="57" t="s">
        <v>336</v>
      </c>
      <c r="B5" s="139">
        <f>ROUND(SUMIF(其他应收款减值准备明细表新金融工具准则!$C:$C,其他应收款坏账准备变动情况新金融工具准则!B$1,其他应收款减值准备明细表新金融工具准则!$G:$G),2)</f>
        <v>0</v>
      </c>
      <c r="C5" s="139">
        <f>ROUND(SUMIF(其他应收款减值准备明细表新金融工具准则!$C:$C,其他应收款坏账准备变动情况新金融工具准则!C$1,其他应收款减值准备明细表新金融工具准则!$G:$G),2)</f>
        <v>0</v>
      </c>
      <c r="D5" s="139">
        <f>ROUND(SUMIF(其他应收款减值准备明细表新金融工具准则!$C:$C,其他应收款坏账准备变动情况新金融工具准则!D$1,其他应收款减值准备明细表新金融工具准则!$G:$G),2)</f>
        <v>0</v>
      </c>
      <c r="E5" s="134">
        <f>ROUND(SUM(B5:D5),2)</f>
        <v>0</v>
      </c>
    </row>
    <row r="6" spans="1:5">
      <c r="A6" s="57" t="s">
        <v>337</v>
      </c>
      <c r="B6" s="139">
        <f>ROUND(SUMIF(其他应收款减值准备明细表新金融工具准则!$C:$C,其他应收款坏账准备变动情况新金融工具准则!B$1,其他应收款减值准备明细表新金融工具准则!$H:$H),2)</f>
        <v>0</v>
      </c>
      <c r="C6" s="139">
        <f>ROUND(SUMIF(其他应收款减值准备明细表新金融工具准则!$C:$C,其他应收款坏账准备变动情况新金融工具准则!C$1,其他应收款减值准备明细表新金融工具准则!$H:$H),2)</f>
        <v>0</v>
      </c>
      <c r="D6" s="139">
        <f>ROUND(SUMIF(其他应收款减值准备明细表新金融工具准则!$C:$C,其他应收款坏账准备变动情况新金融工具准则!D$1,其他应收款减值准备明细表新金融工具准则!$H:$H),2)</f>
        <v>0</v>
      </c>
      <c r="E6" s="134">
        <f>ROUND(SUM(B6:D6),2)</f>
        <v>0</v>
      </c>
    </row>
    <row r="7" spans="1:5">
      <c r="A7" s="57" t="s">
        <v>338</v>
      </c>
      <c r="B7" s="139">
        <f>ROUND(SUMIF(其他应收款减值准备明细表新金融工具准则!$C:$C,其他应收款坏账准备变动情况新金融工具准则!B$1,其他应收款减值准备明细表新金融工具准则!$I:$I),2)</f>
        <v>0</v>
      </c>
      <c r="C7" s="139">
        <f>ROUND(SUMIF(其他应收款减值准备明细表新金融工具准则!$C:$C,其他应收款坏账准备变动情况新金融工具准则!C$1,其他应收款减值准备明细表新金融工具准则!$I:$I),2)</f>
        <v>0</v>
      </c>
      <c r="D7" s="139">
        <f>ROUND(SUMIF(其他应收款减值准备明细表新金融工具准则!$C:$C,其他应收款坏账准备变动情况新金融工具准则!D$1,其他应收款减值准备明细表新金融工具准则!$I:$I),2)</f>
        <v>0</v>
      </c>
      <c r="E7" s="134">
        <f>ROUND(SUM(B7:D7),2)</f>
        <v>0</v>
      </c>
    </row>
    <row r="8" spans="1:5">
      <c r="A8" s="18" t="s">
        <v>329</v>
      </c>
      <c r="B8" s="139">
        <f>ROUND(SUMIF(其他应收款减值准备明细表新金融工具准则!$C:$C,其他应收款坏账准备变动情况新金融工具准则!B$1,其他应收款减值准备明细表新金融工具准则!$J:$J),2)</f>
        <v>0</v>
      </c>
      <c r="C8" s="139">
        <f>ROUND(SUMIF(其他应收款减值准备明细表新金融工具准则!$C:$C,其他应收款坏账准备变动情况新金融工具准则!C$1,其他应收款减值准备明细表新金融工具准则!$J:$J),2)</f>
        <v>0</v>
      </c>
      <c r="D8" s="139">
        <f>ROUND(SUMIF(其他应收款减值准备明细表新金融工具准则!$C:$C,其他应收款坏账准备变动情况新金融工具准则!D$1,其他应收款减值准备明细表新金融工具准则!$J:$J),2)</f>
        <v>0</v>
      </c>
      <c r="E8" s="134">
        <f>ROUND(SUM(B8:D8),2)</f>
        <v>0</v>
      </c>
    </row>
    <row r="9" spans="1:5">
      <c r="A9" s="18" t="s">
        <v>330</v>
      </c>
      <c r="B9" s="139">
        <f>ROUND(SUMIF(其他应收款减值准备明细表新金融工具准则!$C:$C,其他应收款坏账准备变动情况新金融工具准则!B$1,其他应收款减值准备明细表新金融工具准则!$K:$K),2)</f>
        <v>0</v>
      </c>
      <c r="C9" s="139">
        <f>ROUND(SUMIF(其他应收款减值准备明细表新金融工具准则!$C:$C,其他应收款坏账准备变动情况新金融工具准则!C$1,其他应收款减值准备明细表新金融工具准则!$K:$K),2)</f>
        <v>0</v>
      </c>
      <c r="D9" s="139">
        <f>ROUND(SUMIF(其他应收款减值准备明细表新金融工具准则!$C:$C,其他应收款坏账准备变动情况新金融工具准则!D$1,其他应收款减值准备明细表新金融工具准则!$K:$K),2)</f>
        <v>0</v>
      </c>
      <c r="E9" s="134">
        <f>ROUND(SUM(B9:D9),2)</f>
        <v>0</v>
      </c>
    </row>
    <row r="10" spans="1:5">
      <c r="A10" s="18" t="s">
        <v>331</v>
      </c>
      <c r="B10" s="139">
        <f>ROUND(SUMIF(其他应收款减值准备明细表新金融工具准则!$C:$C,其他应收款坏账准备变动情况新金融工具准则!B$1,其他应收款减值准备明细表新金融工具准则!$L:$L),2)</f>
        <v>0</v>
      </c>
      <c r="C10" s="139">
        <f>ROUND(SUMIF(其他应收款减值准备明细表新金融工具准则!$C:$C,其他应收款坏账准备变动情况新金融工具准则!C$1,其他应收款减值准备明细表新金融工具准则!$L:$L),2)</f>
        <v>0</v>
      </c>
      <c r="D10" s="139">
        <f>ROUND(SUMIF(其他应收款减值准备明细表新金融工具准则!$C:$C,其他应收款坏账准备变动情况新金融工具准则!D$1,其他应收款减值准备明细表新金融工具准则!$L:$L),2)</f>
        <v>0</v>
      </c>
      <c r="E10" s="134">
        <f>ROUND(SUM(B10:D10),2)</f>
        <v>0</v>
      </c>
    </row>
    <row r="11" spans="1:5">
      <c r="A11" s="18" t="s">
        <v>332</v>
      </c>
      <c r="B11" s="139">
        <f>ROUND(SUMIF(其他应收款减值准备明细表新金融工具准则!$C:$C,其他应收款坏账准备变动情况新金融工具准则!B$1,其他应收款减值准备明细表新金融工具准则!$M:$M),2)</f>
        <v>0</v>
      </c>
      <c r="C11" s="139">
        <f>ROUND(SUMIF(其他应收款减值准备明细表新金融工具准则!$C:$C,其他应收款坏账准备变动情况新金融工具准则!C$1,其他应收款减值准备明细表新金融工具准则!$M:$M),2)</f>
        <v>0</v>
      </c>
      <c r="D11" s="139">
        <f>ROUND(SUMIF(其他应收款减值准备明细表新金融工具准则!$C:$C,其他应收款坏账准备变动情况新金融工具准则!D$1,其他应收款减值准备明细表新金融工具准则!$M:$M),2)</f>
        <v>0</v>
      </c>
      <c r="E11" s="134">
        <f>ROUND(SUM(B11:D11),2)</f>
        <v>0</v>
      </c>
    </row>
    <row r="12" spans="1:5">
      <c r="A12" s="18" t="s">
        <v>333</v>
      </c>
      <c r="B12" s="139">
        <f>ROUND(SUMIF(其他应收款减值准备明细表新金融工具准则!$C:$C,其他应收款坏账准备变动情况新金融工具准则!B$1,其他应收款减值准备明细表新金融工具准则!$N:$N),2)</f>
        <v>0</v>
      </c>
      <c r="C12" s="139">
        <f>ROUND(SUMIF(其他应收款减值准备明细表新金融工具准则!$C:$C,其他应收款坏账准备变动情况新金融工具准则!C$1,其他应收款减值准备明细表新金融工具准则!$N:$N),2)</f>
        <v>0</v>
      </c>
      <c r="D12" s="139">
        <f>ROUND(SUMIF(其他应收款减值准备明细表新金融工具准则!$C:$C,其他应收款坏账准备变动情况新金融工具准则!D$1,其他应收款减值准备明细表新金融工具准则!$N:$N),2)</f>
        <v>0</v>
      </c>
      <c r="E12" s="134">
        <f>ROUND(SUM(B12:D12),2)</f>
        <v>0</v>
      </c>
    </row>
    <row r="13" spans="1:5">
      <c r="A13" s="18" t="s">
        <v>258</v>
      </c>
      <c r="B13" s="134">
        <f>ROUND(SUM(B4:B12,B2),2)</f>
        <v>0</v>
      </c>
      <c r="C13" s="134">
        <f>ROUND(SUM(C4:C12,C2),2)</f>
        <v>0</v>
      </c>
      <c r="D13" s="134">
        <f>ROUND(SUM(D4:D12,D2),2)</f>
        <v>0</v>
      </c>
      <c r="E13" s="134">
        <f>ROUND(SUM(E4:E12,E2),2)</f>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sheetPr codeName="Sheet122"/>
  <dimension ref="A1:O18"/>
  <sheetViews>
    <sheetView workbookViewId="0">
      <selection activeCell="H24" sqref="H24"/>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2427</v>
      </c>
      <c r="B1" t="s">
        <v>368</v>
      </c>
      <c r="C1" t="s">
        <v>4374</v>
      </c>
      <c r="D1" t="s">
        <v>610</v>
      </c>
      <c r="E1" s="230" t="s">
        <v>4369</v>
      </c>
      <c r="F1" s="230" t="s">
        <v>4370</v>
      </c>
      <c r="G1" s="230" t="s">
        <v>4371</v>
      </c>
      <c r="H1" s="230" t="s">
        <v>4372</v>
      </c>
      <c r="I1" s="230" t="s">
        <v>4373</v>
      </c>
      <c r="J1" s="230" t="s">
        <v>329</v>
      </c>
      <c r="K1" s="230" t="s">
        <v>330</v>
      </c>
      <c r="L1" s="230" t="s">
        <v>331</v>
      </c>
      <c r="M1" s="230" t="s">
        <v>332</v>
      </c>
      <c r="N1" s="230" t="s">
        <v>333</v>
      </c>
      <c r="O1" s="230" t="s">
        <v>422</v>
      </c>
    </row>
    <row r="2" spans="1:15">
      <c r="A2" s="230" t="str">
        <f>IF(OR(K2&gt;0,S2&gt;0),基础信息!$B$1,"")</f>
        <v/>
      </c>
      <c r="B2" s="256"/>
      <c r="C2" s="277"/>
      <c r="D2" s="256"/>
      <c r="E2" s="230">
        <f>SUM(F2:I2)</f>
        <v>0</v>
      </c>
      <c r="F2" s="290"/>
      <c r="G2" s="290"/>
      <c r="H2" s="290"/>
      <c r="I2" s="290"/>
      <c r="J2" s="290"/>
      <c r="K2" s="290"/>
      <c r="L2" s="290"/>
      <c r="M2" s="290"/>
      <c r="N2" s="290"/>
      <c r="O2" s="230">
        <f>SUM(F2:N2,D2)</f>
        <v>0</v>
      </c>
    </row>
    <row r="3" spans="1:15">
      <c r="A3" s="230" t="str">
        <f>IF(OR(K3&gt;0,S3&gt;0),基础信息!$B$1,"")</f>
        <v/>
      </c>
      <c r="B3" s="256"/>
      <c r="C3" s="277"/>
      <c r="D3" s="256"/>
      <c r="E3" s="230">
        <f t="shared" ref="E3:E18" si="0">SUM(F3:I3)</f>
        <v>0</v>
      </c>
      <c r="F3" s="290"/>
      <c r="G3" s="290"/>
      <c r="H3" s="290"/>
      <c r="I3" s="290"/>
      <c r="J3" s="290"/>
      <c r="K3" s="290"/>
      <c r="L3" s="290"/>
      <c r="M3" s="290"/>
      <c r="N3" s="290"/>
      <c r="O3" s="230">
        <f t="shared" ref="O3:O18" si="1">SUM(F3:N3,D3)</f>
        <v>0</v>
      </c>
    </row>
    <row r="4" spans="1:15">
      <c r="A4" s="230" t="str">
        <f>IF(OR(K4&gt;0,S4&gt;0),基础信息!$B$1,"")</f>
        <v/>
      </c>
      <c r="B4" s="256"/>
      <c r="C4" s="277"/>
      <c r="D4" s="256"/>
      <c r="E4" s="230">
        <f t="shared" si="0"/>
        <v>0</v>
      </c>
      <c r="F4" s="290"/>
      <c r="G4" s="290"/>
      <c r="H4" s="290"/>
      <c r="I4" s="290"/>
      <c r="J4" s="290"/>
      <c r="K4" s="290"/>
      <c r="L4" s="290"/>
      <c r="M4" s="290"/>
      <c r="N4" s="290"/>
      <c r="O4" s="230">
        <f t="shared" si="1"/>
        <v>0</v>
      </c>
    </row>
    <row r="5" spans="1:15">
      <c r="A5" s="230" t="str">
        <f>IF(OR(K5&gt;0,S5&gt;0),基础信息!$B$1,"")</f>
        <v/>
      </c>
      <c r="B5" s="256"/>
      <c r="C5" s="277"/>
      <c r="D5" s="256"/>
      <c r="E5" s="230">
        <f t="shared" si="0"/>
        <v>0</v>
      </c>
      <c r="F5" s="290"/>
      <c r="G5" s="290"/>
      <c r="H5" s="290"/>
      <c r="I5" s="290"/>
      <c r="J5" s="290"/>
      <c r="K5" s="290"/>
      <c r="L5" s="290"/>
      <c r="M5" s="290"/>
      <c r="N5" s="290"/>
      <c r="O5" s="230">
        <f t="shared" si="1"/>
        <v>0</v>
      </c>
    </row>
    <row r="6" spans="1:15">
      <c r="A6" s="230" t="str">
        <f>IF(OR(K6&gt;0,S6&gt;0),基础信息!$B$1,"")</f>
        <v/>
      </c>
      <c r="B6" s="256"/>
      <c r="C6" s="277"/>
      <c r="D6" s="256"/>
      <c r="E6" s="230">
        <f t="shared" si="0"/>
        <v>0</v>
      </c>
      <c r="F6" s="290"/>
      <c r="G6" s="290"/>
      <c r="H6" s="290"/>
      <c r="I6" s="290"/>
      <c r="J6" s="290"/>
      <c r="K6" s="290"/>
      <c r="L6" s="290"/>
      <c r="M6" s="290"/>
      <c r="N6" s="290"/>
      <c r="O6" s="230">
        <f t="shared" si="1"/>
        <v>0</v>
      </c>
    </row>
    <row r="7" spans="1:15">
      <c r="A7" s="230" t="str">
        <f>IF(OR(K7&gt;0,S7&gt;0),基础信息!$B$1,"")</f>
        <v/>
      </c>
      <c r="B7" s="256"/>
      <c r="C7" s="277"/>
      <c r="D7" s="256"/>
      <c r="E7" s="230">
        <f t="shared" si="0"/>
        <v>0</v>
      </c>
      <c r="F7" s="290"/>
      <c r="G7" s="290"/>
      <c r="H7" s="290"/>
      <c r="I7" s="290"/>
      <c r="J7" s="290"/>
      <c r="K7" s="290"/>
      <c r="L7" s="290"/>
      <c r="M7" s="290"/>
      <c r="N7" s="290"/>
      <c r="O7" s="230">
        <f t="shared" si="1"/>
        <v>0</v>
      </c>
    </row>
    <row r="8" spans="1:15">
      <c r="A8" s="230" t="str">
        <f>IF(OR(K8&gt;0,S8&gt;0),基础信息!$B$1,"")</f>
        <v/>
      </c>
      <c r="B8" s="256"/>
      <c r="C8" s="277"/>
      <c r="D8" s="256"/>
      <c r="E8" s="230">
        <f t="shared" si="0"/>
        <v>0</v>
      </c>
      <c r="F8" s="290"/>
      <c r="G8" s="290"/>
      <c r="H8" s="290"/>
      <c r="I8" s="290"/>
      <c r="J8" s="290"/>
      <c r="K8" s="290"/>
      <c r="L8" s="290"/>
      <c r="M8" s="290"/>
      <c r="N8" s="290"/>
      <c r="O8" s="230">
        <f t="shared" si="1"/>
        <v>0</v>
      </c>
    </row>
    <row r="9" spans="1:15">
      <c r="A9" s="230" t="str">
        <f>IF(OR(K9&gt;0,S9&gt;0),基础信息!$B$1,"")</f>
        <v/>
      </c>
      <c r="B9" s="256"/>
      <c r="C9" s="277"/>
      <c r="D9" s="256"/>
      <c r="E9" s="230">
        <f t="shared" si="0"/>
        <v>0</v>
      </c>
      <c r="F9" s="290"/>
      <c r="G9" s="290"/>
      <c r="H9" s="290"/>
      <c r="I9" s="290"/>
      <c r="J9" s="290"/>
      <c r="K9" s="290"/>
      <c r="L9" s="290"/>
      <c r="M9" s="290"/>
      <c r="N9" s="290"/>
      <c r="O9" s="230">
        <f t="shared" si="1"/>
        <v>0</v>
      </c>
    </row>
    <row r="10" spans="1:15">
      <c r="A10" s="230" t="str">
        <f>IF(OR(K10&gt;0,S10&gt;0),基础信息!$B$1,"")</f>
        <v/>
      </c>
      <c r="B10" s="256"/>
      <c r="C10" s="277"/>
      <c r="D10" s="256"/>
      <c r="E10" s="230">
        <f t="shared" si="0"/>
        <v>0</v>
      </c>
      <c r="F10" s="290"/>
      <c r="G10" s="290"/>
      <c r="H10" s="290"/>
      <c r="I10" s="290"/>
      <c r="J10" s="290"/>
      <c r="K10" s="290"/>
      <c r="L10" s="290"/>
      <c r="M10" s="290"/>
      <c r="N10" s="290"/>
      <c r="O10" s="230">
        <f t="shared" si="1"/>
        <v>0</v>
      </c>
    </row>
    <row r="11" spans="1:15">
      <c r="A11" s="230" t="str">
        <f>IF(OR(K11&gt;0,S11&gt;0),基础信息!$B$1,"")</f>
        <v/>
      </c>
      <c r="B11" s="256"/>
      <c r="C11" s="277"/>
      <c r="D11" s="256"/>
      <c r="E11" s="230">
        <f t="shared" si="0"/>
        <v>0</v>
      </c>
      <c r="F11" s="290"/>
      <c r="G11" s="290"/>
      <c r="H11" s="290"/>
      <c r="I11" s="290"/>
      <c r="J11" s="290"/>
      <c r="K11" s="290"/>
      <c r="L11" s="290"/>
      <c r="M11" s="290"/>
      <c r="N11" s="290"/>
      <c r="O11" s="230">
        <f t="shared" si="1"/>
        <v>0</v>
      </c>
    </row>
    <row r="12" spans="1:15">
      <c r="A12" s="230" t="str">
        <f>IF(OR(K12&gt;0,S12&gt;0),基础信息!$B$1,"")</f>
        <v/>
      </c>
      <c r="B12" s="256"/>
      <c r="C12" s="277"/>
      <c r="D12" s="256"/>
      <c r="E12" s="230">
        <f t="shared" si="0"/>
        <v>0</v>
      </c>
      <c r="F12" s="290"/>
      <c r="G12" s="290"/>
      <c r="H12" s="290"/>
      <c r="I12" s="290"/>
      <c r="J12" s="290"/>
      <c r="K12" s="290"/>
      <c r="L12" s="290"/>
      <c r="M12" s="290"/>
      <c r="N12" s="290"/>
      <c r="O12" s="230">
        <f t="shared" si="1"/>
        <v>0</v>
      </c>
    </row>
    <row r="13" spans="1:15">
      <c r="A13" s="230" t="str">
        <f>IF(OR(K13&gt;0,S13&gt;0),基础信息!$B$1,"")</f>
        <v/>
      </c>
      <c r="B13" s="256"/>
      <c r="C13" s="277"/>
      <c r="D13" s="256"/>
      <c r="E13" s="230">
        <f t="shared" si="0"/>
        <v>0</v>
      </c>
      <c r="F13" s="290"/>
      <c r="G13" s="290"/>
      <c r="H13" s="290"/>
      <c r="I13" s="290"/>
      <c r="J13" s="290"/>
      <c r="K13" s="290"/>
      <c r="L13" s="290"/>
      <c r="M13" s="290"/>
      <c r="N13" s="290"/>
      <c r="O13" s="230">
        <f t="shared" si="1"/>
        <v>0</v>
      </c>
    </row>
    <row r="14" spans="1:15">
      <c r="A14" s="230" t="str">
        <f>IF(OR(K14&gt;0,S14&gt;0),基础信息!$B$1,"")</f>
        <v/>
      </c>
      <c r="B14" s="256"/>
      <c r="C14" s="277"/>
      <c r="D14" s="256"/>
      <c r="E14" s="230">
        <f t="shared" si="0"/>
        <v>0</v>
      </c>
      <c r="F14" s="290"/>
      <c r="G14" s="290"/>
      <c r="H14" s="290"/>
      <c r="I14" s="290"/>
      <c r="J14" s="290"/>
      <c r="K14" s="290"/>
      <c r="L14" s="290"/>
      <c r="M14" s="290"/>
      <c r="N14" s="290"/>
      <c r="O14" s="230">
        <f t="shared" si="1"/>
        <v>0</v>
      </c>
    </row>
    <row r="15" spans="1:15">
      <c r="A15" s="230" t="str">
        <f>IF(OR(K15&gt;0,S15&gt;0),基础信息!$B$1,"")</f>
        <v/>
      </c>
      <c r="B15" s="256"/>
      <c r="C15" s="277"/>
      <c r="D15" s="256"/>
      <c r="E15" s="230">
        <f t="shared" si="0"/>
        <v>0</v>
      </c>
      <c r="F15" s="290"/>
      <c r="G15" s="290"/>
      <c r="H15" s="290"/>
      <c r="I15" s="290"/>
      <c r="J15" s="290"/>
      <c r="K15" s="290"/>
      <c r="L15" s="290"/>
      <c r="M15" s="290"/>
      <c r="N15" s="290"/>
      <c r="O15" s="230">
        <f t="shared" si="1"/>
        <v>0</v>
      </c>
    </row>
    <row r="16" spans="1:15">
      <c r="A16" s="230" t="str">
        <f>IF(OR(K16&gt;0,S16&gt;0),基础信息!$B$1,"")</f>
        <v/>
      </c>
      <c r="B16" s="256"/>
      <c r="C16" s="277"/>
      <c r="D16" s="256"/>
      <c r="E16" s="230">
        <f t="shared" si="0"/>
        <v>0</v>
      </c>
      <c r="F16" s="290"/>
      <c r="G16" s="290"/>
      <c r="H16" s="290"/>
      <c r="I16" s="290"/>
      <c r="J16" s="290"/>
      <c r="K16" s="290"/>
      <c r="L16" s="290"/>
      <c r="M16" s="290"/>
      <c r="N16" s="290"/>
      <c r="O16" s="230">
        <f t="shared" si="1"/>
        <v>0</v>
      </c>
    </row>
    <row r="17" spans="1:15">
      <c r="A17" s="230" t="str">
        <f>IF(OR(K17&gt;0,S17&gt;0),基础信息!$B$1,"")</f>
        <v/>
      </c>
      <c r="B17" s="256"/>
      <c r="C17" s="277"/>
      <c r="D17" s="256"/>
      <c r="E17" s="230">
        <f t="shared" si="0"/>
        <v>0</v>
      </c>
      <c r="F17" s="290"/>
      <c r="G17" s="290"/>
      <c r="H17" s="290"/>
      <c r="I17" s="290"/>
      <c r="J17" s="290"/>
      <c r="K17" s="290"/>
      <c r="L17" s="290"/>
      <c r="M17" s="290"/>
      <c r="N17" s="290"/>
      <c r="O17" s="230">
        <f t="shared" si="1"/>
        <v>0</v>
      </c>
    </row>
    <row r="18" spans="1:15">
      <c r="A18" s="230" t="str">
        <f>IF(OR(K18&gt;0,S18&gt;0),基础信息!$B$1,"")</f>
        <v/>
      </c>
      <c r="B18" s="256"/>
      <c r="C18" s="277"/>
      <c r="D18" s="256"/>
      <c r="E18" s="230">
        <f t="shared" si="0"/>
        <v>0</v>
      </c>
      <c r="F18" s="290"/>
      <c r="G18" s="290"/>
      <c r="H18" s="290"/>
      <c r="I18" s="290"/>
      <c r="J18" s="290"/>
      <c r="K18" s="290"/>
      <c r="L18" s="290"/>
      <c r="M18" s="290"/>
      <c r="N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codeName="Sheet123">
    <tabColor rgb="FFFFC000"/>
  </sheetPr>
  <dimension ref="A1:D4"/>
  <sheetViews>
    <sheetView workbookViewId="0">
      <selection activeCell="D15" sqref="D15"/>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4204</v>
      </c>
      <c r="C1" s="18" t="s">
        <v>264</v>
      </c>
      <c r="D1" s="18" t="s">
        <v>265</v>
      </c>
    </row>
    <row r="2" spans="1:4">
      <c r="A2" s="247"/>
      <c r="B2" s="247"/>
      <c r="C2" s="247"/>
      <c r="D2" s="247"/>
    </row>
    <row r="3" spans="1:4">
      <c r="A3" s="247"/>
      <c r="B3" s="247"/>
      <c r="C3" s="247"/>
      <c r="D3" s="247"/>
    </row>
    <row r="4" spans="1:4">
      <c r="A4" s="18" t="s">
        <v>204</v>
      </c>
      <c r="B4" s="18">
        <f>ROUND(SUM(B2:B3),2)</f>
        <v>0</v>
      </c>
      <c r="C4" s="18">
        <f>ROUND(SUM(C2:C3),2)</f>
        <v>0</v>
      </c>
      <c r="D4" s="18" t="s">
        <v>263</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codeName="Sheet124">
    <tabColor rgb="FFFFC000"/>
  </sheetPr>
  <dimension ref="A1:F8"/>
  <sheetViews>
    <sheetView workbookViewId="0">
      <selection activeCell="E14" sqref="E14"/>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317</v>
      </c>
      <c r="C1" s="18" t="s">
        <v>4203</v>
      </c>
      <c r="D1" s="18" t="s">
        <v>234</v>
      </c>
      <c r="E1" s="18" t="s">
        <v>235</v>
      </c>
      <c r="F1" s="18" t="s">
        <v>267</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247"/>
      <c r="B6" s="247"/>
      <c r="C6" s="247"/>
      <c r="D6" s="247"/>
      <c r="E6" s="247"/>
      <c r="F6" s="247"/>
    </row>
    <row r="7" spans="1:6">
      <c r="A7" s="247"/>
      <c r="B7" s="247"/>
      <c r="C7" s="247"/>
      <c r="D7" s="247"/>
      <c r="E7" s="247"/>
      <c r="F7" s="247"/>
    </row>
    <row r="8" spans="1:6">
      <c r="A8" s="18" t="s">
        <v>204</v>
      </c>
      <c r="B8" s="18" t="s">
        <v>263</v>
      </c>
      <c r="C8" s="18">
        <f>ROUND(SUM(C2:C7),2)</f>
        <v>0</v>
      </c>
      <c r="D8" s="18" t="s">
        <v>263</v>
      </c>
      <c r="F8" s="18" t="s">
        <v>263</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codeName="Sheet125">
    <tabColor rgb="FFFFC000"/>
  </sheetPr>
  <dimension ref="A1:C36"/>
  <sheetViews>
    <sheetView topLeftCell="A16" workbookViewId="0">
      <selection activeCell="I34" sqref="I34"/>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2446</v>
      </c>
      <c r="B2" s="1">
        <f>ROUND(其他应收款原准则!B2,2)</f>
        <v>0</v>
      </c>
      <c r="C2" s="1">
        <f>ROUND(其他应收款原准则!C2,2)</f>
        <v>0</v>
      </c>
    </row>
    <row r="3" spans="1:3">
      <c r="A3" s="18" t="s">
        <v>2447</v>
      </c>
      <c r="B3" s="1">
        <f>ROUND(其他应收款原准则!B3,2)</f>
        <v>0</v>
      </c>
      <c r="C3" s="1">
        <f>ROUND(其他应收款原准则!C3,2)</f>
        <v>0</v>
      </c>
    </row>
    <row r="4" spans="1:3">
      <c r="A4" s="151" t="s">
        <v>2448</v>
      </c>
      <c r="B4" s="1">
        <f>ROUND(SUMIF(其他应收款明细表!F:F,A4,其他应收款明细表!H:H),2)</f>
        <v>0</v>
      </c>
      <c r="C4" s="139"/>
    </row>
    <row r="5" spans="1:3">
      <c r="A5" t="s">
        <v>2191</v>
      </c>
      <c r="B5" s="1">
        <f>ROUND(SUMIF(其他应收款明细表!F:F,A5,其他应收款明细表!H:H),2)</f>
        <v>0</v>
      </c>
      <c r="C5" s="139"/>
    </row>
    <row r="6" spans="1:3">
      <c r="A6" t="s">
        <v>2192</v>
      </c>
      <c r="B6" s="1">
        <f>ROUND(SUMIF(其他应收款明细表!F:F,A6,其他应收款明细表!H:H),2)</f>
        <v>0</v>
      </c>
      <c r="C6" s="139"/>
    </row>
    <row r="7" spans="1:3">
      <c r="A7" t="s">
        <v>2193</v>
      </c>
      <c r="B7" s="1">
        <f>ROUND(SUMIF(其他应收款明细表!F:F,A7,其他应收款明细表!H:H),2)</f>
        <v>0</v>
      </c>
      <c r="C7" s="139"/>
    </row>
    <row r="8" spans="1:3">
      <c r="A8" t="s">
        <v>2194</v>
      </c>
      <c r="B8" s="1">
        <f>ROUND(SUMIF(其他应收款明细表!F:F,A8,其他应收款明细表!H:H),2)</f>
        <v>0</v>
      </c>
      <c r="C8" s="139"/>
    </row>
    <row r="9" spans="1:3">
      <c r="A9" t="s">
        <v>2195</v>
      </c>
      <c r="B9" s="1">
        <f>ROUND(SUMIF(其他应收款明细表!F:F,A9,其他应收款明细表!H:H),2)</f>
        <v>0</v>
      </c>
      <c r="C9" s="139"/>
    </row>
    <row r="10" spans="1:3">
      <c r="A10" t="s">
        <v>2196</v>
      </c>
      <c r="B10" s="1">
        <f>ROUND(SUMIF(其他应收款明细表!F:F,A10,其他应收款明细表!H:H),2)</f>
        <v>0</v>
      </c>
      <c r="C10" s="139"/>
    </row>
    <row r="11" spans="1:3">
      <c r="A11" t="s">
        <v>2197</v>
      </c>
      <c r="B11" s="1">
        <f>ROUND(SUMIF(其他应收款明细表!F:F,A11,其他应收款明细表!H:H),2)</f>
        <v>0</v>
      </c>
      <c r="C11" s="139"/>
    </row>
    <row r="12" spans="1:3">
      <c r="A12" t="s">
        <v>2198</v>
      </c>
      <c r="B12" s="1">
        <f>ROUND(SUMIF(其他应收款明细表!F:F,A12,其他应收款明细表!H:H),2)</f>
        <v>0</v>
      </c>
      <c r="C12" s="139"/>
    </row>
    <row r="13" spans="1:3">
      <c r="A13" t="s">
        <v>2199</v>
      </c>
      <c r="B13" s="1">
        <f>ROUND(SUMIF(其他应收款明细表!F:F,A13,其他应收款明细表!H:H),2)</f>
        <v>0</v>
      </c>
      <c r="C13" s="139"/>
    </row>
    <row r="14" spans="1:3">
      <c r="A14" t="s">
        <v>2200</v>
      </c>
      <c r="B14" s="1">
        <f>ROUND(SUMIF(其他应收款明细表!F:F,A14,其他应收款明细表!H:H),2)</f>
        <v>0</v>
      </c>
      <c r="C14" s="139"/>
    </row>
    <row r="15" spans="1:3">
      <c r="A15" t="s">
        <v>2201</v>
      </c>
      <c r="B15" s="1">
        <f>ROUND(SUMIF(其他应收款明细表!F:F,A15,其他应收款明细表!H:H),2)</f>
        <v>0</v>
      </c>
      <c r="C15" s="139"/>
    </row>
    <row r="16" spans="1:3">
      <c r="A16" t="s">
        <v>2202</v>
      </c>
      <c r="B16" s="1">
        <f>ROUND(SUMIF(其他应收款明细表!F:F,A16,其他应收款明细表!H:H),2)</f>
        <v>0</v>
      </c>
      <c r="C16" s="139"/>
    </row>
    <row r="17" spans="1:3">
      <c r="A17" t="s">
        <v>2203</v>
      </c>
      <c r="B17" s="1">
        <f>ROUND(SUMIF(其他应收款明细表!F:F,A17,其他应收款明细表!H:H),2)</f>
        <v>0</v>
      </c>
      <c r="C17" s="139"/>
    </row>
    <row r="18" spans="1:3">
      <c r="A18" t="s">
        <v>2204</v>
      </c>
      <c r="B18" s="1">
        <f>ROUND(SUMIF(其他应收款明细表!F:F,A18,其他应收款明细表!H:H),2)</f>
        <v>0</v>
      </c>
      <c r="C18" s="139"/>
    </row>
    <row r="19" spans="1:3">
      <c r="A19" t="s">
        <v>2205</v>
      </c>
      <c r="B19" s="1">
        <f>ROUND(SUMIF(其他应收款明细表!F:F,A19,其他应收款明细表!H:H),2)</f>
        <v>0</v>
      </c>
      <c r="C19" s="139"/>
    </row>
    <row r="20" spans="1:3">
      <c r="A20" t="s">
        <v>2206</v>
      </c>
      <c r="B20" s="1">
        <f>ROUND(SUMIF(其他应收款明细表!F:F,A20,其他应收款明细表!H:H),2)</f>
        <v>0</v>
      </c>
      <c r="C20" s="139"/>
    </row>
    <row r="21" spans="1:3">
      <c r="A21" t="s">
        <v>2207</v>
      </c>
      <c r="B21" s="1">
        <f>ROUND(SUMIF(其他应收款明细表!F:F,A21,其他应收款明细表!H:H),2)</f>
        <v>0</v>
      </c>
      <c r="C21" s="139"/>
    </row>
    <row r="22" spans="1:3">
      <c r="A22" t="s">
        <v>2208</v>
      </c>
      <c r="B22" s="1">
        <f>ROUND(SUMIF(其他应收款明细表!F:F,A22,其他应收款明细表!H:H),2)</f>
        <v>0</v>
      </c>
      <c r="C22" s="139"/>
    </row>
    <row r="23" spans="1:3">
      <c r="A23" t="s">
        <v>2209</v>
      </c>
      <c r="B23" s="1">
        <f>ROUND(SUMIF(其他应收款明细表!F:F,A23,其他应收款明细表!H:H),2)</f>
        <v>0</v>
      </c>
      <c r="C23" s="139"/>
    </row>
    <row r="24" spans="1:3">
      <c r="A24" t="s">
        <v>2210</v>
      </c>
      <c r="B24" s="1">
        <f>ROUND(SUMIF(其他应收款明细表!F:F,A24,其他应收款明细表!H:H),2)</f>
        <v>0</v>
      </c>
      <c r="C24" s="139"/>
    </row>
    <row r="25" spans="1:3">
      <c r="A25" t="s">
        <v>2211</v>
      </c>
      <c r="B25" s="1">
        <f>ROUND(SUMIF(其他应收款明细表!F:F,A25,其他应收款明细表!H:H),2)</f>
        <v>0</v>
      </c>
      <c r="C25" s="139"/>
    </row>
    <row r="26" spans="1:3">
      <c r="A26" t="s">
        <v>2212</v>
      </c>
      <c r="B26" s="1">
        <f>ROUND(SUMIF(其他应收款明细表!F:F,A26,其他应收款明细表!H:H),2)</f>
        <v>0</v>
      </c>
      <c r="C26" s="139"/>
    </row>
    <row r="27" spans="1:3">
      <c r="A27" t="s">
        <v>2213</v>
      </c>
      <c r="B27" s="1">
        <f>ROUND(SUMIF(其他应收款明细表!F:F,A27,其他应收款明细表!H:H),2)</f>
        <v>0</v>
      </c>
      <c r="C27" s="139"/>
    </row>
    <row r="28" spans="1:3">
      <c r="A28" t="s">
        <v>2214</v>
      </c>
      <c r="B28" s="1">
        <f>ROUND(SUMIF(其他应收款明细表!F:F,A28,其他应收款明细表!H:H),2)</f>
        <v>0</v>
      </c>
      <c r="C28" s="139"/>
    </row>
    <row r="29" spans="1:3">
      <c r="A29" t="s">
        <v>2215</v>
      </c>
      <c r="B29" s="1">
        <f>ROUND(SUMIF(其他应收款明细表!F:F,A29,其他应收款明细表!H:H),2)</f>
        <v>0</v>
      </c>
      <c r="C29" s="139"/>
    </row>
    <row r="30" spans="1:3">
      <c r="A30" t="s">
        <v>2216</v>
      </c>
      <c r="B30" s="1">
        <f>ROUND(SUMIF(其他应收款明细表!F:F,A30,其他应收款明细表!H:H),2)</f>
        <v>0</v>
      </c>
      <c r="C30" s="139"/>
    </row>
    <row r="31" spans="1:3">
      <c r="A31" t="s">
        <v>2217</v>
      </c>
      <c r="B31" s="1">
        <f>ROUND(SUMIF(其他应收款明细表!F:F,A31,其他应收款明细表!H:H),2)</f>
        <v>0</v>
      </c>
      <c r="C31" s="139"/>
    </row>
    <row r="32" spans="1:3">
      <c r="A32" t="s">
        <v>2218</v>
      </c>
      <c r="B32" s="1">
        <f>ROUND(SUMIF(其他应收款明细表!F:F,A32,其他应收款明细表!H:H),2)</f>
        <v>0</v>
      </c>
      <c r="C32" s="139"/>
    </row>
    <row r="33" spans="1:3">
      <c r="A33" t="s">
        <v>2219</v>
      </c>
      <c r="B33" s="1">
        <f>ROUND(SUMIF(其他应收款明细表!F:F,A33,其他应收款明细表!H:H),2)</f>
        <v>0</v>
      </c>
      <c r="C33" s="139"/>
    </row>
    <row r="34" spans="1:3">
      <c r="A34" t="s">
        <v>2220</v>
      </c>
      <c r="B34" s="1">
        <f>ROUND(SUMIF(其他应收款明细表!F:F,A34,其他应收款明细表!H:H),2)</f>
        <v>0</v>
      </c>
      <c r="C34" s="139"/>
    </row>
    <row r="35" spans="1:3">
      <c r="A35" t="s">
        <v>202</v>
      </c>
      <c r="B35" s="1">
        <f>ROUND(SUMIF(其他应收款明细表!F:F,A35,其他应收款明细表!H:H),2)</f>
        <v>0</v>
      </c>
      <c r="C35" s="139"/>
    </row>
    <row r="36" spans="1:3">
      <c r="A36" s="18" t="s">
        <v>2449</v>
      </c>
      <c r="B36" s="1">
        <f>ROUND(SUM(B2:B35),2)</f>
        <v>0</v>
      </c>
      <c r="C36" s="1">
        <f>ROUND(SUM(C2:C35),2)</f>
        <v>0</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codeName="Sheet126">
    <tabColor rgb="FFFFC000"/>
  </sheetPr>
  <dimension ref="A1:F7"/>
  <sheetViews>
    <sheetView workbookViewId="0">
      <selection activeCell="A2" sqref="A2"/>
    </sheetView>
  </sheetViews>
  <sheetFormatPr defaultRowHeight="13.8"/>
  <cols>
    <col min="1" max="1" width="11.6640625" style="1" bestFit="1" customWidth="1"/>
    <col min="2" max="3" width="9.5546875" style="1" bestFit="1" customWidth="1"/>
    <col min="4" max="4" width="6.6640625" style="1" bestFit="1" customWidth="1"/>
    <col min="5" max="5" width="32.5546875" style="1" bestFit="1" customWidth="1"/>
    <col min="6" max="6" width="10.6640625" style="1" bestFit="1" customWidth="1"/>
    <col min="7" max="16384" width="8.88671875" style="18"/>
  </cols>
  <sheetData>
    <row r="1" spans="1:6">
      <c r="A1" s="1" t="s">
        <v>246</v>
      </c>
      <c r="B1" s="1" t="s">
        <v>233</v>
      </c>
      <c r="C1" s="1" t="s">
        <v>4201</v>
      </c>
      <c r="D1" s="1" t="s">
        <v>247</v>
      </c>
      <c r="E1" s="1" t="s">
        <v>318</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3"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3"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3"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3"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3"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codeName="Sheet127">
    <tabColor rgb="FFFFC000"/>
  </sheetPr>
  <dimension ref="A1:E5"/>
  <sheetViews>
    <sheetView workbookViewId="0">
      <selection activeCell="F14" sqref="F14:F15"/>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339</v>
      </c>
      <c r="C1" s="18" t="s">
        <v>258</v>
      </c>
      <c r="D1" s="18" t="s">
        <v>341</v>
      </c>
      <c r="E1" s="18" t="s">
        <v>340</v>
      </c>
    </row>
    <row r="2" spans="1:5">
      <c r="A2" s="247"/>
      <c r="B2" s="247"/>
      <c r="C2" s="247"/>
      <c r="D2" s="247"/>
      <c r="E2" s="247"/>
    </row>
    <row r="3" spans="1:5">
      <c r="A3" s="247"/>
      <c r="B3" s="247"/>
      <c r="C3" s="247"/>
      <c r="D3" s="247"/>
      <c r="E3" s="247"/>
    </row>
    <row r="4" spans="1:5">
      <c r="A4" s="247"/>
      <c r="B4" s="247"/>
      <c r="C4" s="247"/>
      <c r="D4" s="247"/>
      <c r="E4" s="247"/>
    </row>
    <row r="5" spans="1:5">
      <c r="A5" s="18" t="s">
        <v>204</v>
      </c>
      <c r="C5" s="18">
        <f>ROUND(SUM(C2:C4),2)</f>
        <v>0</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codeName="Sheet128">
    <tabColor rgb="FFFFC000"/>
  </sheetPr>
  <dimension ref="A1:C6"/>
  <sheetViews>
    <sheetView workbookViewId="0">
      <selection activeCell="G20" sqref="G20"/>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2430</v>
      </c>
      <c r="C1" s="18" t="s">
        <v>269</v>
      </c>
    </row>
    <row r="2" spans="1:3">
      <c r="A2" s="247"/>
      <c r="B2" s="247"/>
      <c r="C2" s="247"/>
    </row>
    <row r="3" spans="1:3">
      <c r="A3" s="247"/>
      <c r="B3" s="247"/>
      <c r="C3" s="247"/>
    </row>
    <row r="4" spans="1:3">
      <c r="A4" s="247"/>
      <c r="B4" s="247"/>
      <c r="C4" s="247"/>
    </row>
    <row r="5" spans="1:3">
      <c r="A5" s="247"/>
      <c r="B5" s="247"/>
      <c r="C5" s="247"/>
    </row>
    <row r="6" spans="1:3">
      <c r="A6" s="18" t="s">
        <v>204</v>
      </c>
      <c r="B6" s="18">
        <f>ROUND(SUM(B2:B5),2)</f>
        <v>0</v>
      </c>
      <c r="C6" s="18">
        <f>ROUND(SUM(C2:C5),2)</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codeName="Sheet129">
    <tabColor rgb="FFFFC000"/>
  </sheetPr>
  <dimension ref="A1:B9"/>
  <sheetViews>
    <sheetView workbookViewId="0">
      <selection activeCell="H21" sqref="H21:H22"/>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7"/>
      <c r="B3" s="247"/>
    </row>
    <row r="4" spans="1:2">
      <c r="A4" s="247"/>
      <c r="B4" s="247"/>
    </row>
    <row r="5" spans="1:2">
      <c r="A5" s="18" t="s">
        <v>271</v>
      </c>
      <c r="B5" s="18">
        <f>ROUND(SUM(B3:B4),2)</f>
        <v>0</v>
      </c>
    </row>
    <row r="6" spans="1:2">
      <c r="A6" s="18" t="s">
        <v>272</v>
      </c>
    </row>
    <row r="7" spans="1:2">
      <c r="A7" s="247"/>
      <c r="B7" s="247"/>
    </row>
    <row r="8" spans="1:2">
      <c r="A8" s="247"/>
      <c r="B8" s="247"/>
    </row>
    <row r="9" spans="1:2">
      <c r="A9" s="18" t="s">
        <v>273</v>
      </c>
      <c r="B9" s="18">
        <f>ROUND(SUM(B7:B8),2)</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sheetPr codeName="Sheet13"/>
  <dimension ref="A1:C75"/>
  <sheetViews>
    <sheetView workbookViewId="0">
      <pane xSplit="1" ySplit="1" topLeftCell="B59" activePane="bottomRight" state="frozen"/>
      <selection pane="topRight" activeCell="B1" sqref="B1"/>
      <selection pane="bottomLeft" activeCell="A2" sqref="A2"/>
      <selection pane="bottomRight" activeCell="E74" sqref="E74"/>
    </sheetView>
  </sheetViews>
  <sheetFormatPr defaultRowHeight="13.8"/>
  <cols>
    <col min="1" max="1" width="57.77734375" style="18" bestFit="1" customWidth="1"/>
    <col min="2" max="3" width="20.44140625" style="18" bestFit="1" customWidth="1"/>
    <col min="4" max="16384" width="8.88671875" style="18"/>
  </cols>
  <sheetData>
    <row r="1" spans="1:3" ht="14.4">
      <c r="A1" s="88" t="s">
        <v>1325</v>
      </c>
      <c r="B1" s="89" t="s">
        <v>299</v>
      </c>
      <c r="C1" s="90" t="s">
        <v>429</v>
      </c>
    </row>
    <row r="2" spans="1:3" ht="14.4">
      <c r="A2" s="91" t="s">
        <v>1375</v>
      </c>
      <c r="B2" s="90"/>
      <c r="C2" s="90"/>
    </row>
    <row r="3" spans="1:3" ht="14.4">
      <c r="A3" s="92" t="s">
        <v>1376</v>
      </c>
      <c r="B3" s="93">
        <f>ROUND(本期TB!H110,2)</f>
        <v>674000000</v>
      </c>
      <c r="C3" s="93">
        <f>ROUND(上期TB!H108,2)</f>
        <v>674000000</v>
      </c>
    </row>
    <row r="4" spans="1:3" ht="14.4">
      <c r="A4" s="94" t="s">
        <v>1377</v>
      </c>
      <c r="B4" s="93">
        <f>ROUND(本期TB!H111,2)</f>
        <v>0</v>
      </c>
      <c r="C4" s="93">
        <f>ROUND(上期TB!H109,2)</f>
        <v>0</v>
      </c>
    </row>
    <row r="5" spans="1:3" ht="14.4">
      <c r="A5" s="94" t="s">
        <v>1378</v>
      </c>
      <c r="B5" s="93">
        <f>ROUND(本期TB!H112,2)</f>
        <v>0</v>
      </c>
      <c r="C5" s="93">
        <f>ROUND(上期TB!H110,2)</f>
        <v>0</v>
      </c>
    </row>
    <row r="6" spans="1:3" ht="14.4">
      <c r="A6" s="95" t="s">
        <v>1379</v>
      </c>
      <c r="B6" s="93">
        <f>ROUND(本期TB!H113,2)</f>
        <v>0</v>
      </c>
      <c r="C6" s="93">
        <f>ROUND(上期TB!H111,2)</f>
        <v>0</v>
      </c>
    </row>
    <row r="7" spans="1:3" ht="14.4">
      <c r="A7" s="92" t="s">
        <v>1380</v>
      </c>
      <c r="B7" s="93">
        <f>ROUND(本期TB!H114,2)</f>
        <v>0</v>
      </c>
      <c r="C7" s="93">
        <f>ROUND(上期TB!H112,2)</f>
        <v>0</v>
      </c>
    </row>
    <row r="8" spans="1:3" ht="14.4">
      <c r="A8" s="95" t="s">
        <v>1381</v>
      </c>
      <c r="B8" s="93">
        <f>ROUND(本期TB!H115,2)</f>
        <v>0</v>
      </c>
      <c r="C8" s="93">
        <f>ROUND(上期TB!H113,2)</f>
        <v>0</v>
      </c>
    </row>
    <row r="9" spans="1:3" ht="14.4">
      <c r="A9" s="95" t="s">
        <v>1382</v>
      </c>
      <c r="B9" s="93">
        <f>ROUND(本期TB!H116,2)</f>
        <v>0</v>
      </c>
      <c r="C9" s="93">
        <f>ROUND(上期TB!H114,2)</f>
        <v>0</v>
      </c>
    </row>
    <row r="10" spans="1:3" ht="14.4">
      <c r="A10" s="95" t="s">
        <v>1383</v>
      </c>
      <c r="B10" s="93">
        <f>ROUND(本期TB!H117,2)</f>
        <v>148589378.94</v>
      </c>
      <c r="C10" s="93">
        <f>ROUND(上期TB!H115,2)</f>
        <v>148589378.94</v>
      </c>
    </row>
    <row r="11" spans="1:3" ht="14.4">
      <c r="A11" s="92" t="s">
        <v>1384</v>
      </c>
      <c r="B11" s="93">
        <f>ROUND(本期TB!H119+本期TB!H118,2)</f>
        <v>590798132.32000005</v>
      </c>
      <c r="C11" s="93">
        <f>ROUND(上期TB!H117+上期TB!H116,2)</f>
        <v>590798132.32000005</v>
      </c>
    </row>
    <row r="12" spans="1:3" ht="14.4">
      <c r="A12" s="95" t="s">
        <v>1385</v>
      </c>
      <c r="B12" s="93">
        <f>ROUND(本期TB!H131,2)</f>
        <v>0</v>
      </c>
      <c r="C12" s="93">
        <f>ROUND(上期TB!H129,2)</f>
        <v>0</v>
      </c>
    </row>
    <row r="13" spans="1:3" ht="14.4">
      <c r="A13" s="94" t="s">
        <v>1386</v>
      </c>
      <c r="B13" s="93">
        <f>ROUND(本期TB!H120,2)</f>
        <v>0</v>
      </c>
      <c r="C13" s="93">
        <f>ROUND(上期TB!H118,2)</f>
        <v>0</v>
      </c>
    </row>
    <row r="14" spans="1:3" ht="14.4">
      <c r="A14" s="94" t="s">
        <v>1387</v>
      </c>
      <c r="B14" s="93">
        <f>ROUND(本期TB!H121,2)</f>
        <v>0</v>
      </c>
      <c r="C14" s="93">
        <f>ROUND(上期TB!H119,2)</f>
        <v>0</v>
      </c>
    </row>
    <row r="15" spans="1:3" ht="14.4">
      <c r="A15" s="94" t="s">
        <v>1388</v>
      </c>
      <c r="B15" s="93">
        <f>ROUND(本期TB!H122,2)</f>
        <v>0</v>
      </c>
      <c r="C15" s="93">
        <f>ROUND(上期TB!H120,2)</f>
        <v>0</v>
      </c>
    </row>
    <row r="16" spans="1:3" ht="14.4">
      <c r="A16" s="94" t="s">
        <v>1389</v>
      </c>
      <c r="B16" s="93">
        <f>ROUND(本期TB!H123,2)</f>
        <v>0</v>
      </c>
      <c r="C16" s="93">
        <f>ROUND(上期TB!H121,2)</f>
        <v>0</v>
      </c>
    </row>
    <row r="17" spans="1:3" ht="14.4">
      <c r="A17" s="92" t="s">
        <v>1390</v>
      </c>
      <c r="B17" s="93">
        <f>ROUND(本期TB!H124,2)</f>
        <v>13636984.890000001</v>
      </c>
      <c r="C17" s="93">
        <f>ROUND(上期TB!H122,2)</f>
        <v>13636984.890000001</v>
      </c>
    </row>
    <row r="18" spans="1:3" ht="14.4">
      <c r="A18" s="95" t="s">
        <v>1391</v>
      </c>
      <c r="B18" s="93"/>
      <c r="C18" s="93"/>
    </row>
    <row r="19" spans="1:3" ht="14.4">
      <c r="A19" s="95" t="s">
        <v>1392</v>
      </c>
      <c r="B19" s="93"/>
      <c r="C19" s="93"/>
    </row>
    <row r="20" spans="1:3" ht="14.4">
      <c r="A20" s="95" t="s">
        <v>1393</v>
      </c>
      <c r="B20" s="93"/>
      <c r="C20" s="93"/>
    </row>
    <row r="21" spans="1:3" ht="14.4">
      <c r="A21" s="96" t="s">
        <v>1394</v>
      </c>
      <c r="B21" s="93">
        <f>ROUND(本期TB!H125,2)</f>
        <v>-13638389.939999999</v>
      </c>
      <c r="C21" s="93">
        <f>ROUND(上期TB!H123,2)</f>
        <v>-13638389.939999999</v>
      </c>
    </row>
    <row r="22" spans="1:3" ht="14.4">
      <c r="A22" s="96" t="s">
        <v>1395</v>
      </c>
      <c r="B22" s="93"/>
      <c r="C22" s="93"/>
    </row>
    <row r="23" spans="1:3" ht="14.4">
      <c r="A23" s="92" t="s">
        <v>1396</v>
      </c>
      <c r="B23" s="93">
        <f>ROUND(本期TB!H126+本期TB!H127+本期TB!H128,2)</f>
        <v>876561625.65999997</v>
      </c>
      <c r="C23" s="93">
        <f>ROUND(上期TB!H124+上期TB!H125+上期TB!H126,2)</f>
        <v>876561625.65999997</v>
      </c>
    </row>
    <row r="24" spans="1:3" ht="14.4">
      <c r="A24" s="92" t="s">
        <v>4622</v>
      </c>
      <c r="B24" s="93"/>
      <c r="C24" s="93"/>
    </row>
    <row r="25" spans="1:3" ht="14.4">
      <c r="A25" s="94" t="s">
        <v>1397</v>
      </c>
      <c r="B25" s="93">
        <f>ROUND(本期TB!H129,2)</f>
        <v>0</v>
      </c>
      <c r="C25" s="93">
        <f>ROUND(上期TB!H127,2)</f>
        <v>0</v>
      </c>
    </row>
    <row r="26" spans="1:3" ht="14.4">
      <c r="A26" s="94" t="s">
        <v>1398</v>
      </c>
      <c r="B26" s="93">
        <f>ROUND(本期TB!H130,2)</f>
        <v>0</v>
      </c>
      <c r="C26" s="93">
        <f>ROUND(上期TB!H128,2)</f>
        <v>0</v>
      </c>
    </row>
    <row r="27" spans="1:3" ht="14.4">
      <c r="A27" s="95" t="s">
        <v>1399</v>
      </c>
      <c r="B27" s="93">
        <f>ROUND(本期TB!H132,2)</f>
        <v>0</v>
      </c>
      <c r="C27" s="93">
        <f>ROUND(上期TB!H130,2)</f>
        <v>0</v>
      </c>
    </row>
    <row r="28" spans="1:3" ht="14.4">
      <c r="A28" s="92" t="s">
        <v>1400</v>
      </c>
      <c r="B28" s="93">
        <f>ROUND(本期TB!H133,2)</f>
        <v>0</v>
      </c>
      <c r="C28" s="93">
        <f>ROUND(上期TB!H131,2)</f>
        <v>0</v>
      </c>
    </row>
    <row r="29" spans="1:3" ht="14.4">
      <c r="A29" s="92" t="s">
        <v>1401</v>
      </c>
      <c r="B29" s="93">
        <f>ROUND(本期TB!H134,2)</f>
        <v>0</v>
      </c>
      <c r="C29" s="93">
        <f>ROUND(上期TB!H132,2)</f>
        <v>0</v>
      </c>
    </row>
    <row r="30" spans="1:3" ht="14.4">
      <c r="A30" s="97" t="s">
        <v>1402</v>
      </c>
      <c r="B30" s="98">
        <f>ROUND(SUM(B3:B17,B21,B23:B29),2)-B24</f>
        <v>2289947731.8699999</v>
      </c>
      <c r="C30" s="98">
        <f>ROUND(SUM(C3:C17,C21,C23:C29),2)-C24</f>
        <v>2289947731.8699999</v>
      </c>
    </row>
    <row r="31" spans="1:3" ht="14.4">
      <c r="A31" s="91" t="s">
        <v>1403</v>
      </c>
      <c r="B31" s="99"/>
      <c r="C31" s="99"/>
    </row>
    <row r="32" spans="1:3" ht="14.4">
      <c r="A32" s="94" t="s">
        <v>1404</v>
      </c>
      <c r="B32" s="99">
        <f>ROUND(本期TB!H137,2)</f>
        <v>0</v>
      </c>
      <c r="C32" s="99">
        <f>ROUND(上期TB!H135,2)</f>
        <v>0</v>
      </c>
    </row>
    <row r="33" spans="1:3" ht="14.4">
      <c r="A33" s="92" t="s">
        <v>1405</v>
      </c>
      <c r="B33" s="99">
        <f>ROUND(本期TB!H138,2)</f>
        <v>0</v>
      </c>
      <c r="C33" s="99">
        <f>ROUND(上期TB!H136,2)</f>
        <v>0</v>
      </c>
    </row>
    <row r="34" spans="1:3" ht="14.4">
      <c r="A34" s="92" t="s">
        <v>1406</v>
      </c>
      <c r="B34" s="93">
        <f>ROUND(本期TB!H139,2)</f>
        <v>3483543400</v>
      </c>
      <c r="C34" s="93">
        <f>ROUND(上期TB!H137,2)</f>
        <v>3483543400</v>
      </c>
    </row>
    <row r="35" spans="1:3" ht="14.4">
      <c r="A35" s="95" t="s">
        <v>1407</v>
      </c>
      <c r="B35" s="93">
        <f>ROUND(本期TB!H140,2)</f>
        <v>0</v>
      </c>
      <c r="C35" s="93">
        <f>ROUND(上期TB!H138,2)</f>
        <v>0</v>
      </c>
    </row>
    <row r="36" spans="1:3" ht="14.4">
      <c r="A36" s="95" t="s">
        <v>1408</v>
      </c>
      <c r="B36" s="93">
        <f>ROUND(本期TB!H141,2)</f>
        <v>0</v>
      </c>
      <c r="C36" s="93">
        <f>ROUND(上期TB!H139,2)</f>
        <v>0</v>
      </c>
    </row>
    <row r="37" spans="1:3" ht="14.4">
      <c r="A37" s="100" t="s">
        <v>1409</v>
      </c>
      <c r="B37" s="93">
        <f>ROUND(本期TB!H142,2)</f>
        <v>0</v>
      </c>
      <c r="C37" s="93">
        <f>ROUND(上期TB!H140,2)</f>
        <v>0</v>
      </c>
    </row>
    <row r="38" spans="1:3" ht="14.4">
      <c r="A38" s="92" t="s">
        <v>1410</v>
      </c>
      <c r="B38" s="93">
        <f>ROUND(本期TB!H143+本期TB!H146,2)</f>
        <v>2863042966.29</v>
      </c>
      <c r="C38" s="93">
        <f>ROUND(上期TB!H141+上期TB!H144,2)</f>
        <v>2863042966.29</v>
      </c>
    </row>
    <row r="39" spans="1:3" ht="14.4">
      <c r="A39" s="96" t="s">
        <v>1411</v>
      </c>
      <c r="B39" s="93">
        <f>ROUND(本期TB!H147,2)</f>
        <v>0</v>
      </c>
      <c r="C39" s="93">
        <f>ROUND(上期TB!H145,2)</f>
        <v>0</v>
      </c>
    </row>
    <row r="40" spans="1:3" ht="14.4">
      <c r="A40" s="95" t="s">
        <v>1412</v>
      </c>
      <c r="B40" s="93">
        <f>ROUND(本期TB!H148,2)</f>
        <v>0</v>
      </c>
      <c r="C40" s="93">
        <f>ROUND(上期TB!H146,2)</f>
        <v>0</v>
      </c>
    </row>
    <row r="41" spans="1:3" ht="14.4">
      <c r="A41" s="92" t="s">
        <v>1413</v>
      </c>
      <c r="B41" s="93">
        <f>ROUND(本期TB!H149,2)</f>
        <v>55530257.920000002</v>
      </c>
      <c r="C41" s="93">
        <f>ROUND(上期TB!H147,2)</f>
        <v>55530257.920000002</v>
      </c>
    </row>
    <row r="42" spans="1:3" ht="14.4">
      <c r="A42" s="92" t="s">
        <v>1414</v>
      </c>
      <c r="B42" s="93">
        <f>ROUND(本期TB!H150,2)</f>
        <v>22684266.809999999</v>
      </c>
      <c r="C42" s="93">
        <f>ROUND(上期TB!H148,2)</f>
        <v>22684266.809999999</v>
      </c>
    </row>
    <row r="43" spans="1:3" ht="14.4">
      <c r="A43" s="92" t="s">
        <v>1415</v>
      </c>
      <c r="B43" s="93">
        <f>ROUND(本期TB!H151,2)</f>
        <v>0</v>
      </c>
      <c r="C43" s="93">
        <f>ROUND(上期TB!H149,2)</f>
        <v>0</v>
      </c>
    </row>
    <row r="44" spans="1:3" ht="14.4">
      <c r="A44" s="96" t="s">
        <v>1416</v>
      </c>
      <c r="B44" s="99"/>
      <c r="C44" s="99"/>
    </row>
    <row r="45" spans="1:3" ht="14.4">
      <c r="A45" s="97" t="s">
        <v>1417</v>
      </c>
      <c r="B45" s="98">
        <f>ROUND(SUM(B32:B34,B37:B43),2)</f>
        <v>6424800891.0200005</v>
      </c>
      <c r="C45" s="98">
        <f>ROUND(SUM(C32:C34,C37:C43),2)</f>
        <v>6424800891.0200005</v>
      </c>
    </row>
    <row r="46" spans="1:3" ht="14.4">
      <c r="A46" s="97" t="s">
        <v>1418</v>
      </c>
      <c r="B46" s="98">
        <f>ROUND(B45+B30,2)</f>
        <v>8714748622.8899994</v>
      </c>
      <c r="C46" s="98">
        <f>ROUND(C45+C30,2)</f>
        <v>8714748622.8899994</v>
      </c>
    </row>
    <row r="47" spans="1:3" ht="14.4">
      <c r="A47" s="91" t="s">
        <v>1419</v>
      </c>
      <c r="B47" s="99"/>
      <c r="C47" s="99"/>
    </row>
    <row r="48" spans="1:3" ht="14.4">
      <c r="A48" s="92" t="s">
        <v>1420</v>
      </c>
      <c r="B48" s="98">
        <f>ROUND(SUM(B49:B53),2)</f>
        <v>3020000000</v>
      </c>
      <c r="C48" s="98">
        <f>ROUND(SUM(C49:C53),2)</f>
        <v>3020000000</v>
      </c>
    </row>
    <row r="49" spans="1:3" ht="14.4">
      <c r="A49" s="92" t="s">
        <v>1421</v>
      </c>
      <c r="B49" s="93"/>
      <c r="C49" s="93"/>
    </row>
    <row r="50" spans="1:3" ht="14.4">
      <c r="A50" s="96" t="s">
        <v>1422</v>
      </c>
      <c r="B50" s="93">
        <f>ROUND(本期TB!H155,2)</f>
        <v>3020000000</v>
      </c>
      <c r="C50" s="93">
        <f>ROUND(上期TB!H153,2)</f>
        <v>3020000000</v>
      </c>
    </row>
    <row r="51" spans="1:3" ht="14.4">
      <c r="A51" s="95" t="s">
        <v>1423</v>
      </c>
      <c r="B51" s="93"/>
      <c r="C51" s="93"/>
    </row>
    <row r="52" spans="1:3" ht="14.4">
      <c r="A52" s="95" t="s">
        <v>1424</v>
      </c>
      <c r="B52" s="93"/>
      <c r="C52" s="93"/>
    </row>
    <row r="53" spans="1:3" ht="14.4">
      <c r="A53" s="95" t="s">
        <v>1425</v>
      </c>
      <c r="B53" s="93"/>
      <c r="C53" s="93"/>
    </row>
    <row r="54" spans="1:3" ht="14.4">
      <c r="A54" s="95" t="s">
        <v>1426</v>
      </c>
      <c r="B54" s="93"/>
      <c r="C54" s="93"/>
    </row>
    <row r="55" spans="1:3" ht="14.4">
      <c r="A55" s="95" t="s">
        <v>3983</v>
      </c>
      <c r="B55" s="98">
        <f>ROUND(B48-B54,2)</f>
        <v>3020000000</v>
      </c>
      <c r="C55" s="98">
        <f>ROUND(C48-C54,2)</f>
        <v>3020000000</v>
      </c>
    </row>
    <row r="56" spans="1:3" ht="14.4">
      <c r="A56" s="95" t="s">
        <v>1427</v>
      </c>
      <c r="B56" s="93">
        <f>ROUND(本期TB!H156,2)</f>
        <v>0</v>
      </c>
      <c r="C56" s="93">
        <f>ROUND(上期TB!H154,2)</f>
        <v>0</v>
      </c>
    </row>
    <row r="57" spans="1:3" ht="14.4">
      <c r="A57" s="95" t="s">
        <v>1407</v>
      </c>
      <c r="B57" s="93">
        <f>ROUND(本期TB!H157,2)</f>
        <v>0</v>
      </c>
      <c r="C57" s="93">
        <f>ROUND(上期TB!H155,2)</f>
        <v>0</v>
      </c>
    </row>
    <row r="58" spans="1:3" ht="14.4">
      <c r="A58" s="95" t="s">
        <v>1408</v>
      </c>
      <c r="B58" s="93">
        <f>ROUND(本期TB!H158,2)</f>
        <v>0</v>
      </c>
      <c r="C58" s="93">
        <f>ROUND(上期TB!H156,2)</f>
        <v>0</v>
      </c>
    </row>
    <row r="59" spans="1:3" ht="14.4">
      <c r="A59" s="95" t="s">
        <v>1428</v>
      </c>
      <c r="B59" s="93">
        <f>ROUND(本期TB!H159,2)</f>
        <v>3841836934.0599999</v>
      </c>
      <c r="C59" s="93">
        <f>ROUND(上期TB!H157,2)</f>
        <v>3841836934.0599999</v>
      </c>
    </row>
    <row r="60" spans="1:3" ht="14.4">
      <c r="A60" s="95" t="s">
        <v>1429</v>
      </c>
      <c r="B60" s="93">
        <f>ROUND(本期TB!H160,2)</f>
        <v>0</v>
      </c>
      <c r="C60" s="93">
        <f>ROUND(上期TB!H158,2)</f>
        <v>0</v>
      </c>
    </row>
    <row r="61" spans="1:3" ht="14.4">
      <c r="A61" s="95" t="s">
        <v>1430</v>
      </c>
      <c r="B61" s="93">
        <f>ROUND(本期TB!H161,2)</f>
        <v>68129543.510000005</v>
      </c>
      <c r="C61" s="93">
        <f>ROUND(上期TB!H159,2)</f>
        <v>68129543.510000005</v>
      </c>
    </row>
    <row r="62" spans="1:3" ht="14.4">
      <c r="A62" s="95" t="s">
        <v>1431</v>
      </c>
      <c r="B62" s="93"/>
      <c r="C62" s="93"/>
    </row>
    <row r="63" spans="1:3" ht="14.4">
      <c r="A63" s="95" t="s">
        <v>1432</v>
      </c>
      <c r="B63" s="93">
        <f>ROUND(本期TB!H162,2)</f>
        <v>0</v>
      </c>
      <c r="C63" s="93">
        <f>ROUND(上期TB!H160,2)</f>
        <v>0</v>
      </c>
    </row>
    <row r="64" spans="1:3" ht="14.4">
      <c r="A64" s="95" t="s">
        <v>1433</v>
      </c>
      <c r="B64" s="93">
        <f>ROUND(本期TB!H163,2)</f>
        <v>155546840.28999999</v>
      </c>
      <c r="C64" s="93">
        <f>ROUND(上期TB!H161,2)</f>
        <v>155546840.28999999</v>
      </c>
    </row>
    <row r="65" spans="1:3" ht="14.4">
      <c r="A65" s="95" t="s">
        <v>1434</v>
      </c>
      <c r="B65" s="93"/>
      <c r="C65" s="93"/>
    </row>
    <row r="66" spans="1:3" ht="14.4">
      <c r="A66" s="95" t="s">
        <v>1435</v>
      </c>
      <c r="B66" s="93"/>
      <c r="C66" s="93"/>
    </row>
    <row r="67" spans="1:3" ht="14.4">
      <c r="A67" s="95" t="s">
        <v>1436</v>
      </c>
      <c r="B67" s="93"/>
      <c r="C67" s="93"/>
    </row>
    <row r="68" spans="1:3" ht="14.4">
      <c r="A68" s="95" t="s">
        <v>1437</v>
      </c>
      <c r="B68" s="93"/>
      <c r="C68" s="93"/>
    </row>
    <row r="69" spans="1:3" ht="14.4">
      <c r="A69" s="95" t="s">
        <v>1438</v>
      </c>
      <c r="B69" s="93"/>
      <c r="C69" s="93"/>
    </row>
    <row r="70" spans="1:3" ht="14.4">
      <c r="A70" s="95" t="s">
        <v>1439</v>
      </c>
      <c r="B70" s="93">
        <f>ROUND(本期TB!H164,2)</f>
        <v>0</v>
      </c>
      <c r="C70" s="93">
        <f>ROUND(上期TB!H162,2)</f>
        <v>0</v>
      </c>
    </row>
    <row r="71" spans="1:3" ht="14.4">
      <c r="A71" s="95" t="s">
        <v>1440</v>
      </c>
      <c r="B71" s="93">
        <f>ROUND(本期TB!H165,2)</f>
        <v>1083802662.6900001</v>
      </c>
      <c r="C71" s="93">
        <f>ROUND(上期TB!H163,2)</f>
        <v>1123892798.95</v>
      </c>
    </row>
    <row r="72" spans="1:3" ht="14.4">
      <c r="A72" s="95" t="s">
        <v>3984</v>
      </c>
      <c r="B72" s="98">
        <f>ROUND(SUM(B55:B56,B59,-B60,B61,B63:B64,B70:B71),2)</f>
        <v>8169315980.5500002</v>
      </c>
      <c r="C72" s="98">
        <f>ROUND(SUM(C55:C56,C59,-C60,C61,C63:C64,C70:C71),2)</f>
        <v>8209406116.8100004</v>
      </c>
    </row>
    <row r="73" spans="1:3" ht="14.4">
      <c r="A73" s="95" t="s">
        <v>3985</v>
      </c>
      <c r="B73" s="93">
        <f>ROUND(本期TB!H167,2)</f>
        <v>0</v>
      </c>
      <c r="C73" s="93">
        <f>ROUND(上期TB!H165,2)</f>
        <v>0</v>
      </c>
    </row>
    <row r="74" spans="1:3" ht="14.4">
      <c r="A74" s="95" t="s">
        <v>3987</v>
      </c>
      <c r="B74" s="98">
        <f>ROUND(B72+B73,2)</f>
        <v>8169315980.5500002</v>
      </c>
      <c r="C74" s="98">
        <f>ROUND(C72+C73,2)</f>
        <v>8209406116.8100004</v>
      </c>
    </row>
    <row r="75" spans="1:3" ht="14.4">
      <c r="A75" s="95" t="s">
        <v>3986</v>
      </c>
      <c r="B75" s="98">
        <f>ROUND(B74+B46,2)</f>
        <v>16884064603.440001</v>
      </c>
      <c r="C75" s="98">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sheetPr codeName="Sheet130"/>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A4" sqref="A4"/>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7" customFormat="1" ht="40.799999999999997">
      <c r="A1" s="271" t="s">
        <v>2015</v>
      </c>
      <c r="B1" s="271" t="s">
        <v>125</v>
      </c>
      <c r="C1" s="592" t="s">
        <v>2190</v>
      </c>
      <c r="D1" s="592" t="s">
        <v>2386</v>
      </c>
      <c r="E1" s="592" t="s">
        <v>2387</v>
      </c>
      <c r="F1" s="592" t="s">
        <v>2388</v>
      </c>
      <c r="G1" s="592" t="s">
        <v>1722</v>
      </c>
      <c r="H1" s="593" t="s">
        <v>258</v>
      </c>
      <c r="I1" s="595" t="s">
        <v>4607</v>
      </c>
      <c r="J1" s="592" t="s">
        <v>4608</v>
      </c>
      <c r="K1" s="592" t="s">
        <v>4609</v>
      </c>
      <c r="L1" s="592" t="s">
        <v>4610</v>
      </c>
      <c r="M1" s="592" t="s">
        <v>4611</v>
      </c>
      <c r="N1" s="592" t="s">
        <v>4612</v>
      </c>
      <c r="O1" s="592" t="s">
        <v>220</v>
      </c>
      <c r="P1" s="592" t="s">
        <v>2389</v>
      </c>
      <c r="Q1" s="592" t="s">
        <v>2390</v>
      </c>
      <c r="R1" s="592" t="s">
        <v>2437</v>
      </c>
      <c r="S1" s="593" t="s">
        <v>215</v>
      </c>
      <c r="T1" s="595" t="s">
        <v>4569</v>
      </c>
      <c r="U1" s="592" t="s">
        <v>4570</v>
      </c>
      <c r="V1" s="592" t="s">
        <v>4571</v>
      </c>
      <c r="W1" s="592" t="s">
        <v>4572</v>
      </c>
      <c r="X1" s="592" t="s">
        <v>4573</v>
      </c>
      <c r="Y1" s="592" t="s">
        <v>4574</v>
      </c>
      <c r="Z1" s="592" t="s">
        <v>349</v>
      </c>
      <c r="AA1" s="595" t="s">
        <v>4575</v>
      </c>
      <c r="AB1" s="592" t="s">
        <v>4576</v>
      </c>
      <c r="AC1" s="592" t="s">
        <v>4577</v>
      </c>
      <c r="AD1" s="592" t="s">
        <v>4578</v>
      </c>
      <c r="AE1" s="592" t="s">
        <v>4579</v>
      </c>
      <c r="AF1" s="592" t="s">
        <v>4580</v>
      </c>
      <c r="AG1" s="592" t="s">
        <v>2391</v>
      </c>
      <c r="AH1" s="592" t="s">
        <v>4631</v>
      </c>
      <c r="AI1" s="592" t="s">
        <v>4632</v>
      </c>
    </row>
    <row r="2" spans="1:35">
      <c r="A2" t="str">
        <f>IF(ABS(H2)&gt;0,基础信息!$B$1,"")</f>
        <v/>
      </c>
      <c r="B2" s="256"/>
      <c r="C2" s="277"/>
      <c r="D2" s="256"/>
      <c r="E2" s="277"/>
      <c r="F2" s="277"/>
      <c r="G2" s="277"/>
      <c r="H2" s="230">
        <f>SUM(I2:N2)</f>
        <v>0</v>
      </c>
      <c r="I2" s="256"/>
      <c r="J2" s="256"/>
      <c r="K2" s="256"/>
      <c r="L2" s="256"/>
      <c r="M2" s="256"/>
      <c r="N2" s="256"/>
      <c r="O2" s="256"/>
      <c r="P2" s="256"/>
      <c r="Q2" s="256"/>
      <c r="R2" s="256"/>
      <c r="S2" s="230">
        <f>O2+P2-Q2-R2</f>
        <v>0</v>
      </c>
      <c r="T2" s="256"/>
      <c r="U2" s="256"/>
      <c r="V2" s="256"/>
      <c r="W2" s="256"/>
      <c r="X2" s="256"/>
      <c r="Y2" s="256"/>
      <c r="Z2" s="231">
        <f t="shared" ref="Z2:Z25" si="0">H2-S2</f>
        <v>0</v>
      </c>
      <c r="AA2" s="231">
        <f t="shared" ref="AA2:AA25" si="1">I2-T2</f>
        <v>0</v>
      </c>
      <c r="AB2" s="231">
        <f t="shared" ref="AB2:AB25" si="2">J2-U2</f>
        <v>0</v>
      </c>
      <c r="AC2" s="231">
        <f t="shared" ref="AC2:AC25" si="3">K2-V2</f>
        <v>0</v>
      </c>
      <c r="AD2" s="231">
        <f t="shared" ref="AD2:AD25" si="4">L2-W2</f>
        <v>0</v>
      </c>
      <c r="AE2" s="231">
        <f t="shared" ref="AE2:AE25" si="5">M2-X2</f>
        <v>0</v>
      </c>
      <c r="AF2" s="231">
        <f t="shared" ref="AF2:AF25" si="6">N2-Y2</f>
        <v>0</v>
      </c>
      <c r="AG2" s="231">
        <f>S2-SUM(T2:Y2)</f>
        <v>0</v>
      </c>
    </row>
    <row r="3" spans="1:35">
      <c r="A3" t="str">
        <f>IF(ABS(H3)&gt;0,基础信息!$B$1,"")</f>
        <v/>
      </c>
      <c r="B3" s="256"/>
      <c r="C3" s="277"/>
      <c r="D3" s="256"/>
      <c r="E3" s="277"/>
      <c r="F3" s="277"/>
      <c r="G3" s="277"/>
      <c r="H3" s="230">
        <f t="shared" ref="H3:H25" si="7">SUM(I3:N3)</f>
        <v>0</v>
      </c>
      <c r="I3" s="256"/>
      <c r="J3" s="256"/>
      <c r="K3" s="256"/>
      <c r="L3" s="256"/>
      <c r="M3" s="256"/>
      <c r="N3" s="256"/>
      <c r="O3" s="256"/>
      <c r="P3" s="256"/>
      <c r="Q3" s="256"/>
      <c r="R3" s="256"/>
      <c r="S3" s="230">
        <f t="shared" ref="S3:S35" si="8">O3+P3-Q3-R3</f>
        <v>0</v>
      </c>
      <c r="T3" s="256"/>
      <c r="U3" s="256"/>
      <c r="V3" s="256"/>
      <c r="W3" s="256"/>
      <c r="X3" s="256"/>
      <c r="Y3" s="256"/>
      <c r="Z3" s="231">
        <f t="shared" si="0"/>
        <v>0</v>
      </c>
      <c r="AA3" s="231">
        <f t="shared" si="1"/>
        <v>0</v>
      </c>
      <c r="AB3" s="231">
        <f t="shared" si="2"/>
        <v>0</v>
      </c>
      <c r="AC3" s="231">
        <f t="shared" si="3"/>
        <v>0</v>
      </c>
      <c r="AD3" s="231">
        <f t="shared" si="4"/>
        <v>0</v>
      </c>
      <c r="AE3" s="231">
        <f t="shared" si="5"/>
        <v>0</v>
      </c>
      <c r="AF3" s="231">
        <f t="shared" si="6"/>
        <v>0</v>
      </c>
      <c r="AG3" s="231">
        <f t="shared" ref="AG3:AG25" si="9">S3-SUM(T3:Y3)</f>
        <v>0</v>
      </c>
    </row>
    <row r="4" spans="1:35">
      <c r="A4" t="str">
        <f>IF(ABS(H4)&gt;0,基础信息!$B$1,"")</f>
        <v/>
      </c>
      <c r="B4" s="256"/>
      <c r="C4" s="277"/>
      <c r="D4" s="256"/>
      <c r="E4" s="277"/>
      <c r="F4" s="277"/>
      <c r="G4" s="277"/>
      <c r="H4" s="230">
        <f t="shared" si="7"/>
        <v>0</v>
      </c>
      <c r="I4" s="256"/>
      <c r="J4" s="256"/>
      <c r="K4" s="256"/>
      <c r="L4" s="256"/>
      <c r="M4" s="256"/>
      <c r="N4" s="256"/>
      <c r="O4" s="256"/>
      <c r="P4" s="256"/>
      <c r="Q4" s="256"/>
      <c r="R4" s="256"/>
      <c r="S4" s="230">
        <f t="shared" si="8"/>
        <v>0</v>
      </c>
      <c r="T4" s="256"/>
      <c r="U4" s="256"/>
      <c r="V4" s="256"/>
      <c r="W4" s="256"/>
      <c r="X4" s="256"/>
      <c r="Y4" s="256"/>
      <c r="Z4" s="231">
        <f t="shared" si="0"/>
        <v>0</v>
      </c>
      <c r="AA4" s="231">
        <f t="shared" si="1"/>
        <v>0</v>
      </c>
      <c r="AB4" s="231">
        <f t="shared" si="2"/>
        <v>0</v>
      </c>
      <c r="AC4" s="231">
        <f t="shared" si="3"/>
        <v>0</v>
      </c>
      <c r="AD4" s="231">
        <f t="shared" si="4"/>
        <v>0</v>
      </c>
      <c r="AE4" s="231">
        <f t="shared" si="5"/>
        <v>0</v>
      </c>
      <c r="AF4" s="231">
        <f t="shared" si="6"/>
        <v>0</v>
      </c>
      <c r="AG4" s="231">
        <f t="shared" si="9"/>
        <v>0</v>
      </c>
    </row>
    <row r="5" spans="1:35">
      <c r="A5" t="str">
        <f>IF(ABS(H5)&gt;0,基础信息!$B$1,"")</f>
        <v/>
      </c>
      <c r="B5" s="256"/>
      <c r="C5" s="277"/>
      <c r="D5" s="256"/>
      <c r="E5" s="277"/>
      <c r="F5" s="277"/>
      <c r="G5" s="277"/>
      <c r="H5" s="230">
        <f t="shared" si="7"/>
        <v>0</v>
      </c>
      <c r="I5" s="256"/>
      <c r="J5" s="256"/>
      <c r="K5" s="256"/>
      <c r="L5" s="256"/>
      <c r="M5" s="256"/>
      <c r="N5" s="256"/>
      <c r="O5" s="256"/>
      <c r="P5" s="256"/>
      <c r="Q5" s="256"/>
      <c r="R5" s="256"/>
      <c r="S5" s="230">
        <f t="shared" si="8"/>
        <v>0</v>
      </c>
      <c r="T5" s="256"/>
      <c r="U5" s="256"/>
      <c r="V5" s="256"/>
      <c r="W5" s="256"/>
      <c r="X5" s="256"/>
      <c r="Y5" s="256"/>
      <c r="Z5" s="231">
        <f t="shared" si="0"/>
        <v>0</v>
      </c>
      <c r="AA5" s="231">
        <f t="shared" si="1"/>
        <v>0</v>
      </c>
      <c r="AB5" s="231">
        <f t="shared" si="2"/>
        <v>0</v>
      </c>
      <c r="AC5" s="231">
        <f t="shared" si="3"/>
        <v>0</v>
      </c>
      <c r="AD5" s="231">
        <f t="shared" si="4"/>
        <v>0</v>
      </c>
      <c r="AE5" s="231">
        <f t="shared" si="5"/>
        <v>0</v>
      </c>
      <c r="AF5" s="231">
        <f t="shared" si="6"/>
        <v>0</v>
      </c>
      <c r="AG5" s="231">
        <f t="shared" si="9"/>
        <v>0</v>
      </c>
      <c r="AH5" s="592"/>
    </row>
    <row r="6" spans="1:35">
      <c r="A6" t="str">
        <f>IF(ABS(H6)&gt;0,基础信息!$B$1,"")</f>
        <v/>
      </c>
      <c r="B6" s="256"/>
      <c r="C6" s="277"/>
      <c r="D6" s="256"/>
      <c r="E6" s="277"/>
      <c r="F6" s="277"/>
      <c r="G6" s="277"/>
      <c r="H6" s="230">
        <f t="shared" si="7"/>
        <v>0</v>
      </c>
      <c r="I6" s="256"/>
      <c r="J6" s="256"/>
      <c r="K6" s="256"/>
      <c r="L6" s="256"/>
      <c r="M6" s="256"/>
      <c r="N6" s="256"/>
      <c r="O6" s="256"/>
      <c r="P6" s="256"/>
      <c r="Q6" s="256"/>
      <c r="R6" s="256"/>
      <c r="S6" s="230">
        <f t="shared" si="8"/>
        <v>0</v>
      </c>
      <c r="T6" s="256"/>
      <c r="U6" s="256"/>
      <c r="V6" s="256"/>
      <c r="W6" s="256"/>
      <c r="X6" s="256"/>
      <c r="Y6" s="256"/>
      <c r="Z6" s="231">
        <f t="shared" si="0"/>
        <v>0</v>
      </c>
      <c r="AA6" s="231">
        <f t="shared" si="1"/>
        <v>0</v>
      </c>
      <c r="AB6" s="231">
        <f t="shared" si="2"/>
        <v>0</v>
      </c>
      <c r="AC6" s="231">
        <f t="shared" si="3"/>
        <v>0</v>
      </c>
      <c r="AD6" s="231">
        <f t="shared" si="4"/>
        <v>0</v>
      </c>
      <c r="AE6" s="231">
        <f t="shared" si="5"/>
        <v>0</v>
      </c>
      <c r="AF6" s="231">
        <f t="shared" si="6"/>
        <v>0</v>
      </c>
      <c r="AG6" s="231">
        <f t="shared" si="9"/>
        <v>0</v>
      </c>
    </row>
    <row r="7" spans="1:35">
      <c r="A7" t="str">
        <f>IF(ABS(H7)&gt;0,基础信息!$B$1,"")</f>
        <v/>
      </c>
      <c r="B7" s="256"/>
      <c r="C7" s="277"/>
      <c r="D7" s="256"/>
      <c r="E7" s="277"/>
      <c r="F7" s="277"/>
      <c r="G7" s="277"/>
      <c r="H7" s="230">
        <f t="shared" si="7"/>
        <v>0</v>
      </c>
      <c r="I7" s="256"/>
      <c r="J7" s="256"/>
      <c r="K7" s="256"/>
      <c r="L7" s="256"/>
      <c r="M7" s="256"/>
      <c r="N7" s="256"/>
      <c r="O7" s="256"/>
      <c r="P7" s="256"/>
      <c r="Q7" s="256"/>
      <c r="R7" s="256"/>
      <c r="S7" s="230">
        <f t="shared" si="8"/>
        <v>0</v>
      </c>
      <c r="T7" s="256"/>
      <c r="U7" s="256"/>
      <c r="V7" s="256"/>
      <c r="W7" s="256"/>
      <c r="X7" s="256"/>
      <c r="Y7" s="256"/>
      <c r="Z7" s="231">
        <f t="shared" si="0"/>
        <v>0</v>
      </c>
      <c r="AA7" s="231">
        <f t="shared" si="1"/>
        <v>0</v>
      </c>
      <c r="AB7" s="231">
        <f t="shared" si="2"/>
        <v>0</v>
      </c>
      <c r="AC7" s="231">
        <f t="shared" si="3"/>
        <v>0</v>
      </c>
      <c r="AD7" s="231">
        <f t="shared" si="4"/>
        <v>0</v>
      </c>
      <c r="AE7" s="231">
        <f t="shared" si="5"/>
        <v>0</v>
      </c>
      <c r="AF7" s="231">
        <f t="shared" si="6"/>
        <v>0</v>
      </c>
      <c r="AG7" s="231">
        <f t="shared" si="9"/>
        <v>0</v>
      </c>
    </row>
    <row r="8" spans="1:35">
      <c r="A8" t="str">
        <f>IF(ABS(H8)&gt;0,基础信息!$B$1,"")</f>
        <v/>
      </c>
      <c r="B8" s="256"/>
      <c r="C8" s="277"/>
      <c r="D8" s="256"/>
      <c r="E8" s="277"/>
      <c r="F8" s="277"/>
      <c r="G8" s="277"/>
      <c r="H8" s="230">
        <f t="shared" si="7"/>
        <v>0</v>
      </c>
      <c r="I8" s="256"/>
      <c r="J8" s="256"/>
      <c r="K8" s="256"/>
      <c r="L8" s="256"/>
      <c r="M8" s="256"/>
      <c r="N8" s="256"/>
      <c r="O8" s="256"/>
      <c r="P8" s="256"/>
      <c r="Q8" s="256"/>
      <c r="R8" s="256"/>
      <c r="S8" s="230">
        <f t="shared" si="8"/>
        <v>0</v>
      </c>
      <c r="T8" s="256"/>
      <c r="U8" s="256"/>
      <c r="V8" s="256"/>
      <c r="W8" s="256"/>
      <c r="X8" s="256"/>
      <c r="Y8" s="256"/>
      <c r="Z8" s="231">
        <f t="shared" si="0"/>
        <v>0</v>
      </c>
      <c r="AA8" s="231">
        <f t="shared" si="1"/>
        <v>0</v>
      </c>
      <c r="AB8" s="231">
        <f t="shared" si="2"/>
        <v>0</v>
      </c>
      <c r="AC8" s="231">
        <f t="shared" si="3"/>
        <v>0</v>
      </c>
      <c r="AD8" s="231">
        <f t="shared" si="4"/>
        <v>0</v>
      </c>
      <c r="AE8" s="231">
        <f t="shared" si="5"/>
        <v>0</v>
      </c>
      <c r="AF8" s="231">
        <f t="shared" si="6"/>
        <v>0</v>
      </c>
      <c r="AG8" s="231">
        <f t="shared" si="9"/>
        <v>0</v>
      </c>
    </row>
    <row r="9" spans="1:35">
      <c r="A9" t="str">
        <f>IF(ABS(H9)&gt;0,基础信息!$B$1,"")</f>
        <v/>
      </c>
      <c r="B9" s="256"/>
      <c r="C9" s="277"/>
      <c r="D9" s="256"/>
      <c r="E9" s="277"/>
      <c r="F9" s="277"/>
      <c r="G9" s="277"/>
      <c r="H9" s="230">
        <f t="shared" si="7"/>
        <v>0</v>
      </c>
      <c r="I9" s="256"/>
      <c r="J9" s="256"/>
      <c r="K9" s="256"/>
      <c r="L9" s="256"/>
      <c r="M9" s="256"/>
      <c r="N9" s="256"/>
      <c r="O9" s="256"/>
      <c r="P9" s="256"/>
      <c r="Q9" s="256"/>
      <c r="R9" s="256"/>
      <c r="S9" s="230">
        <f t="shared" si="8"/>
        <v>0</v>
      </c>
      <c r="T9" s="256"/>
      <c r="U9" s="256"/>
      <c r="V9" s="256"/>
      <c r="W9" s="256"/>
      <c r="X9" s="256"/>
      <c r="Y9" s="256"/>
      <c r="Z9" s="231">
        <f t="shared" si="0"/>
        <v>0</v>
      </c>
      <c r="AA9" s="231">
        <f t="shared" si="1"/>
        <v>0</v>
      </c>
      <c r="AB9" s="231">
        <f t="shared" si="2"/>
        <v>0</v>
      </c>
      <c r="AC9" s="231">
        <f t="shared" si="3"/>
        <v>0</v>
      </c>
      <c r="AD9" s="231">
        <f t="shared" si="4"/>
        <v>0</v>
      </c>
      <c r="AE9" s="231">
        <f t="shared" si="5"/>
        <v>0</v>
      </c>
      <c r="AF9" s="231">
        <f t="shared" si="6"/>
        <v>0</v>
      </c>
      <c r="AG9" s="231">
        <f t="shared" si="9"/>
        <v>0</v>
      </c>
    </row>
    <row r="10" spans="1:35">
      <c r="A10" t="str">
        <f>IF(ABS(H10)&gt;0,基础信息!$B$1,"")</f>
        <v/>
      </c>
      <c r="B10" s="256"/>
      <c r="C10" s="277"/>
      <c r="D10" s="256"/>
      <c r="E10" s="277"/>
      <c r="F10" s="277"/>
      <c r="G10" s="277"/>
      <c r="H10" s="230">
        <f t="shared" si="7"/>
        <v>0</v>
      </c>
      <c r="I10" s="256"/>
      <c r="J10" s="256"/>
      <c r="K10" s="256"/>
      <c r="L10" s="256"/>
      <c r="M10" s="256"/>
      <c r="N10" s="256"/>
      <c r="O10" s="256"/>
      <c r="P10" s="256"/>
      <c r="Q10" s="256"/>
      <c r="R10" s="256"/>
      <c r="S10" s="230">
        <f t="shared" si="8"/>
        <v>0</v>
      </c>
      <c r="T10" s="256"/>
      <c r="U10" s="256"/>
      <c r="V10" s="256"/>
      <c r="W10" s="256"/>
      <c r="X10" s="256"/>
      <c r="Y10" s="256"/>
      <c r="Z10" s="231">
        <f t="shared" si="0"/>
        <v>0</v>
      </c>
      <c r="AA10" s="231">
        <f t="shared" si="1"/>
        <v>0</v>
      </c>
      <c r="AB10" s="231">
        <f t="shared" si="2"/>
        <v>0</v>
      </c>
      <c r="AC10" s="231">
        <f t="shared" si="3"/>
        <v>0</v>
      </c>
      <c r="AD10" s="231">
        <f t="shared" si="4"/>
        <v>0</v>
      </c>
      <c r="AE10" s="231">
        <f t="shared" si="5"/>
        <v>0</v>
      </c>
      <c r="AF10" s="231">
        <f t="shared" si="6"/>
        <v>0</v>
      </c>
      <c r="AG10" s="231">
        <f t="shared" si="9"/>
        <v>0</v>
      </c>
    </row>
    <row r="11" spans="1:35">
      <c r="A11" t="str">
        <f>IF(ABS(H11)&gt;0,基础信息!$B$1,"")</f>
        <v/>
      </c>
      <c r="B11" s="256"/>
      <c r="C11" s="277"/>
      <c r="D11" s="256"/>
      <c r="E11" s="277"/>
      <c r="F11" s="277"/>
      <c r="G11" s="277"/>
      <c r="H11" s="230">
        <f t="shared" si="7"/>
        <v>0</v>
      </c>
      <c r="I11" s="256"/>
      <c r="J11" s="256"/>
      <c r="K11" s="256"/>
      <c r="L11" s="256"/>
      <c r="M11" s="256"/>
      <c r="N11" s="256"/>
      <c r="O11" s="256"/>
      <c r="P11" s="256"/>
      <c r="Q11" s="256"/>
      <c r="R11" s="256"/>
      <c r="S11" s="230">
        <f t="shared" si="8"/>
        <v>0</v>
      </c>
      <c r="T11" s="256"/>
      <c r="U11" s="256"/>
      <c r="V11" s="256"/>
      <c r="W11" s="256"/>
      <c r="X11" s="256"/>
      <c r="Y11" s="256"/>
      <c r="Z11" s="231">
        <f t="shared" si="0"/>
        <v>0</v>
      </c>
      <c r="AA11" s="231">
        <f t="shared" si="1"/>
        <v>0</v>
      </c>
      <c r="AB11" s="231">
        <f t="shared" si="2"/>
        <v>0</v>
      </c>
      <c r="AC11" s="231">
        <f t="shared" si="3"/>
        <v>0</v>
      </c>
      <c r="AD11" s="231">
        <f t="shared" si="4"/>
        <v>0</v>
      </c>
      <c r="AE11" s="231">
        <f t="shared" si="5"/>
        <v>0</v>
      </c>
      <c r="AF11" s="231">
        <f t="shared" si="6"/>
        <v>0</v>
      </c>
      <c r="AG11" s="231">
        <f t="shared" si="9"/>
        <v>0</v>
      </c>
    </row>
    <row r="12" spans="1:35">
      <c r="A12" t="str">
        <f>IF(ABS(H12)&gt;0,基础信息!$B$1,"")</f>
        <v/>
      </c>
      <c r="B12" s="256"/>
      <c r="C12" s="277"/>
      <c r="D12" s="256"/>
      <c r="E12" s="277"/>
      <c r="F12" s="277"/>
      <c r="G12" s="277"/>
      <c r="H12" s="230">
        <f t="shared" si="7"/>
        <v>0</v>
      </c>
      <c r="I12" s="256"/>
      <c r="J12" s="256"/>
      <c r="K12" s="256"/>
      <c r="L12" s="256"/>
      <c r="M12" s="256"/>
      <c r="N12" s="256"/>
      <c r="O12" s="256"/>
      <c r="P12" s="256"/>
      <c r="Q12" s="256"/>
      <c r="R12" s="256"/>
      <c r="S12" s="230">
        <f t="shared" si="8"/>
        <v>0</v>
      </c>
      <c r="T12" s="256"/>
      <c r="U12" s="256"/>
      <c r="V12" s="256"/>
      <c r="W12" s="256"/>
      <c r="X12" s="256"/>
      <c r="Y12" s="256"/>
      <c r="Z12" s="231">
        <f t="shared" si="0"/>
        <v>0</v>
      </c>
      <c r="AA12" s="231">
        <f t="shared" si="1"/>
        <v>0</v>
      </c>
      <c r="AB12" s="231">
        <f t="shared" si="2"/>
        <v>0</v>
      </c>
      <c r="AC12" s="231">
        <f t="shared" si="3"/>
        <v>0</v>
      </c>
      <c r="AD12" s="231">
        <f t="shared" si="4"/>
        <v>0</v>
      </c>
      <c r="AE12" s="231">
        <f t="shared" si="5"/>
        <v>0</v>
      </c>
      <c r="AF12" s="231">
        <f t="shared" si="6"/>
        <v>0</v>
      </c>
      <c r="AG12" s="231">
        <f t="shared" si="9"/>
        <v>0</v>
      </c>
    </row>
    <row r="13" spans="1:35">
      <c r="A13" t="str">
        <f>IF(ABS(H13)&gt;0,基础信息!$B$1,"")</f>
        <v/>
      </c>
      <c r="B13" s="256"/>
      <c r="C13" s="277"/>
      <c r="D13" s="256"/>
      <c r="E13" s="277"/>
      <c r="F13" s="277"/>
      <c r="G13" s="277"/>
      <c r="H13" s="230">
        <f t="shared" si="7"/>
        <v>0</v>
      </c>
      <c r="I13" s="256"/>
      <c r="J13" s="256"/>
      <c r="K13" s="256"/>
      <c r="L13" s="256"/>
      <c r="M13" s="256"/>
      <c r="N13" s="256"/>
      <c r="O13" s="256"/>
      <c r="P13" s="256"/>
      <c r="Q13" s="256"/>
      <c r="R13" s="256"/>
      <c r="S13" s="230">
        <f t="shared" si="8"/>
        <v>0</v>
      </c>
      <c r="T13" s="256"/>
      <c r="U13" s="256"/>
      <c r="V13" s="256"/>
      <c r="W13" s="256"/>
      <c r="X13" s="256"/>
      <c r="Y13" s="256"/>
      <c r="Z13" s="231">
        <f t="shared" si="0"/>
        <v>0</v>
      </c>
      <c r="AA13" s="231">
        <f t="shared" si="1"/>
        <v>0</v>
      </c>
      <c r="AB13" s="231">
        <f t="shared" si="2"/>
        <v>0</v>
      </c>
      <c r="AC13" s="231">
        <f t="shared" si="3"/>
        <v>0</v>
      </c>
      <c r="AD13" s="231">
        <f t="shared" si="4"/>
        <v>0</v>
      </c>
      <c r="AE13" s="231">
        <f t="shared" si="5"/>
        <v>0</v>
      </c>
      <c r="AF13" s="231">
        <f t="shared" si="6"/>
        <v>0</v>
      </c>
      <c r="AG13" s="231">
        <f t="shared" si="9"/>
        <v>0</v>
      </c>
    </row>
    <row r="14" spans="1:35">
      <c r="A14" t="str">
        <f>IF(ABS(H14)&gt;0,基础信息!$B$1,"")</f>
        <v/>
      </c>
      <c r="B14" s="256"/>
      <c r="C14" s="277"/>
      <c r="D14" s="256"/>
      <c r="E14" s="277"/>
      <c r="F14" s="277"/>
      <c r="G14" s="277"/>
      <c r="H14" s="230">
        <f t="shared" si="7"/>
        <v>0</v>
      </c>
      <c r="I14" s="256"/>
      <c r="J14" s="256"/>
      <c r="K14" s="256"/>
      <c r="L14" s="256"/>
      <c r="M14" s="256"/>
      <c r="N14" s="256"/>
      <c r="O14" s="256"/>
      <c r="P14" s="256"/>
      <c r="Q14" s="256"/>
      <c r="R14" s="256"/>
      <c r="S14" s="230">
        <f t="shared" si="8"/>
        <v>0</v>
      </c>
      <c r="T14" s="256"/>
      <c r="U14" s="256"/>
      <c r="V14" s="256"/>
      <c r="W14" s="256"/>
      <c r="X14" s="256"/>
      <c r="Y14" s="256"/>
      <c r="Z14" s="231">
        <f t="shared" si="0"/>
        <v>0</v>
      </c>
      <c r="AA14" s="231">
        <f t="shared" si="1"/>
        <v>0</v>
      </c>
      <c r="AB14" s="231">
        <f t="shared" si="2"/>
        <v>0</v>
      </c>
      <c r="AC14" s="231">
        <f t="shared" si="3"/>
        <v>0</v>
      </c>
      <c r="AD14" s="231">
        <f t="shared" si="4"/>
        <v>0</v>
      </c>
      <c r="AE14" s="231">
        <f t="shared" si="5"/>
        <v>0</v>
      </c>
      <c r="AF14" s="231">
        <f t="shared" si="6"/>
        <v>0</v>
      </c>
      <c r="AG14" s="231">
        <f t="shared" si="9"/>
        <v>0</v>
      </c>
    </row>
    <row r="15" spans="1:35">
      <c r="A15" t="str">
        <f>IF(ABS(H15)&gt;0,基础信息!$B$1,"")</f>
        <v/>
      </c>
      <c r="B15" s="256"/>
      <c r="C15" s="277"/>
      <c r="D15" s="256"/>
      <c r="E15" s="277"/>
      <c r="F15" s="277"/>
      <c r="G15" s="277"/>
      <c r="H15" s="230">
        <f t="shared" si="7"/>
        <v>0</v>
      </c>
      <c r="I15" s="256"/>
      <c r="J15" s="256"/>
      <c r="K15" s="256"/>
      <c r="L15" s="256"/>
      <c r="M15" s="256"/>
      <c r="N15" s="256"/>
      <c r="O15" s="256"/>
      <c r="P15" s="256"/>
      <c r="Q15" s="256"/>
      <c r="R15" s="256"/>
      <c r="S15" s="230">
        <f t="shared" si="8"/>
        <v>0</v>
      </c>
      <c r="T15" s="256"/>
      <c r="U15" s="256"/>
      <c r="V15" s="256"/>
      <c r="W15" s="256"/>
      <c r="X15" s="256"/>
      <c r="Y15" s="256"/>
      <c r="Z15" s="231">
        <f t="shared" si="0"/>
        <v>0</v>
      </c>
      <c r="AA15" s="231">
        <f t="shared" si="1"/>
        <v>0</v>
      </c>
      <c r="AB15" s="231">
        <f t="shared" si="2"/>
        <v>0</v>
      </c>
      <c r="AC15" s="231">
        <f t="shared" si="3"/>
        <v>0</v>
      </c>
      <c r="AD15" s="231">
        <f t="shared" si="4"/>
        <v>0</v>
      </c>
      <c r="AE15" s="231">
        <f t="shared" si="5"/>
        <v>0</v>
      </c>
      <c r="AF15" s="231">
        <f t="shared" si="6"/>
        <v>0</v>
      </c>
      <c r="AG15" s="231">
        <f t="shared" si="9"/>
        <v>0</v>
      </c>
    </row>
    <row r="16" spans="1:35">
      <c r="A16" t="str">
        <f>IF(ABS(H16)&gt;0,基础信息!$B$1,"")</f>
        <v/>
      </c>
      <c r="B16" s="256"/>
      <c r="C16" s="277"/>
      <c r="D16" s="256"/>
      <c r="E16" s="277"/>
      <c r="F16" s="277"/>
      <c r="G16" s="277"/>
      <c r="H16" s="230">
        <f t="shared" si="7"/>
        <v>0</v>
      </c>
      <c r="I16" s="256"/>
      <c r="J16" s="256"/>
      <c r="K16" s="256"/>
      <c r="L16" s="256"/>
      <c r="M16" s="256"/>
      <c r="N16" s="256"/>
      <c r="O16" s="256"/>
      <c r="P16" s="256"/>
      <c r="Q16" s="256"/>
      <c r="R16" s="256"/>
      <c r="S16" s="230">
        <f t="shared" si="8"/>
        <v>0</v>
      </c>
      <c r="T16" s="256"/>
      <c r="U16" s="256"/>
      <c r="V16" s="256"/>
      <c r="W16" s="256"/>
      <c r="X16" s="256"/>
      <c r="Y16" s="256"/>
      <c r="Z16" s="231">
        <f t="shared" si="0"/>
        <v>0</v>
      </c>
      <c r="AA16" s="231">
        <f t="shared" si="1"/>
        <v>0</v>
      </c>
      <c r="AB16" s="231">
        <f t="shared" si="2"/>
        <v>0</v>
      </c>
      <c r="AC16" s="231">
        <f t="shared" si="3"/>
        <v>0</v>
      </c>
      <c r="AD16" s="231">
        <f t="shared" si="4"/>
        <v>0</v>
      </c>
      <c r="AE16" s="231">
        <f t="shared" si="5"/>
        <v>0</v>
      </c>
      <c r="AF16" s="231">
        <f t="shared" si="6"/>
        <v>0</v>
      </c>
      <c r="AG16" s="231">
        <f t="shared" si="9"/>
        <v>0</v>
      </c>
    </row>
    <row r="17" spans="1:33">
      <c r="A17" t="str">
        <f>IF(ABS(H17)&gt;0,基础信息!$B$1,"")</f>
        <v/>
      </c>
      <c r="B17" s="256"/>
      <c r="C17" s="277"/>
      <c r="D17" s="256"/>
      <c r="E17" s="277"/>
      <c r="F17" s="277"/>
      <c r="G17" s="277"/>
      <c r="H17" s="230">
        <f t="shared" si="7"/>
        <v>0</v>
      </c>
      <c r="I17" s="256"/>
      <c r="J17" s="256"/>
      <c r="K17" s="256"/>
      <c r="L17" s="256"/>
      <c r="M17" s="256"/>
      <c r="N17" s="256"/>
      <c r="O17" s="256"/>
      <c r="P17" s="256"/>
      <c r="Q17" s="256"/>
      <c r="R17" s="256"/>
      <c r="S17" s="230">
        <f t="shared" si="8"/>
        <v>0</v>
      </c>
      <c r="T17" s="256"/>
      <c r="U17" s="256"/>
      <c r="V17" s="256"/>
      <c r="W17" s="256"/>
      <c r="X17" s="256"/>
      <c r="Y17" s="256"/>
      <c r="Z17" s="231">
        <f t="shared" si="0"/>
        <v>0</v>
      </c>
      <c r="AA17" s="231">
        <f t="shared" si="1"/>
        <v>0</v>
      </c>
      <c r="AB17" s="231">
        <f t="shared" si="2"/>
        <v>0</v>
      </c>
      <c r="AC17" s="231">
        <f t="shared" si="3"/>
        <v>0</v>
      </c>
      <c r="AD17" s="231">
        <f t="shared" si="4"/>
        <v>0</v>
      </c>
      <c r="AE17" s="231">
        <f t="shared" si="5"/>
        <v>0</v>
      </c>
      <c r="AF17" s="231">
        <f t="shared" si="6"/>
        <v>0</v>
      </c>
      <c r="AG17" s="231">
        <f t="shared" si="9"/>
        <v>0</v>
      </c>
    </row>
    <row r="18" spans="1:33">
      <c r="A18" t="str">
        <f>IF(ABS(H18)&gt;0,基础信息!$B$1,"")</f>
        <v/>
      </c>
      <c r="C18" s="257"/>
      <c r="E18" s="257"/>
      <c r="H18" s="230">
        <f t="shared" si="7"/>
        <v>0</v>
      </c>
      <c r="S18" s="230">
        <f t="shared" si="8"/>
        <v>0</v>
      </c>
      <c r="Z18" s="231">
        <f t="shared" si="0"/>
        <v>0</v>
      </c>
      <c r="AA18" s="231">
        <f t="shared" si="1"/>
        <v>0</v>
      </c>
      <c r="AB18" s="231">
        <f t="shared" si="2"/>
        <v>0</v>
      </c>
      <c r="AC18" s="231">
        <f t="shared" si="3"/>
        <v>0</v>
      </c>
      <c r="AD18" s="231">
        <f t="shared" si="4"/>
        <v>0</v>
      </c>
      <c r="AE18" s="231">
        <f t="shared" si="5"/>
        <v>0</v>
      </c>
      <c r="AF18" s="231">
        <f t="shared" si="6"/>
        <v>0</v>
      </c>
      <c r="AG18" s="231">
        <f t="shared" si="9"/>
        <v>0</v>
      </c>
    </row>
    <row r="19" spans="1:33">
      <c r="A19" t="str">
        <f>IF(ABS(H19)&gt;0,基础信息!$B$1,"")</f>
        <v/>
      </c>
      <c r="C19" s="257"/>
      <c r="E19" s="257"/>
      <c r="H19" s="230">
        <f t="shared" si="7"/>
        <v>0</v>
      </c>
      <c r="S19" s="230">
        <f t="shared" si="8"/>
        <v>0</v>
      </c>
      <c r="Z19" s="231">
        <f t="shared" si="0"/>
        <v>0</v>
      </c>
      <c r="AA19" s="231">
        <f t="shared" si="1"/>
        <v>0</v>
      </c>
      <c r="AB19" s="231">
        <f t="shared" si="2"/>
        <v>0</v>
      </c>
      <c r="AC19" s="231">
        <f t="shared" si="3"/>
        <v>0</v>
      </c>
      <c r="AD19" s="231">
        <f t="shared" si="4"/>
        <v>0</v>
      </c>
      <c r="AE19" s="231">
        <f t="shared" si="5"/>
        <v>0</v>
      </c>
      <c r="AF19" s="231">
        <f t="shared" si="6"/>
        <v>0</v>
      </c>
      <c r="AG19" s="231">
        <f t="shared" si="9"/>
        <v>0</v>
      </c>
    </row>
    <row r="20" spans="1:33">
      <c r="A20" t="str">
        <f>IF(ABS(H20)&gt;0,基础信息!$B$1,"")</f>
        <v/>
      </c>
      <c r="C20" s="257"/>
      <c r="E20" s="257"/>
      <c r="H20" s="230">
        <f t="shared" si="7"/>
        <v>0</v>
      </c>
      <c r="S20" s="230">
        <f t="shared" si="8"/>
        <v>0</v>
      </c>
      <c r="Z20" s="231">
        <f t="shared" si="0"/>
        <v>0</v>
      </c>
      <c r="AA20" s="231">
        <f t="shared" si="1"/>
        <v>0</v>
      </c>
      <c r="AB20" s="231">
        <f t="shared" si="2"/>
        <v>0</v>
      </c>
      <c r="AC20" s="231">
        <f t="shared" si="3"/>
        <v>0</v>
      </c>
      <c r="AD20" s="231">
        <f t="shared" si="4"/>
        <v>0</v>
      </c>
      <c r="AE20" s="231">
        <f t="shared" si="5"/>
        <v>0</v>
      </c>
      <c r="AF20" s="231">
        <f t="shared" si="6"/>
        <v>0</v>
      </c>
      <c r="AG20" s="231">
        <f t="shared" si="9"/>
        <v>0</v>
      </c>
    </row>
    <row r="21" spans="1:33">
      <c r="A21" t="str">
        <f>IF(ABS(H21)&gt;0,基础信息!$B$1,"")</f>
        <v/>
      </c>
      <c r="C21" s="257"/>
      <c r="E21" s="257"/>
      <c r="H21" s="230">
        <f t="shared" si="7"/>
        <v>0</v>
      </c>
      <c r="S21" s="230">
        <f t="shared" si="8"/>
        <v>0</v>
      </c>
      <c r="Z21" s="231">
        <f t="shared" si="0"/>
        <v>0</v>
      </c>
      <c r="AA21" s="231">
        <f t="shared" si="1"/>
        <v>0</v>
      </c>
      <c r="AB21" s="231">
        <f t="shared" si="2"/>
        <v>0</v>
      </c>
      <c r="AC21" s="231">
        <f t="shared" si="3"/>
        <v>0</v>
      </c>
      <c r="AD21" s="231">
        <f t="shared" si="4"/>
        <v>0</v>
      </c>
      <c r="AE21" s="231">
        <f t="shared" si="5"/>
        <v>0</v>
      </c>
      <c r="AF21" s="231">
        <f t="shared" si="6"/>
        <v>0</v>
      </c>
      <c r="AG21" s="231">
        <f t="shared" si="9"/>
        <v>0</v>
      </c>
    </row>
    <row r="22" spans="1:33">
      <c r="A22" t="str">
        <f>IF(ABS(H22)&gt;0,基础信息!$B$1,"")</f>
        <v/>
      </c>
      <c r="C22" s="257"/>
      <c r="E22" s="257"/>
      <c r="H22" s="230">
        <f t="shared" si="7"/>
        <v>0</v>
      </c>
      <c r="S22" s="230">
        <f t="shared" si="8"/>
        <v>0</v>
      </c>
      <c r="Z22" s="231">
        <f t="shared" si="0"/>
        <v>0</v>
      </c>
      <c r="AA22" s="231">
        <f t="shared" si="1"/>
        <v>0</v>
      </c>
      <c r="AB22" s="231">
        <f t="shared" si="2"/>
        <v>0</v>
      </c>
      <c r="AC22" s="231">
        <f t="shared" si="3"/>
        <v>0</v>
      </c>
      <c r="AD22" s="231">
        <f t="shared" si="4"/>
        <v>0</v>
      </c>
      <c r="AE22" s="231">
        <f t="shared" si="5"/>
        <v>0</v>
      </c>
      <c r="AF22" s="231">
        <f t="shared" si="6"/>
        <v>0</v>
      </c>
      <c r="AG22" s="231">
        <f t="shared" si="9"/>
        <v>0</v>
      </c>
    </row>
    <row r="23" spans="1:33">
      <c r="A23" t="str">
        <f>IF(ABS(H23)&gt;0,基础信息!$B$1,"")</f>
        <v/>
      </c>
      <c r="C23" s="257"/>
      <c r="E23" s="257"/>
      <c r="H23" s="230">
        <f t="shared" si="7"/>
        <v>0</v>
      </c>
      <c r="S23" s="230">
        <f t="shared" si="8"/>
        <v>0</v>
      </c>
      <c r="Z23" s="231">
        <f t="shared" si="0"/>
        <v>0</v>
      </c>
      <c r="AA23" s="231">
        <f t="shared" si="1"/>
        <v>0</v>
      </c>
      <c r="AB23" s="231">
        <f t="shared" si="2"/>
        <v>0</v>
      </c>
      <c r="AC23" s="231">
        <f t="shared" si="3"/>
        <v>0</v>
      </c>
      <c r="AD23" s="231">
        <f t="shared" si="4"/>
        <v>0</v>
      </c>
      <c r="AE23" s="231">
        <f t="shared" si="5"/>
        <v>0</v>
      </c>
      <c r="AF23" s="231">
        <f t="shared" si="6"/>
        <v>0</v>
      </c>
      <c r="AG23" s="231">
        <f t="shared" si="9"/>
        <v>0</v>
      </c>
    </row>
    <row r="24" spans="1:33">
      <c r="A24" t="str">
        <f>IF(ABS(H24)&gt;0,基础信息!$B$1,"")</f>
        <v/>
      </c>
      <c r="C24" s="257"/>
      <c r="E24" s="257"/>
      <c r="H24" s="230">
        <f t="shared" si="7"/>
        <v>0</v>
      </c>
      <c r="S24" s="230">
        <f t="shared" si="8"/>
        <v>0</v>
      </c>
      <c r="Z24" s="231">
        <f t="shared" si="0"/>
        <v>0</v>
      </c>
      <c r="AA24" s="231">
        <f t="shared" si="1"/>
        <v>0</v>
      </c>
      <c r="AB24" s="231">
        <f t="shared" si="2"/>
        <v>0</v>
      </c>
      <c r="AC24" s="231">
        <f t="shared" si="3"/>
        <v>0</v>
      </c>
      <c r="AD24" s="231">
        <f t="shared" si="4"/>
        <v>0</v>
      </c>
      <c r="AE24" s="231">
        <f t="shared" si="5"/>
        <v>0</v>
      </c>
      <c r="AF24" s="231">
        <f t="shared" si="6"/>
        <v>0</v>
      </c>
      <c r="AG24" s="231">
        <f t="shared" si="9"/>
        <v>0</v>
      </c>
    </row>
    <row r="25" spans="1:33">
      <c r="A25" t="str">
        <f>IF(ABS(H25)&gt;0,基础信息!$B$1,"")</f>
        <v/>
      </c>
      <c r="C25" s="257"/>
      <c r="E25" s="257"/>
      <c r="H25" s="230">
        <f t="shared" si="7"/>
        <v>0</v>
      </c>
      <c r="S25" s="230">
        <f t="shared" si="8"/>
        <v>0</v>
      </c>
      <c r="Z25" s="231">
        <f t="shared" si="0"/>
        <v>0</v>
      </c>
      <c r="AA25" s="231">
        <f t="shared" si="1"/>
        <v>0</v>
      </c>
      <c r="AB25" s="231">
        <f t="shared" si="2"/>
        <v>0</v>
      </c>
      <c r="AC25" s="231">
        <f t="shared" si="3"/>
        <v>0</v>
      </c>
      <c r="AD25" s="231">
        <f t="shared" si="4"/>
        <v>0</v>
      </c>
      <c r="AE25" s="231">
        <f t="shared" si="5"/>
        <v>0</v>
      </c>
      <c r="AF25" s="231">
        <f t="shared" si="6"/>
        <v>0</v>
      </c>
      <c r="AG25" s="231">
        <f t="shared" si="9"/>
        <v>0</v>
      </c>
    </row>
    <row r="26" spans="1:33">
      <c r="A26" t="str">
        <f>IF(ABS(H26)&gt;0,基础信息!$B$1,"")</f>
        <v/>
      </c>
      <c r="C26" s="257"/>
      <c r="E26" s="257"/>
      <c r="H26" s="230">
        <f t="shared" ref="H26:H35" si="10">SUM(I26:N26)</f>
        <v>0</v>
      </c>
      <c r="S26" s="230">
        <f t="shared" si="8"/>
        <v>0</v>
      </c>
    </row>
    <row r="27" spans="1:33">
      <c r="A27" t="str">
        <f>IF(ABS(H27)&gt;0,基础信息!$B$1,"")</f>
        <v/>
      </c>
      <c r="C27" s="257"/>
      <c r="E27" s="257"/>
      <c r="H27" s="230">
        <f t="shared" si="10"/>
        <v>0</v>
      </c>
      <c r="S27" s="230">
        <f t="shared" si="8"/>
        <v>0</v>
      </c>
    </row>
    <row r="28" spans="1:33">
      <c r="A28" t="str">
        <f>IF(ABS(H28)&gt;0,基础信息!$B$1,"")</f>
        <v/>
      </c>
      <c r="C28" s="257"/>
      <c r="E28" s="257"/>
      <c r="H28" s="230">
        <f t="shared" si="10"/>
        <v>0</v>
      </c>
      <c r="S28" s="230">
        <f t="shared" si="8"/>
        <v>0</v>
      </c>
    </row>
    <row r="29" spans="1:33">
      <c r="A29" t="str">
        <f>IF(ABS(H29)&gt;0,基础信息!$B$1,"")</f>
        <v/>
      </c>
      <c r="C29" s="257"/>
      <c r="E29" s="257"/>
      <c r="H29" s="230">
        <f t="shared" si="10"/>
        <v>0</v>
      </c>
      <c r="S29" s="230">
        <f t="shared" si="8"/>
        <v>0</v>
      </c>
    </row>
    <row r="30" spans="1:33">
      <c r="A30" t="str">
        <f>IF(ABS(H30)&gt;0,基础信息!$B$1,"")</f>
        <v/>
      </c>
      <c r="C30" s="257"/>
      <c r="E30" s="257"/>
      <c r="H30" s="230">
        <f t="shared" si="10"/>
        <v>0</v>
      </c>
      <c r="S30" s="230">
        <f t="shared" si="8"/>
        <v>0</v>
      </c>
    </row>
    <row r="31" spans="1:33">
      <c r="A31" t="str">
        <f>IF(ABS(H31)&gt;0,基础信息!$B$1,"")</f>
        <v/>
      </c>
      <c r="C31" s="257"/>
      <c r="E31" s="257"/>
      <c r="H31" s="230">
        <f t="shared" si="10"/>
        <v>0</v>
      </c>
      <c r="S31" s="230">
        <f t="shared" si="8"/>
        <v>0</v>
      </c>
    </row>
    <row r="32" spans="1:33">
      <c r="A32" t="str">
        <f>IF(ABS(H32)&gt;0,基础信息!$B$1,"")</f>
        <v/>
      </c>
      <c r="C32" s="257"/>
      <c r="E32" s="257"/>
      <c r="H32" s="230">
        <f t="shared" si="10"/>
        <v>0</v>
      </c>
      <c r="S32" s="230">
        <f t="shared" si="8"/>
        <v>0</v>
      </c>
    </row>
    <row r="33" spans="1:19">
      <c r="A33" t="str">
        <f>IF(ABS(H33)&gt;0,基础信息!$B$1,"")</f>
        <v/>
      </c>
      <c r="C33" s="257"/>
      <c r="E33" s="257"/>
      <c r="H33" s="230">
        <f t="shared" si="10"/>
        <v>0</v>
      </c>
      <c r="S33" s="230">
        <f t="shared" si="8"/>
        <v>0</v>
      </c>
    </row>
    <row r="34" spans="1:19">
      <c r="A34" t="str">
        <f>IF(ABS(H34)&gt;0,基础信息!$B$1,"")</f>
        <v/>
      </c>
      <c r="C34" s="257"/>
      <c r="E34" s="257"/>
      <c r="H34" s="230">
        <f t="shared" si="10"/>
        <v>0</v>
      </c>
      <c r="S34" s="230">
        <f t="shared" si="8"/>
        <v>0</v>
      </c>
    </row>
    <row r="35" spans="1:19">
      <c r="A35" t="str">
        <f>IF(ABS(H35)&gt;0,基础信息!$B$1,"")</f>
        <v/>
      </c>
      <c r="C35" s="257"/>
      <c r="E35" s="257"/>
      <c r="H35" s="230">
        <f t="shared" si="10"/>
        <v>0</v>
      </c>
      <c r="S35" s="230">
        <f t="shared" si="8"/>
        <v>0</v>
      </c>
    </row>
    <row r="36" spans="1:19">
      <c r="A36" t="str">
        <f>IF(ABS(H36)&gt;0,基础信息!$B$1,"")</f>
        <v/>
      </c>
      <c r="C36" s="257"/>
      <c r="E36" s="257"/>
    </row>
    <row r="37" spans="1:19">
      <c r="A37" t="str">
        <f>IF(ABS(H37)&gt;0,基础信息!$B$1,"")</f>
        <v/>
      </c>
      <c r="C37" s="257"/>
      <c r="E37" s="257"/>
    </row>
    <row r="38" spans="1:19">
      <c r="A38" t="str">
        <f>IF(ABS(H38)&gt;0,基础信息!$B$1,"")</f>
        <v/>
      </c>
      <c r="C38" s="257"/>
      <c r="E38" s="257"/>
    </row>
    <row r="39" spans="1:19">
      <c r="A39" t="str">
        <f>IF(ABS(H39)&gt;0,基础信息!$B$1,"")</f>
        <v/>
      </c>
      <c r="E39" s="257"/>
    </row>
    <row r="40" spans="1:19">
      <c r="A40" t="str">
        <f>IF(ABS(H40)&gt;0,基础信息!$B$1,"")</f>
        <v/>
      </c>
      <c r="E40" s="257"/>
    </row>
    <row r="41" spans="1:19">
      <c r="A41" t="str">
        <f>IF(ABS(H41)&gt;0,基础信息!$B$1,"")</f>
        <v/>
      </c>
      <c r="E41" s="257"/>
    </row>
    <row r="42" spans="1:19">
      <c r="A42" t="str">
        <f>IF(ABS(H42)&gt;0,基础信息!$B$1,"")</f>
        <v/>
      </c>
      <c r="E42" s="257"/>
    </row>
    <row r="43" spans="1:19">
      <c r="A43" t="str">
        <f>IF(ABS(H43)&gt;0,基础信息!$B$1,"")</f>
        <v/>
      </c>
      <c r="E43" s="257"/>
    </row>
    <row r="44" spans="1:19">
      <c r="A44" t="str">
        <f>IF(ABS(H44)&gt;0,基础信息!$B$1,"")</f>
        <v/>
      </c>
      <c r="E44" s="257"/>
    </row>
    <row r="45" spans="1:19">
      <c r="A45" t="str">
        <f>IF(ABS(H45)&gt;0,基础信息!$B$1,"")</f>
        <v/>
      </c>
      <c r="E45" s="257"/>
    </row>
    <row r="46" spans="1:19">
      <c r="A46" t="str">
        <f>IF(ABS(H46)&gt;0,基础信息!$B$1,"")</f>
        <v/>
      </c>
      <c r="E46" s="257"/>
    </row>
    <row r="47" spans="1:19">
      <c r="A47" t="str">
        <f>IF(ABS(H47)&gt;0,基础信息!$B$1,"")</f>
        <v/>
      </c>
      <c r="E47" s="257"/>
    </row>
    <row r="48" spans="1:19">
      <c r="A48" t="str">
        <f>IF(ABS(H48)&gt;0,基础信息!$B$1,"")</f>
        <v/>
      </c>
      <c r="E48" s="257"/>
    </row>
    <row r="49" spans="1:5">
      <c r="A49" t="str">
        <f>IF(ABS(H49)&gt;0,基础信息!$B$1,"")</f>
        <v/>
      </c>
      <c r="E49" s="257"/>
    </row>
    <row r="50" spans="1:5">
      <c r="A50" t="str">
        <f>IF(ABS(H50)&gt;0,基础信息!$B$1,"")</f>
        <v/>
      </c>
      <c r="E50" s="257"/>
    </row>
    <row r="51" spans="1:5">
      <c r="A51" t="str">
        <f>IF(ABS(H51)&gt;0,基础信息!$B$1,"")</f>
        <v/>
      </c>
      <c r="E51" s="257"/>
    </row>
    <row r="52" spans="1:5">
      <c r="A52" t="str">
        <f>IF(ABS(H52)&gt;0,基础信息!$B$1,"")</f>
        <v/>
      </c>
      <c r="E52" s="257"/>
    </row>
    <row r="53" spans="1:5">
      <c r="A53" t="str">
        <f>IF(ABS(H53)&gt;0,基础信息!$B$1,"")</f>
        <v/>
      </c>
      <c r="E53" s="257"/>
    </row>
    <row r="54" spans="1:5">
      <c r="A54" t="str">
        <f>IF(ABS(H54)&gt;0,基础信息!$B$1,"")</f>
        <v/>
      </c>
      <c r="E54" s="257"/>
    </row>
    <row r="55" spans="1:5">
      <c r="A55" t="str">
        <f>IF(ABS(H55)&gt;0,基础信息!$B$1,"")</f>
        <v/>
      </c>
      <c r="E55" s="257"/>
    </row>
    <row r="56" spans="1:5">
      <c r="A56" t="str">
        <f>IF(ABS(H56)&gt;0,基础信息!$B$1,"")</f>
        <v/>
      </c>
      <c r="E56" s="257"/>
    </row>
    <row r="57" spans="1:5">
      <c r="A57" t="str">
        <f>IF(ABS(H57)&gt;0,基础信息!$B$1,"")</f>
        <v/>
      </c>
      <c r="E57" s="257"/>
    </row>
    <row r="58" spans="1:5">
      <c r="A58" t="str">
        <f>IF(ABS(H58)&gt;0,基础信息!$B$1,"")</f>
        <v/>
      </c>
      <c r="E58" s="257"/>
    </row>
    <row r="59" spans="1:5">
      <c r="A59" t="str">
        <f>IF(ABS(H59)&gt;0,基础信息!$B$1,"")</f>
        <v/>
      </c>
      <c r="E59" s="257"/>
    </row>
    <row r="60" spans="1:5">
      <c r="A60" t="str">
        <f>IF(ABS(H60)&gt;0,基础信息!$B$1,"")</f>
        <v/>
      </c>
      <c r="E60" s="257"/>
    </row>
    <row r="61" spans="1:5">
      <c r="A61" t="str">
        <f>IF(ABS(H61)&gt;0,基础信息!$B$1,"")</f>
        <v/>
      </c>
      <c r="E61" s="257"/>
    </row>
    <row r="62" spans="1:5">
      <c r="A62" t="str">
        <f>IF(ABS(H62)&gt;0,基础信息!$B$1,"")</f>
        <v/>
      </c>
      <c r="E62" s="257"/>
    </row>
    <row r="63" spans="1:5">
      <c r="A63" t="str">
        <f>IF(ABS(H63)&gt;0,基础信息!$B$1,"")</f>
        <v/>
      </c>
      <c r="E63" s="257"/>
    </row>
    <row r="64" spans="1:5">
      <c r="A64" t="str">
        <f>IF(ABS(H64)&gt;0,基础信息!$B$1,"")</f>
        <v/>
      </c>
      <c r="E64" s="257"/>
    </row>
    <row r="65" spans="1:5">
      <c r="A65" t="str">
        <f>IF(ABS(H65)&gt;0,基础信息!$B$1,"")</f>
        <v/>
      </c>
      <c r="E65" s="257"/>
    </row>
    <row r="66" spans="1:5">
      <c r="A66" t="str">
        <f>IF(ABS(H66)&gt;0,基础信息!$B$1,"")</f>
        <v/>
      </c>
      <c r="E66" s="257"/>
    </row>
    <row r="67" spans="1:5">
      <c r="A67" t="str">
        <f>IF(ABS(H67)&gt;0,基础信息!$B$1,"")</f>
        <v/>
      </c>
      <c r="E67" s="257"/>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EF5ECF5-7FF1-422A-B03E-7BDECA7D7D64}">
          <x14:formula1>
            <xm:f>分类表!#REF!</xm:f>
          </x14:formula1>
          <xm:sqref>C39:C85 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codeName="Sheet131">
    <tabColor rgb="FFFFC000"/>
  </sheetPr>
  <dimension ref="A1:G12"/>
  <sheetViews>
    <sheetView workbookViewId="0">
      <selection activeCell="D20" sqref="D20"/>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348</v>
      </c>
      <c r="D1" s="18" t="s">
        <v>349</v>
      </c>
      <c r="E1" s="18" t="s">
        <v>260</v>
      </c>
      <c r="F1" s="18" t="s">
        <v>350</v>
      </c>
      <c r="G1" s="18" t="s">
        <v>351</v>
      </c>
    </row>
    <row r="2" spans="1:7">
      <c r="A2" s="138" t="s">
        <v>345</v>
      </c>
      <c r="B2" s="137">
        <f>ROUND(SUMIF(存货明细表!B:B,A2,存货明细表!C:C),2)</f>
        <v>0</v>
      </c>
      <c r="C2" s="137">
        <f>ROUND(SUMIF(存货明细表!B:B,A2,存货明细表!D:D),2)</f>
        <v>0</v>
      </c>
      <c r="D2" s="137">
        <f>ROUND(B2-C2,2)</f>
        <v>0</v>
      </c>
      <c r="E2" s="139"/>
      <c r="F2" s="139"/>
      <c r="G2" s="1">
        <f>ROUND(E2-F2,2)</f>
        <v>0</v>
      </c>
    </row>
    <row r="3" spans="1:7">
      <c r="A3" s="138" t="s">
        <v>934</v>
      </c>
      <c r="B3" s="137">
        <f>ROUND(SUMIF(存货明细表!B:B,A3,存货明细表!C:C),2)</f>
        <v>0</v>
      </c>
      <c r="C3" s="137">
        <f>ROUND(SUMIF(存货明细表!B:B,A3,存货明细表!D:D),2)</f>
        <v>0</v>
      </c>
      <c r="D3" s="137">
        <f>ROUND(B3-C3,2)</f>
        <v>0</v>
      </c>
      <c r="E3" s="139"/>
      <c r="F3" s="139"/>
      <c r="G3" s="1">
        <f>ROUND(E3-F3,2)</f>
        <v>0</v>
      </c>
    </row>
    <row r="4" spans="1:7">
      <c r="A4" s="138" t="s">
        <v>799</v>
      </c>
      <c r="B4" s="137">
        <f>ROUND(SUMIF(存货明细表!B:B,A4,存货明细表!C:C),2)</f>
        <v>0</v>
      </c>
      <c r="C4" s="137">
        <f>ROUND(SUMIF(存货明细表!B:B,A4,存货明细表!D:D),2)</f>
        <v>0</v>
      </c>
      <c r="D4" s="137">
        <f>ROUND(B4-C4,2)</f>
        <v>0</v>
      </c>
      <c r="E4" s="139"/>
      <c r="F4" s="139"/>
      <c r="G4" s="1">
        <f>ROUND(E4-F4,2)</f>
        <v>0</v>
      </c>
    </row>
    <row r="5" spans="1:7">
      <c r="A5" s="138" t="s">
        <v>354</v>
      </c>
      <c r="B5" s="137">
        <f>ROUND(SUMIF(存货明细表!B:B,A5,存货明细表!C:C),2)</f>
        <v>0</v>
      </c>
      <c r="C5" s="137">
        <f>ROUND(SUMIF(存货明细表!B:B,A5,存货明细表!D:D),2)</f>
        <v>0</v>
      </c>
      <c r="D5" s="137">
        <f>ROUND(B5-C5,2)</f>
        <v>0</v>
      </c>
      <c r="E5" s="139"/>
      <c r="F5" s="139"/>
      <c r="G5" s="1">
        <f>ROUND(E5-F5,2)</f>
        <v>0</v>
      </c>
    </row>
    <row r="6" spans="1:7">
      <c r="A6" s="138" t="s">
        <v>357</v>
      </c>
      <c r="B6" s="137">
        <f>ROUND(SUMIF(存货明细表!B:B,A6,存货明细表!C:C),2)</f>
        <v>0</v>
      </c>
      <c r="C6" s="137">
        <f>ROUND(SUMIF(存货明细表!B:B,A6,存货明细表!D:D),2)</f>
        <v>0</v>
      </c>
      <c r="D6" s="137">
        <f>ROUND(B6-C6,2)</f>
        <v>0</v>
      </c>
      <c r="E6" s="139"/>
      <c r="F6" s="139"/>
      <c r="G6" s="1">
        <f>ROUND(E6-F6,2)</f>
        <v>0</v>
      </c>
    </row>
    <row r="7" spans="1:7">
      <c r="A7" s="138" t="s">
        <v>359</v>
      </c>
      <c r="B7" s="137">
        <f>ROUND(SUMIF(存货明细表!B:B,A7,存货明细表!C:C),2)</f>
        <v>0</v>
      </c>
      <c r="C7" s="137">
        <f>ROUND(SUMIF(存货明细表!B:B,A7,存货明细表!D:D),2)</f>
        <v>0</v>
      </c>
      <c r="D7" s="137">
        <f>ROUND(B7-C7,2)</f>
        <v>0</v>
      </c>
      <c r="E7" s="139"/>
      <c r="F7" s="139"/>
      <c r="G7" s="1">
        <f>ROUND(E7-F7,2)</f>
        <v>0</v>
      </c>
    </row>
    <row r="8" spans="1:7">
      <c r="A8" s="138" t="s">
        <v>356</v>
      </c>
      <c r="B8" s="137">
        <f>ROUND(SUMIF(存货明细表!B:B,A8,存货明细表!C:C),2)</f>
        <v>0</v>
      </c>
      <c r="C8" s="137">
        <f>ROUND(SUMIF(存货明细表!B:B,A8,存货明细表!D:D),2)</f>
        <v>0</v>
      </c>
      <c r="D8" s="137">
        <f>ROUND(B8-C8,2)</f>
        <v>0</v>
      </c>
      <c r="E8" s="139"/>
      <c r="F8" s="139"/>
      <c r="G8" s="1">
        <f>ROUND(E8-F8,2)</f>
        <v>0</v>
      </c>
    </row>
    <row r="9" spans="1:7">
      <c r="A9" s="138"/>
      <c r="B9" s="137">
        <f>ROUND(SUMIF(存货明细表!B:B,A9,存货明细表!C:C),2)</f>
        <v>0</v>
      </c>
      <c r="C9" s="137">
        <f>ROUND(SUMIF(存货明细表!B:B,A9,存货明细表!D:D),2)</f>
        <v>0</v>
      </c>
      <c r="D9" s="137">
        <f>ROUND(B9-C9,2)</f>
        <v>0</v>
      </c>
      <c r="E9" s="139"/>
      <c r="F9" s="139"/>
      <c r="G9" s="1">
        <f>ROUND(E9-F9,2)</f>
        <v>0</v>
      </c>
    </row>
    <row r="10" spans="1:7">
      <c r="A10" s="138"/>
      <c r="B10" s="137">
        <f>ROUND(SUMIF(存货明细表!B:B,A10,存货明细表!C:C),2)</f>
        <v>0</v>
      </c>
      <c r="C10" s="137">
        <f>ROUND(SUMIF(存货明细表!B:B,A10,存货明细表!D:D),2)</f>
        <v>0</v>
      </c>
      <c r="D10" s="137">
        <f>ROUND(B10-C10,2)</f>
        <v>0</v>
      </c>
      <c r="E10" s="139"/>
      <c r="F10" s="139"/>
      <c r="G10" s="1">
        <f>ROUND(E10-F10,2)</f>
        <v>0</v>
      </c>
    </row>
    <row r="11" spans="1:7">
      <c r="A11" s="138"/>
      <c r="B11" s="137">
        <f>ROUND(SUMIF(存货明细表!B:B,A11,存货明细表!C:C),2)</f>
        <v>0</v>
      </c>
      <c r="C11" s="137">
        <f>ROUND(SUMIF(存货明细表!B:B,A11,存货明细表!D:D),2)</f>
        <v>0</v>
      </c>
      <c r="D11" s="137">
        <f>ROUND(B11-C11,2)</f>
        <v>0</v>
      </c>
      <c r="E11" s="139"/>
      <c r="F11" s="139"/>
      <c r="G11" s="1">
        <f>ROUND(E11-F11,2)</f>
        <v>0</v>
      </c>
    </row>
    <row r="12" spans="1:7">
      <c r="A12" s="151" t="s">
        <v>204</v>
      </c>
      <c r="B12" s="137">
        <f>ROUND(SUM(B2:B11),2)</f>
        <v>0</v>
      </c>
      <c r="C12" s="137">
        <f>ROUND(SUM(C2:C11),2)</f>
        <v>0</v>
      </c>
      <c r="D12" s="137">
        <f>ROUND(SUM(D2:D11),2)</f>
        <v>0</v>
      </c>
      <c r="E12" s="1">
        <f>ROUND(SUM(E2:E11),2)</f>
        <v>0</v>
      </c>
      <c r="F12" s="1">
        <f>ROUND(SUM(F2:F11),2)</f>
        <v>0</v>
      </c>
      <c r="G12" s="1">
        <f>ROUND(SUM(G2:G11),2)</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codeName="Sheet132">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368</v>
      </c>
      <c r="B1" s="18" t="s">
        <v>369</v>
      </c>
      <c r="C1" s="18" t="s">
        <v>370</v>
      </c>
      <c r="D1" s="18" t="s">
        <v>371</v>
      </c>
      <c r="E1" s="64" t="s">
        <v>214</v>
      </c>
      <c r="F1" s="18" t="s">
        <v>218</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codeName="Sheet133">
    <tabColor rgb="FFFFC000"/>
  </sheetPr>
  <dimension ref="A1:F8"/>
  <sheetViews>
    <sheetView workbookViewId="0">
      <selection activeCell="J25" sqref="J25"/>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368</v>
      </c>
      <c r="B1" s="18" t="s">
        <v>372</v>
      </c>
      <c r="C1" s="18" t="s">
        <v>218</v>
      </c>
      <c r="D1" s="18" t="s">
        <v>373</v>
      </c>
      <c r="E1" s="18" t="s">
        <v>366</v>
      </c>
      <c r="F1" s="303"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codeName="Sheet134">
    <tabColor rgb="FFFFC000"/>
  </sheetPr>
  <dimension ref="A1:F4"/>
  <sheetViews>
    <sheetView workbookViewId="0">
      <selection activeCell="F16" sqref="F16"/>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4211</v>
      </c>
      <c r="C1" s="20" t="s">
        <v>391</v>
      </c>
      <c r="D1" s="20" t="s">
        <v>392</v>
      </c>
      <c r="E1" s="20" t="s">
        <v>393</v>
      </c>
      <c r="F1" s="20" t="s">
        <v>203</v>
      </c>
    </row>
    <row r="2" spans="1:6" ht="14.4">
      <c r="A2" s="269"/>
      <c r="B2" s="268"/>
      <c r="C2" s="268"/>
      <c r="D2" s="268"/>
      <c r="E2" s="268"/>
      <c r="F2" s="69">
        <f>ROUND(B2+C2-D2-E2,2)</f>
        <v>0</v>
      </c>
    </row>
    <row r="3" spans="1:6" ht="14.4">
      <c r="A3" s="269"/>
      <c r="B3" s="268"/>
      <c r="C3" s="268"/>
      <c r="D3" s="268"/>
      <c r="E3" s="268"/>
      <c r="F3" s="69">
        <f>ROUND(B3+C3-D3-E3,2)</f>
        <v>0</v>
      </c>
    </row>
    <row r="4" spans="1:6" ht="14.4">
      <c r="A4" s="19" t="s">
        <v>2449</v>
      </c>
      <c r="B4" s="69">
        <f>ROUND(SUM(B2:B3),2)</f>
        <v>0</v>
      </c>
      <c r="C4" s="69">
        <f>ROUND(SUM(C2:C3),2)</f>
        <v>0</v>
      </c>
      <c r="D4" s="69">
        <f>ROUND(SUM(D2:D3),2)</f>
        <v>0</v>
      </c>
      <c r="E4" s="69">
        <f>ROUND(SUM(E2:E3),2)</f>
        <v>0</v>
      </c>
      <c r="F4" s="69">
        <f>ROUND(SUM(F2:F3),2)</f>
        <v>0</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sheetPr codeName="Sheet135"/>
  <dimension ref="A1:AF24"/>
  <sheetViews>
    <sheetView workbookViewId="0">
      <selection activeCell="A7" sqref="A7"/>
    </sheetView>
  </sheetViews>
  <sheetFormatPr defaultRowHeight="13.8"/>
  <cols>
    <col min="1" max="3" width="9.5546875" style="230" bestFit="1" customWidth="1"/>
    <col min="4" max="4" width="5.5546875" style="230" bestFit="1" customWidth="1"/>
    <col min="5" max="5" width="9.5546875" style="230" bestFit="1" customWidth="1"/>
    <col min="6" max="6" width="11.6640625" style="230" bestFit="1" customWidth="1"/>
    <col min="7" max="10" width="13.88671875" style="230" bestFit="1" customWidth="1"/>
    <col min="11" max="13" width="13.88671875" style="230" customWidth="1"/>
    <col min="14" max="14" width="9" style="230" customWidth="1"/>
    <col min="15" max="15" width="9.109375" style="230" customWidth="1"/>
    <col min="16" max="16" width="7.77734375" style="230" customWidth="1"/>
    <col min="17" max="17" width="13.88671875" style="230" bestFit="1" customWidth="1"/>
    <col min="18" max="19" width="18.33203125" style="230" bestFit="1" customWidth="1"/>
    <col min="20" max="20" width="13.88671875" style="230" bestFit="1" customWidth="1"/>
    <col min="21" max="21" width="22.6640625" style="230" bestFit="1" customWidth="1"/>
    <col min="22" max="16384" width="8.88671875" style="230"/>
  </cols>
  <sheetData>
    <row r="1" spans="1:32" s="521" customFormat="1" ht="55.2">
      <c r="A1" s="314" t="s">
        <v>2015</v>
      </c>
      <c r="B1" s="314" t="s">
        <v>4277</v>
      </c>
      <c r="C1" s="314" t="s">
        <v>4278</v>
      </c>
      <c r="D1" s="314" t="s">
        <v>4279</v>
      </c>
      <c r="E1" s="314" t="s">
        <v>4281</v>
      </c>
      <c r="F1" s="314" t="s">
        <v>4285</v>
      </c>
      <c r="G1" s="314" t="s">
        <v>4280</v>
      </c>
      <c r="H1" s="314" t="s">
        <v>4282</v>
      </c>
      <c r="I1" s="314" t="s">
        <v>4283</v>
      </c>
      <c r="J1" s="314" t="s">
        <v>4284</v>
      </c>
      <c r="K1" s="314" t="s">
        <v>4298</v>
      </c>
      <c r="L1" s="314" t="s">
        <v>4306</v>
      </c>
      <c r="M1" s="314" t="s">
        <v>4307</v>
      </c>
      <c r="N1" s="314" t="s">
        <v>4299</v>
      </c>
      <c r="O1" s="314" t="s">
        <v>4300</v>
      </c>
      <c r="P1" s="314" t="s">
        <v>4301</v>
      </c>
      <c r="Q1" s="521" t="s">
        <v>4286</v>
      </c>
      <c r="R1" s="521" t="s">
        <v>4287</v>
      </c>
      <c r="S1" s="521" t="s">
        <v>4288</v>
      </c>
      <c r="T1" s="521" t="s">
        <v>4289</v>
      </c>
      <c r="U1" s="521" t="s">
        <v>4290</v>
      </c>
      <c r="V1" s="521" t="s">
        <v>4291</v>
      </c>
      <c r="W1" s="521" t="s">
        <v>4292</v>
      </c>
      <c r="X1" s="521" t="s">
        <v>4293</v>
      </c>
      <c r="Y1" s="521" t="s">
        <v>4294</v>
      </c>
      <c r="Z1" s="521" t="s">
        <v>4295</v>
      </c>
      <c r="AA1" s="521" t="s">
        <v>4296</v>
      </c>
      <c r="AB1" s="521" t="s">
        <v>4297</v>
      </c>
      <c r="AC1" s="521" t="s">
        <v>4302</v>
      </c>
      <c r="AD1" s="521" t="s">
        <v>4303</v>
      </c>
      <c r="AE1" s="521" t="s">
        <v>4304</v>
      </c>
      <c r="AF1" s="521" t="s">
        <v>4305</v>
      </c>
    </row>
    <row r="2" spans="1:32">
      <c r="A2" s="230" t="str">
        <f>IF(ABS(F2)&gt;0,基础信息!$B$1,"")</f>
        <v/>
      </c>
      <c r="B2" s="290"/>
      <c r="C2" s="290"/>
      <c r="D2" s="290"/>
      <c r="E2" s="230">
        <f>IFERROR(J2/F2,0)</f>
        <v>0</v>
      </c>
      <c r="G2" s="290"/>
      <c r="H2" s="290"/>
      <c r="I2" s="290"/>
      <c r="J2" s="290"/>
      <c r="K2" s="260">
        <f>L2+M2</f>
        <v>0</v>
      </c>
      <c r="L2" s="290"/>
      <c r="M2" s="290"/>
      <c r="N2" s="290"/>
      <c r="O2" s="290"/>
      <c r="P2" s="290"/>
      <c r="Q2" s="290"/>
      <c r="R2" s="230">
        <f>-I2</f>
        <v>0</v>
      </c>
      <c r="S2" s="290"/>
      <c r="T2" s="230">
        <f>Q2+R2-S2</f>
        <v>0</v>
      </c>
      <c r="U2" s="290"/>
      <c r="V2" s="290"/>
      <c r="W2" s="290"/>
      <c r="X2" s="230">
        <f>U2+V2-W2</f>
        <v>0</v>
      </c>
      <c r="Y2" s="290"/>
      <c r="Z2" s="230">
        <f>G2</f>
        <v>0</v>
      </c>
      <c r="AA2" s="230">
        <f>K2</f>
        <v>0</v>
      </c>
      <c r="AB2" s="230">
        <f>Y2+Z2-AA2</f>
        <v>0</v>
      </c>
      <c r="AC2" s="290"/>
      <c r="AD2" s="230">
        <f>N2</f>
        <v>0</v>
      </c>
      <c r="AE2" s="230">
        <f>O2</f>
        <v>0</v>
      </c>
      <c r="AF2" s="230">
        <f>AC2+AD2-AE2</f>
        <v>0</v>
      </c>
    </row>
    <row r="3" spans="1:32">
      <c r="A3" s="230" t="str">
        <f>IF(ABS(F3)&gt;0,基础信息!$B$1,"")</f>
        <v/>
      </c>
      <c r="B3" s="290"/>
      <c r="C3" s="290"/>
      <c r="D3" s="290"/>
      <c r="E3" s="230">
        <f t="shared" ref="E3:E14" si="0">IFERROR(J3/F3,0)</f>
        <v>0</v>
      </c>
      <c r="G3" s="290"/>
      <c r="H3" s="290"/>
      <c r="I3" s="290"/>
      <c r="J3" s="290"/>
      <c r="K3" s="260">
        <f t="shared" ref="K3:K24" si="1">L3+M3</f>
        <v>0</v>
      </c>
      <c r="L3" s="290"/>
      <c r="M3" s="290"/>
      <c r="N3" s="290"/>
      <c r="O3" s="290"/>
      <c r="P3" s="290"/>
      <c r="Q3" s="290"/>
      <c r="R3" s="230">
        <f t="shared" ref="R3:R18" si="2">-I3</f>
        <v>0</v>
      </c>
      <c r="S3" s="290"/>
      <c r="T3" s="230">
        <f t="shared" ref="T3:T17" si="3">Q3+R3-S3</f>
        <v>0</v>
      </c>
      <c r="U3" s="290"/>
      <c r="V3" s="290"/>
      <c r="W3" s="290"/>
      <c r="X3" s="230">
        <f t="shared" ref="X3:X19" si="4">U3+V3-W3</f>
        <v>0</v>
      </c>
      <c r="Y3" s="290"/>
      <c r="Z3" s="230">
        <f t="shared" ref="Z3:Z24" si="5">G3</f>
        <v>0</v>
      </c>
      <c r="AA3" s="230">
        <f t="shared" ref="AA3:AA24" si="6">K3</f>
        <v>0</v>
      </c>
      <c r="AB3" s="230">
        <f t="shared" ref="AB3:AB24" si="7">Y3+Z3-AA3</f>
        <v>0</v>
      </c>
      <c r="AC3" s="290"/>
      <c r="AD3" s="230">
        <f t="shared" ref="AD3:AD24" si="8">N3</f>
        <v>0</v>
      </c>
      <c r="AE3" s="230">
        <f t="shared" ref="AE3:AE24" si="9">O3</f>
        <v>0</v>
      </c>
      <c r="AF3" s="230">
        <f t="shared" ref="AF3:AF24" si="10">AC3+AD3-AE3</f>
        <v>0</v>
      </c>
    </row>
    <row r="4" spans="1:32">
      <c r="A4" s="230" t="str">
        <f>IF(ABS(F4)&gt;0,基础信息!$B$1,"")</f>
        <v/>
      </c>
      <c r="B4" s="290"/>
      <c r="C4" s="290"/>
      <c r="D4" s="290"/>
      <c r="E4" s="230">
        <f t="shared" si="0"/>
        <v>0</v>
      </c>
      <c r="G4" s="290"/>
      <c r="H4" s="290"/>
      <c r="I4" s="290"/>
      <c r="J4" s="290"/>
      <c r="K4" s="260">
        <f t="shared" si="1"/>
        <v>0</v>
      </c>
      <c r="L4" s="290"/>
      <c r="M4" s="290"/>
      <c r="N4" s="290"/>
      <c r="O4" s="290"/>
      <c r="P4" s="290"/>
      <c r="Q4" s="290"/>
      <c r="R4" s="230">
        <f t="shared" si="2"/>
        <v>0</v>
      </c>
      <c r="S4" s="290"/>
      <c r="T4" s="230">
        <f t="shared" si="3"/>
        <v>0</v>
      </c>
      <c r="U4" s="290"/>
      <c r="V4" s="290"/>
      <c r="W4" s="290"/>
      <c r="X4" s="230">
        <f t="shared" si="4"/>
        <v>0</v>
      </c>
      <c r="Y4" s="290"/>
      <c r="Z4" s="230">
        <f t="shared" si="5"/>
        <v>0</v>
      </c>
      <c r="AA4" s="230">
        <f t="shared" si="6"/>
        <v>0</v>
      </c>
      <c r="AB4" s="230">
        <f t="shared" si="7"/>
        <v>0</v>
      </c>
      <c r="AC4" s="290"/>
      <c r="AD4" s="230">
        <f t="shared" si="8"/>
        <v>0</v>
      </c>
      <c r="AE4" s="230">
        <f t="shared" si="9"/>
        <v>0</v>
      </c>
      <c r="AF4" s="230">
        <f t="shared" si="10"/>
        <v>0</v>
      </c>
    </row>
    <row r="5" spans="1:32">
      <c r="A5" s="230" t="str">
        <f>IF(ABS(F5)&gt;0,基础信息!$B$1,"")</f>
        <v/>
      </c>
      <c r="B5" s="290"/>
      <c r="C5" s="290"/>
      <c r="D5" s="290"/>
      <c r="E5" s="230">
        <f t="shared" si="0"/>
        <v>0</v>
      </c>
      <c r="G5" s="290"/>
      <c r="H5" s="290"/>
      <c r="I5" s="290"/>
      <c r="J5" s="290"/>
      <c r="K5" s="260">
        <f t="shared" si="1"/>
        <v>0</v>
      </c>
      <c r="L5" s="290"/>
      <c r="M5" s="290"/>
      <c r="N5" s="290"/>
      <c r="O5" s="290"/>
      <c r="P5" s="290"/>
      <c r="Q5" s="290"/>
      <c r="R5" s="230">
        <f t="shared" si="2"/>
        <v>0</v>
      </c>
      <c r="S5" s="290"/>
      <c r="T5" s="230">
        <f t="shared" si="3"/>
        <v>0</v>
      </c>
      <c r="U5" s="290"/>
      <c r="V5" s="290"/>
      <c r="W5" s="290"/>
      <c r="X5" s="230">
        <f t="shared" si="4"/>
        <v>0</v>
      </c>
      <c r="Y5" s="290"/>
      <c r="Z5" s="230">
        <f t="shared" si="5"/>
        <v>0</v>
      </c>
      <c r="AA5" s="230">
        <f t="shared" si="6"/>
        <v>0</v>
      </c>
      <c r="AB5" s="230">
        <f t="shared" si="7"/>
        <v>0</v>
      </c>
      <c r="AC5" s="290"/>
      <c r="AD5" s="230">
        <f t="shared" si="8"/>
        <v>0</v>
      </c>
      <c r="AE5" s="230">
        <f t="shared" si="9"/>
        <v>0</v>
      </c>
      <c r="AF5" s="230">
        <f t="shared" si="10"/>
        <v>0</v>
      </c>
    </row>
    <row r="6" spans="1:32">
      <c r="A6" s="230" t="str">
        <f>IF(ABS(F6)&gt;0,基础信息!$B$1,"")</f>
        <v/>
      </c>
      <c r="B6" s="290"/>
      <c r="C6" s="290"/>
      <c r="D6" s="290"/>
      <c r="E6" s="230">
        <f t="shared" si="0"/>
        <v>0</v>
      </c>
      <c r="G6" s="290"/>
      <c r="H6" s="290"/>
      <c r="I6" s="290"/>
      <c r="J6" s="290"/>
      <c r="K6" s="260">
        <f t="shared" si="1"/>
        <v>0</v>
      </c>
      <c r="L6" s="290"/>
      <c r="M6" s="290"/>
      <c r="N6" s="290"/>
      <c r="O6" s="290"/>
      <c r="P6" s="290"/>
      <c r="Q6" s="290"/>
      <c r="R6" s="230">
        <f t="shared" si="2"/>
        <v>0</v>
      </c>
      <c r="S6" s="290"/>
      <c r="T6" s="230">
        <f t="shared" si="3"/>
        <v>0</v>
      </c>
      <c r="U6" s="290"/>
      <c r="V6" s="290"/>
      <c r="W6" s="290"/>
      <c r="X6" s="230">
        <f t="shared" si="4"/>
        <v>0</v>
      </c>
      <c r="Y6" s="290"/>
      <c r="Z6" s="230">
        <f t="shared" si="5"/>
        <v>0</v>
      </c>
      <c r="AA6" s="230">
        <f t="shared" si="6"/>
        <v>0</v>
      </c>
      <c r="AB6" s="230">
        <f t="shared" si="7"/>
        <v>0</v>
      </c>
      <c r="AC6" s="290"/>
      <c r="AD6" s="230">
        <f t="shared" si="8"/>
        <v>0</v>
      </c>
      <c r="AE6" s="230">
        <f t="shared" si="9"/>
        <v>0</v>
      </c>
      <c r="AF6" s="230">
        <f t="shared" si="10"/>
        <v>0</v>
      </c>
    </row>
    <row r="7" spans="1:32">
      <c r="A7" s="230" t="str">
        <f>IF(ABS(F7)&gt;0,基础信息!$B$1,"")</f>
        <v/>
      </c>
      <c r="B7" s="290"/>
      <c r="C7" s="290"/>
      <c r="D7" s="290"/>
      <c r="E7" s="230">
        <f t="shared" si="0"/>
        <v>0</v>
      </c>
      <c r="G7" s="290"/>
      <c r="H7" s="290"/>
      <c r="I7" s="290"/>
      <c r="J7" s="290"/>
      <c r="K7" s="260">
        <f t="shared" si="1"/>
        <v>0</v>
      </c>
      <c r="L7" s="290"/>
      <c r="M7" s="290"/>
      <c r="N7" s="290"/>
      <c r="O7" s="290"/>
      <c r="P7" s="290"/>
      <c r="Q7" s="290"/>
      <c r="R7" s="230">
        <f t="shared" si="2"/>
        <v>0</v>
      </c>
      <c r="S7" s="290"/>
      <c r="T7" s="230">
        <f t="shared" si="3"/>
        <v>0</v>
      </c>
      <c r="U7" s="290"/>
      <c r="V7" s="290"/>
      <c r="W7" s="290"/>
      <c r="X7" s="230">
        <f t="shared" si="4"/>
        <v>0</v>
      </c>
      <c r="Y7" s="290"/>
      <c r="Z7" s="230">
        <f t="shared" si="5"/>
        <v>0</v>
      </c>
      <c r="AA7" s="230">
        <f t="shared" si="6"/>
        <v>0</v>
      </c>
      <c r="AB7" s="230">
        <f t="shared" si="7"/>
        <v>0</v>
      </c>
      <c r="AC7" s="290"/>
      <c r="AD7" s="230">
        <f t="shared" si="8"/>
        <v>0</v>
      </c>
      <c r="AE7" s="230">
        <f t="shared" si="9"/>
        <v>0</v>
      </c>
      <c r="AF7" s="230">
        <f t="shared" si="10"/>
        <v>0</v>
      </c>
    </row>
    <row r="8" spans="1:32">
      <c r="A8" s="230" t="str">
        <f>IF(ABS(F8)&gt;0,基础信息!$B$1,"")</f>
        <v/>
      </c>
      <c r="B8" s="290"/>
      <c r="C8" s="290"/>
      <c r="D8" s="290"/>
      <c r="E8" s="230">
        <f t="shared" si="0"/>
        <v>0</v>
      </c>
      <c r="G8" s="290"/>
      <c r="H8" s="290"/>
      <c r="I8" s="290"/>
      <c r="J8" s="290"/>
      <c r="K8" s="260">
        <f t="shared" si="1"/>
        <v>0</v>
      </c>
      <c r="L8" s="290"/>
      <c r="M8" s="290"/>
      <c r="N8" s="290"/>
      <c r="O8" s="290"/>
      <c r="P8" s="290"/>
      <c r="Q8" s="290"/>
      <c r="R8" s="230">
        <f t="shared" si="2"/>
        <v>0</v>
      </c>
      <c r="S8" s="290"/>
      <c r="T8" s="230">
        <f t="shared" si="3"/>
        <v>0</v>
      </c>
      <c r="U8" s="290"/>
      <c r="V8" s="290"/>
      <c r="W8" s="290"/>
      <c r="X8" s="230">
        <f t="shared" si="4"/>
        <v>0</v>
      </c>
      <c r="Y8" s="290"/>
      <c r="Z8" s="230">
        <f t="shared" si="5"/>
        <v>0</v>
      </c>
      <c r="AA8" s="230">
        <f t="shared" si="6"/>
        <v>0</v>
      </c>
      <c r="AB8" s="230">
        <f t="shared" si="7"/>
        <v>0</v>
      </c>
      <c r="AC8" s="290"/>
      <c r="AD8" s="230">
        <f t="shared" si="8"/>
        <v>0</v>
      </c>
      <c r="AE8" s="230">
        <f t="shared" si="9"/>
        <v>0</v>
      </c>
      <c r="AF8" s="230">
        <f t="shared" si="10"/>
        <v>0</v>
      </c>
    </row>
    <row r="9" spans="1:32">
      <c r="A9" s="230" t="str">
        <f>IF(ABS(F9)&gt;0,基础信息!$B$1,"")</f>
        <v/>
      </c>
      <c r="B9" s="290"/>
      <c r="C9" s="290"/>
      <c r="D9" s="290"/>
      <c r="E9" s="230">
        <f t="shared" si="0"/>
        <v>0</v>
      </c>
      <c r="G9" s="290"/>
      <c r="H9" s="290"/>
      <c r="I9" s="290"/>
      <c r="J9" s="290"/>
      <c r="K9" s="260">
        <f t="shared" si="1"/>
        <v>0</v>
      </c>
      <c r="L9" s="290"/>
      <c r="M9" s="290"/>
      <c r="N9" s="290"/>
      <c r="O9" s="290"/>
      <c r="P9" s="290"/>
      <c r="Q9" s="290"/>
      <c r="R9" s="230">
        <f t="shared" si="2"/>
        <v>0</v>
      </c>
      <c r="S9" s="290"/>
      <c r="T9" s="230">
        <f t="shared" si="3"/>
        <v>0</v>
      </c>
      <c r="U9" s="290"/>
      <c r="V9" s="290"/>
      <c r="W9" s="290"/>
      <c r="X9" s="230">
        <f t="shared" si="4"/>
        <v>0</v>
      </c>
      <c r="Y9" s="290"/>
      <c r="Z9" s="230">
        <f t="shared" si="5"/>
        <v>0</v>
      </c>
      <c r="AA9" s="230">
        <f t="shared" si="6"/>
        <v>0</v>
      </c>
      <c r="AB9" s="230">
        <f t="shared" si="7"/>
        <v>0</v>
      </c>
      <c r="AC9" s="290"/>
      <c r="AD9" s="230">
        <f t="shared" si="8"/>
        <v>0</v>
      </c>
      <c r="AE9" s="230">
        <f t="shared" si="9"/>
        <v>0</v>
      </c>
      <c r="AF9" s="230">
        <f t="shared" si="10"/>
        <v>0</v>
      </c>
    </row>
    <row r="10" spans="1:32">
      <c r="A10" s="230" t="str">
        <f>IF(ABS(F10)&gt;0,基础信息!$B$1,"")</f>
        <v/>
      </c>
      <c r="B10" s="290"/>
      <c r="C10" s="290"/>
      <c r="D10" s="290"/>
      <c r="E10" s="230">
        <f t="shared" si="0"/>
        <v>0</v>
      </c>
      <c r="G10" s="290"/>
      <c r="H10" s="290"/>
      <c r="I10" s="290"/>
      <c r="J10" s="290"/>
      <c r="K10" s="260">
        <f t="shared" si="1"/>
        <v>0</v>
      </c>
      <c r="L10" s="290"/>
      <c r="M10" s="290"/>
      <c r="N10" s="290"/>
      <c r="O10" s="290"/>
      <c r="P10" s="290"/>
      <c r="Q10" s="290"/>
      <c r="R10" s="230">
        <f t="shared" si="2"/>
        <v>0</v>
      </c>
      <c r="S10" s="290"/>
      <c r="T10" s="230">
        <f t="shared" si="3"/>
        <v>0</v>
      </c>
      <c r="U10" s="290"/>
      <c r="V10" s="290"/>
      <c r="W10" s="290"/>
      <c r="X10" s="230">
        <f t="shared" si="4"/>
        <v>0</v>
      </c>
      <c r="Y10" s="290"/>
      <c r="Z10" s="230">
        <f t="shared" si="5"/>
        <v>0</v>
      </c>
      <c r="AA10" s="230">
        <f t="shared" si="6"/>
        <v>0</v>
      </c>
      <c r="AB10" s="230">
        <f t="shared" si="7"/>
        <v>0</v>
      </c>
      <c r="AC10" s="290"/>
      <c r="AD10" s="230">
        <f t="shared" si="8"/>
        <v>0</v>
      </c>
      <c r="AE10" s="230">
        <f t="shared" si="9"/>
        <v>0</v>
      </c>
      <c r="AF10" s="230">
        <f t="shared" si="10"/>
        <v>0</v>
      </c>
    </row>
    <row r="11" spans="1:32">
      <c r="A11" s="230" t="str">
        <f>IF(ABS(F11)&gt;0,基础信息!$B$1,"")</f>
        <v/>
      </c>
      <c r="B11" s="290"/>
      <c r="C11" s="290"/>
      <c r="D11" s="290"/>
      <c r="E11" s="230">
        <f t="shared" si="0"/>
        <v>0</v>
      </c>
      <c r="G11" s="290"/>
      <c r="H11" s="290"/>
      <c r="I11" s="290"/>
      <c r="J11" s="290"/>
      <c r="K11" s="260">
        <f t="shared" si="1"/>
        <v>0</v>
      </c>
      <c r="L11" s="290"/>
      <c r="M11" s="290"/>
      <c r="N11" s="290"/>
      <c r="O11" s="290"/>
      <c r="P11" s="290"/>
      <c r="Q11" s="290"/>
      <c r="R11" s="230">
        <f t="shared" si="2"/>
        <v>0</v>
      </c>
      <c r="S11" s="290"/>
      <c r="T11" s="230">
        <f t="shared" si="3"/>
        <v>0</v>
      </c>
      <c r="U11" s="290"/>
      <c r="V11" s="290"/>
      <c r="W11" s="290"/>
      <c r="X11" s="230">
        <f t="shared" si="4"/>
        <v>0</v>
      </c>
      <c r="Y11" s="290"/>
      <c r="Z11" s="230">
        <f t="shared" si="5"/>
        <v>0</v>
      </c>
      <c r="AA11" s="230">
        <f t="shared" si="6"/>
        <v>0</v>
      </c>
      <c r="AB11" s="230">
        <f t="shared" si="7"/>
        <v>0</v>
      </c>
      <c r="AC11" s="290"/>
      <c r="AD11" s="230">
        <f t="shared" si="8"/>
        <v>0</v>
      </c>
      <c r="AE11" s="230">
        <f t="shared" si="9"/>
        <v>0</v>
      </c>
      <c r="AF11" s="230">
        <f t="shared" si="10"/>
        <v>0</v>
      </c>
    </row>
    <row r="12" spans="1:32">
      <c r="A12" s="230" t="str">
        <f>IF(ABS(F12)&gt;0,基础信息!$B$1,"")</f>
        <v/>
      </c>
      <c r="B12" s="290"/>
      <c r="C12" s="290"/>
      <c r="D12" s="290"/>
      <c r="E12" s="230">
        <f t="shared" si="0"/>
        <v>0</v>
      </c>
      <c r="G12" s="290"/>
      <c r="H12" s="290"/>
      <c r="I12" s="290"/>
      <c r="J12" s="290"/>
      <c r="K12" s="260">
        <f t="shared" si="1"/>
        <v>0</v>
      </c>
      <c r="L12" s="290"/>
      <c r="M12" s="290"/>
      <c r="N12" s="290"/>
      <c r="O12" s="290"/>
      <c r="P12" s="290"/>
      <c r="Q12" s="290"/>
      <c r="R12" s="230">
        <f t="shared" si="2"/>
        <v>0</v>
      </c>
      <c r="S12" s="290"/>
      <c r="T12" s="230">
        <f t="shared" si="3"/>
        <v>0</v>
      </c>
      <c r="U12" s="290"/>
      <c r="V12" s="290"/>
      <c r="W12" s="290"/>
      <c r="X12" s="230">
        <f t="shared" si="4"/>
        <v>0</v>
      </c>
      <c r="Y12" s="290"/>
      <c r="Z12" s="230">
        <f t="shared" si="5"/>
        <v>0</v>
      </c>
      <c r="AA12" s="230">
        <f t="shared" si="6"/>
        <v>0</v>
      </c>
      <c r="AB12" s="230">
        <f t="shared" si="7"/>
        <v>0</v>
      </c>
      <c r="AC12" s="290"/>
      <c r="AD12" s="230">
        <f t="shared" si="8"/>
        <v>0</v>
      </c>
      <c r="AE12" s="230">
        <f t="shared" si="9"/>
        <v>0</v>
      </c>
      <c r="AF12" s="230">
        <f t="shared" si="10"/>
        <v>0</v>
      </c>
    </row>
    <row r="13" spans="1:32">
      <c r="A13" s="230" t="str">
        <f>IF(ABS(F13)&gt;0,基础信息!$B$1,"")</f>
        <v/>
      </c>
      <c r="B13" s="290"/>
      <c r="C13" s="290"/>
      <c r="D13" s="290"/>
      <c r="E13" s="230">
        <f t="shared" si="0"/>
        <v>0</v>
      </c>
      <c r="G13" s="290"/>
      <c r="H13" s="290"/>
      <c r="I13" s="290"/>
      <c r="J13" s="290"/>
      <c r="K13" s="260">
        <f t="shared" si="1"/>
        <v>0</v>
      </c>
      <c r="L13" s="290"/>
      <c r="M13" s="290"/>
      <c r="N13" s="290"/>
      <c r="O13" s="290"/>
      <c r="P13" s="290"/>
      <c r="Q13" s="290"/>
      <c r="R13" s="230">
        <f t="shared" si="2"/>
        <v>0</v>
      </c>
      <c r="S13" s="290"/>
      <c r="T13" s="230">
        <f t="shared" si="3"/>
        <v>0</v>
      </c>
      <c r="U13" s="290"/>
      <c r="V13" s="290"/>
      <c r="W13" s="290"/>
      <c r="X13" s="230">
        <f t="shared" si="4"/>
        <v>0</v>
      </c>
      <c r="Y13" s="290"/>
      <c r="Z13" s="230">
        <f t="shared" si="5"/>
        <v>0</v>
      </c>
      <c r="AA13" s="230">
        <f t="shared" si="6"/>
        <v>0</v>
      </c>
      <c r="AB13" s="230">
        <f t="shared" si="7"/>
        <v>0</v>
      </c>
      <c r="AC13" s="290"/>
      <c r="AD13" s="230">
        <f t="shared" si="8"/>
        <v>0</v>
      </c>
      <c r="AE13" s="230">
        <f t="shared" si="9"/>
        <v>0</v>
      </c>
      <c r="AF13" s="230">
        <f t="shared" si="10"/>
        <v>0</v>
      </c>
    </row>
    <row r="14" spans="1:32">
      <c r="A14" s="230" t="str">
        <f>IF(ABS(F14)&gt;0,基础信息!$B$1,"")</f>
        <v/>
      </c>
      <c r="B14" s="290"/>
      <c r="C14" s="290"/>
      <c r="D14" s="290"/>
      <c r="E14" s="230">
        <f t="shared" si="0"/>
        <v>0</v>
      </c>
      <c r="G14" s="290"/>
      <c r="H14" s="290"/>
      <c r="I14" s="290"/>
      <c r="J14" s="290"/>
      <c r="K14" s="260">
        <f t="shared" si="1"/>
        <v>0</v>
      </c>
      <c r="L14" s="290"/>
      <c r="M14" s="290"/>
      <c r="N14" s="290"/>
      <c r="O14" s="290"/>
      <c r="P14" s="290"/>
      <c r="Q14" s="290"/>
      <c r="R14" s="230">
        <f t="shared" si="2"/>
        <v>0</v>
      </c>
      <c r="S14" s="290"/>
      <c r="T14" s="230">
        <f t="shared" si="3"/>
        <v>0</v>
      </c>
      <c r="U14" s="290"/>
      <c r="V14" s="290"/>
      <c r="W14" s="290"/>
      <c r="X14" s="230">
        <f t="shared" si="4"/>
        <v>0</v>
      </c>
      <c r="Y14" s="290"/>
      <c r="Z14" s="230">
        <f t="shared" si="5"/>
        <v>0</v>
      </c>
      <c r="AA14" s="230">
        <f t="shared" si="6"/>
        <v>0</v>
      </c>
      <c r="AB14" s="230">
        <f t="shared" si="7"/>
        <v>0</v>
      </c>
      <c r="AC14" s="290"/>
      <c r="AD14" s="230">
        <f t="shared" si="8"/>
        <v>0</v>
      </c>
      <c r="AE14" s="230">
        <f t="shared" si="9"/>
        <v>0</v>
      </c>
      <c r="AF14" s="230">
        <f t="shared" si="10"/>
        <v>0</v>
      </c>
    </row>
    <row r="15" spans="1:32">
      <c r="A15" s="230" t="str">
        <f>IF(ABS(F15)&gt;0,基础信息!$B$1,"")</f>
        <v/>
      </c>
      <c r="B15" s="290"/>
      <c r="C15" s="290"/>
      <c r="D15" s="290"/>
      <c r="G15" s="290"/>
      <c r="H15" s="290"/>
      <c r="I15" s="290"/>
      <c r="J15" s="290"/>
      <c r="K15" s="260">
        <f t="shared" si="1"/>
        <v>0</v>
      </c>
      <c r="L15" s="290"/>
      <c r="M15" s="290"/>
      <c r="N15" s="290"/>
      <c r="O15" s="290"/>
      <c r="P15" s="290"/>
      <c r="Q15" s="290"/>
      <c r="R15" s="230">
        <f t="shared" si="2"/>
        <v>0</v>
      </c>
      <c r="S15" s="290"/>
      <c r="T15" s="230">
        <f t="shared" si="3"/>
        <v>0</v>
      </c>
      <c r="U15" s="290"/>
      <c r="V15" s="290"/>
      <c r="W15" s="290"/>
      <c r="X15" s="230">
        <f t="shared" si="4"/>
        <v>0</v>
      </c>
      <c r="Y15" s="290"/>
      <c r="Z15" s="230">
        <f t="shared" si="5"/>
        <v>0</v>
      </c>
      <c r="AA15" s="230">
        <f t="shared" si="6"/>
        <v>0</v>
      </c>
      <c r="AB15" s="230">
        <f t="shared" si="7"/>
        <v>0</v>
      </c>
      <c r="AC15" s="290"/>
      <c r="AD15" s="230">
        <f t="shared" si="8"/>
        <v>0</v>
      </c>
      <c r="AE15" s="230">
        <f t="shared" si="9"/>
        <v>0</v>
      </c>
      <c r="AF15" s="230">
        <f t="shared" si="10"/>
        <v>0</v>
      </c>
    </row>
    <row r="16" spans="1:32">
      <c r="A16" s="230" t="str">
        <f>IF(ABS(F16)&gt;0,基础信息!$B$1,"")</f>
        <v/>
      </c>
      <c r="B16" s="290"/>
      <c r="C16" s="290"/>
      <c r="D16" s="290"/>
      <c r="G16" s="290"/>
      <c r="H16" s="290"/>
      <c r="I16" s="290"/>
      <c r="J16" s="290"/>
      <c r="K16" s="260">
        <f t="shared" si="1"/>
        <v>0</v>
      </c>
      <c r="L16" s="290"/>
      <c r="M16" s="290"/>
      <c r="N16" s="290"/>
      <c r="O16" s="290"/>
      <c r="P16" s="290"/>
      <c r="Q16" s="290"/>
      <c r="R16" s="230">
        <f t="shared" si="2"/>
        <v>0</v>
      </c>
      <c r="S16" s="290"/>
      <c r="T16" s="230">
        <f t="shared" si="3"/>
        <v>0</v>
      </c>
      <c r="U16" s="290"/>
      <c r="V16" s="290"/>
      <c r="W16" s="290"/>
      <c r="X16" s="230">
        <f t="shared" si="4"/>
        <v>0</v>
      </c>
      <c r="Y16" s="290"/>
      <c r="Z16" s="230">
        <f t="shared" si="5"/>
        <v>0</v>
      </c>
      <c r="AA16" s="230">
        <f t="shared" si="6"/>
        <v>0</v>
      </c>
      <c r="AB16" s="230">
        <f t="shared" si="7"/>
        <v>0</v>
      </c>
      <c r="AC16" s="290"/>
      <c r="AD16" s="230">
        <f t="shared" si="8"/>
        <v>0</v>
      </c>
      <c r="AE16" s="230">
        <f t="shared" si="9"/>
        <v>0</v>
      </c>
      <c r="AF16" s="230">
        <f t="shared" si="10"/>
        <v>0</v>
      </c>
    </row>
    <row r="17" spans="1:32">
      <c r="A17" s="230" t="str">
        <f>IF(ABS(F17)&gt;0,基础信息!$B$1,"")</f>
        <v/>
      </c>
      <c r="B17" s="290"/>
      <c r="C17" s="290"/>
      <c r="D17" s="290"/>
      <c r="G17" s="290"/>
      <c r="H17" s="290"/>
      <c r="I17" s="290"/>
      <c r="J17" s="290"/>
      <c r="K17" s="260">
        <f t="shared" si="1"/>
        <v>0</v>
      </c>
      <c r="L17" s="290"/>
      <c r="M17" s="290"/>
      <c r="N17" s="290"/>
      <c r="O17" s="290"/>
      <c r="P17" s="290"/>
      <c r="Q17" s="290"/>
      <c r="R17" s="230">
        <f t="shared" si="2"/>
        <v>0</v>
      </c>
      <c r="S17" s="290"/>
      <c r="T17" s="230">
        <f t="shared" si="3"/>
        <v>0</v>
      </c>
      <c r="U17" s="290"/>
      <c r="V17" s="290"/>
      <c r="W17" s="290"/>
      <c r="X17" s="230">
        <f t="shared" si="4"/>
        <v>0</v>
      </c>
      <c r="Y17" s="290"/>
      <c r="Z17" s="230">
        <f t="shared" si="5"/>
        <v>0</v>
      </c>
      <c r="AA17" s="230">
        <f t="shared" si="6"/>
        <v>0</v>
      </c>
      <c r="AB17" s="230">
        <f t="shared" si="7"/>
        <v>0</v>
      </c>
      <c r="AC17" s="290"/>
      <c r="AD17" s="230">
        <f t="shared" si="8"/>
        <v>0</v>
      </c>
      <c r="AE17" s="230">
        <f t="shared" si="9"/>
        <v>0</v>
      </c>
      <c r="AF17" s="230">
        <f t="shared" si="10"/>
        <v>0</v>
      </c>
    </row>
    <row r="18" spans="1:32">
      <c r="A18" s="230" t="str">
        <f>IF(ABS(F18)&gt;0,基础信息!$B$1,"")</f>
        <v/>
      </c>
      <c r="B18" s="290"/>
      <c r="C18" s="290"/>
      <c r="D18" s="290"/>
      <c r="G18" s="290"/>
      <c r="H18" s="290"/>
      <c r="I18" s="290"/>
      <c r="J18" s="290"/>
      <c r="K18" s="260">
        <f t="shared" si="1"/>
        <v>0</v>
      </c>
      <c r="L18" s="290"/>
      <c r="M18" s="290"/>
      <c r="N18" s="290"/>
      <c r="O18" s="290"/>
      <c r="P18" s="290"/>
      <c r="Q18" s="290"/>
      <c r="R18" s="230">
        <f t="shared" si="2"/>
        <v>0</v>
      </c>
      <c r="S18" s="290"/>
      <c r="U18" s="290"/>
      <c r="V18" s="290"/>
      <c r="W18" s="290"/>
      <c r="X18" s="230">
        <f t="shared" si="4"/>
        <v>0</v>
      </c>
      <c r="Y18" s="290"/>
      <c r="Z18" s="230">
        <f t="shared" si="5"/>
        <v>0</v>
      </c>
      <c r="AA18" s="230">
        <f t="shared" si="6"/>
        <v>0</v>
      </c>
      <c r="AB18" s="230">
        <f t="shared" si="7"/>
        <v>0</v>
      </c>
      <c r="AC18" s="290"/>
      <c r="AD18" s="230">
        <f t="shared" si="8"/>
        <v>0</v>
      </c>
      <c r="AE18" s="230">
        <f t="shared" si="9"/>
        <v>0</v>
      </c>
      <c r="AF18" s="230">
        <f t="shared" si="10"/>
        <v>0</v>
      </c>
    </row>
    <row r="19" spans="1:32">
      <c r="A19" s="230" t="str">
        <f>IF(ABS(F19)&gt;0,基础信息!$B$1,"")</f>
        <v/>
      </c>
      <c r="B19" s="290"/>
      <c r="C19" s="290"/>
      <c r="D19" s="290"/>
      <c r="G19" s="290"/>
      <c r="H19" s="290"/>
      <c r="I19" s="290"/>
      <c r="J19" s="290"/>
      <c r="K19" s="260">
        <f t="shared" si="1"/>
        <v>0</v>
      </c>
      <c r="L19" s="290"/>
      <c r="M19" s="290"/>
      <c r="N19" s="290"/>
      <c r="O19" s="290"/>
      <c r="P19" s="290"/>
      <c r="Q19" s="290"/>
      <c r="S19" s="290"/>
      <c r="U19" s="290"/>
      <c r="V19" s="290"/>
      <c r="W19" s="290"/>
      <c r="X19" s="230">
        <f t="shared" si="4"/>
        <v>0</v>
      </c>
      <c r="Y19" s="290"/>
      <c r="Z19" s="230">
        <f t="shared" si="5"/>
        <v>0</v>
      </c>
      <c r="AA19" s="230">
        <f t="shared" si="6"/>
        <v>0</v>
      </c>
      <c r="AB19" s="230">
        <f t="shared" si="7"/>
        <v>0</v>
      </c>
      <c r="AC19" s="290"/>
      <c r="AD19" s="230">
        <f t="shared" si="8"/>
        <v>0</v>
      </c>
      <c r="AE19" s="230">
        <f t="shared" si="9"/>
        <v>0</v>
      </c>
      <c r="AF19" s="230">
        <f t="shared" si="10"/>
        <v>0</v>
      </c>
    </row>
    <row r="20" spans="1:32">
      <c r="A20" s="230" t="str">
        <f>IF(ABS(F20)&gt;0,基础信息!$B$1,"")</f>
        <v/>
      </c>
      <c r="B20" s="290"/>
      <c r="C20" s="290"/>
      <c r="D20" s="290"/>
      <c r="G20" s="290"/>
      <c r="H20" s="290"/>
      <c r="I20" s="290"/>
      <c r="J20" s="290"/>
      <c r="K20" s="260">
        <f t="shared" si="1"/>
        <v>0</v>
      </c>
      <c r="L20" s="290"/>
      <c r="M20" s="290"/>
      <c r="N20" s="290"/>
      <c r="O20" s="290"/>
      <c r="P20" s="290"/>
      <c r="Q20" s="290"/>
      <c r="S20" s="290"/>
      <c r="U20" s="290"/>
      <c r="V20" s="290"/>
      <c r="W20" s="290"/>
      <c r="Y20" s="290"/>
      <c r="Z20" s="230">
        <f t="shared" si="5"/>
        <v>0</v>
      </c>
      <c r="AA20" s="230">
        <f t="shared" si="6"/>
        <v>0</v>
      </c>
      <c r="AB20" s="230">
        <f t="shared" si="7"/>
        <v>0</v>
      </c>
      <c r="AC20" s="290"/>
      <c r="AD20" s="230">
        <f t="shared" si="8"/>
        <v>0</v>
      </c>
      <c r="AE20" s="230">
        <f t="shared" si="9"/>
        <v>0</v>
      </c>
      <c r="AF20" s="230">
        <f t="shared" si="10"/>
        <v>0</v>
      </c>
    </row>
    <row r="21" spans="1:32">
      <c r="A21" s="230" t="str">
        <f>IF(ABS(F21)&gt;0,基础信息!$B$1,"")</f>
        <v/>
      </c>
      <c r="B21" s="290"/>
      <c r="C21" s="290"/>
      <c r="D21" s="290"/>
      <c r="G21" s="290"/>
      <c r="H21" s="290"/>
      <c r="I21" s="290"/>
      <c r="J21" s="290"/>
      <c r="K21" s="260">
        <f t="shared" si="1"/>
        <v>0</v>
      </c>
      <c r="L21" s="290"/>
      <c r="M21" s="290"/>
      <c r="N21" s="290"/>
      <c r="O21" s="290"/>
      <c r="P21" s="290"/>
      <c r="Q21" s="290"/>
      <c r="S21" s="290"/>
      <c r="U21" s="290"/>
      <c r="V21" s="290"/>
      <c r="W21" s="290"/>
      <c r="Y21" s="290"/>
      <c r="Z21" s="230">
        <f t="shared" si="5"/>
        <v>0</v>
      </c>
      <c r="AA21" s="230">
        <f t="shared" si="6"/>
        <v>0</v>
      </c>
      <c r="AB21" s="230">
        <f t="shared" si="7"/>
        <v>0</v>
      </c>
      <c r="AC21" s="290"/>
      <c r="AD21" s="230">
        <f t="shared" si="8"/>
        <v>0</v>
      </c>
      <c r="AE21" s="230">
        <f t="shared" si="9"/>
        <v>0</v>
      </c>
      <c r="AF21" s="230">
        <f t="shared" si="10"/>
        <v>0</v>
      </c>
    </row>
    <row r="22" spans="1:32">
      <c r="B22" s="290"/>
      <c r="C22" s="290"/>
      <c r="D22" s="290"/>
      <c r="G22" s="290"/>
      <c r="H22" s="290"/>
      <c r="I22" s="290"/>
      <c r="J22" s="290"/>
      <c r="K22" s="260">
        <f t="shared" si="1"/>
        <v>0</v>
      </c>
      <c r="L22" s="290"/>
      <c r="M22" s="290"/>
      <c r="N22" s="290"/>
      <c r="O22" s="290"/>
      <c r="P22" s="290"/>
      <c r="Q22" s="290"/>
      <c r="S22" s="290"/>
      <c r="U22" s="290"/>
      <c r="V22" s="290"/>
      <c r="W22" s="290"/>
      <c r="Y22" s="290"/>
      <c r="Z22" s="230">
        <f t="shared" si="5"/>
        <v>0</v>
      </c>
      <c r="AA22" s="230">
        <f t="shared" si="6"/>
        <v>0</v>
      </c>
      <c r="AB22" s="230">
        <f t="shared" si="7"/>
        <v>0</v>
      </c>
      <c r="AC22" s="290"/>
      <c r="AD22" s="230">
        <f t="shared" si="8"/>
        <v>0</v>
      </c>
      <c r="AE22" s="230">
        <f t="shared" si="9"/>
        <v>0</v>
      </c>
      <c r="AF22" s="230">
        <f t="shared" si="10"/>
        <v>0</v>
      </c>
    </row>
    <row r="23" spans="1:32">
      <c r="B23" s="290"/>
      <c r="C23" s="290"/>
      <c r="D23" s="290"/>
      <c r="G23" s="290"/>
      <c r="H23" s="290"/>
      <c r="I23" s="290"/>
      <c r="J23" s="290"/>
      <c r="K23" s="260">
        <f t="shared" si="1"/>
        <v>0</v>
      </c>
      <c r="L23" s="290"/>
      <c r="M23" s="290"/>
      <c r="N23" s="290"/>
      <c r="O23" s="290"/>
      <c r="P23" s="290"/>
      <c r="Q23" s="290"/>
      <c r="S23" s="290"/>
      <c r="U23" s="290"/>
      <c r="V23" s="290"/>
      <c r="W23" s="290"/>
      <c r="Y23" s="290"/>
      <c r="Z23" s="230">
        <f t="shared" si="5"/>
        <v>0</v>
      </c>
      <c r="AA23" s="230">
        <f t="shared" si="6"/>
        <v>0</v>
      </c>
      <c r="AB23" s="230">
        <f t="shared" si="7"/>
        <v>0</v>
      </c>
      <c r="AC23" s="290"/>
      <c r="AD23" s="230">
        <f t="shared" si="8"/>
        <v>0</v>
      </c>
      <c r="AE23" s="230">
        <f t="shared" si="9"/>
        <v>0</v>
      </c>
      <c r="AF23" s="230">
        <f t="shared" si="10"/>
        <v>0</v>
      </c>
    </row>
    <row r="24" spans="1:32">
      <c r="B24" s="290"/>
      <c r="C24" s="290"/>
      <c r="D24" s="290"/>
      <c r="G24" s="290"/>
      <c r="H24" s="290"/>
      <c r="I24" s="290"/>
      <c r="J24" s="290"/>
      <c r="K24" s="260">
        <f t="shared" si="1"/>
        <v>0</v>
      </c>
      <c r="L24" s="290"/>
      <c r="M24" s="290"/>
      <c r="N24" s="290"/>
      <c r="O24" s="290"/>
      <c r="P24" s="290"/>
      <c r="Q24" s="290"/>
      <c r="S24" s="290"/>
      <c r="U24" s="290"/>
      <c r="V24" s="290"/>
      <c r="W24" s="290"/>
      <c r="Y24" s="290"/>
      <c r="Z24" s="230">
        <f t="shared" si="5"/>
        <v>0</v>
      </c>
      <c r="AA24" s="230">
        <f t="shared" si="6"/>
        <v>0</v>
      </c>
      <c r="AB24" s="230">
        <f t="shared" si="7"/>
        <v>0</v>
      </c>
      <c r="AC24" s="290"/>
      <c r="AD24" s="230">
        <f t="shared" si="8"/>
        <v>0</v>
      </c>
      <c r="AE24" s="230">
        <f t="shared" si="9"/>
        <v>0</v>
      </c>
      <c r="AF24" s="230">
        <f t="shared" si="10"/>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codeName="Sheet136">
    <tabColor rgb="FFFFC000"/>
  </sheetPr>
  <dimension ref="A1:G18"/>
  <sheetViews>
    <sheetView workbookViewId="0">
      <selection activeCell="D20" sqref="D20"/>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4211</v>
      </c>
      <c r="C1" s="18" t="s">
        <v>227</v>
      </c>
      <c r="D1" s="18" t="s">
        <v>228</v>
      </c>
      <c r="E1" s="18" t="s">
        <v>367</v>
      </c>
      <c r="F1" s="18" t="s">
        <v>231</v>
      </c>
      <c r="G1" s="18" t="s">
        <v>203</v>
      </c>
    </row>
    <row r="2" spans="1:7">
      <c r="A2" s="247" t="s">
        <v>352</v>
      </c>
      <c r="B2" s="1">
        <f>ROUND(SUMIF(存货明细表!B:B,存货跌价准备明细情况!A2,存货明细表!J:J),2)</f>
        <v>0</v>
      </c>
      <c r="C2" s="1">
        <f>ROUND(SUMIF(存货明细表!B:B,A2,存货明细表!K:K),2)</f>
        <v>0</v>
      </c>
      <c r="D2" s="139"/>
      <c r="E2" s="1">
        <f>ROUND(SUMIF(存货明细表!B:B,A2,存货明细表!M:M)+SUMIF(存货明细表!B:B,存货跌价准备明细情况!A2,存货明细表!L:L),2)</f>
        <v>0</v>
      </c>
      <c r="F2" s="139"/>
      <c r="G2" s="1">
        <f>ROUND(B2+C2+D2-E2-F2,2)</f>
        <v>0</v>
      </c>
    </row>
    <row r="3" spans="1:7">
      <c r="A3" s="247" t="s">
        <v>345</v>
      </c>
      <c r="B3" s="1">
        <f>ROUND(SUMIF(存货明细表!B:B,存货跌价准备明细情况!A3,存货明细表!J:J),2)</f>
        <v>0</v>
      </c>
      <c r="C3" s="1">
        <f>ROUND(SUMIF(存货明细表!B:B,A3,存货明细表!K:K),2)</f>
        <v>0</v>
      </c>
      <c r="D3" s="139"/>
      <c r="E3" s="1">
        <f>ROUND(SUMIF(存货明细表!B:B,A3,存货明细表!M:M)+SUMIF(存货明细表!B:B,存货跌价准备明细情况!A3,存货明细表!L:L),2)</f>
        <v>0</v>
      </c>
      <c r="F3" s="139"/>
      <c r="G3" s="1">
        <f>ROUND(B3+C3+D3-E3-F3,2)</f>
        <v>0</v>
      </c>
    </row>
    <row r="4" spans="1:7">
      <c r="A4" s="247" t="s">
        <v>353</v>
      </c>
      <c r="B4" s="1">
        <f>ROUND(SUMIF(存货明细表!B:B,存货跌价准备明细情况!A4,存货明细表!J:J),2)</f>
        <v>0</v>
      </c>
      <c r="C4" s="1">
        <f>ROUND(SUMIF(存货明细表!B:B,A4,存货明细表!K:K),2)</f>
        <v>0</v>
      </c>
      <c r="D4" s="139"/>
      <c r="E4" s="1">
        <f>ROUND(SUMIF(存货明细表!B:B,A4,存货明细表!M:M)+SUMIF(存货明细表!B:B,存货跌价准备明细情况!A4,存货明细表!L:L),2)</f>
        <v>0</v>
      </c>
      <c r="F4" s="139"/>
      <c r="G4" s="1">
        <f>ROUND(B4+C4+D4-E4-F4,2)</f>
        <v>0</v>
      </c>
    </row>
    <row r="5" spans="1:7">
      <c r="A5" s="247" t="s">
        <v>354</v>
      </c>
      <c r="B5" s="1">
        <f>ROUND(SUMIF(存货明细表!B:B,存货跌价准备明细情况!A5,存货明细表!J:J),2)</f>
        <v>0</v>
      </c>
      <c r="C5" s="1">
        <f>ROUND(SUMIF(存货明细表!B:B,A5,存货明细表!K:K),2)</f>
        <v>0</v>
      </c>
      <c r="D5" s="139"/>
      <c r="E5" s="1">
        <f>ROUND(SUMIF(存货明细表!B:B,A5,存货明细表!M:M)+SUMIF(存货明细表!B:B,存货跌价准备明细情况!A5,存货明细表!L:L),2)</f>
        <v>0</v>
      </c>
      <c r="F5" s="139"/>
      <c r="G5" s="1">
        <f>ROUND(B5+C5+D5-E5-F5,2)</f>
        <v>0</v>
      </c>
    </row>
    <row r="6" spans="1:7">
      <c r="A6" s="247" t="s">
        <v>355</v>
      </c>
      <c r="B6" s="1">
        <f>ROUND(SUMIF(存货明细表!B:B,存货跌价准备明细情况!A6,存货明细表!J:J),2)</f>
        <v>0</v>
      </c>
      <c r="C6" s="1">
        <f>ROUND(SUMIF(存货明细表!B:B,A6,存货明细表!K:K),2)</f>
        <v>0</v>
      </c>
      <c r="D6" s="139"/>
      <c r="E6" s="1">
        <f>ROUND(SUMIF(存货明细表!B:B,A6,存货明细表!M:M)+SUMIF(存货明细表!B:B,存货跌价准备明细情况!A6,存货明细表!L:L),2)</f>
        <v>0</v>
      </c>
      <c r="F6" s="139"/>
      <c r="G6" s="1">
        <f>ROUND(B6+C6+D6-E6-F6,2)</f>
        <v>0</v>
      </c>
    </row>
    <row r="7" spans="1:7">
      <c r="A7" s="247" t="s">
        <v>356</v>
      </c>
      <c r="B7" s="1">
        <f>ROUND(SUMIF(存货明细表!B:B,存货跌价准备明细情况!A7,存货明细表!J:J),2)</f>
        <v>0</v>
      </c>
      <c r="C7" s="1">
        <f>ROUND(SUMIF(存货明细表!B:B,A7,存货明细表!K:K),2)</f>
        <v>0</v>
      </c>
      <c r="D7" s="139"/>
      <c r="E7" s="1">
        <f>ROUND(SUMIF(存货明细表!B:B,A7,存货明细表!M:M)+SUMIF(存货明细表!B:B,存货跌价准备明细情况!A7,存货明细表!L:L),2)</f>
        <v>0</v>
      </c>
      <c r="F7" s="139"/>
      <c r="G7" s="1">
        <f>ROUND(B7+C7+D7-E7-F7,2)</f>
        <v>0</v>
      </c>
    </row>
    <row r="8" spans="1:7">
      <c r="A8" s="247" t="s">
        <v>357</v>
      </c>
      <c r="B8" s="1">
        <f>ROUND(SUMIF(存货明细表!B:B,存货跌价准备明细情况!A8,存货明细表!J:J),2)</f>
        <v>0</v>
      </c>
      <c r="C8" s="1">
        <f>ROUND(SUMIF(存货明细表!B:B,A8,存货明细表!K:K),2)</f>
        <v>0</v>
      </c>
      <c r="D8" s="139"/>
      <c r="E8" s="1">
        <f>ROUND(SUMIF(存货明细表!B:B,A8,存货明细表!M:M)+SUMIF(存货明细表!B:B,存货跌价准备明细情况!A8,存货明细表!L:L),2)</f>
        <v>0</v>
      </c>
      <c r="F8" s="139"/>
      <c r="G8" s="1">
        <f>ROUND(B8+C8+D8-E8-F8,2)</f>
        <v>0</v>
      </c>
    </row>
    <row r="9" spans="1:7">
      <c r="A9" s="247" t="s">
        <v>358</v>
      </c>
      <c r="B9" s="1">
        <f>ROUND(SUMIF(存货明细表!B:B,存货跌价准备明细情况!A9,存货明细表!J:J),2)</f>
        <v>0</v>
      </c>
      <c r="C9" s="1">
        <f>ROUND(SUMIF(存货明细表!B:B,A9,存货明细表!K:K),2)</f>
        <v>0</v>
      </c>
      <c r="D9" s="139"/>
      <c r="E9" s="1">
        <f>ROUND(SUMIF(存货明细表!B:B,A9,存货明细表!M:M)+SUMIF(存货明细表!B:B,存货跌价准备明细情况!A9,存货明细表!L:L),2)</f>
        <v>0</v>
      </c>
      <c r="F9" s="139"/>
      <c r="G9" s="1">
        <f>ROUND(B9+C9+D9-E9-F9,2)</f>
        <v>0</v>
      </c>
    </row>
    <row r="10" spans="1:7">
      <c r="A10" s="247" t="s">
        <v>359</v>
      </c>
      <c r="B10" s="1">
        <f>ROUND(SUMIF(存货明细表!B:B,存货跌价准备明细情况!A10,存货明细表!J:J),2)</f>
        <v>0</v>
      </c>
      <c r="C10" s="1">
        <f>ROUND(SUMIF(存货明细表!B:B,A10,存货明细表!K:K),2)</f>
        <v>0</v>
      </c>
      <c r="D10" s="139"/>
      <c r="E10" s="1">
        <f>ROUND(SUMIF(存货明细表!B:B,A10,存货明细表!M:M)+SUMIF(存货明细表!B:B,存货跌价准备明细情况!A10,存货明细表!L:L),2)</f>
        <v>0</v>
      </c>
      <c r="F10" s="139"/>
      <c r="G10" s="1">
        <f>ROUND(B10+C10+D10-E10-F10,2)</f>
        <v>0</v>
      </c>
    </row>
    <row r="11" spans="1:7">
      <c r="A11" s="247" t="s">
        <v>360</v>
      </c>
      <c r="B11" s="1">
        <f>ROUND(SUMIF(存货明细表!B:B,存货跌价准备明细情况!A11,存货明细表!J:J),2)</f>
        <v>0</v>
      </c>
      <c r="C11" s="1">
        <f>ROUND(SUMIF(存货明细表!B:B,A11,存货明细表!K:K),2)</f>
        <v>0</v>
      </c>
      <c r="D11" s="139"/>
      <c r="E11" s="1">
        <f>ROUND(SUMIF(存货明细表!B:B,A11,存货明细表!M:M)+SUMIF(存货明细表!B:B,存货跌价准备明细情况!A11,存货明细表!L:L),2)</f>
        <v>0</v>
      </c>
      <c r="F11" s="139"/>
      <c r="G11" s="1">
        <f>ROUND(B11+C11+D11-E11-F11,2)</f>
        <v>0</v>
      </c>
    </row>
    <row r="12" spans="1:7">
      <c r="A12" s="247" t="s">
        <v>361</v>
      </c>
      <c r="B12" s="1">
        <f>ROUND(SUMIF(存货明细表!B:B,存货跌价准备明细情况!A12,存货明细表!J:J),2)</f>
        <v>0</v>
      </c>
      <c r="C12" s="1">
        <f>ROUND(SUMIF(存货明细表!B:B,A12,存货明细表!K:K),2)</f>
        <v>0</v>
      </c>
      <c r="D12" s="139"/>
      <c r="E12" s="1">
        <f>ROUND(SUMIF(存货明细表!B:B,A12,存货明细表!M:M)+SUMIF(存货明细表!B:B,存货跌价准备明细情况!A12,存货明细表!L:L),2)</f>
        <v>0</v>
      </c>
      <c r="F12" s="139"/>
      <c r="G12" s="1">
        <f>ROUND(B12+C12+D12-E12-F12,2)</f>
        <v>0</v>
      </c>
    </row>
    <row r="13" spans="1:7">
      <c r="A13" s="247" t="s">
        <v>362</v>
      </c>
      <c r="B13" s="1">
        <f>ROUND(SUMIF(存货明细表!B:B,存货跌价准备明细情况!A13,存货明细表!J:J),2)</f>
        <v>0</v>
      </c>
      <c r="C13" s="1">
        <f>ROUND(SUMIF(存货明细表!B:B,A13,存货明细表!K:K),2)</f>
        <v>0</v>
      </c>
      <c r="D13" s="139"/>
      <c r="E13" s="1">
        <f>ROUND(SUMIF(存货明细表!B:B,A13,存货明细表!M:M)+SUMIF(存货明细表!B:B,存货跌价准备明细情况!A13,存货明细表!L:L),2)</f>
        <v>0</v>
      </c>
      <c r="F13" s="139"/>
      <c r="G13" s="1">
        <f>ROUND(B13+C13+D13-E13-F13,2)</f>
        <v>0</v>
      </c>
    </row>
    <row r="14" spans="1:7">
      <c r="A14" s="247" t="s">
        <v>363</v>
      </c>
      <c r="B14" s="1">
        <f>ROUND(SUMIF(存货明细表!B:B,存货跌价准备明细情况!A14,存货明细表!J:J),2)</f>
        <v>0</v>
      </c>
      <c r="C14" s="1">
        <f>ROUND(SUMIF(存货明细表!B:B,A14,存货明细表!K:K),2)</f>
        <v>0</v>
      </c>
      <c r="D14" s="139"/>
      <c r="E14" s="1">
        <f>ROUND(SUMIF(存货明细表!B:B,A14,存货明细表!M:M)+SUMIF(存货明细表!B:B,存货跌价准备明细情况!A14,存货明细表!L:L),2)</f>
        <v>0</v>
      </c>
      <c r="F14" s="139"/>
      <c r="G14" s="1">
        <f>ROUND(B14+C14+D14-E14-F14,2)</f>
        <v>0</v>
      </c>
    </row>
    <row r="15" spans="1:7">
      <c r="A15" s="247" t="s">
        <v>364</v>
      </c>
      <c r="B15" s="1">
        <f>ROUND(SUMIF(存货明细表!B:B,存货跌价准备明细情况!A15,存货明细表!J:J),2)</f>
        <v>0</v>
      </c>
      <c r="C15" s="1">
        <f>ROUND(SUMIF(存货明细表!B:B,A15,存货明细表!K:K),2)</f>
        <v>0</v>
      </c>
      <c r="D15" s="139"/>
      <c r="E15" s="1">
        <f>ROUND(SUMIF(存货明细表!B:B,A15,存货明细表!M:M)+SUMIF(存货明细表!B:B,存货跌价准备明细情况!A15,存货明细表!L:L),2)</f>
        <v>0</v>
      </c>
      <c r="F15" s="139"/>
      <c r="G15" s="1">
        <f>ROUND(B15+C15+D15-E15-F15,2)</f>
        <v>0</v>
      </c>
    </row>
    <row r="16" spans="1:7">
      <c r="A16" s="247" t="s">
        <v>347</v>
      </c>
      <c r="B16" s="1">
        <f>ROUND(SUMIF(存货明细表!B:B,存货跌价准备明细情况!A16,存货明细表!J:J),2)</f>
        <v>0</v>
      </c>
      <c r="C16" s="1">
        <f>ROUND(SUMIF(存货明细表!B:B,A16,存货明细表!K:K),2)</f>
        <v>0</v>
      </c>
      <c r="D16" s="139"/>
      <c r="E16" s="1">
        <f>ROUND(SUMIF(存货明细表!B:B,A16,存货明细表!M:M)+SUMIF(存货明细表!B:B,存货跌价准备明细情况!A16,存货明细表!L:L),2)</f>
        <v>0</v>
      </c>
      <c r="F16" s="139"/>
      <c r="G16" s="1">
        <f>ROUND(B16+C16+D16-E16-F16,2)</f>
        <v>0</v>
      </c>
    </row>
    <row r="17" spans="1:7">
      <c r="A17" s="247" t="s">
        <v>365</v>
      </c>
      <c r="B17" s="1">
        <f>ROUND(SUMIF(存货明细表!B:B,存货跌价准备明细情况!A17,存货明细表!J:J),2)</f>
        <v>0</v>
      </c>
      <c r="C17" s="1">
        <f>ROUND(SUMIF(存货明细表!B:B,A17,存货明细表!K:K),2)</f>
        <v>0</v>
      </c>
      <c r="D17" s="139"/>
      <c r="E17" s="1">
        <f>ROUND(SUMIF(存货明细表!B:B,A17,存货明细表!M:M)+SUMIF(存货明细表!B:B,存货跌价准备明细情况!A17,存货明细表!L:L),2)</f>
        <v>0</v>
      </c>
      <c r="F17" s="139"/>
      <c r="G17" s="1">
        <f>ROUND(B17+C17+D17-E17-F17,2)</f>
        <v>0</v>
      </c>
    </row>
    <row r="18" spans="1:7">
      <c r="A18" s="18" t="s">
        <v>204</v>
      </c>
      <c r="B18" s="1">
        <f>ROUND(SUM(B2:B17),2)</f>
        <v>0</v>
      </c>
      <c r="C18" s="1">
        <f>ROUND(SUM(C2:C17),2)</f>
        <v>0</v>
      </c>
      <c r="D18" s="1">
        <f>ROUND(SUM(D2:D17),2)</f>
        <v>0</v>
      </c>
      <c r="E18" s="1">
        <f>ROUND(SUM(E2:E17),2)</f>
        <v>0</v>
      </c>
      <c r="F18" s="1">
        <f>ROUND(SUM(F2:F17),2)</f>
        <v>0</v>
      </c>
      <c r="G18" s="1">
        <f>ROUND(SUM(G2:G17),2)</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codeName="Sheet137">
    <tabColor rgb="FFFFC000"/>
  </sheetPr>
  <dimension ref="A1:D5"/>
  <sheetViews>
    <sheetView workbookViewId="0">
      <selection activeCell="G21" sqref="G21"/>
    </sheetView>
  </sheetViews>
  <sheetFormatPr defaultRowHeight="13.8"/>
  <cols>
    <col min="1" max="4" width="21.88671875" style="18" customWidth="1"/>
    <col min="5" max="16384" width="8.88671875" style="18"/>
  </cols>
  <sheetData>
    <row r="1" spans="1:4" ht="28.8">
      <c r="A1" s="31" t="s">
        <v>28</v>
      </c>
      <c r="B1" s="20" t="s">
        <v>4194</v>
      </c>
      <c r="C1" s="20" t="s">
        <v>4195</v>
      </c>
      <c r="D1" s="20" t="s">
        <v>4196</v>
      </c>
    </row>
    <row r="2" spans="1:4" ht="72">
      <c r="A2" s="19" t="s">
        <v>345</v>
      </c>
      <c r="B2" s="58" t="s">
        <v>374</v>
      </c>
      <c r="C2" s="58" t="s">
        <v>375</v>
      </c>
      <c r="D2" s="58" t="s">
        <v>376</v>
      </c>
    </row>
    <row r="3" spans="1:4" ht="14.4">
      <c r="A3" s="32" t="s">
        <v>353</v>
      </c>
      <c r="B3" s="44"/>
      <c r="C3" s="44"/>
      <c r="D3" s="44"/>
    </row>
    <row r="4" spans="1:4" ht="14.4">
      <c r="A4" s="32" t="s">
        <v>356</v>
      </c>
      <c r="B4" s="44"/>
      <c r="C4" s="44"/>
      <c r="D4" s="44"/>
    </row>
    <row r="5" spans="1:4" ht="14.4">
      <c r="A5" s="32" t="s">
        <v>13</v>
      </c>
      <c r="B5" s="44"/>
      <c r="C5" s="44"/>
      <c r="D5" s="44"/>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codeName="Sheet138">
    <tabColor rgb="FFFFC000"/>
  </sheetPr>
  <dimension ref="A1:B4"/>
  <sheetViews>
    <sheetView workbookViewId="0">
      <selection activeCell="G14" sqref="G14"/>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377</v>
      </c>
    </row>
    <row r="2" spans="1:2">
      <c r="A2" s="18" t="s">
        <v>2458</v>
      </c>
      <c r="B2" s="18">
        <f>ROUND(SUMIF(存货明细表!B:B,A2,存货明细表!I:I),2)</f>
        <v>0</v>
      </c>
    </row>
    <row r="3" spans="1:2">
      <c r="A3" s="18" t="s">
        <v>2459</v>
      </c>
      <c r="B3" s="18">
        <f>ROUND(SUMIF(存货明细表!B:B,A3,存货明细表!I:I),2)</f>
        <v>0</v>
      </c>
    </row>
    <row r="4" spans="1:2">
      <c r="A4" s="18" t="s">
        <v>204</v>
      </c>
      <c r="B4" s="18">
        <f>ROUND(SUM(B2:B3),2)</f>
        <v>0</v>
      </c>
    </row>
  </sheetData>
  <phoneticPr fontId="1" type="noConversion"/>
  <pageMargins left="0.7" right="0.7" top="0.75" bottom="0.75" header="0.3" footer="0.3"/>
  <pageSetup paperSize="9" orientation="portrait" verticalDpi="0"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sheetPr codeName="Sheet139"/>
  <dimension ref="A1:O71"/>
  <sheetViews>
    <sheetView workbookViewId="0">
      <selection activeCell="A3" sqref="A3"/>
    </sheetView>
  </sheetViews>
  <sheetFormatPr defaultRowHeight="13.8"/>
  <sheetData>
    <row r="1" spans="1:15" ht="41.4">
      <c r="A1" s="271" t="s">
        <v>2015</v>
      </c>
      <c r="B1" s="271" t="s">
        <v>2221</v>
      </c>
      <c r="C1" s="271" t="s">
        <v>2266</v>
      </c>
      <c r="D1" s="271" t="s">
        <v>2450</v>
      </c>
      <c r="E1" s="271" t="s">
        <v>199</v>
      </c>
      <c r="F1" s="271" t="s">
        <v>2454</v>
      </c>
      <c r="G1" s="271" t="s">
        <v>2455</v>
      </c>
      <c r="H1" s="271" t="s">
        <v>2456</v>
      </c>
      <c r="I1" s="271" t="s">
        <v>2457</v>
      </c>
      <c r="J1" s="271" t="s">
        <v>2451</v>
      </c>
      <c r="K1" s="271" t="s">
        <v>2452</v>
      </c>
      <c r="L1" s="271" t="s">
        <v>2764</v>
      </c>
      <c r="M1" s="271" t="s">
        <v>2765</v>
      </c>
      <c r="N1" s="271" t="s">
        <v>2453</v>
      </c>
      <c r="O1" s="271" t="s">
        <v>2391</v>
      </c>
    </row>
    <row r="2" spans="1:15">
      <c r="A2" t="str">
        <f>IF(C2&gt;0,基础信息!$B$1,"")</f>
        <v/>
      </c>
      <c r="B2" s="277"/>
      <c r="C2" s="256"/>
      <c r="D2" s="256"/>
      <c r="E2" s="230">
        <f>C2-D2</f>
        <v>0</v>
      </c>
      <c r="F2" s="290"/>
      <c r="G2" s="290"/>
      <c r="H2" s="290"/>
      <c r="I2" s="231">
        <f>F2+G2-H2</f>
        <v>0</v>
      </c>
      <c r="J2" s="256"/>
      <c r="K2" s="256"/>
      <c r="L2" s="256"/>
      <c r="M2" s="256"/>
      <c r="N2" s="230">
        <f>J2+K2-M2-L2</f>
        <v>0</v>
      </c>
      <c r="O2" s="230">
        <f>D2-N2</f>
        <v>0</v>
      </c>
    </row>
    <row r="3" spans="1:15">
      <c r="A3" t="str">
        <f>IF(C3&gt;0,基础信息!$B$1,"")</f>
        <v/>
      </c>
      <c r="B3" s="277"/>
      <c r="C3" s="256"/>
      <c r="D3" s="256"/>
      <c r="E3" s="230">
        <f t="shared" ref="E3:E22" si="0">C3-D3</f>
        <v>0</v>
      </c>
      <c r="F3" s="290"/>
      <c r="G3" s="290"/>
      <c r="H3" s="290"/>
      <c r="I3" s="231">
        <f t="shared" ref="I3:I21" si="1">F3+G3-H3</f>
        <v>0</v>
      </c>
      <c r="J3" s="256"/>
      <c r="K3" s="256"/>
      <c r="L3" s="256"/>
      <c r="M3" s="256"/>
      <c r="N3" s="230">
        <f t="shared" ref="N3:N22" si="2">J3+K3-M3-L3</f>
        <v>0</v>
      </c>
      <c r="O3" s="230">
        <f t="shared" ref="O3:O22" si="3">D3-N3</f>
        <v>0</v>
      </c>
    </row>
    <row r="4" spans="1:15">
      <c r="A4" t="str">
        <f>IF(C4&gt;0,基础信息!$B$1,"")</f>
        <v/>
      </c>
      <c r="B4" s="277"/>
      <c r="C4" s="256"/>
      <c r="D4" s="256"/>
      <c r="E4" s="230">
        <f t="shared" si="0"/>
        <v>0</v>
      </c>
      <c r="F4" s="290"/>
      <c r="G4" s="290"/>
      <c r="H4" s="290"/>
      <c r="I4" s="231">
        <f t="shared" si="1"/>
        <v>0</v>
      </c>
      <c r="J4" s="256"/>
      <c r="K4" s="256"/>
      <c r="L4" s="256"/>
      <c r="M4" s="256"/>
      <c r="N4" s="230">
        <f t="shared" si="2"/>
        <v>0</v>
      </c>
      <c r="O4" s="230">
        <f t="shared" si="3"/>
        <v>0</v>
      </c>
    </row>
    <row r="5" spans="1:15">
      <c r="A5" t="str">
        <f>IF(C5&gt;0,基础信息!$B$1,"")</f>
        <v/>
      </c>
      <c r="B5" s="277"/>
      <c r="C5" s="256"/>
      <c r="D5" s="256"/>
      <c r="E5" s="230">
        <f t="shared" si="0"/>
        <v>0</v>
      </c>
      <c r="F5" s="290"/>
      <c r="G5" s="290"/>
      <c r="H5" s="290"/>
      <c r="I5" s="231">
        <f t="shared" si="1"/>
        <v>0</v>
      </c>
      <c r="J5" s="256"/>
      <c r="K5" s="256"/>
      <c r="L5" s="256"/>
      <c r="M5" s="256"/>
      <c r="N5" s="230">
        <f t="shared" si="2"/>
        <v>0</v>
      </c>
      <c r="O5" s="230">
        <f t="shared" si="3"/>
        <v>0</v>
      </c>
    </row>
    <row r="6" spans="1:15">
      <c r="A6" t="str">
        <f>IF(C6&gt;0,基础信息!$B$1,"")</f>
        <v/>
      </c>
      <c r="B6" s="277"/>
      <c r="C6" s="256"/>
      <c r="D6" s="256"/>
      <c r="E6" s="230">
        <f t="shared" si="0"/>
        <v>0</v>
      </c>
      <c r="F6" s="290"/>
      <c r="G6" s="290"/>
      <c r="H6" s="290"/>
      <c r="I6" s="231">
        <f t="shared" si="1"/>
        <v>0</v>
      </c>
      <c r="J6" s="256"/>
      <c r="K6" s="256"/>
      <c r="L6" s="256"/>
      <c r="M6" s="256"/>
      <c r="N6" s="230">
        <f t="shared" si="2"/>
        <v>0</v>
      </c>
      <c r="O6" s="230">
        <f t="shared" si="3"/>
        <v>0</v>
      </c>
    </row>
    <row r="7" spans="1:15">
      <c r="A7" t="str">
        <f>IF(C7&gt;0,基础信息!$B$1,"")</f>
        <v/>
      </c>
      <c r="B7" s="277"/>
      <c r="C7" s="256"/>
      <c r="D7" s="256"/>
      <c r="E7" s="230">
        <f t="shared" si="0"/>
        <v>0</v>
      </c>
      <c r="F7" s="290"/>
      <c r="G7" s="290"/>
      <c r="H7" s="290"/>
      <c r="I7" s="231">
        <f t="shared" si="1"/>
        <v>0</v>
      </c>
      <c r="J7" s="256"/>
      <c r="K7" s="256"/>
      <c r="L7" s="256"/>
      <c r="M7" s="256"/>
      <c r="N7" s="230">
        <f t="shared" si="2"/>
        <v>0</v>
      </c>
      <c r="O7" s="230">
        <f t="shared" si="3"/>
        <v>0</v>
      </c>
    </row>
    <row r="8" spans="1:15">
      <c r="A8" t="str">
        <f>IF(C8&gt;0,基础信息!$B$1,"")</f>
        <v/>
      </c>
      <c r="B8" s="277"/>
      <c r="C8" s="256"/>
      <c r="D8" s="256"/>
      <c r="E8" s="230">
        <f t="shared" si="0"/>
        <v>0</v>
      </c>
      <c r="F8" s="290"/>
      <c r="G8" s="290"/>
      <c r="H8" s="290"/>
      <c r="I8" s="231">
        <f t="shared" si="1"/>
        <v>0</v>
      </c>
      <c r="J8" s="256"/>
      <c r="K8" s="256"/>
      <c r="L8" s="256"/>
      <c r="M8" s="256"/>
      <c r="N8" s="230">
        <f t="shared" si="2"/>
        <v>0</v>
      </c>
      <c r="O8" s="230">
        <f t="shared" si="3"/>
        <v>0</v>
      </c>
    </row>
    <row r="9" spans="1:15">
      <c r="A9" t="str">
        <f>IF(C9&gt;0,基础信息!$B$1,"")</f>
        <v/>
      </c>
      <c r="B9" s="277"/>
      <c r="C9" s="256"/>
      <c r="D9" s="256"/>
      <c r="E9" s="230">
        <f t="shared" si="0"/>
        <v>0</v>
      </c>
      <c r="F9" s="290"/>
      <c r="G9" s="290"/>
      <c r="H9" s="290"/>
      <c r="I9" s="231">
        <f t="shared" si="1"/>
        <v>0</v>
      </c>
      <c r="J9" s="256"/>
      <c r="K9" s="256"/>
      <c r="L9" s="256"/>
      <c r="M9" s="256"/>
      <c r="N9" s="230">
        <f t="shared" si="2"/>
        <v>0</v>
      </c>
      <c r="O9" s="230">
        <f t="shared" si="3"/>
        <v>0</v>
      </c>
    </row>
    <row r="10" spans="1:15">
      <c r="A10" t="str">
        <f>IF(C10&gt;0,基础信息!$B$1,"")</f>
        <v/>
      </c>
      <c r="B10" s="277"/>
      <c r="C10" s="256"/>
      <c r="D10" s="256"/>
      <c r="E10" s="230">
        <f t="shared" si="0"/>
        <v>0</v>
      </c>
      <c r="F10" s="290"/>
      <c r="G10" s="290"/>
      <c r="H10" s="290"/>
      <c r="I10" s="231">
        <f t="shared" si="1"/>
        <v>0</v>
      </c>
      <c r="J10" s="256"/>
      <c r="K10" s="256"/>
      <c r="L10" s="256"/>
      <c r="M10" s="256"/>
      <c r="N10" s="230">
        <f t="shared" si="2"/>
        <v>0</v>
      </c>
      <c r="O10" s="230">
        <f t="shared" si="3"/>
        <v>0</v>
      </c>
    </row>
    <row r="11" spans="1:15">
      <c r="A11" t="str">
        <f>IF(C11&gt;0,基础信息!$B$1,"")</f>
        <v/>
      </c>
      <c r="B11" s="277"/>
      <c r="C11" s="256"/>
      <c r="D11" s="256"/>
      <c r="E11" s="230">
        <f t="shared" si="0"/>
        <v>0</v>
      </c>
      <c r="F11" s="290"/>
      <c r="G11" s="290"/>
      <c r="H11" s="290"/>
      <c r="I11" s="231">
        <f t="shared" si="1"/>
        <v>0</v>
      </c>
      <c r="J11" s="256"/>
      <c r="K11" s="256"/>
      <c r="L11" s="256"/>
      <c r="M11" s="256"/>
      <c r="N11" s="230">
        <f t="shared" si="2"/>
        <v>0</v>
      </c>
      <c r="O11" s="230">
        <f t="shared" si="3"/>
        <v>0</v>
      </c>
    </row>
    <row r="12" spans="1:15">
      <c r="A12" t="str">
        <f>IF(C12&gt;0,基础信息!$B$1,"")</f>
        <v/>
      </c>
      <c r="B12" s="277"/>
      <c r="C12" s="256"/>
      <c r="D12" s="256"/>
      <c r="E12" s="230">
        <f t="shared" si="0"/>
        <v>0</v>
      </c>
      <c r="F12" s="290"/>
      <c r="G12" s="290"/>
      <c r="H12" s="290"/>
      <c r="I12" s="231">
        <f t="shared" si="1"/>
        <v>0</v>
      </c>
      <c r="J12" s="256"/>
      <c r="K12" s="256"/>
      <c r="L12" s="256"/>
      <c r="M12" s="256"/>
      <c r="N12" s="230">
        <f t="shared" si="2"/>
        <v>0</v>
      </c>
      <c r="O12" s="230">
        <f t="shared" si="3"/>
        <v>0</v>
      </c>
    </row>
    <row r="13" spans="1:15">
      <c r="A13" t="str">
        <f>IF(C13&gt;0,基础信息!$B$1,"")</f>
        <v/>
      </c>
      <c r="B13" s="277"/>
      <c r="C13" s="256"/>
      <c r="D13" s="256"/>
      <c r="E13" s="230">
        <f t="shared" si="0"/>
        <v>0</v>
      </c>
      <c r="F13" s="290"/>
      <c r="G13" s="290"/>
      <c r="H13" s="290"/>
      <c r="I13" s="231">
        <f t="shared" si="1"/>
        <v>0</v>
      </c>
      <c r="J13" s="256"/>
      <c r="K13" s="256"/>
      <c r="L13" s="256"/>
      <c r="M13" s="256"/>
      <c r="N13" s="230">
        <f t="shared" si="2"/>
        <v>0</v>
      </c>
      <c r="O13" s="230">
        <f t="shared" si="3"/>
        <v>0</v>
      </c>
    </row>
    <row r="14" spans="1:15">
      <c r="A14" t="str">
        <f>IF(C14&gt;0,基础信息!$B$1,"")</f>
        <v/>
      </c>
      <c r="B14" s="277"/>
      <c r="C14" s="256"/>
      <c r="D14" s="256"/>
      <c r="E14" s="230">
        <f t="shared" si="0"/>
        <v>0</v>
      </c>
      <c r="F14" s="290"/>
      <c r="G14" s="290"/>
      <c r="H14" s="290"/>
      <c r="I14" s="231">
        <f t="shared" si="1"/>
        <v>0</v>
      </c>
      <c r="J14" s="256"/>
      <c r="K14" s="256"/>
      <c r="L14" s="256"/>
      <c r="M14" s="256"/>
      <c r="N14" s="230">
        <f t="shared" si="2"/>
        <v>0</v>
      </c>
      <c r="O14" s="230">
        <f t="shared" si="3"/>
        <v>0</v>
      </c>
    </row>
    <row r="15" spans="1:15">
      <c r="A15" t="str">
        <f>IF(C15&gt;0,基础信息!$B$1,"")</f>
        <v/>
      </c>
      <c r="B15" s="277"/>
      <c r="C15" s="256"/>
      <c r="D15" s="256"/>
      <c r="E15" s="230">
        <f t="shared" si="0"/>
        <v>0</v>
      </c>
      <c r="F15" s="290"/>
      <c r="G15" s="290"/>
      <c r="H15" s="290"/>
      <c r="I15" s="231">
        <f t="shared" si="1"/>
        <v>0</v>
      </c>
      <c r="J15" s="256"/>
      <c r="K15" s="256"/>
      <c r="L15" s="256"/>
      <c r="M15" s="256"/>
      <c r="N15" s="230">
        <f t="shared" si="2"/>
        <v>0</v>
      </c>
      <c r="O15" s="230">
        <f t="shared" si="3"/>
        <v>0</v>
      </c>
    </row>
    <row r="16" spans="1:15">
      <c r="A16" t="str">
        <f>IF(C16&gt;0,基础信息!$B$1,"")</f>
        <v/>
      </c>
      <c r="B16" s="277"/>
      <c r="C16" s="256"/>
      <c r="D16" s="256"/>
      <c r="E16" s="230">
        <f t="shared" si="0"/>
        <v>0</v>
      </c>
      <c r="F16" s="290"/>
      <c r="G16" s="290"/>
      <c r="H16" s="290"/>
      <c r="I16" s="231">
        <f t="shared" si="1"/>
        <v>0</v>
      </c>
      <c r="J16" s="256"/>
      <c r="K16" s="256"/>
      <c r="L16" s="256"/>
      <c r="M16" s="256"/>
      <c r="N16" s="230">
        <f t="shared" si="2"/>
        <v>0</v>
      </c>
      <c r="O16" s="230">
        <f t="shared" si="3"/>
        <v>0</v>
      </c>
    </row>
    <row r="17" spans="1:15">
      <c r="A17" t="str">
        <f>IF(C17&gt;0,基础信息!$B$1,"")</f>
        <v/>
      </c>
      <c r="B17" s="277"/>
      <c r="C17" s="256"/>
      <c r="D17" s="256"/>
      <c r="E17" s="230">
        <f t="shared" si="0"/>
        <v>0</v>
      </c>
      <c r="F17" s="290"/>
      <c r="G17" s="290"/>
      <c r="H17" s="290"/>
      <c r="I17" s="231">
        <f t="shared" si="1"/>
        <v>0</v>
      </c>
      <c r="J17" s="256"/>
      <c r="K17" s="256"/>
      <c r="L17" s="256"/>
      <c r="M17" s="256"/>
      <c r="N17" s="230">
        <f t="shared" si="2"/>
        <v>0</v>
      </c>
      <c r="O17" s="230">
        <f t="shared" si="3"/>
        <v>0</v>
      </c>
    </row>
    <row r="18" spans="1:15">
      <c r="A18" t="str">
        <f>IF(C18&gt;0,基础信息!$B$1,"")</f>
        <v/>
      </c>
      <c r="B18" s="277"/>
      <c r="C18" s="256"/>
      <c r="D18" s="256"/>
      <c r="E18" s="230">
        <f t="shared" si="0"/>
        <v>0</v>
      </c>
      <c r="F18" s="290"/>
      <c r="G18" s="290"/>
      <c r="H18" s="290"/>
      <c r="I18" s="231">
        <f t="shared" si="1"/>
        <v>0</v>
      </c>
      <c r="J18" s="256"/>
      <c r="K18" s="256"/>
      <c r="L18" s="256"/>
      <c r="M18" s="256"/>
      <c r="N18" s="230">
        <f t="shared" si="2"/>
        <v>0</v>
      </c>
      <c r="O18" s="230">
        <f t="shared" si="3"/>
        <v>0</v>
      </c>
    </row>
    <row r="19" spans="1:15">
      <c r="A19" t="str">
        <f>IF(C19&gt;0,基础信息!$B$1,"")</f>
        <v/>
      </c>
      <c r="B19" s="277"/>
      <c r="C19" s="256"/>
      <c r="D19" s="256"/>
      <c r="E19" s="230">
        <f t="shared" si="0"/>
        <v>0</v>
      </c>
      <c r="F19" s="290"/>
      <c r="G19" s="290"/>
      <c r="H19" s="290"/>
      <c r="I19" s="231">
        <f t="shared" si="1"/>
        <v>0</v>
      </c>
      <c r="J19" s="256"/>
      <c r="K19" s="256"/>
      <c r="L19" s="256"/>
      <c r="M19" s="256"/>
      <c r="N19" s="230">
        <f t="shared" si="2"/>
        <v>0</v>
      </c>
      <c r="O19" s="230">
        <f t="shared" si="3"/>
        <v>0</v>
      </c>
    </row>
    <row r="20" spans="1:15">
      <c r="A20" t="str">
        <f>IF(C20&gt;0,基础信息!$B$1,"")</f>
        <v/>
      </c>
      <c r="B20" s="277"/>
      <c r="C20" s="256"/>
      <c r="D20" s="256"/>
      <c r="E20" s="230">
        <f t="shared" si="0"/>
        <v>0</v>
      </c>
      <c r="F20" s="290"/>
      <c r="G20" s="290"/>
      <c r="H20" s="290"/>
      <c r="I20" s="231">
        <f t="shared" si="1"/>
        <v>0</v>
      </c>
      <c r="J20" s="256"/>
      <c r="K20" s="256"/>
      <c r="L20" s="256"/>
      <c r="M20" s="256"/>
      <c r="N20" s="230">
        <f t="shared" si="2"/>
        <v>0</v>
      </c>
      <c r="O20" s="230">
        <f t="shared" si="3"/>
        <v>0</v>
      </c>
    </row>
    <row r="21" spans="1:15">
      <c r="A21" t="str">
        <f>IF(C21&gt;0,基础信息!$B$1,"")</f>
        <v/>
      </c>
      <c r="B21" s="277"/>
      <c r="C21" s="256"/>
      <c r="D21" s="256"/>
      <c r="E21" s="230">
        <f t="shared" si="0"/>
        <v>0</v>
      </c>
      <c r="F21" s="290"/>
      <c r="G21" s="290"/>
      <c r="H21" s="290"/>
      <c r="I21" s="231">
        <f t="shared" si="1"/>
        <v>0</v>
      </c>
      <c r="J21" s="256"/>
      <c r="K21" s="256"/>
      <c r="L21" s="256"/>
      <c r="M21" s="256"/>
      <c r="N21" s="230">
        <f t="shared" si="2"/>
        <v>0</v>
      </c>
      <c r="O21" s="230">
        <f t="shared" si="3"/>
        <v>0</v>
      </c>
    </row>
    <row r="22" spans="1:15">
      <c r="A22" t="str">
        <f>IF(C22&gt;0,基础信息!$B$1,"")</f>
        <v/>
      </c>
      <c r="E22" s="230">
        <f t="shared" si="0"/>
        <v>0</v>
      </c>
      <c r="F22" s="230"/>
      <c r="G22" s="230"/>
      <c r="H22" s="230"/>
      <c r="N22" s="230">
        <f t="shared" si="2"/>
        <v>0</v>
      </c>
      <c r="O22" s="230">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sheetPr codeName="Sheet14"/>
  <dimension ref="A1:D73"/>
  <sheetViews>
    <sheetView workbookViewId="0">
      <pane xSplit="1" ySplit="1" topLeftCell="B2" activePane="bottomRight" state="frozen"/>
      <selection pane="topRight" activeCell="B1" sqref="B1"/>
      <selection pane="bottomLeft" activeCell="A2" sqref="A2"/>
      <selection pane="bottomRight" activeCell="F26" sqref="F26"/>
    </sheetView>
  </sheetViews>
  <sheetFormatPr defaultRowHeight="13.8"/>
  <cols>
    <col min="1" max="1" width="53.33203125" style="18" bestFit="1" customWidth="1"/>
    <col min="2" max="3" width="17.109375" style="18" bestFit="1" customWidth="1"/>
    <col min="4" max="16384" width="8.88671875" style="18"/>
  </cols>
  <sheetData>
    <row r="1" spans="1:3">
      <c r="A1" s="5" t="s">
        <v>1325</v>
      </c>
      <c r="B1" s="5" t="s">
        <v>1442</v>
      </c>
      <c r="C1" s="6" t="s">
        <v>1443</v>
      </c>
    </row>
    <row r="2" spans="1:3">
      <c r="A2" s="7" t="s">
        <v>1444</v>
      </c>
      <c r="B2" s="8">
        <f>ROUND(SUM(B3:B6),2)</f>
        <v>1557301756.55</v>
      </c>
      <c r="C2" s="8">
        <f>ROUND(SUM(C3:C6),2)</f>
        <v>1557301756.55</v>
      </c>
    </row>
    <row r="3" spans="1:3">
      <c r="A3" s="9" t="s">
        <v>3981</v>
      </c>
      <c r="B3" s="10">
        <f>ROUND(本期TB!H171,2)</f>
        <v>1557301756.55</v>
      </c>
      <c r="C3" s="10">
        <f>ROUND(上期TB!H169,2)</f>
        <v>1557301756.55</v>
      </c>
    </row>
    <row r="4" spans="1:3">
      <c r="A4" s="11" t="s">
        <v>1446</v>
      </c>
      <c r="B4" s="10">
        <f>ROUND(本期TB!H174,2)</f>
        <v>0</v>
      </c>
      <c r="C4" s="10">
        <f>ROUND(上期TB!H172,2)</f>
        <v>0</v>
      </c>
    </row>
    <row r="5" spans="1:3">
      <c r="A5" s="11" t="s">
        <v>1447</v>
      </c>
      <c r="B5" s="10">
        <f>ROUND(本期TB!H175,2)</f>
        <v>0</v>
      </c>
      <c r="C5" s="10">
        <f>ROUND(上期TB!H173,2)</f>
        <v>0</v>
      </c>
    </row>
    <row r="6" spans="1:3">
      <c r="A6" s="11" t="s">
        <v>1448</v>
      </c>
      <c r="B6" s="10">
        <f>ROUND(本期TB!H176,2)</f>
        <v>0</v>
      </c>
      <c r="C6" s="10">
        <f>ROUND(上期TB!H174,2)</f>
        <v>0</v>
      </c>
    </row>
    <row r="7" spans="1:3">
      <c r="A7" s="7" t="s">
        <v>1449</v>
      </c>
      <c r="B7" s="8">
        <f>ROUND(SUM(B8:B18,B20:B21,B25),2)</f>
        <v>1642696927.04</v>
      </c>
      <c r="C7" s="8">
        <f>ROUND(SUM(C8:C18,C20:C21,C25),2)</f>
        <v>1642696927.04</v>
      </c>
    </row>
    <row r="8" spans="1:3">
      <c r="A8" s="9" t="s">
        <v>3982</v>
      </c>
      <c r="B8" s="10">
        <f>ROUND(本期TB!H178,2)</f>
        <v>1355991048.6099999</v>
      </c>
      <c r="C8" s="10">
        <f>ROUND(上期TB!H176,2)</f>
        <v>1355991048.6099999</v>
      </c>
    </row>
    <row r="9" spans="1:3">
      <c r="A9" s="11" t="s">
        <v>1451</v>
      </c>
      <c r="B9" s="10">
        <f>ROUND(本期TB!H181,2)</f>
        <v>0</v>
      </c>
      <c r="C9" s="10">
        <f>ROUND(上期TB!H179,2)</f>
        <v>0</v>
      </c>
    </row>
    <row r="10" spans="1:3">
      <c r="A10" s="11" t="s">
        <v>1452</v>
      </c>
      <c r="B10" s="10">
        <f>ROUND(本期TB!H182,2)</f>
        <v>0</v>
      </c>
      <c r="C10" s="10">
        <f>ROUND(上期TB!H180,2)</f>
        <v>0</v>
      </c>
    </row>
    <row r="11" spans="1:3">
      <c r="A11" s="11" t="s">
        <v>1453</v>
      </c>
      <c r="B11" s="10">
        <f>ROUND(本期TB!H183,2)</f>
        <v>0</v>
      </c>
      <c r="C11" s="10">
        <f>ROUND(上期TB!H181,2)</f>
        <v>0</v>
      </c>
    </row>
    <row r="12" spans="1:3">
      <c r="A12" s="11" t="s">
        <v>1454</v>
      </c>
      <c r="B12" s="10">
        <f>ROUND(本期TB!H184,2)</f>
        <v>0</v>
      </c>
      <c r="C12" s="10">
        <f>ROUND(上期TB!H182,2)</f>
        <v>0</v>
      </c>
    </row>
    <row r="13" spans="1:3">
      <c r="A13" s="11" t="s">
        <v>1455</v>
      </c>
      <c r="B13" s="10">
        <f>ROUND(本期TB!H185,2)</f>
        <v>0</v>
      </c>
      <c r="C13" s="10">
        <f>ROUND(上期TB!H183,2)</f>
        <v>0</v>
      </c>
    </row>
    <row r="14" spans="1:3">
      <c r="A14" s="11" t="s">
        <v>1456</v>
      </c>
      <c r="B14" s="10">
        <f>ROUND(本期TB!H186,2)</f>
        <v>0</v>
      </c>
      <c r="C14" s="10">
        <f>ROUND(上期TB!H184,2)</f>
        <v>0</v>
      </c>
    </row>
    <row r="15" spans="1:3">
      <c r="A15" s="11" t="s">
        <v>1457</v>
      </c>
      <c r="B15" s="10">
        <f>ROUND(本期TB!H187,2)</f>
        <v>0</v>
      </c>
      <c r="C15" s="10">
        <f>ROUND(上期TB!H185,2)</f>
        <v>0</v>
      </c>
    </row>
    <row r="16" spans="1:3">
      <c r="A16" s="11" t="s">
        <v>1458</v>
      </c>
      <c r="B16" s="10">
        <f>ROUND(本期TB!H188,2)</f>
        <v>7567760.6699999999</v>
      </c>
      <c r="C16" s="10">
        <f>ROUND(上期TB!H186,2)</f>
        <v>7567760.6699999999</v>
      </c>
    </row>
    <row r="17" spans="1:3">
      <c r="A17" s="11" t="s">
        <v>1459</v>
      </c>
      <c r="B17" s="10">
        <f>ROUND(本期TB!H189,2)</f>
        <v>0</v>
      </c>
      <c r="C17" s="10">
        <f>ROUND(上期TB!H187,2)</f>
        <v>0</v>
      </c>
    </row>
    <row r="18" spans="1:3">
      <c r="A18" s="11" t="s">
        <v>1460</v>
      </c>
      <c r="B18" s="10">
        <f>ROUND(本期TB!H190,2)</f>
        <v>123240697.16</v>
      </c>
      <c r="C18" s="10">
        <f>ROUND(上期TB!H188,2)</f>
        <v>123240697.16</v>
      </c>
    </row>
    <row r="19" spans="1:3">
      <c r="A19" s="11" t="s">
        <v>1956</v>
      </c>
      <c r="B19" s="12"/>
      <c r="C19" s="12"/>
    </row>
    <row r="20" spans="1:3">
      <c r="A20" s="11" t="s">
        <v>1462</v>
      </c>
      <c r="B20" s="10">
        <f>ROUND(本期TB!H191,2)</f>
        <v>0</v>
      </c>
      <c r="C20" s="10">
        <f>ROUND(上期TB!H189,2)</f>
        <v>0</v>
      </c>
    </row>
    <row r="21" spans="1:3">
      <c r="A21" s="11" t="s">
        <v>1463</v>
      </c>
      <c r="B21" s="10">
        <f>ROUND(本期TB!H192,2)</f>
        <v>155897420.59999999</v>
      </c>
      <c r="C21" s="10">
        <f>ROUND(上期TB!H190,2)</f>
        <v>155897420.59999999</v>
      </c>
    </row>
    <row r="22" spans="1:3">
      <c r="A22" s="11" t="s">
        <v>1464</v>
      </c>
      <c r="B22" s="10">
        <f>ROUND(财务费用!B5,2)</f>
        <v>0</v>
      </c>
      <c r="C22" s="10">
        <f>ROUND(财务费用!C5,2)</f>
        <v>0</v>
      </c>
    </row>
    <row r="23" spans="1:3">
      <c r="A23" s="11" t="s">
        <v>1465</v>
      </c>
      <c r="B23" s="10">
        <f>ROUND(财务费用!B7,2)</f>
        <v>0</v>
      </c>
      <c r="C23" s="10">
        <f>ROUND(财务费用!C7,2)</f>
        <v>0</v>
      </c>
    </row>
    <row r="24" spans="1:3">
      <c r="A24" s="11" t="s">
        <v>1466</v>
      </c>
      <c r="B24" s="10">
        <f>ROUND(财务费用!B8,2)</f>
        <v>0</v>
      </c>
      <c r="C24" s="10">
        <f>ROUND(财务费用!C8,2)</f>
        <v>0</v>
      </c>
    </row>
    <row r="25" spans="1:3">
      <c r="A25" s="11" t="s">
        <v>1467</v>
      </c>
      <c r="B25" s="10"/>
      <c r="C25" s="10"/>
    </row>
    <row r="26" spans="1:3">
      <c r="A26" s="11" t="s">
        <v>1468</v>
      </c>
      <c r="B26" s="10">
        <f>ROUND(本期TB!H193,2)</f>
        <v>74328000</v>
      </c>
      <c r="C26" s="10">
        <f>ROUND(上期TB!H191,2)</f>
        <v>74328000</v>
      </c>
    </row>
    <row r="27" spans="1:3">
      <c r="A27" s="11" t="s">
        <v>1469</v>
      </c>
      <c r="B27" s="10">
        <f>ROUND(本期TB!H194,2)</f>
        <v>246513625.72</v>
      </c>
      <c r="C27" s="10">
        <f>ROUND(上期TB!H192,2)</f>
        <v>246513625.72</v>
      </c>
    </row>
    <row r="28" spans="1:3">
      <c r="A28" s="11" t="s">
        <v>1470</v>
      </c>
      <c r="B28" s="10">
        <f>ROUND(IFERROR(VLOOKUP("权益法核算的长期股权投资收益",投资收益!A:B,2,0),0),2)</f>
        <v>0</v>
      </c>
      <c r="C28" s="10">
        <f>ROUND(IFERROR(VLOOKUP("权益法核算的长期股权投资收益",投资收益!A:C,3,0),0),2)</f>
        <v>0</v>
      </c>
    </row>
    <row r="29" spans="1:3">
      <c r="A29" s="11" t="s">
        <v>1471</v>
      </c>
      <c r="B29" s="10">
        <f>ROUND(IFERROR(VLOOKUP("处置债权投资取得的投资收益",投资收益!A:B,2,0),0),2)</f>
        <v>0</v>
      </c>
      <c r="C29" s="10">
        <f>ROUND(IFERROR(VLOOKUP("处置债权投资取得的投资收益",投资收益!A:C,3,0),0),2)</f>
        <v>0</v>
      </c>
    </row>
    <row r="30" spans="1:3">
      <c r="A30" s="11" t="s">
        <v>1472</v>
      </c>
      <c r="B30" s="10">
        <f>ROUND(本期TB!H202,2)</f>
        <v>0</v>
      </c>
      <c r="C30" s="10">
        <f>ROUND(上期TB!H200,2)</f>
        <v>0</v>
      </c>
    </row>
    <row r="31" spans="1:3">
      <c r="A31" s="11" t="s">
        <v>1473</v>
      </c>
      <c r="B31" s="10">
        <f>ROUND(本期TB!H197,2)</f>
        <v>0</v>
      </c>
      <c r="C31" s="10">
        <f>ROUND(上期TB!H195,2)</f>
        <v>0</v>
      </c>
    </row>
    <row r="32" spans="1:3">
      <c r="A32" s="11" t="s">
        <v>1474</v>
      </c>
      <c r="B32" s="10">
        <f>ROUND(本期TB!H198,2)</f>
        <v>0</v>
      </c>
      <c r="C32" s="10">
        <f>ROUND(上期TB!H196,2)</f>
        <v>0</v>
      </c>
    </row>
    <row r="33" spans="1:3">
      <c r="A33" s="11" t="s">
        <v>1475</v>
      </c>
      <c r="B33" s="10">
        <f>ROUND(本期TB!H199,2)</f>
        <v>0</v>
      </c>
      <c r="C33" s="10">
        <f>ROUND(上期TB!H197,2)</f>
        <v>0</v>
      </c>
    </row>
    <row r="34" spans="1:3">
      <c r="A34" s="11" t="s">
        <v>1476</v>
      </c>
      <c r="B34" s="10">
        <f>ROUND(本期TB!H200,2)</f>
        <v>-20045068.129999999</v>
      </c>
      <c r="C34" s="10">
        <f>ROUND(上期TB!H198,2)</f>
        <v>20045068.129999999</v>
      </c>
    </row>
    <row r="35" spans="1:3">
      <c r="A35" s="11" t="s">
        <v>1477</v>
      </c>
      <c r="B35" s="10">
        <f>ROUND(本期TB!H201,2)</f>
        <v>3131735.07</v>
      </c>
      <c r="C35" s="10">
        <f>ROUND(上期TB!H199,2)</f>
        <v>3131735.07</v>
      </c>
    </row>
    <row r="36" spans="1:3">
      <c r="A36" s="11" t="s">
        <v>3991</v>
      </c>
      <c r="B36" s="8">
        <f>ROUND(B2-B7+B26+B27+B30+B31+B32+B33+B34+B35,2)</f>
        <v>218533122.16999999</v>
      </c>
      <c r="C36" s="8">
        <f>ROUND(C2-C7+C26+C27+C30+C31+C32+C33+C34+C35,2)</f>
        <v>258623258.43000001</v>
      </c>
    </row>
    <row r="37" spans="1:3">
      <c r="A37" s="11" t="s">
        <v>1479</v>
      </c>
      <c r="B37" s="10">
        <f>ROUND(本期TB!H204,2)</f>
        <v>36628434.68</v>
      </c>
      <c r="C37" s="10">
        <f>ROUND(上期TB!H202,2)</f>
        <v>36628434.68</v>
      </c>
    </row>
    <row r="38" spans="1:3">
      <c r="A38" s="11" t="s">
        <v>1480</v>
      </c>
      <c r="B38" s="10">
        <f ca="1">ROUND(IFERROR(vlooup("与企业日常活动无关的政府补助",营业外收入!A:C,2,0),0),2)</f>
        <v>0</v>
      </c>
      <c r="C38" s="10">
        <f ca="1">ROUND(IFERROR(vlooup("与企业日常活动无关的政府补助",营业外收入!A:C,2,0),0),2)</f>
        <v>0</v>
      </c>
    </row>
    <row r="39" spans="1:3">
      <c r="A39" s="11" t="s">
        <v>1481</v>
      </c>
      <c r="B39" s="10">
        <f>ROUND(本期TB!H205,2)</f>
        <v>550050</v>
      </c>
      <c r="C39" s="10">
        <f>ROUND(上期TB!H203,2)</f>
        <v>550050</v>
      </c>
    </row>
    <row r="40" spans="1:3">
      <c r="A40" s="11" t="s">
        <v>3992</v>
      </c>
      <c r="B40" s="8">
        <f>ROUND(B36+B37-B39,2)</f>
        <v>254611506.84999999</v>
      </c>
      <c r="C40" s="8">
        <f>ROUND(C36+C37-C39,2)</f>
        <v>294701643.11000001</v>
      </c>
    </row>
    <row r="41" spans="1:3">
      <c r="A41" s="11" t="s">
        <v>1483</v>
      </c>
      <c r="B41" s="10">
        <f>ROUND(本期TB!H207,2)</f>
        <v>8481128.6199999992</v>
      </c>
      <c r="C41" s="10">
        <f>ROUND(上期TB!H205,2)</f>
        <v>8481128.6199999992</v>
      </c>
    </row>
    <row r="42" spans="1:3">
      <c r="A42" s="11" t="s">
        <v>3993</v>
      </c>
      <c r="B42" s="8">
        <f>ROUND(B40-B41,2)</f>
        <v>246130378.22999999</v>
      </c>
      <c r="C42" s="8">
        <f>ROUND(C40-C41,2)</f>
        <v>286220514.49000001</v>
      </c>
    </row>
    <row r="43" spans="1:3">
      <c r="A43" s="11" t="s">
        <v>1484</v>
      </c>
      <c r="B43" s="13"/>
      <c r="C43" s="13"/>
    </row>
    <row r="44" spans="1:3">
      <c r="A44" s="11" t="s">
        <v>3988</v>
      </c>
      <c r="B44" s="15">
        <f>ROUND(B42-B45,2)</f>
        <v>246130378.22999999</v>
      </c>
      <c r="C44" s="15">
        <f>ROUND(C42-C45,2)</f>
        <v>286220514.49000001</v>
      </c>
    </row>
    <row r="45" spans="1:3">
      <c r="A45" s="11" t="s">
        <v>1485</v>
      </c>
      <c r="B45" s="10">
        <f>ROUND(本期TB!H214,2)</f>
        <v>0</v>
      </c>
      <c r="C45" s="10">
        <f>ROUND(上期TB!H212,2)</f>
        <v>0</v>
      </c>
    </row>
    <row r="46" spans="1:3">
      <c r="A46" s="11" t="s">
        <v>1486</v>
      </c>
      <c r="B46" s="13"/>
      <c r="C46" s="13"/>
    </row>
    <row r="47" spans="1:3">
      <c r="A47" s="11" t="s">
        <v>3994</v>
      </c>
      <c r="B47" s="15">
        <f>ROUND(B42-B48,2)</f>
        <v>246130378.22999999</v>
      </c>
      <c r="C47" s="15">
        <f>ROUND(C42-C48,2)</f>
        <v>286220514.49000001</v>
      </c>
    </row>
    <row r="48" spans="1:3">
      <c r="A48" s="11" t="s">
        <v>3995</v>
      </c>
      <c r="B48" s="14">
        <f>ROUND(本期TB!H211,2)</f>
        <v>0</v>
      </c>
      <c r="C48" s="14">
        <f>ROUND(上期TB!H209,2)</f>
        <v>0</v>
      </c>
    </row>
    <row r="49" spans="1:3">
      <c r="A49" s="11" t="s">
        <v>3996</v>
      </c>
      <c r="B49" s="15">
        <f>ROUND(B50+B67,2)</f>
        <v>0</v>
      </c>
      <c r="C49" s="15">
        <f>ROUND(C50+C67,2)</f>
        <v>0</v>
      </c>
    </row>
    <row r="50" spans="1:3">
      <c r="A50" s="11" t="s">
        <v>1487</v>
      </c>
      <c r="B50" s="15">
        <f>ROUND(B51+B57,2)</f>
        <v>0</v>
      </c>
      <c r="C50" s="15">
        <f>ROUND(C51+C57,2)</f>
        <v>0</v>
      </c>
    </row>
    <row r="51" spans="1:3">
      <c r="A51" s="11" t="s">
        <v>1488</v>
      </c>
      <c r="B51" s="15">
        <f>ROUND(SUM(B52:B56),2)</f>
        <v>0</v>
      </c>
      <c r="C51" s="15">
        <f>ROUND(SUM(C52:C56),2)</f>
        <v>0</v>
      </c>
    </row>
    <row r="52" spans="1:3">
      <c r="A52" s="11" t="s">
        <v>1524</v>
      </c>
      <c r="B52" s="10">
        <f>ROUND(本期TB!H218,2)</f>
        <v>0</v>
      </c>
      <c r="C52" s="10">
        <f>ROUND(上期TB!H216,2)</f>
        <v>0</v>
      </c>
    </row>
    <row r="53" spans="1:3">
      <c r="A53" s="11" t="s">
        <v>1525</v>
      </c>
      <c r="B53" s="10">
        <f>ROUND(本期TB!H219,2)</f>
        <v>0</v>
      </c>
      <c r="C53" s="10">
        <f>ROUND(上期TB!H217,2)</f>
        <v>0</v>
      </c>
    </row>
    <row r="54" spans="1:3">
      <c r="A54" s="11" t="s">
        <v>1526</v>
      </c>
      <c r="B54" s="10">
        <f>ROUND(本期TB!H220,2)</f>
        <v>0</v>
      </c>
      <c r="C54" s="14">
        <f>ROUND(上期TB!H218,2)</f>
        <v>0</v>
      </c>
    </row>
    <row r="55" spans="1:3">
      <c r="A55" s="11" t="s">
        <v>1527</v>
      </c>
      <c r="B55" s="10">
        <f>ROUND(本期TB!H221,2)</f>
        <v>0</v>
      </c>
      <c r="C55" s="14">
        <f>ROUND(上期TB!H219,2)</f>
        <v>0</v>
      </c>
    </row>
    <row r="56" spans="1:3">
      <c r="A56" s="11" t="s">
        <v>1528</v>
      </c>
      <c r="B56" s="10">
        <f>ROUND(本期TB!H222,2)</f>
        <v>0</v>
      </c>
      <c r="C56" s="16">
        <f>ROUND(上期TB!H220,2)</f>
        <v>0</v>
      </c>
    </row>
    <row r="57" spans="1:3">
      <c r="A57" s="11" t="s">
        <v>1489</v>
      </c>
      <c r="B57" s="15">
        <f>ROUND(SUM(B58:B66),2)</f>
        <v>0</v>
      </c>
      <c r="C57" s="15">
        <f>ROUND(SUM(C58:C66),2)</f>
        <v>0</v>
      </c>
    </row>
    <row r="58" spans="1:3">
      <c r="A58" s="11" t="s">
        <v>1529</v>
      </c>
      <c r="B58" s="10">
        <f>ROUND(本期TB!H224,2)</f>
        <v>0</v>
      </c>
      <c r="C58" s="10">
        <f>ROUND(上期TB!H222,2)</f>
        <v>0</v>
      </c>
    </row>
    <row r="59" spans="1:3">
      <c r="A59" s="11" t="s">
        <v>1530</v>
      </c>
      <c r="B59" s="10">
        <f>ROUND(本期TB!H225,2)</f>
        <v>0</v>
      </c>
      <c r="C59" s="10">
        <f>ROUND(上期TB!H223,2)</f>
        <v>0</v>
      </c>
    </row>
    <row r="60" spans="1:3">
      <c r="A60" s="11" t="s">
        <v>1531</v>
      </c>
      <c r="B60" s="10">
        <f>ROUND(本期TB!H226,2)</f>
        <v>0</v>
      </c>
      <c r="C60" s="10">
        <f>ROUND(上期TB!H224,2)</f>
        <v>0</v>
      </c>
    </row>
    <row r="61" spans="1:3">
      <c r="A61" s="11" t="s">
        <v>1532</v>
      </c>
      <c r="B61" s="10">
        <f>ROUND(本期TB!H227,2)</f>
        <v>0</v>
      </c>
      <c r="C61" s="10">
        <f>ROUND(上期TB!H225,2)</f>
        <v>0</v>
      </c>
    </row>
    <row r="62" spans="1:3">
      <c r="A62" s="11" t="s">
        <v>1533</v>
      </c>
      <c r="B62" s="10">
        <f>ROUND(本期TB!H228,2)</f>
        <v>0</v>
      </c>
      <c r="C62" s="10">
        <f>ROUND(上期TB!H226,2)</f>
        <v>0</v>
      </c>
    </row>
    <row r="63" spans="1:3">
      <c r="A63" s="11" t="s">
        <v>1534</v>
      </c>
      <c r="B63" s="10">
        <f>ROUND(本期TB!H229,2)</f>
        <v>0</v>
      </c>
      <c r="C63" s="10">
        <f>ROUND(上期TB!H227,2)</f>
        <v>0</v>
      </c>
    </row>
    <row r="64" spans="1:3">
      <c r="A64" s="11" t="s">
        <v>1535</v>
      </c>
      <c r="B64" s="10">
        <f>ROUND(本期TB!H230,2)</f>
        <v>0</v>
      </c>
      <c r="C64" s="10">
        <f>ROUND(上期TB!H228,2)</f>
        <v>0</v>
      </c>
    </row>
    <row r="65" spans="1:4">
      <c r="A65" s="11" t="s">
        <v>1536</v>
      </c>
      <c r="B65" s="10">
        <f>ROUND(本期TB!H231,2)</f>
        <v>0</v>
      </c>
      <c r="C65" s="10">
        <f>ROUND(上期TB!H229,2)</f>
        <v>0</v>
      </c>
    </row>
    <row r="66" spans="1:4">
      <c r="A66" s="11" t="s">
        <v>1528</v>
      </c>
      <c r="B66" s="10">
        <f>ROUND(本期TB!H232,2)</f>
        <v>0</v>
      </c>
      <c r="C66" s="17">
        <f>ROUND(上期TB!H230,2)</f>
        <v>0</v>
      </c>
    </row>
    <row r="67" spans="1:4">
      <c r="A67" s="11" t="s">
        <v>3990</v>
      </c>
      <c r="B67" s="10">
        <f>ROUND(本期TB!H233,2)</f>
        <v>0</v>
      </c>
      <c r="C67" s="10">
        <f>ROUND(上期TB!H231,2)</f>
        <v>0</v>
      </c>
    </row>
    <row r="68" spans="1:4">
      <c r="A68" s="11" t="s">
        <v>3997</v>
      </c>
      <c r="B68" s="8">
        <f>ROUND(B69+B70,2)</f>
        <v>246130378.22999999</v>
      </c>
      <c r="C68" s="8">
        <f>ROUND(C69+C70,2)</f>
        <v>286220514.49000001</v>
      </c>
    </row>
    <row r="69" spans="1:4">
      <c r="A69" s="11" t="s">
        <v>3989</v>
      </c>
      <c r="B69" s="8">
        <f>ROUND(B44+B50,2)</f>
        <v>246130378.22999999</v>
      </c>
      <c r="C69" s="8">
        <f>ROUND(C44+C50,2)</f>
        <v>286220514.49000001</v>
      </c>
    </row>
    <row r="70" spans="1:4">
      <c r="A70" s="11" t="s">
        <v>1490</v>
      </c>
      <c r="B70" s="8">
        <f>ROUND(B45+B67,2)</f>
        <v>0</v>
      </c>
      <c r="C70" s="8">
        <f>ROUND(C45+C67,2)</f>
        <v>0</v>
      </c>
    </row>
    <row r="71" spans="1:4">
      <c r="A71" s="11" t="s">
        <v>1491</v>
      </c>
      <c r="B71" s="13"/>
      <c r="C71" s="13"/>
    </row>
    <row r="72" spans="1:4">
      <c r="A72" s="11" t="s">
        <v>1492</v>
      </c>
      <c r="B72" s="10">
        <f>本期TB!H238</f>
        <v>0</v>
      </c>
      <c r="C72" s="14">
        <f>上期TB!H236</f>
        <v>0</v>
      </c>
    </row>
    <row r="73" spans="1:4">
      <c r="A73" s="11" t="s">
        <v>1493</v>
      </c>
      <c r="B73" s="10">
        <f>本期TB!H239</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sheetPr codeName="Sheet14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30" bestFit="1" customWidth="1"/>
    <col min="3" max="3" width="13.88671875" bestFit="1" customWidth="1"/>
    <col min="4" max="4" width="5.5546875" bestFit="1" customWidth="1"/>
    <col min="10" max="10" width="11.44140625" customWidth="1"/>
  </cols>
  <sheetData>
    <row r="1" spans="1:4">
      <c r="A1" t="s">
        <v>95</v>
      </c>
      <c r="B1" s="230" t="s">
        <v>2523</v>
      </c>
      <c r="C1" t="s">
        <v>2754</v>
      </c>
      <c r="D1" t="s">
        <v>2755</v>
      </c>
    </row>
    <row r="2" spans="1:4">
      <c r="A2" s="262" t="s">
        <v>2739</v>
      </c>
      <c r="B2" s="264">
        <f>存货明细情况!E12</f>
        <v>0</v>
      </c>
    </row>
    <row r="3" spans="1:4">
      <c r="A3" s="262" t="s">
        <v>373</v>
      </c>
      <c r="B3" s="264">
        <f>SUM(B4:B17)</f>
        <v>0</v>
      </c>
    </row>
    <row r="4" spans="1:4">
      <c r="A4" t="s">
        <v>2741</v>
      </c>
      <c r="B4" s="290"/>
    </row>
    <row r="5" spans="1:4">
      <c r="A5" t="s">
        <v>2742</v>
      </c>
      <c r="B5" s="230">
        <f>薪酬校验表!B7</f>
        <v>0</v>
      </c>
    </row>
    <row r="6" spans="1:4">
      <c r="A6" t="s">
        <v>2743</v>
      </c>
      <c r="B6" s="230">
        <f>折旧及摊销校验表!B7</f>
        <v>0</v>
      </c>
    </row>
    <row r="7" spans="1:4">
      <c r="A7" t="s">
        <v>2744</v>
      </c>
      <c r="B7" s="230">
        <f>SUM(存货明细表!G:G)</f>
        <v>0</v>
      </c>
    </row>
    <row r="8" spans="1:4">
      <c r="A8" t="s">
        <v>2752</v>
      </c>
      <c r="B8" s="290"/>
    </row>
    <row r="9" spans="1:4">
      <c r="A9" t="s">
        <v>2753</v>
      </c>
      <c r="B9" s="290"/>
    </row>
    <row r="10" spans="1:4">
      <c r="B10" s="290"/>
    </row>
    <row r="11" spans="1:4">
      <c r="B11" s="290"/>
    </row>
    <row r="12" spans="1:4">
      <c r="B12" s="290"/>
    </row>
    <row r="13" spans="1:4">
      <c r="B13" s="290"/>
    </row>
    <row r="14" spans="1:4">
      <c r="B14" s="290"/>
    </row>
    <row r="15" spans="1:4">
      <c r="B15" s="290"/>
    </row>
    <row r="16" spans="1:4">
      <c r="B16" s="290"/>
    </row>
    <row r="18" spans="1:2">
      <c r="A18" s="262" t="s">
        <v>366</v>
      </c>
      <c r="B18" s="264">
        <f>SUM(B19:B29)</f>
        <v>0</v>
      </c>
    </row>
    <row r="19" spans="1:2">
      <c r="A19" t="s">
        <v>2745</v>
      </c>
      <c r="B19" s="290"/>
    </row>
    <row r="20" spans="1:2">
      <c r="A20" t="s">
        <v>2746</v>
      </c>
      <c r="B20" s="290"/>
    </row>
    <row r="21" spans="1:2">
      <c r="A21" t="s">
        <v>2747</v>
      </c>
      <c r="B21" s="290"/>
    </row>
    <row r="22" spans="1:2">
      <c r="A22" t="s">
        <v>2748</v>
      </c>
      <c r="B22" s="290"/>
    </row>
    <row r="23" spans="1:2">
      <c r="A23" t="s">
        <v>2749</v>
      </c>
      <c r="B23" s="290"/>
    </row>
    <row r="24" spans="1:2">
      <c r="A24" t="s">
        <v>2750</v>
      </c>
      <c r="B24" s="290"/>
    </row>
    <row r="25" spans="1:2">
      <c r="A25" t="s">
        <v>2751</v>
      </c>
      <c r="B25" s="290"/>
    </row>
    <row r="30" spans="1:2">
      <c r="A30" s="262" t="s">
        <v>2740</v>
      </c>
      <c r="B30" s="264">
        <f>存货明细情况!B12</f>
        <v>0</v>
      </c>
    </row>
    <row r="31" spans="1:2">
      <c r="A31" s="262" t="s">
        <v>2391</v>
      </c>
      <c r="B31" s="264">
        <f>B2+B3-B18-B30</f>
        <v>0</v>
      </c>
    </row>
    <row r="32" spans="1:2">
      <c r="A32" s="262" t="s">
        <v>2766</v>
      </c>
      <c r="B32" s="264">
        <f>SUM(B33:B47)</f>
        <v>0</v>
      </c>
    </row>
    <row r="33" spans="1:2">
      <c r="A33" t="s">
        <v>2739</v>
      </c>
      <c r="B33" s="230">
        <f>SUM(存货明细情况!E12)</f>
        <v>0</v>
      </c>
    </row>
    <row r="34" spans="1:2">
      <c r="A34" t="s">
        <v>2760</v>
      </c>
      <c r="B34" s="230">
        <f>-存货明细情况!B12</f>
        <v>0</v>
      </c>
    </row>
    <row r="35" spans="1:2">
      <c r="A35" s="292" t="s">
        <v>2761</v>
      </c>
      <c r="B35" s="230">
        <f>-B21</f>
        <v>0</v>
      </c>
    </row>
    <row r="36" spans="1:2">
      <c r="A36" s="292" t="s">
        <v>2762</v>
      </c>
      <c r="B36" s="230">
        <f>-B22</f>
        <v>0</v>
      </c>
    </row>
    <row r="37" spans="1:2">
      <c r="A37" s="292" t="s">
        <v>2763</v>
      </c>
      <c r="B37" s="230">
        <f>B7</f>
        <v>0</v>
      </c>
    </row>
    <row r="38" spans="1:2">
      <c r="A38" s="292" t="s">
        <v>2767</v>
      </c>
      <c r="B38" s="230">
        <f>-SUM(存货明细表!M:M)</f>
        <v>0</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codeName="Sheet141">
    <tabColor rgb="FFFFC000"/>
  </sheetPr>
  <dimension ref="A1:G15"/>
  <sheetViews>
    <sheetView workbookViewId="0">
      <selection activeCell="F15" sqref="F15"/>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5">
        <f>ROUND(SUMIF(合同资产明细表!C:C,"单项金额重大并单项计提坏账准备",合同资产明细表!E:E),2)</f>
        <v>0</v>
      </c>
      <c r="C2" s="295">
        <f>ROUND(SUMIF(合同资产明细表!C:C,"单项金额重大并单项计提坏账准备",合同资产明细表!O:O),2)</f>
        <v>0</v>
      </c>
      <c r="D2" s="69">
        <f>ROUND(B2-C2,2)</f>
        <v>0</v>
      </c>
      <c r="E2" s="268"/>
      <c r="F2" s="268"/>
      <c r="G2" s="69">
        <f>ROUND(E2-F2,2)</f>
        <v>0</v>
      </c>
    </row>
    <row r="3" spans="1:7" ht="14.4">
      <c r="A3" s="19" t="s">
        <v>245</v>
      </c>
      <c r="B3" s="295">
        <f>ROUND(SUMIF(合同资产明细表!C:C,"按信用风险特征组合计提坏账准备",合同资产明细表!E:E),2)</f>
        <v>0</v>
      </c>
      <c r="C3" s="295">
        <f>ROUND(SUMIF(合同资产明细表!C:C,"按信用风险特征组合计提坏账准备",合同资产明细表!O:O),2)</f>
        <v>0</v>
      </c>
      <c r="D3" s="69">
        <f>ROUND(B3-C3,2)</f>
        <v>0</v>
      </c>
      <c r="E3" s="268"/>
      <c r="F3" s="268"/>
      <c r="G3" s="69">
        <f>ROUND(E3-F3,2)</f>
        <v>0</v>
      </c>
    </row>
    <row r="4" spans="1:7" ht="14.4">
      <c r="A4" s="31" t="s">
        <v>204</v>
      </c>
      <c r="B4" s="69">
        <f>ROUND(SUM(B2:B3),2)</f>
        <v>0</v>
      </c>
      <c r="C4" s="69">
        <f>ROUND(SUM(C2:C3),2)</f>
        <v>0</v>
      </c>
      <c r="D4" s="69">
        <f>ROUND(SUM(D2:D3),2)</f>
        <v>0</v>
      </c>
      <c r="E4" s="69">
        <f>ROUND(SUM(E2:E3),2)</f>
        <v>0</v>
      </c>
      <c r="F4" s="69">
        <f>ROUND(SUM(F2:F3),2)</f>
        <v>0</v>
      </c>
      <c r="G4" s="69">
        <f>ROUND(SUM(G2:G3),2)</f>
        <v>0</v>
      </c>
    </row>
    <row r="15" spans="1:7">
      <c r="B15" s="134"/>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codeName="Sheet142">
    <tabColor rgb="FFFFC000"/>
  </sheetPr>
  <dimension ref="A1:B6"/>
  <sheetViews>
    <sheetView workbookViewId="0">
      <selection activeCell="G19" sqref="G19"/>
    </sheetView>
  </sheetViews>
  <sheetFormatPr defaultRowHeight="13.8"/>
  <cols>
    <col min="1" max="1" width="38" style="18" bestFit="1" customWidth="1"/>
    <col min="2" max="2" width="16.88671875" style="18" bestFit="1" customWidth="1"/>
    <col min="3" max="16384" width="8.88671875" style="18"/>
  </cols>
  <sheetData>
    <row r="1" spans="1:2">
      <c r="A1" s="62" t="s">
        <v>95</v>
      </c>
      <c r="B1" s="62" t="s">
        <v>380</v>
      </c>
    </row>
    <row r="2" spans="1:2">
      <c r="A2" s="18" t="s">
        <v>381</v>
      </c>
      <c r="B2" s="287">
        <f>ROUND(合同资产情况!E4,2)</f>
        <v>0</v>
      </c>
    </row>
    <row r="3" spans="1:2">
      <c r="A3" s="18" t="s">
        <v>382</v>
      </c>
      <c r="B3" s="287">
        <f>ROUND(SUM(合同履约明细表!L:L),2)</f>
        <v>0</v>
      </c>
    </row>
    <row r="4" spans="1:2">
      <c r="A4" s="18" t="s">
        <v>383</v>
      </c>
      <c r="B4" s="287">
        <f>ROUND(SUM(合同履约明细表!G:G),2)</f>
        <v>0</v>
      </c>
    </row>
    <row r="5" spans="1:2">
      <c r="A5" s="18" t="s">
        <v>384</v>
      </c>
      <c r="B5" s="287">
        <f>ROUND(SUM(合同履约明细表!M:M),2)</f>
        <v>0</v>
      </c>
    </row>
    <row r="6" spans="1:2">
      <c r="A6" s="18" t="s">
        <v>385</v>
      </c>
      <c r="B6" s="63">
        <f>ROUND(SUM(B2:B5),2)</f>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codeName="Sheet143">
    <tabColor rgb="FFFFC000"/>
  </sheetPr>
  <dimension ref="A1:E5"/>
  <sheetViews>
    <sheetView workbookViewId="0">
      <selection activeCell="F11" sqref="F11"/>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4212</v>
      </c>
      <c r="C1" s="18" t="s">
        <v>213</v>
      </c>
      <c r="D1" s="18" t="s">
        <v>224</v>
      </c>
      <c r="E1" s="18" t="s">
        <v>225</v>
      </c>
    </row>
    <row r="2" spans="1:5">
      <c r="A2" s="247"/>
      <c r="B2" s="247"/>
      <c r="C2" s="247"/>
      <c r="D2" s="18" t="e">
        <f>C2/B2*100</f>
        <v>#DIV/0!</v>
      </c>
      <c r="E2" s="247"/>
    </row>
    <row r="3" spans="1:5">
      <c r="A3" s="247"/>
      <c r="B3" s="247"/>
      <c r="C3" s="247"/>
      <c r="D3" s="18" t="e">
        <f t="shared" ref="D3:D4" si="0">C3/B3*100</f>
        <v>#DIV/0!</v>
      </c>
      <c r="E3" s="247"/>
    </row>
    <row r="4" spans="1:5">
      <c r="A4" s="247"/>
      <c r="B4" s="247"/>
      <c r="C4" s="247"/>
      <c r="D4" s="18" t="e">
        <f t="shared" si="0"/>
        <v>#DIV/0!</v>
      </c>
      <c r="E4" s="247"/>
    </row>
    <row r="5" spans="1:5">
      <c r="A5" s="18" t="s">
        <v>282</v>
      </c>
      <c r="B5" s="18">
        <f>ROUND(SUM(B2:B4),2)</f>
        <v>0</v>
      </c>
      <c r="C5" s="18">
        <f>ROUND(SUM(C2:C4),2)</f>
        <v>0</v>
      </c>
      <c r="D5" s="18" t="e">
        <f t="shared" ref="C5:D5" si="1">SUM(D2:D4)</f>
        <v>#DIV/0!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codeName="Sheet144">
    <tabColor rgb="FFFFC000"/>
  </sheetPr>
  <dimension ref="A1:E6"/>
  <sheetViews>
    <sheetView workbookViewId="0">
      <selection activeCell="E15" sqref="E15"/>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8" t="s">
        <v>4311</v>
      </c>
      <c r="B2" s="137">
        <f>ROUND(SUMIF(合同资产明细表!D:D,A2,合同资产明细表!E:E),2)</f>
        <v>0</v>
      </c>
      <c r="C2" s="137">
        <f>ROUND(SUMIF(合同资产明细表!D:D,采用组合计提坏账准备的合同资产!A2,合同资产明细表!O:O),2)</f>
        <v>0</v>
      </c>
      <c r="D2" s="134">
        <f>ROUND(IFERROR(C2/B2*100,0),2)</f>
        <v>0</v>
      </c>
      <c r="E2" s="247"/>
    </row>
    <row r="3" spans="1:5">
      <c r="A3" s="138" t="s">
        <v>4312</v>
      </c>
      <c r="B3" s="137">
        <f>ROUND(SUMIF(合同资产明细表!D:D,A3,合同资产明细表!E:E),2)</f>
        <v>0</v>
      </c>
      <c r="C3" s="137">
        <f>ROUND(SUMIF(合同资产明细表!D:D,采用组合计提坏账准备的合同资产!A3,合同资产明细表!O:O),2)</f>
        <v>0</v>
      </c>
      <c r="D3" s="134">
        <f>ROUND(IFERROR(C3/B3*100,0),2)</f>
        <v>0</v>
      </c>
      <c r="E3" s="247"/>
    </row>
    <row r="4" spans="1:5">
      <c r="A4" s="138" t="s">
        <v>4313</v>
      </c>
      <c r="B4" s="137">
        <f>ROUND(SUMIF(合同资产明细表!D:D,A4,合同资产明细表!E:E),2)</f>
        <v>0</v>
      </c>
      <c r="C4" s="137">
        <f>ROUND(SUMIF(合同资产明细表!D:D,采用组合计提坏账准备的合同资产!A4,合同资产明细表!O:O),2)</f>
        <v>0</v>
      </c>
      <c r="D4" s="134">
        <f>ROUND(IFERROR(C4/B4*100,0),2)</f>
        <v>0</v>
      </c>
      <c r="E4" s="247"/>
    </row>
    <row r="5" spans="1:5">
      <c r="A5" s="138" t="s">
        <v>4314</v>
      </c>
      <c r="B5" s="137">
        <f>ROUND(SUMIF(合同资产明细表!D:D,A5,合同资产明细表!E:E),2)</f>
        <v>0</v>
      </c>
      <c r="C5" s="137">
        <f>ROUND(SUMIF(合同资产明细表!D:D,采用组合计提坏账准备的合同资产!A5,合同资产明细表!O:O),2)</f>
        <v>0</v>
      </c>
      <c r="D5" s="134">
        <f>ROUND(IFERROR(C5/B5*100,0),2)</f>
        <v>0</v>
      </c>
      <c r="E5" s="247"/>
    </row>
    <row r="6" spans="1:5">
      <c r="A6" s="18" t="s">
        <v>282</v>
      </c>
      <c r="B6" s="1">
        <f>ROUND(SUM(B2:B5),2)</f>
        <v>0</v>
      </c>
      <c r="C6" s="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sheetPr codeName="Sheet145"/>
  <dimension ref="A1:X19"/>
  <sheetViews>
    <sheetView workbookViewId="0">
      <selection activeCell="A5" sqref="A5"/>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7" customFormat="1" ht="41.4">
      <c r="A1" s="237" t="s">
        <v>2427</v>
      </c>
      <c r="B1" s="237" t="s">
        <v>4308</v>
      </c>
      <c r="C1" s="237" t="s">
        <v>4309</v>
      </c>
      <c r="D1" s="237" t="s">
        <v>4310</v>
      </c>
      <c r="E1" s="237" t="s">
        <v>258</v>
      </c>
      <c r="F1" s="237" t="s">
        <v>4315</v>
      </c>
      <c r="G1" s="237" t="s">
        <v>4316</v>
      </c>
      <c r="H1" s="237" t="s">
        <v>4319</v>
      </c>
      <c r="I1" s="237" t="s">
        <v>4320</v>
      </c>
      <c r="J1" s="237" t="s">
        <v>4321</v>
      </c>
      <c r="K1" s="237" t="s">
        <v>4322</v>
      </c>
      <c r="L1" s="237" t="s">
        <v>4323</v>
      </c>
      <c r="M1" s="237" t="s">
        <v>4324</v>
      </c>
      <c r="N1" s="237" t="s">
        <v>4325</v>
      </c>
      <c r="O1" s="237" t="s">
        <v>2392</v>
      </c>
      <c r="P1" s="237" t="s">
        <v>4317</v>
      </c>
      <c r="Q1" s="237" t="s">
        <v>4318</v>
      </c>
      <c r="R1" s="237" t="s">
        <v>4326</v>
      </c>
      <c r="S1" s="237" t="s">
        <v>4327</v>
      </c>
      <c r="T1" s="237" t="s">
        <v>4328</v>
      </c>
      <c r="U1" s="237" t="s">
        <v>4329</v>
      </c>
      <c r="V1" s="237" t="s">
        <v>4330</v>
      </c>
      <c r="W1" s="237" t="s">
        <v>4331</v>
      </c>
      <c r="X1" s="237" t="s">
        <v>4332</v>
      </c>
    </row>
    <row r="2" spans="1:24">
      <c r="A2" t="str">
        <f>IF(E2&gt;0,基础信息!$B$1,"")</f>
        <v/>
      </c>
      <c r="B2" s="256"/>
      <c r="C2" s="277"/>
      <c r="D2" s="277"/>
      <c r="E2" s="230">
        <f>SUM(F2:G2)</f>
        <v>0</v>
      </c>
      <c r="F2" s="256"/>
      <c r="G2" s="256"/>
      <c r="H2" s="256"/>
      <c r="I2" s="256"/>
      <c r="J2" s="256"/>
      <c r="K2" s="256"/>
      <c r="L2" s="256"/>
      <c r="M2" s="256"/>
      <c r="N2" s="230">
        <f>SUM(H2:M2)-E2</f>
        <v>0</v>
      </c>
      <c r="O2" s="230">
        <f>SUM(P2:Q2)</f>
        <v>0</v>
      </c>
      <c r="P2" s="256"/>
      <c r="Q2" s="256"/>
      <c r="R2" s="256"/>
      <c r="S2" s="256"/>
      <c r="T2" s="256"/>
      <c r="U2" s="256"/>
      <c r="V2" s="256"/>
      <c r="W2" s="256"/>
      <c r="X2" s="231">
        <f>SUM(R2:W2)-O2</f>
        <v>0</v>
      </c>
    </row>
    <row r="3" spans="1:24">
      <c r="A3" t="str">
        <f>IF(E3&gt;0,基础信息!$B$1,"")</f>
        <v/>
      </c>
      <c r="B3" s="256"/>
      <c r="C3" s="277"/>
      <c r="D3" s="277"/>
      <c r="E3" s="230">
        <f t="shared" ref="E3:E19" si="0">SUM(F3:G3)</f>
        <v>0</v>
      </c>
      <c r="F3" s="256"/>
      <c r="G3" s="256"/>
      <c r="H3" s="256"/>
      <c r="I3" s="256"/>
      <c r="J3" s="256"/>
      <c r="K3" s="256"/>
      <c r="L3" s="256"/>
      <c r="M3" s="256"/>
      <c r="N3" s="230">
        <f t="shared" ref="N3:N19" si="1">SUM(H3:M3)-E3</f>
        <v>0</v>
      </c>
      <c r="O3" s="230">
        <f t="shared" ref="O3:O19" si="2">SUM(P3:Q3)</f>
        <v>0</v>
      </c>
      <c r="P3" s="256"/>
      <c r="Q3" s="256"/>
      <c r="R3" s="256"/>
      <c r="S3" s="256"/>
      <c r="T3" s="256"/>
      <c r="U3" s="256"/>
      <c r="V3" s="256"/>
      <c r="W3" s="256"/>
      <c r="X3" s="231">
        <f t="shared" ref="X3:X19" si="3">SUM(R3:W3)-O3</f>
        <v>0</v>
      </c>
    </row>
    <row r="4" spans="1:24">
      <c r="A4" t="str">
        <f>IF(E4&gt;0,基础信息!$B$1,"")</f>
        <v/>
      </c>
      <c r="B4" s="256"/>
      <c r="C4" s="277"/>
      <c r="D4" s="277"/>
      <c r="E4" s="230">
        <f t="shared" si="0"/>
        <v>0</v>
      </c>
      <c r="F4" s="256"/>
      <c r="G4" s="256"/>
      <c r="H4" s="256"/>
      <c r="I4" s="256"/>
      <c r="J4" s="256"/>
      <c r="K4" s="256"/>
      <c r="L4" s="256"/>
      <c r="M4" s="256"/>
      <c r="N4" s="230">
        <f t="shared" si="1"/>
        <v>0</v>
      </c>
      <c r="O4" s="230">
        <f t="shared" si="2"/>
        <v>0</v>
      </c>
      <c r="P4" s="256"/>
      <c r="Q4" s="256"/>
      <c r="R4" s="256"/>
      <c r="S4" s="256"/>
      <c r="T4" s="256"/>
      <c r="U4" s="256"/>
      <c r="V4" s="256"/>
      <c r="W4" s="256"/>
      <c r="X4" s="231">
        <f t="shared" si="3"/>
        <v>0</v>
      </c>
    </row>
    <row r="5" spans="1:24">
      <c r="A5" t="str">
        <f>IF(E5&gt;0,基础信息!$B$1,"")</f>
        <v/>
      </c>
      <c r="B5" s="256"/>
      <c r="C5" s="277"/>
      <c r="D5" s="277"/>
      <c r="E5" s="230">
        <f t="shared" si="0"/>
        <v>0</v>
      </c>
      <c r="F5" s="256"/>
      <c r="G5" s="256"/>
      <c r="H5" s="256"/>
      <c r="I5" s="256"/>
      <c r="J5" s="256"/>
      <c r="K5" s="256"/>
      <c r="L5" s="256"/>
      <c r="M5" s="256"/>
      <c r="N5" s="230">
        <f t="shared" si="1"/>
        <v>0</v>
      </c>
      <c r="O5" s="230">
        <f t="shared" si="2"/>
        <v>0</v>
      </c>
      <c r="P5" s="256"/>
      <c r="Q5" s="256"/>
      <c r="R5" s="256"/>
      <c r="S5" s="256"/>
      <c r="T5" s="256"/>
      <c r="U5" s="256"/>
      <c r="V5" s="256"/>
      <c r="W5" s="256"/>
      <c r="X5" s="231">
        <f t="shared" si="3"/>
        <v>0</v>
      </c>
    </row>
    <row r="6" spans="1:24">
      <c r="A6" t="str">
        <f>IF(E6&gt;0,基础信息!$B$1,"")</f>
        <v/>
      </c>
      <c r="B6" s="256"/>
      <c r="C6" s="277"/>
      <c r="D6" s="277"/>
      <c r="E6" s="230">
        <f t="shared" si="0"/>
        <v>0</v>
      </c>
      <c r="F6" s="256"/>
      <c r="G6" s="256"/>
      <c r="H6" s="256"/>
      <c r="I6" s="256"/>
      <c r="J6" s="256"/>
      <c r="K6" s="256"/>
      <c r="L6" s="256"/>
      <c r="M6" s="256"/>
      <c r="N6" s="230">
        <f t="shared" si="1"/>
        <v>0</v>
      </c>
      <c r="O6" s="230">
        <f t="shared" si="2"/>
        <v>0</v>
      </c>
      <c r="P6" s="256"/>
      <c r="Q6" s="256"/>
      <c r="R6" s="256"/>
      <c r="S6" s="256"/>
      <c r="T6" s="256"/>
      <c r="U6" s="256"/>
      <c r="V6" s="256"/>
      <c r="W6" s="256"/>
      <c r="X6" s="231">
        <f t="shared" si="3"/>
        <v>0</v>
      </c>
    </row>
    <row r="7" spans="1:24">
      <c r="A7" t="str">
        <f>IF(E7&gt;0,基础信息!$B$1,"")</f>
        <v/>
      </c>
      <c r="B7" s="256"/>
      <c r="C7" s="277"/>
      <c r="D7" s="277"/>
      <c r="E7" s="230">
        <f t="shared" si="0"/>
        <v>0</v>
      </c>
      <c r="F7" s="256"/>
      <c r="G7" s="256"/>
      <c r="H7" s="256"/>
      <c r="I7" s="256"/>
      <c r="J7" s="256"/>
      <c r="K7" s="256"/>
      <c r="L7" s="256"/>
      <c r="M7" s="256"/>
      <c r="N7" s="230">
        <f t="shared" si="1"/>
        <v>0</v>
      </c>
      <c r="O7" s="230">
        <f t="shared" si="2"/>
        <v>0</v>
      </c>
      <c r="P7" s="256"/>
      <c r="Q7" s="256"/>
      <c r="R7" s="256"/>
      <c r="S7" s="256"/>
      <c r="T7" s="256"/>
      <c r="U7" s="256"/>
      <c r="V7" s="256"/>
      <c r="W7" s="256"/>
      <c r="X7" s="231">
        <f t="shared" si="3"/>
        <v>0</v>
      </c>
    </row>
    <row r="8" spans="1:24">
      <c r="A8" t="str">
        <f>IF(E8&gt;0,基础信息!$B$1,"")</f>
        <v/>
      </c>
      <c r="B8" s="256"/>
      <c r="C8" s="277"/>
      <c r="D8" s="277"/>
      <c r="E8" s="230">
        <f t="shared" si="0"/>
        <v>0</v>
      </c>
      <c r="F8" s="256"/>
      <c r="G8" s="256"/>
      <c r="H8" s="256"/>
      <c r="I8" s="256"/>
      <c r="J8" s="256"/>
      <c r="K8" s="256"/>
      <c r="L8" s="256"/>
      <c r="M8" s="256"/>
      <c r="N8" s="230">
        <f t="shared" si="1"/>
        <v>0</v>
      </c>
      <c r="O8" s="230">
        <f t="shared" si="2"/>
        <v>0</v>
      </c>
      <c r="P8" s="256"/>
      <c r="Q8" s="256"/>
      <c r="R8" s="256"/>
      <c r="S8" s="256"/>
      <c r="T8" s="256"/>
      <c r="U8" s="256"/>
      <c r="V8" s="256"/>
      <c r="W8" s="256"/>
      <c r="X8" s="231">
        <f t="shared" si="3"/>
        <v>0</v>
      </c>
    </row>
    <row r="9" spans="1:24">
      <c r="A9" t="str">
        <f>IF(E9&gt;0,基础信息!$B$1,"")</f>
        <v/>
      </c>
      <c r="B9" s="256"/>
      <c r="C9" s="277"/>
      <c r="D9" s="277"/>
      <c r="E9" s="230">
        <f t="shared" si="0"/>
        <v>0</v>
      </c>
      <c r="F9" s="256"/>
      <c r="G9" s="256"/>
      <c r="H9" s="256"/>
      <c r="I9" s="256"/>
      <c r="J9" s="256"/>
      <c r="K9" s="256"/>
      <c r="L9" s="256"/>
      <c r="M9" s="256"/>
      <c r="N9" s="230">
        <f t="shared" si="1"/>
        <v>0</v>
      </c>
      <c r="O9" s="230">
        <f t="shared" si="2"/>
        <v>0</v>
      </c>
      <c r="P9" s="256"/>
      <c r="Q9" s="256"/>
      <c r="R9" s="256"/>
      <c r="S9" s="256"/>
      <c r="T9" s="256"/>
      <c r="U9" s="256"/>
      <c r="V9" s="256"/>
      <c r="W9" s="256"/>
      <c r="X9" s="231">
        <f t="shared" si="3"/>
        <v>0</v>
      </c>
    </row>
    <row r="10" spans="1:24">
      <c r="A10" t="str">
        <f>IF(E10&gt;0,基础信息!$B$1,"")</f>
        <v/>
      </c>
      <c r="B10" s="256"/>
      <c r="C10" s="277"/>
      <c r="D10" s="277"/>
      <c r="E10" s="230">
        <f t="shared" si="0"/>
        <v>0</v>
      </c>
      <c r="F10" s="256"/>
      <c r="G10" s="256"/>
      <c r="H10" s="256"/>
      <c r="I10" s="256"/>
      <c r="J10" s="256"/>
      <c r="K10" s="256"/>
      <c r="L10" s="256"/>
      <c r="M10" s="256"/>
      <c r="N10" s="230">
        <f t="shared" si="1"/>
        <v>0</v>
      </c>
      <c r="O10" s="230">
        <f t="shared" si="2"/>
        <v>0</v>
      </c>
      <c r="P10" s="256"/>
      <c r="Q10" s="256"/>
      <c r="R10" s="256"/>
      <c r="S10" s="256"/>
      <c r="T10" s="256"/>
      <c r="U10" s="256"/>
      <c r="V10" s="256"/>
      <c r="W10" s="256"/>
      <c r="X10" s="231">
        <f t="shared" si="3"/>
        <v>0</v>
      </c>
    </row>
    <row r="11" spans="1:24">
      <c r="A11" t="str">
        <f>IF(E11&gt;0,基础信息!$B$1,"")</f>
        <v/>
      </c>
      <c r="B11" s="256"/>
      <c r="C11" s="277"/>
      <c r="D11" s="277"/>
      <c r="E11" s="230">
        <f t="shared" si="0"/>
        <v>0</v>
      </c>
      <c r="F11" s="256"/>
      <c r="G11" s="256"/>
      <c r="H11" s="256"/>
      <c r="I11" s="256"/>
      <c r="J11" s="256"/>
      <c r="K11" s="256"/>
      <c r="L11" s="256"/>
      <c r="M11" s="256"/>
      <c r="N11" s="230">
        <f t="shared" si="1"/>
        <v>0</v>
      </c>
      <c r="O11" s="230">
        <f t="shared" si="2"/>
        <v>0</v>
      </c>
      <c r="P11" s="256"/>
      <c r="Q11" s="256"/>
      <c r="R11" s="256"/>
      <c r="S11" s="256"/>
      <c r="T11" s="256"/>
      <c r="U11" s="256"/>
      <c r="V11" s="256"/>
      <c r="W11" s="256"/>
      <c r="X11" s="231">
        <f t="shared" si="3"/>
        <v>0</v>
      </c>
    </row>
    <row r="12" spans="1:24">
      <c r="A12" t="str">
        <f>IF(E12&gt;0,基础信息!$B$1,"")</f>
        <v/>
      </c>
      <c r="B12" s="256"/>
      <c r="C12" s="277"/>
      <c r="D12" s="277"/>
      <c r="E12" s="230">
        <f t="shared" si="0"/>
        <v>0</v>
      </c>
      <c r="F12" s="256"/>
      <c r="G12" s="256"/>
      <c r="H12" s="256"/>
      <c r="I12" s="256"/>
      <c r="J12" s="256"/>
      <c r="K12" s="256"/>
      <c r="L12" s="256"/>
      <c r="M12" s="256"/>
      <c r="N12" s="230">
        <f t="shared" si="1"/>
        <v>0</v>
      </c>
      <c r="O12" s="230">
        <f t="shared" si="2"/>
        <v>0</v>
      </c>
      <c r="P12" s="256"/>
      <c r="Q12" s="256"/>
      <c r="R12" s="256"/>
      <c r="S12" s="256"/>
      <c r="T12" s="256"/>
      <c r="U12" s="256"/>
      <c r="V12" s="256"/>
      <c r="W12" s="256"/>
      <c r="X12" s="231">
        <f t="shared" si="3"/>
        <v>0</v>
      </c>
    </row>
    <row r="13" spans="1:24">
      <c r="A13" t="str">
        <f>IF(E13&gt;0,基础信息!$B$1,"")</f>
        <v/>
      </c>
      <c r="B13" s="256"/>
      <c r="C13" s="277"/>
      <c r="D13" s="277"/>
      <c r="E13" s="230">
        <f t="shared" si="0"/>
        <v>0</v>
      </c>
      <c r="F13" s="256"/>
      <c r="G13" s="256"/>
      <c r="H13" s="256"/>
      <c r="I13" s="256"/>
      <c r="J13" s="256"/>
      <c r="K13" s="256"/>
      <c r="L13" s="256"/>
      <c r="M13" s="256"/>
      <c r="N13" s="230">
        <f t="shared" si="1"/>
        <v>0</v>
      </c>
      <c r="O13" s="230">
        <f t="shared" si="2"/>
        <v>0</v>
      </c>
      <c r="P13" s="256"/>
      <c r="Q13" s="256"/>
      <c r="R13" s="256"/>
      <c r="S13" s="256"/>
      <c r="T13" s="256"/>
      <c r="U13" s="256"/>
      <c r="V13" s="256"/>
      <c r="W13" s="256"/>
      <c r="X13" s="231">
        <f t="shared" si="3"/>
        <v>0</v>
      </c>
    </row>
    <row r="14" spans="1:24">
      <c r="A14" t="str">
        <f>IF(E14&gt;0,基础信息!$B$1,"")</f>
        <v/>
      </c>
      <c r="B14" s="256"/>
      <c r="C14" s="277"/>
      <c r="D14" s="277"/>
      <c r="E14" s="230">
        <f t="shared" si="0"/>
        <v>0</v>
      </c>
      <c r="F14" s="256"/>
      <c r="G14" s="256"/>
      <c r="H14" s="256"/>
      <c r="I14" s="256"/>
      <c r="J14" s="256"/>
      <c r="K14" s="256"/>
      <c r="L14" s="256"/>
      <c r="M14" s="256"/>
      <c r="N14" s="230">
        <f t="shared" si="1"/>
        <v>0</v>
      </c>
      <c r="O14" s="230">
        <f t="shared" si="2"/>
        <v>0</v>
      </c>
      <c r="P14" s="256"/>
      <c r="Q14" s="256"/>
      <c r="R14" s="256"/>
      <c r="S14" s="256"/>
      <c r="T14" s="256"/>
      <c r="U14" s="256"/>
      <c r="V14" s="256"/>
      <c r="W14" s="256"/>
      <c r="X14" s="231">
        <f t="shared" si="3"/>
        <v>0</v>
      </c>
    </row>
    <row r="15" spans="1:24">
      <c r="A15" t="str">
        <f>IF(E15&gt;0,基础信息!$B$1,"")</f>
        <v/>
      </c>
      <c r="B15" s="256"/>
      <c r="C15" s="277"/>
      <c r="D15" s="277"/>
      <c r="E15" s="230">
        <f t="shared" si="0"/>
        <v>0</v>
      </c>
      <c r="F15" s="256"/>
      <c r="G15" s="256"/>
      <c r="H15" s="256"/>
      <c r="I15" s="256"/>
      <c r="J15" s="256"/>
      <c r="K15" s="256"/>
      <c r="L15" s="256"/>
      <c r="M15" s="256"/>
      <c r="N15" s="230">
        <f t="shared" si="1"/>
        <v>0</v>
      </c>
      <c r="O15" s="230">
        <f t="shared" si="2"/>
        <v>0</v>
      </c>
      <c r="P15" s="256"/>
      <c r="Q15" s="256"/>
      <c r="R15" s="256"/>
      <c r="S15" s="256"/>
      <c r="T15" s="256"/>
      <c r="U15" s="256"/>
      <c r="V15" s="256"/>
      <c r="W15" s="256"/>
      <c r="X15" s="231">
        <f t="shared" si="3"/>
        <v>0</v>
      </c>
    </row>
    <row r="16" spans="1:24">
      <c r="A16" t="str">
        <f>IF(E16&gt;0,基础信息!$B$1,"")</f>
        <v/>
      </c>
      <c r="B16" s="256"/>
      <c r="C16" s="277"/>
      <c r="D16" s="277"/>
      <c r="E16" s="230">
        <f t="shared" si="0"/>
        <v>0</v>
      </c>
      <c r="F16" s="256"/>
      <c r="G16" s="256"/>
      <c r="H16" s="256"/>
      <c r="I16" s="256"/>
      <c r="J16" s="256"/>
      <c r="K16" s="256"/>
      <c r="L16" s="256"/>
      <c r="M16" s="256"/>
      <c r="N16" s="230">
        <f t="shared" si="1"/>
        <v>0</v>
      </c>
      <c r="O16" s="230">
        <f t="shared" si="2"/>
        <v>0</v>
      </c>
      <c r="P16" s="256"/>
      <c r="Q16" s="256"/>
      <c r="R16" s="256"/>
      <c r="S16" s="256"/>
      <c r="T16" s="256"/>
      <c r="U16" s="256"/>
      <c r="V16" s="256"/>
      <c r="W16" s="256"/>
      <c r="X16" s="231">
        <f t="shared" si="3"/>
        <v>0</v>
      </c>
    </row>
    <row r="17" spans="1:24">
      <c r="A17" t="str">
        <f>IF(E17&gt;0,基础信息!$B$1,"")</f>
        <v/>
      </c>
      <c r="B17" s="256"/>
      <c r="C17" s="277"/>
      <c r="D17" s="277"/>
      <c r="E17" s="230">
        <f t="shared" si="0"/>
        <v>0</v>
      </c>
      <c r="F17" s="256"/>
      <c r="G17" s="256"/>
      <c r="H17" s="256"/>
      <c r="I17" s="256"/>
      <c r="J17" s="256"/>
      <c r="K17" s="256"/>
      <c r="L17" s="256"/>
      <c r="M17" s="256"/>
      <c r="N17" s="230">
        <f t="shared" si="1"/>
        <v>0</v>
      </c>
      <c r="O17" s="230">
        <f t="shared" si="2"/>
        <v>0</v>
      </c>
      <c r="P17" s="256"/>
      <c r="Q17" s="256"/>
      <c r="R17" s="256"/>
      <c r="S17" s="256"/>
      <c r="T17" s="256"/>
      <c r="U17" s="256"/>
      <c r="V17" s="256"/>
      <c r="W17" s="256"/>
      <c r="X17" s="231">
        <f t="shared" si="3"/>
        <v>0</v>
      </c>
    </row>
    <row r="18" spans="1:24">
      <c r="A18" t="str">
        <f>IF(E18&gt;0,基础信息!$B$1,"")</f>
        <v/>
      </c>
      <c r="B18" s="256"/>
      <c r="C18" s="277"/>
      <c r="D18" s="277"/>
      <c r="E18" s="230">
        <f t="shared" si="0"/>
        <v>0</v>
      </c>
      <c r="F18" s="256"/>
      <c r="G18" s="256"/>
      <c r="H18" s="256"/>
      <c r="I18" s="256"/>
      <c r="J18" s="256"/>
      <c r="K18" s="256"/>
      <c r="L18" s="256"/>
      <c r="M18" s="256"/>
      <c r="N18" s="230">
        <f t="shared" si="1"/>
        <v>0</v>
      </c>
      <c r="O18" s="230">
        <f t="shared" si="2"/>
        <v>0</v>
      </c>
      <c r="P18" s="256"/>
      <c r="Q18" s="256"/>
      <c r="R18" s="256"/>
      <c r="S18" s="256"/>
      <c r="T18" s="256"/>
      <c r="U18" s="256"/>
      <c r="V18" s="256"/>
      <c r="W18" s="256"/>
      <c r="X18" s="231">
        <f t="shared" si="3"/>
        <v>0</v>
      </c>
    </row>
    <row r="19" spans="1:24">
      <c r="A19" t="str">
        <f>IF(E19&gt;0,基础信息!$B$1,"")</f>
        <v/>
      </c>
      <c r="B19" s="256"/>
      <c r="C19" s="277"/>
      <c r="D19" s="277"/>
      <c r="E19" s="230">
        <f t="shared" si="0"/>
        <v>0</v>
      </c>
      <c r="F19" s="256"/>
      <c r="G19" s="256"/>
      <c r="H19" s="256"/>
      <c r="I19" s="256"/>
      <c r="J19" s="256"/>
      <c r="K19" s="256"/>
      <c r="L19" s="256"/>
      <c r="M19" s="256"/>
      <c r="N19" s="230">
        <f t="shared" si="1"/>
        <v>0</v>
      </c>
      <c r="O19" s="230">
        <f t="shared" si="2"/>
        <v>0</v>
      </c>
      <c r="P19" s="256"/>
      <c r="Q19" s="256"/>
      <c r="R19" s="256"/>
      <c r="S19" s="256"/>
      <c r="T19" s="256"/>
      <c r="U19" s="256"/>
      <c r="V19" s="256"/>
      <c r="W19" s="256"/>
      <c r="X19" s="231">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codeName="Sheet146">
    <tabColor rgb="FFFFC000"/>
  </sheetPr>
  <dimension ref="A1:G15"/>
  <sheetViews>
    <sheetView workbookViewId="0">
      <selection activeCell="B5" sqref="B5"/>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4342</v>
      </c>
      <c r="C1" s="32" t="s">
        <v>4343</v>
      </c>
      <c r="D1" s="533" t="s">
        <v>4213</v>
      </c>
      <c r="E1" s="32" t="s">
        <v>386</v>
      </c>
      <c r="F1" s="32" t="s">
        <v>387</v>
      </c>
      <c r="G1" s="20" t="s">
        <v>388</v>
      </c>
    </row>
    <row r="2" spans="1:7" ht="14.4">
      <c r="A2" s="599">
        <f>持有待售资产明细表!C2</f>
        <v>0</v>
      </c>
      <c r="B2" s="599">
        <f>持有待售资产明细表!I2</f>
        <v>0</v>
      </c>
      <c r="C2" s="599">
        <f>持有待售资产明细表!N2</f>
        <v>0</v>
      </c>
      <c r="D2" s="307">
        <f>B2-C2</f>
        <v>0</v>
      </c>
      <c r="E2" s="600">
        <f>持有待售资产明细表!O2</f>
        <v>0</v>
      </c>
      <c r="F2" s="600">
        <f>持有待售资产明细表!P2</f>
        <v>0</v>
      </c>
      <c r="G2" s="600">
        <f>持有待售资产明细表!R2</f>
        <v>0</v>
      </c>
    </row>
    <row r="3" spans="1:7" ht="14.4">
      <c r="A3" s="599">
        <f>持有待售资产明细表!C3</f>
        <v>0</v>
      </c>
      <c r="B3" s="599">
        <f>持有待售资产明细表!I3</f>
        <v>0</v>
      </c>
      <c r="C3" s="599">
        <f>持有待售资产明细表!N3</f>
        <v>0</v>
      </c>
      <c r="D3" s="307">
        <f t="shared" ref="D3:D14" si="0">B3-C3</f>
        <v>0</v>
      </c>
      <c r="E3" s="600">
        <f>持有待售资产明细表!O3</f>
        <v>0</v>
      </c>
      <c r="F3" s="600">
        <f>持有待售资产明细表!P3</f>
        <v>0</v>
      </c>
      <c r="G3" s="600">
        <f>持有待售资产明细表!R3</f>
        <v>0</v>
      </c>
    </row>
    <row r="4" spans="1:7" ht="14.4">
      <c r="A4" s="599">
        <f>持有待售资产明细表!C4</f>
        <v>0</v>
      </c>
      <c r="B4" s="599">
        <f>持有待售资产明细表!I4</f>
        <v>0</v>
      </c>
      <c r="C4" s="599">
        <f>持有待售资产明细表!N4</f>
        <v>0</v>
      </c>
      <c r="D4" s="307">
        <f t="shared" si="0"/>
        <v>0</v>
      </c>
      <c r="E4" s="600">
        <f>持有待售资产明细表!O4</f>
        <v>0</v>
      </c>
      <c r="F4" s="600">
        <f>持有待售资产明细表!P4</f>
        <v>0</v>
      </c>
      <c r="G4" s="600">
        <f>持有待售资产明细表!R4</f>
        <v>0</v>
      </c>
    </row>
    <row r="5" spans="1:7" ht="14.4">
      <c r="A5" s="599">
        <f>持有待售资产明细表!C5</f>
        <v>0</v>
      </c>
      <c r="B5" s="599">
        <f>持有待售资产明细表!I5</f>
        <v>0</v>
      </c>
      <c r="C5" s="599">
        <f>持有待售资产明细表!N5</f>
        <v>0</v>
      </c>
      <c r="D5" s="307">
        <f t="shared" si="0"/>
        <v>0</v>
      </c>
      <c r="E5" s="600">
        <f>持有待售资产明细表!O5</f>
        <v>0</v>
      </c>
      <c r="F5" s="600">
        <f>持有待售资产明细表!P5</f>
        <v>0</v>
      </c>
      <c r="G5" s="600">
        <f>持有待售资产明细表!R5</f>
        <v>0</v>
      </c>
    </row>
    <row r="6" spans="1:7" ht="14.4">
      <c r="A6" s="599">
        <f>持有待售资产明细表!C6</f>
        <v>0</v>
      </c>
      <c r="B6" s="599">
        <f>持有待售资产明细表!I6</f>
        <v>0</v>
      </c>
      <c r="C6" s="599">
        <f>持有待售资产明细表!N6</f>
        <v>0</v>
      </c>
      <c r="D6" s="307">
        <f t="shared" si="0"/>
        <v>0</v>
      </c>
      <c r="E6" s="600">
        <f>持有待售资产明细表!O6</f>
        <v>0</v>
      </c>
      <c r="F6" s="600">
        <f>持有待售资产明细表!P6</f>
        <v>0</v>
      </c>
      <c r="G6" s="600">
        <f>持有待售资产明细表!R6</f>
        <v>0</v>
      </c>
    </row>
    <row r="7" spans="1:7" ht="14.4">
      <c r="A7" s="599">
        <f>持有待售资产明细表!C7</f>
        <v>0</v>
      </c>
      <c r="B7" s="599">
        <f>持有待售资产明细表!I7</f>
        <v>0</v>
      </c>
      <c r="C7" s="599">
        <f>持有待售资产明细表!N7</f>
        <v>0</v>
      </c>
      <c r="D7" s="307">
        <f t="shared" si="0"/>
        <v>0</v>
      </c>
      <c r="E7" s="600">
        <f>持有待售资产明细表!O7</f>
        <v>0</v>
      </c>
      <c r="F7" s="600">
        <f>持有待售资产明细表!P7</f>
        <v>0</v>
      </c>
      <c r="G7" s="600">
        <f>持有待售资产明细表!R7</f>
        <v>0</v>
      </c>
    </row>
    <row r="8" spans="1:7" ht="14.4">
      <c r="A8" s="599">
        <f>持有待售资产明细表!C8</f>
        <v>0</v>
      </c>
      <c r="B8" s="599">
        <f>持有待售资产明细表!I8</f>
        <v>0</v>
      </c>
      <c r="C8" s="599">
        <f>持有待售资产明细表!N8</f>
        <v>0</v>
      </c>
      <c r="D8" s="307">
        <f t="shared" si="0"/>
        <v>0</v>
      </c>
      <c r="E8" s="600">
        <f>持有待售资产明细表!O8</f>
        <v>0</v>
      </c>
      <c r="F8" s="600">
        <f>持有待售资产明细表!P8</f>
        <v>0</v>
      </c>
      <c r="G8" s="600">
        <f>持有待售资产明细表!R8</f>
        <v>0</v>
      </c>
    </row>
    <row r="9" spans="1:7" ht="14.4">
      <c r="A9" s="599">
        <f>持有待售资产明细表!C9</f>
        <v>0</v>
      </c>
      <c r="B9" s="599">
        <f>持有待售资产明细表!I9</f>
        <v>0</v>
      </c>
      <c r="C9" s="599">
        <f>持有待售资产明细表!N9</f>
        <v>0</v>
      </c>
      <c r="D9" s="307">
        <f t="shared" si="0"/>
        <v>0</v>
      </c>
      <c r="E9" s="600">
        <f>持有待售资产明细表!O9</f>
        <v>0</v>
      </c>
      <c r="F9" s="600">
        <f>持有待售资产明细表!P9</f>
        <v>0</v>
      </c>
      <c r="G9" s="600">
        <f>持有待售资产明细表!R9</f>
        <v>0</v>
      </c>
    </row>
    <row r="10" spans="1:7" ht="14.4">
      <c r="A10" s="599">
        <f>持有待售资产明细表!C10</f>
        <v>0</v>
      </c>
      <c r="B10" s="599">
        <f>持有待售资产明细表!I10</f>
        <v>0</v>
      </c>
      <c r="C10" s="599">
        <f>持有待售资产明细表!N10</f>
        <v>0</v>
      </c>
      <c r="D10" s="307">
        <f t="shared" si="0"/>
        <v>0</v>
      </c>
      <c r="E10" s="600">
        <f>持有待售资产明细表!O10</f>
        <v>0</v>
      </c>
      <c r="F10" s="600">
        <f>持有待售资产明细表!P10</f>
        <v>0</v>
      </c>
      <c r="G10" s="600">
        <f>持有待售资产明细表!R10</f>
        <v>0</v>
      </c>
    </row>
    <row r="11" spans="1:7" ht="14.4">
      <c r="A11" s="599">
        <f>持有待售资产明细表!C11</f>
        <v>0</v>
      </c>
      <c r="B11" s="599">
        <f>持有待售资产明细表!I11</f>
        <v>0</v>
      </c>
      <c r="C11" s="599">
        <f>持有待售资产明细表!N11</f>
        <v>0</v>
      </c>
      <c r="D11" s="307">
        <f t="shared" si="0"/>
        <v>0</v>
      </c>
      <c r="E11" s="600">
        <f>持有待售资产明细表!O11</f>
        <v>0</v>
      </c>
      <c r="F11" s="600">
        <f>持有待售资产明细表!P11</f>
        <v>0</v>
      </c>
      <c r="G11" s="600">
        <f>持有待售资产明细表!R11</f>
        <v>0</v>
      </c>
    </row>
    <row r="12" spans="1:7" ht="14.4">
      <c r="A12" s="599">
        <f>持有待售资产明细表!C12</f>
        <v>0</v>
      </c>
      <c r="B12" s="599">
        <f>持有待售资产明细表!I12</f>
        <v>0</v>
      </c>
      <c r="C12" s="599">
        <f>持有待售资产明细表!N12</f>
        <v>0</v>
      </c>
      <c r="D12" s="307">
        <f t="shared" si="0"/>
        <v>0</v>
      </c>
      <c r="E12" s="600">
        <f>持有待售资产明细表!O12</f>
        <v>0</v>
      </c>
      <c r="F12" s="600">
        <f>持有待售资产明细表!P12</f>
        <v>0</v>
      </c>
      <c r="G12" s="600">
        <f>持有待售资产明细表!R12</f>
        <v>0</v>
      </c>
    </row>
    <row r="13" spans="1:7" ht="14.4">
      <c r="A13" s="601"/>
      <c r="B13" s="601"/>
      <c r="C13" s="601"/>
      <c r="D13" s="307">
        <f t="shared" si="0"/>
        <v>0</v>
      </c>
      <c r="E13" s="242"/>
      <c r="F13" s="242"/>
      <c r="G13" s="242"/>
    </row>
    <row r="14" spans="1:7" ht="14.4">
      <c r="A14" s="602"/>
      <c r="B14" s="602"/>
      <c r="C14" s="602"/>
      <c r="D14" s="307">
        <f t="shared" si="0"/>
        <v>0</v>
      </c>
      <c r="E14" s="242"/>
      <c r="F14" s="242"/>
      <c r="G14" s="242"/>
    </row>
    <row r="15" spans="1:7" ht="14.4">
      <c r="A15" s="20" t="s">
        <v>204</v>
      </c>
      <c r="B15" s="551">
        <f t="shared" ref="B15:C15" si="1">SUM(B2:B14)</f>
        <v>0</v>
      </c>
      <c r="C15" s="551">
        <f t="shared" si="1"/>
        <v>0</v>
      </c>
      <c r="D15" s="551">
        <f>SUM(D2:D14)</f>
        <v>0</v>
      </c>
      <c r="E15" s="20"/>
      <c r="F15" s="20"/>
      <c r="G15" s="20"/>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codeName="Sheet147">
    <tabColor rgb="FFFFC000"/>
  </sheetPr>
  <dimension ref="A1:F12"/>
  <sheetViews>
    <sheetView workbookViewId="0">
      <selection activeCell="C7" sqref="C7"/>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4214</v>
      </c>
      <c r="C1" s="32" t="s">
        <v>4344</v>
      </c>
      <c r="D1" s="32" t="s">
        <v>2436</v>
      </c>
      <c r="E1" s="32" t="s">
        <v>390</v>
      </c>
      <c r="F1" s="32" t="s">
        <v>4215</v>
      </c>
    </row>
    <row r="2" spans="1:6" ht="14.4">
      <c r="A2" s="603">
        <f>持有待售资产明细表!C2</f>
        <v>0</v>
      </c>
      <c r="B2" s="604">
        <f>持有待售资产明细表!J2</f>
        <v>0</v>
      </c>
      <c r="C2" s="605">
        <f>持有待售资产明细表!K2</f>
        <v>0</v>
      </c>
      <c r="D2" s="298">
        <f>持有待售资产明细表!L2</f>
        <v>0</v>
      </c>
      <c r="E2" s="298">
        <f>持有待售资产明细表!M2</f>
        <v>0</v>
      </c>
      <c r="F2" s="298">
        <f>B2+C2-D2-E2</f>
        <v>0</v>
      </c>
    </row>
    <row r="3" spans="1:6" ht="14.4">
      <c r="A3" s="603">
        <f>持有待售资产明细表!C3</f>
        <v>0</v>
      </c>
      <c r="B3" s="604">
        <f>持有待售资产明细表!J3</f>
        <v>0</v>
      </c>
      <c r="C3" s="605">
        <f>持有待售资产明细表!K3</f>
        <v>0</v>
      </c>
      <c r="D3" s="298">
        <f>持有待售资产明细表!L3</f>
        <v>0</v>
      </c>
      <c r="E3" s="298">
        <f>持有待售资产明细表!M3</f>
        <v>0</v>
      </c>
      <c r="F3" s="298">
        <f>B3+C3-D3-E3</f>
        <v>0</v>
      </c>
    </row>
    <row r="4" spans="1:6" ht="14.4">
      <c r="A4" s="603">
        <f>持有待售资产明细表!C4</f>
        <v>0</v>
      </c>
      <c r="B4" s="604">
        <f>持有待售资产明细表!J4</f>
        <v>0</v>
      </c>
      <c r="C4" s="605">
        <f>持有待售资产明细表!K4</f>
        <v>0</v>
      </c>
      <c r="D4" s="298">
        <f>持有待售资产明细表!L4</f>
        <v>0</v>
      </c>
      <c r="E4" s="298">
        <f>持有待售资产明细表!M4</f>
        <v>0</v>
      </c>
      <c r="F4" s="298">
        <f t="shared" ref="F4:F11" si="0">B4+C4-D4-E4</f>
        <v>0</v>
      </c>
    </row>
    <row r="5" spans="1:6" ht="14.4">
      <c r="A5" s="603">
        <f>持有待售资产明细表!C5</f>
        <v>0</v>
      </c>
      <c r="B5" s="604">
        <f>持有待售资产明细表!J5</f>
        <v>0</v>
      </c>
      <c r="C5" s="605">
        <f>持有待售资产明细表!K5</f>
        <v>0</v>
      </c>
      <c r="D5" s="298">
        <f>持有待售资产明细表!L5</f>
        <v>0</v>
      </c>
      <c r="E5" s="298">
        <f>持有待售资产明细表!M5</f>
        <v>0</v>
      </c>
      <c r="F5" s="298">
        <f t="shared" si="0"/>
        <v>0</v>
      </c>
    </row>
    <row r="6" spans="1:6" ht="14.4">
      <c r="A6" s="603">
        <f>持有待售资产明细表!C6</f>
        <v>0</v>
      </c>
      <c r="B6" s="604">
        <f>持有待售资产明细表!J6</f>
        <v>0</v>
      </c>
      <c r="C6" s="605">
        <f>持有待售资产明细表!K6</f>
        <v>0</v>
      </c>
      <c r="D6" s="298">
        <f>持有待售资产明细表!L6</f>
        <v>0</v>
      </c>
      <c r="E6" s="298">
        <f>持有待售资产明细表!M6</f>
        <v>0</v>
      </c>
      <c r="F6" s="298">
        <f t="shared" si="0"/>
        <v>0</v>
      </c>
    </row>
    <row r="7" spans="1:6" ht="14.4">
      <c r="A7" s="603">
        <f>持有待售资产明细表!C7</f>
        <v>0</v>
      </c>
      <c r="B7" s="604">
        <f>持有待售资产明细表!J7</f>
        <v>0</v>
      </c>
      <c r="C7" s="605">
        <f>持有待售资产明细表!K7</f>
        <v>0</v>
      </c>
      <c r="D7" s="298">
        <f>持有待售资产明细表!L7</f>
        <v>0</v>
      </c>
      <c r="E7" s="298">
        <f>持有待售资产明细表!M7</f>
        <v>0</v>
      </c>
      <c r="F7" s="298">
        <f t="shared" si="0"/>
        <v>0</v>
      </c>
    </row>
    <row r="8" spans="1:6" ht="14.4">
      <c r="A8" s="603">
        <f>持有待售资产明细表!C8</f>
        <v>0</v>
      </c>
      <c r="B8" s="604">
        <f>持有待售资产明细表!J8</f>
        <v>0</v>
      </c>
      <c r="C8" s="605">
        <f>持有待售资产明细表!K8</f>
        <v>0</v>
      </c>
      <c r="D8" s="298">
        <f>持有待售资产明细表!L8</f>
        <v>0</v>
      </c>
      <c r="E8" s="298">
        <f>持有待售资产明细表!M8</f>
        <v>0</v>
      </c>
      <c r="F8" s="298">
        <f t="shared" si="0"/>
        <v>0</v>
      </c>
    </row>
    <row r="9" spans="1:6" ht="14.4">
      <c r="A9" s="603">
        <f>持有待售资产明细表!C9</f>
        <v>0</v>
      </c>
      <c r="B9" s="604">
        <f>持有待售资产明细表!J9</f>
        <v>0</v>
      </c>
      <c r="C9" s="605">
        <f>持有待售资产明细表!K9</f>
        <v>0</v>
      </c>
      <c r="D9" s="298">
        <f>持有待售资产明细表!L9</f>
        <v>0</v>
      </c>
      <c r="E9" s="298">
        <f>持有待售资产明细表!M9</f>
        <v>0</v>
      </c>
      <c r="F9" s="298">
        <f t="shared" si="0"/>
        <v>0</v>
      </c>
    </row>
    <row r="10" spans="1:6" ht="14.4">
      <c r="A10" s="603">
        <f>持有待售资产明细表!C10</f>
        <v>0</v>
      </c>
      <c r="B10" s="604">
        <f>持有待售资产明细表!J10</f>
        <v>0</v>
      </c>
      <c r="C10" s="605">
        <f>持有待售资产明细表!K10</f>
        <v>0</v>
      </c>
      <c r="D10" s="298">
        <f>持有待售资产明细表!L10</f>
        <v>0</v>
      </c>
      <c r="E10" s="298">
        <f>持有待售资产明细表!M10</f>
        <v>0</v>
      </c>
      <c r="F10" s="298">
        <f t="shared" si="0"/>
        <v>0</v>
      </c>
    </row>
    <row r="11" spans="1:6">
      <c r="A11" s="605"/>
      <c r="B11" s="604"/>
      <c r="C11" s="605"/>
      <c r="D11" s="298"/>
      <c r="E11" s="298"/>
      <c r="F11" s="298">
        <f t="shared" si="0"/>
        <v>0</v>
      </c>
    </row>
    <row r="12" spans="1:6" ht="14.4">
      <c r="A12" s="154" t="s">
        <v>204</v>
      </c>
      <c r="B12" s="551">
        <f>B6+B2</f>
        <v>0</v>
      </c>
      <c r="C12" s="551">
        <f t="shared" ref="C12:D12" si="1">C6+C2</f>
        <v>0</v>
      </c>
      <c r="D12" s="551">
        <f t="shared" si="1"/>
        <v>0</v>
      </c>
      <c r="E12" s="154"/>
      <c r="F12" s="154"/>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sheetPr codeName="Sheet148"/>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30" bestFit="1" customWidth="1"/>
    <col min="2" max="2" width="10.6640625" style="230" bestFit="1" customWidth="1"/>
    <col min="3" max="4" width="9.5546875" style="230" bestFit="1" customWidth="1"/>
    <col min="5" max="5" width="13.88671875" style="230" bestFit="1" customWidth="1"/>
    <col min="6" max="6" width="18.33203125" style="230" bestFit="1" customWidth="1"/>
    <col min="7" max="9" width="9.5546875" style="230" bestFit="1" customWidth="1"/>
    <col min="10" max="10" width="13.88671875" style="230" bestFit="1" customWidth="1"/>
    <col min="11" max="13" width="13.88671875" style="230" customWidth="1"/>
    <col min="14" max="15" width="13.88671875" style="230" bestFit="1" customWidth="1"/>
    <col min="16" max="16" width="18.33203125" style="230" bestFit="1" customWidth="1"/>
    <col min="17" max="17" width="16.109375" style="230" bestFit="1" customWidth="1"/>
    <col min="18" max="18" width="13.88671875" style="230" bestFit="1" customWidth="1"/>
    <col min="19" max="19" width="5.5546875" style="230" bestFit="1" customWidth="1"/>
    <col min="20" max="16384" width="8.88671875" style="230"/>
  </cols>
  <sheetData>
    <row r="1" spans="1:19">
      <c r="A1" s="230" t="s">
        <v>2427</v>
      </c>
      <c r="B1" s="230" t="s">
        <v>4333</v>
      </c>
      <c r="C1" s="230" t="s">
        <v>2592</v>
      </c>
      <c r="D1" s="230" t="s">
        <v>4334</v>
      </c>
      <c r="E1" s="230" t="s">
        <v>1842</v>
      </c>
      <c r="F1" s="230" t="s">
        <v>4337</v>
      </c>
      <c r="G1" s="230" t="s">
        <v>391</v>
      </c>
      <c r="H1" s="230" t="s">
        <v>509</v>
      </c>
      <c r="I1" s="230" t="s">
        <v>4266</v>
      </c>
      <c r="J1" s="230" t="s">
        <v>2477</v>
      </c>
      <c r="K1" s="230" t="s">
        <v>389</v>
      </c>
      <c r="L1" s="230" t="s">
        <v>4336</v>
      </c>
      <c r="M1" s="230" t="s">
        <v>480</v>
      </c>
      <c r="N1" s="230" t="s">
        <v>2478</v>
      </c>
      <c r="O1" s="230" t="s">
        <v>2409</v>
      </c>
      <c r="P1" s="230" t="s">
        <v>4340</v>
      </c>
      <c r="Q1" s="521" t="s">
        <v>4341</v>
      </c>
      <c r="R1" s="230" t="s">
        <v>4335</v>
      </c>
      <c r="S1" s="230" t="s">
        <v>470</v>
      </c>
    </row>
    <row r="2" spans="1:19">
      <c r="A2" s="230" t="str">
        <f>IF(OR(I2&gt;0,D2&gt;0),基础信息!$B$1,"")</f>
        <v/>
      </c>
      <c r="B2" s="550"/>
      <c r="C2" s="290"/>
      <c r="D2" s="290"/>
      <c r="E2" s="290"/>
      <c r="F2" s="290"/>
      <c r="G2" s="290"/>
      <c r="H2" s="290"/>
      <c r="I2" s="230">
        <f>D2+G2-H2</f>
        <v>0</v>
      </c>
      <c r="J2" s="290"/>
      <c r="K2" s="290"/>
      <c r="L2" s="290"/>
      <c r="M2" s="290"/>
      <c r="N2" s="230">
        <f>J2+K2-L2-M2</f>
        <v>0</v>
      </c>
      <c r="O2" s="290"/>
      <c r="P2" s="290"/>
      <c r="Q2" s="290"/>
      <c r="R2" s="290"/>
    </row>
    <row r="3" spans="1:19">
      <c r="A3" s="230" t="str">
        <f>IF(OR(I3&gt;0,D3&gt;0),基础信息!$B$1,"")</f>
        <v/>
      </c>
      <c r="B3" s="550"/>
      <c r="C3" s="290"/>
      <c r="D3" s="290"/>
      <c r="E3" s="290"/>
      <c r="F3" s="290"/>
      <c r="G3" s="290"/>
      <c r="H3" s="290"/>
      <c r="I3" s="230">
        <f>D3+G3-H3</f>
        <v>0</v>
      </c>
      <c r="J3" s="290"/>
      <c r="K3" s="290"/>
      <c r="L3" s="290"/>
      <c r="M3" s="290"/>
      <c r="N3" s="230">
        <f t="shared" ref="N3:N25" si="0">J3+K3-L3-M3</f>
        <v>0</v>
      </c>
      <c r="O3" s="290"/>
      <c r="P3" s="290"/>
      <c r="Q3" s="290"/>
      <c r="R3" s="290"/>
    </row>
    <row r="4" spans="1:19">
      <c r="A4" s="230" t="str">
        <f>IF(OR(I4&gt;0,D4&gt;0),基础信息!$B$1,"")</f>
        <v/>
      </c>
      <c r="B4" s="550"/>
      <c r="C4" s="290"/>
      <c r="D4" s="290"/>
      <c r="E4" s="290"/>
      <c r="F4" s="290"/>
      <c r="G4" s="290"/>
      <c r="H4" s="290"/>
      <c r="I4" s="230">
        <f>D4+G4-H4</f>
        <v>0</v>
      </c>
      <c r="J4" s="290"/>
      <c r="K4" s="290"/>
      <c r="L4" s="290"/>
      <c r="M4" s="290"/>
      <c r="N4" s="230">
        <f t="shared" si="0"/>
        <v>0</v>
      </c>
      <c r="O4" s="290"/>
      <c r="P4" s="290"/>
      <c r="Q4" s="290"/>
      <c r="R4" s="290"/>
    </row>
    <row r="5" spans="1:19">
      <c r="A5" s="230" t="str">
        <f>IF(OR(I5&gt;0,D5&gt;0),基础信息!$B$1,"")</f>
        <v/>
      </c>
      <c r="B5" s="550"/>
      <c r="C5" s="290"/>
      <c r="D5" s="290"/>
      <c r="E5" s="290"/>
      <c r="F5" s="290"/>
      <c r="G5" s="290"/>
      <c r="H5" s="290"/>
      <c r="I5" s="230">
        <f t="shared" ref="I5:I25" si="1">D5+G5-H5</f>
        <v>0</v>
      </c>
      <c r="J5" s="290"/>
      <c r="K5" s="290"/>
      <c r="L5" s="290"/>
      <c r="M5" s="290"/>
      <c r="N5" s="230">
        <f t="shared" si="0"/>
        <v>0</v>
      </c>
      <c r="O5" s="290"/>
      <c r="P5" s="290"/>
      <c r="Q5" s="290"/>
      <c r="R5" s="290"/>
    </row>
    <row r="6" spans="1:19">
      <c r="A6" s="230" t="str">
        <f>IF(OR(I6&gt;0,D6&gt;0),基础信息!$B$1,"")</f>
        <v/>
      </c>
      <c r="B6" s="550"/>
      <c r="C6" s="290"/>
      <c r="D6" s="290"/>
      <c r="E6" s="290"/>
      <c r="F6" s="290"/>
      <c r="G6" s="290"/>
      <c r="H6" s="290"/>
      <c r="I6" s="230">
        <f t="shared" si="1"/>
        <v>0</v>
      </c>
      <c r="J6" s="290"/>
      <c r="K6" s="290"/>
      <c r="L6" s="290"/>
      <c r="M6" s="290"/>
      <c r="N6" s="230">
        <f t="shared" si="0"/>
        <v>0</v>
      </c>
      <c r="O6" s="290"/>
      <c r="P6" s="290"/>
      <c r="Q6" s="290"/>
      <c r="R6" s="290"/>
    </row>
    <row r="7" spans="1:19">
      <c r="A7" s="230" t="str">
        <f>IF(OR(I7&gt;0,D7&gt;0),基础信息!$B$1,"")</f>
        <v/>
      </c>
      <c r="B7" s="550"/>
      <c r="C7" s="290"/>
      <c r="D7" s="290"/>
      <c r="E7" s="290"/>
      <c r="F7" s="290"/>
      <c r="G7" s="290"/>
      <c r="H7" s="290"/>
      <c r="I7" s="230">
        <f t="shared" si="1"/>
        <v>0</v>
      </c>
      <c r="J7" s="290"/>
      <c r="K7" s="290"/>
      <c r="L7" s="290"/>
      <c r="M7" s="290"/>
      <c r="N7" s="230">
        <f t="shared" si="0"/>
        <v>0</v>
      </c>
      <c r="O7" s="290"/>
      <c r="P7" s="290"/>
      <c r="Q7" s="290"/>
      <c r="R7" s="290"/>
    </row>
    <row r="8" spans="1:19">
      <c r="A8" s="230" t="str">
        <f>IF(OR(I8&gt;0,D8&gt;0),基础信息!$B$1,"")</f>
        <v/>
      </c>
      <c r="B8" s="550"/>
      <c r="C8" s="290"/>
      <c r="D8" s="290"/>
      <c r="E8" s="290"/>
      <c r="F8" s="290"/>
      <c r="G8" s="290"/>
      <c r="H8" s="290"/>
      <c r="I8" s="230">
        <f t="shared" si="1"/>
        <v>0</v>
      </c>
      <c r="J8" s="290"/>
      <c r="K8" s="290"/>
      <c r="L8" s="290"/>
      <c r="M8" s="290"/>
      <c r="N8" s="230">
        <f t="shared" si="0"/>
        <v>0</v>
      </c>
      <c r="O8" s="290"/>
      <c r="P8" s="290"/>
      <c r="Q8" s="290"/>
      <c r="R8" s="290"/>
    </row>
    <row r="9" spans="1:19">
      <c r="A9" s="230" t="str">
        <f>IF(OR(I9&gt;0,D9&gt;0),基础信息!$B$1,"")</f>
        <v/>
      </c>
      <c r="B9" s="550"/>
      <c r="C9" s="290"/>
      <c r="D9" s="290"/>
      <c r="E9" s="290"/>
      <c r="F9" s="290"/>
      <c r="G9" s="290"/>
      <c r="H9" s="290"/>
      <c r="I9" s="230">
        <f t="shared" si="1"/>
        <v>0</v>
      </c>
      <c r="J9" s="290"/>
      <c r="K9" s="290"/>
      <c r="L9" s="290"/>
      <c r="M9" s="290"/>
      <c r="N9" s="230">
        <f t="shared" si="0"/>
        <v>0</v>
      </c>
      <c r="O9" s="290"/>
      <c r="P9" s="290"/>
      <c r="Q9" s="290"/>
      <c r="R9" s="290"/>
    </row>
    <row r="10" spans="1:19">
      <c r="A10" s="230" t="str">
        <f>IF(OR(I10&gt;0,D10&gt;0),基础信息!$B$1,"")</f>
        <v/>
      </c>
      <c r="B10" s="550"/>
      <c r="C10" s="290"/>
      <c r="D10" s="290"/>
      <c r="E10" s="290"/>
      <c r="F10" s="290"/>
      <c r="G10" s="290"/>
      <c r="H10" s="290"/>
      <c r="I10" s="230">
        <f t="shared" si="1"/>
        <v>0</v>
      </c>
      <c r="J10" s="290"/>
      <c r="K10" s="290"/>
      <c r="L10" s="290"/>
      <c r="M10" s="290"/>
      <c r="N10" s="230">
        <f t="shared" si="0"/>
        <v>0</v>
      </c>
      <c r="O10" s="290"/>
      <c r="P10" s="290"/>
      <c r="Q10" s="290"/>
      <c r="R10" s="290"/>
    </row>
    <row r="11" spans="1:19">
      <c r="A11" s="230" t="str">
        <f>IF(OR(I11&gt;0,D11&gt;0),基础信息!$B$1,"")</f>
        <v/>
      </c>
      <c r="B11" s="550"/>
      <c r="C11" s="290"/>
      <c r="D11" s="290"/>
      <c r="E11" s="290"/>
      <c r="F11" s="290"/>
      <c r="G11" s="290"/>
      <c r="H11" s="290"/>
      <c r="I11" s="230">
        <f t="shared" si="1"/>
        <v>0</v>
      </c>
      <c r="J11" s="290"/>
      <c r="K11" s="290"/>
      <c r="L11" s="290"/>
      <c r="M11" s="290"/>
      <c r="N11" s="230">
        <f t="shared" si="0"/>
        <v>0</v>
      </c>
      <c r="O11" s="290"/>
      <c r="P11" s="290"/>
      <c r="Q11" s="290"/>
      <c r="R11" s="290"/>
    </row>
    <row r="12" spans="1:19">
      <c r="A12" s="230" t="str">
        <f>IF(OR(I12&gt;0,D12&gt;0),基础信息!$B$1,"")</f>
        <v/>
      </c>
      <c r="B12" s="550"/>
      <c r="C12" s="290"/>
      <c r="D12" s="290"/>
      <c r="E12" s="290"/>
      <c r="F12" s="290"/>
      <c r="G12" s="290"/>
      <c r="H12" s="290"/>
      <c r="I12" s="230">
        <f t="shared" si="1"/>
        <v>0</v>
      </c>
      <c r="J12" s="290"/>
      <c r="K12" s="290"/>
      <c r="L12" s="290"/>
      <c r="M12" s="290"/>
      <c r="N12" s="230">
        <f t="shared" si="0"/>
        <v>0</v>
      </c>
      <c r="O12" s="290"/>
      <c r="P12" s="290"/>
      <c r="Q12" s="290"/>
      <c r="R12" s="290"/>
    </row>
    <row r="13" spans="1:19">
      <c r="A13" s="230" t="str">
        <f>IF(OR(I13&gt;0,D13&gt;0),基础信息!$B$1,"")</f>
        <v/>
      </c>
      <c r="B13" s="550"/>
      <c r="C13" s="290"/>
      <c r="D13" s="290"/>
      <c r="E13" s="290"/>
      <c r="F13" s="290"/>
      <c r="G13" s="290"/>
      <c r="H13" s="290"/>
      <c r="I13" s="230">
        <f t="shared" si="1"/>
        <v>0</v>
      </c>
      <c r="J13" s="290"/>
      <c r="K13" s="290"/>
      <c r="L13" s="290"/>
      <c r="M13" s="290"/>
      <c r="N13" s="230">
        <f t="shared" si="0"/>
        <v>0</v>
      </c>
      <c r="O13" s="290"/>
      <c r="P13" s="290"/>
      <c r="Q13" s="290"/>
      <c r="R13" s="290"/>
    </row>
    <row r="14" spans="1:19">
      <c r="A14" s="230" t="str">
        <f>IF(OR(I14&gt;0,D14&gt;0),基础信息!$B$1,"")</f>
        <v/>
      </c>
      <c r="B14" s="550"/>
      <c r="C14" s="290"/>
      <c r="D14" s="290"/>
      <c r="E14" s="290"/>
      <c r="F14" s="290"/>
      <c r="G14" s="290"/>
      <c r="H14" s="290"/>
      <c r="I14" s="230">
        <f t="shared" si="1"/>
        <v>0</v>
      </c>
      <c r="J14" s="290"/>
      <c r="K14" s="290"/>
      <c r="L14" s="290"/>
      <c r="M14" s="290"/>
      <c r="N14" s="230">
        <f t="shared" si="0"/>
        <v>0</v>
      </c>
      <c r="O14" s="290"/>
      <c r="P14" s="290"/>
      <c r="Q14" s="290"/>
      <c r="R14" s="290"/>
    </row>
    <row r="15" spans="1:19">
      <c r="A15" s="230" t="str">
        <f>IF(OR(I15&gt;0,D15&gt;0),基础信息!$B$1,"")</f>
        <v/>
      </c>
      <c r="B15" s="550"/>
      <c r="C15" s="290"/>
      <c r="D15" s="290"/>
      <c r="E15" s="290"/>
      <c r="F15" s="290"/>
      <c r="G15" s="290"/>
      <c r="H15" s="290"/>
      <c r="I15" s="230">
        <f t="shared" si="1"/>
        <v>0</v>
      </c>
      <c r="J15" s="290"/>
      <c r="K15" s="290"/>
      <c r="L15" s="290"/>
      <c r="M15" s="290"/>
      <c r="N15" s="230">
        <f t="shared" si="0"/>
        <v>0</v>
      </c>
      <c r="O15" s="290"/>
      <c r="P15" s="290"/>
      <c r="Q15" s="290"/>
      <c r="R15" s="290"/>
    </row>
    <row r="16" spans="1:19">
      <c r="A16" s="230" t="str">
        <f>IF(OR(I16&gt;0,D16&gt;0),基础信息!$B$1,"")</f>
        <v/>
      </c>
      <c r="B16" s="550"/>
      <c r="C16" s="290"/>
      <c r="D16" s="290"/>
      <c r="E16" s="290"/>
      <c r="F16" s="290"/>
      <c r="G16" s="290"/>
      <c r="H16" s="290"/>
      <c r="I16" s="230">
        <f t="shared" si="1"/>
        <v>0</v>
      </c>
      <c r="J16" s="290"/>
      <c r="K16" s="290"/>
      <c r="L16" s="290"/>
      <c r="M16" s="290"/>
      <c r="N16" s="230">
        <f t="shared" si="0"/>
        <v>0</v>
      </c>
      <c r="O16" s="290"/>
      <c r="P16" s="290"/>
      <c r="Q16" s="290"/>
      <c r="R16" s="290"/>
    </row>
    <row r="17" spans="1:18">
      <c r="A17" s="230" t="str">
        <f>IF(OR(I17&gt;0,D17&gt;0),基础信息!$B$1,"")</f>
        <v/>
      </c>
      <c r="B17" s="550"/>
      <c r="C17" s="290"/>
      <c r="D17" s="290"/>
      <c r="E17" s="290"/>
      <c r="F17" s="290"/>
      <c r="G17" s="290"/>
      <c r="H17" s="290"/>
      <c r="I17" s="230">
        <f t="shared" si="1"/>
        <v>0</v>
      </c>
      <c r="J17" s="290"/>
      <c r="K17" s="290"/>
      <c r="L17" s="290"/>
      <c r="M17" s="290"/>
      <c r="N17" s="230">
        <f t="shared" si="0"/>
        <v>0</v>
      </c>
      <c r="O17" s="290"/>
      <c r="P17" s="290"/>
      <c r="Q17" s="290"/>
      <c r="R17" s="290"/>
    </row>
    <row r="18" spans="1:18">
      <c r="A18" s="230" t="str">
        <f>IF(OR(I18&gt;0,D18&gt;0),基础信息!$B$1,"")</f>
        <v/>
      </c>
      <c r="B18" s="550"/>
      <c r="C18" s="290"/>
      <c r="D18" s="290"/>
      <c r="E18" s="290"/>
      <c r="F18" s="290"/>
      <c r="G18" s="290"/>
      <c r="H18" s="290"/>
      <c r="I18" s="230">
        <f t="shared" si="1"/>
        <v>0</v>
      </c>
      <c r="J18" s="290"/>
      <c r="K18" s="290"/>
      <c r="L18" s="290"/>
      <c r="M18" s="290"/>
      <c r="N18" s="230">
        <f t="shared" si="0"/>
        <v>0</v>
      </c>
      <c r="O18" s="290"/>
      <c r="P18" s="290"/>
      <c r="Q18" s="290"/>
      <c r="R18" s="290"/>
    </row>
    <row r="19" spans="1:18">
      <c r="A19" s="230" t="str">
        <f>IF(OR(I19&gt;0,D19&gt;0),基础信息!$B$1,"")</f>
        <v/>
      </c>
      <c r="B19" s="550"/>
      <c r="C19" s="290"/>
      <c r="D19" s="290"/>
      <c r="E19" s="290"/>
      <c r="F19" s="290"/>
      <c r="G19" s="290"/>
      <c r="H19" s="290"/>
      <c r="I19" s="230">
        <f t="shared" si="1"/>
        <v>0</v>
      </c>
      <c r="J19" s="290"/>
      <c r="K19" s="290"/>
      <c r="L19" s="290"/>
      <c r="M19" s="290"/>
      <c r="N19" s="230">
        <f t="shared" si="0"/>
        <v>0</v>
      </c>
      <c r="O19" s="290"/>
      <c r="P19" s="290"/>
      <c r="Q19" s="290"/>
      <c r="R19" s="290"/>
    </row>
    <row r="20" spans="1:18">
      <c r="A20" s="230" t="str">
        <f>IF(OR(I20&gt;0,D20&gt;0),基础信息!$B$1,"")</f>
        <v/>
      </c>
      <c r="B20" s="550"/>
      <c r="C20" s="290"/>
      <c r="D20" s="290"/>
      <c r="E20" s="290"/>
      <c r="F20" s="290"/>
      <c r="G20" s="290"/>
      <c r="H20" s="290"/>
      <c r="I20" s="230">
        <f t="shared" si="1"/>
        <v>0</v>
      </c>
      <c r="J20" s="290"/>
      <c r="K20" s="290"/>
      <c r="L20" s="290"/>
      <c r="M20" s="290"/>
      <c r="N20" s="230">
        <f t="shared" si="0"/>
        <v>0</v>
      </c>
      <c r="O20" s="290"/>
      <c r="P20" s="290"/>
      <c r="Q20" s="290"/>
      <c r="R20" s="290"/>
    </row>
    <row r="21" spans="1:18">
      <c r="A21" s="230" t="str">
        <f>IF(OR(I21&gt;0,D21&gt;0),基础信息!$B$1,"")</f>
        <v/>
      </c>
      <c r="B21" s="550"/>
      <c r="C21" s="290"/>
      <c r="D21" s="290"/>
      <c r="E21" s="290"/>
      <c r="F21" s="290"/>
      <c r="G21" s="290"/>
      <c r="H21" s="290"/>
      <c r="I21" s="230">
        <f t="shared" si="1"/>
        <v>0</v>
      </c>
      <c r="J21" s="290"/>
      <c r="K21" s="290"/>
      <c r="L21" s="290"/>
      <c r="M21" s="290"/>
      <c r="N21" s="230">
        <f t="shared" si="0"/>
        <v>0</v>
      </c>
      <c r="O21" s="290"/>
      <c r="P21" s="290"/>
      <c r="Q21" s="290"/>
      <c r="R21" s="290"/>
    </row>
    <row r="22" spans="1:18">
      <c r="A22" s="230" t="str">
        <f>IF(OR(I22&gt;0,D22&gt;0),基础信息!$B$1,"")</f>
        <v/>
      </c>
      <c r="B22" s="550"/>
      <c r="C22" s="290"/>
      <c r="D22" s="290"/>
      <c r="E22" s="290"/>
      <c r="F22" s="290"/>
      <c r="G22" s="290"/>
      <c r="H22" s="290"/>
      <c r="I22" s="230">
        <f t="shared" si="1"/>
        <v>0</v>
      </c>
      <c r="J22" s="290"/>
      <c r="K22" s="290"/>
      <c r="L22" s="290"/>
      <c r="M22" s="290"/>
      <c r="N22" s="230">
        <f t="shared" si="0"/>
        <v>0</v>
      </c>
      <c r="O22" s="290"/>
      <c r="P22" s="290"/>
      <c r="Q22" s="290"/>
      <c r="R22" s="290"/>
    </row>
    <row r="23" spans="1:18">
      <c r="A23" s="230" t="str">
        <f>IF(OR(I23&gt;0,D23&gt;0),基础信息!$B$1,"")</f>
        <v/>
      </c>
      <c r="B23" s="550"/>
      <c r="C23" s="290"/>
      <c r="D23" s="290"/>
      <c r="E23" s="290"/>
      <c r="F23" s="290"/>
      <c r="G23" s="290"/>
      <c r="H23" s="290"/>
      <c r="I23" s="230">
        <f t="shared" si="1"/>
        <v>0</v>
      </c>
      <c r="J23" s="290"/>
      <c r="K23" s="290"/>
      <c r="L23" s="290"/>
      <c r="M23" s="290"/>
      <c r="N23" s="230">
        <f t="shared" si="0"/>
        <v>0</v>
      </c>
      <c r="O23" s="290"/>
      <c r="P23" s="290"/>
      <c r="Q23" s="290"/>
      <c r="R23" s="290"/>
    </row>
    <row r="24" spans="1:18">
      <c r="A24" s="230" t="str">
        <f>IF(OR(I24&gt;0,D24&gt;0),基础信息!$B$1,"")</f>
        <v/>
      </c>
      <c r="B24" s="550"/>
      <c r="C24" s="290"/>
      <c r="D24" s="290"/>
      <c r="E24" s="290"/>
      <c r="F24" s="290"/>
      <c r="G24" s="290"/>
      <c r="H24" s="290"/>
      <c r="I24" s="230">
        <f t="shared" si="1"/>
        <v>0</v>
      </c>
      <c r="J24" s="290"/>
      <c r="K24" s="290"/>
      <c r="L24" s="290"/>
      <c r="M24" s="290"/>
      <c r="N24" s="230">
        <f t="shared" si="0"/>
        <v>0</v>
      </c>
      <c r="O24" s="290"/>
      <c r="P24" s="290"/>
      <c r="Q24" s="290"/>
      <c r="R24" s="290"/>
    </row>
    <row r="25" spans="1:18">
      <c r="A25" s="230" t="str">
        <f>IF(OR(I25&gt;0,D25&gt;0),基础信息!$B$1,"")</f>
        <v/>
      </c>
      <c r="B25" s="550"/>
      <c r="C25" s="290"/>
      <c r="D25" s="290"/>
      <c r="E25" s="290"/>
      <c r="F25" s="290"/>
      <c r="G25" s="290"/>
      <c r="H25" s="290"/>
      <c r="I25" s="230">
        <f t="shared" si="1"/>
        <v>0</v>
      </c>
      <c r="J25" s="290"/>
      <c r="K25" s="290"/>
      <c r="L25" s="290"/>
      <c r="M25" s="290"/>
      <c r="N25" s="230">
        <f t="shared" si="0"/>
        <v>0</v>
      </c>
      <c r="O25" s="290"/>
      <c r="P25" s="290"/>
      <c r="Q25" s="290"/>
      <c r="R25" s="290"/>
    </row>
    <row r="26" spans="1:18">
      <c r="B26" s="550"/>
    </row>
    <row r="27" spans="1:18">
      <c r="B27" s="550"/>
    </row>
    <row r="28" spans="1:18">
      <c r="B28" s="550"/>
    </row>
    <row r="29" spans="1:18">
      <c r="B29" s="550"/>
    </row>
    <row r="30" spans="1:18">
      <c r="B30" s="550"/>
    </row>
    <row r="31" spans="1:18">
      <c r="B31" s="550"/>
    </row>
    <row r="32" spans="1:18">
      <c r="B32" s="550"/>
    </row>
    <row r="33" spans="2:2">
      <c r="B33" s="550"/>
    </row>
    <row r="34" spans="2:2">
      <c r="B34" s="550"/>
    </row>
    <row r="35" spans="2:2">
      <c r="B35" s="550"/>
    </row>
    <row r="36" spans="2:2">
      <c r="B36" s="550"/>
    </row>
    <row r="37" spans="2:2">
      <c r="B37" s="550"/>
    </row>
    <row r="38" spans="2:2">
      <c r="B38" s="550"/>
    </row>
    <row r="39" spans="2:2">
      <c r="B39" s="55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codeName="Sheet149">
    <tabColor rgb="FFFFC000"/>
  </sheetPr>
  <dimension ref="A1:C8"/>
  <sheetViews>
    <sheetView workbookViewId="0">
      <selection activeCell="F14" sqref="F14"/>
    </sheetView>
  </sheetViews>
  <sheetFormatPr defaultRowHeight="13.8"/>
  <cols>
    <col min="1" max="1" width="31.44140625" style="18" bestFit="1" customWidth="1"/>
    <col min="2" max="3" width="8.88671875" style="1"/>
    <col min="4" max="16384" width="8.88671875" style="18"/>
  </cols>
  <sheetData>
    <row r="1" spans="1:3" ht="14.4">
      <c r="A1" s="18" t="s">
        <v>28</v>
      </c>
      <c r="B1" s="533" t="s">
        <v>199</v>
      </c>
      <c r="C1" s="533" t="s">
        <v>200</v>
      </c>
    </row>
    <row r="2" spans="1:3">
      <c r="A2" s="277" t="s">
        <v>2258</v>
      </c>
      <c r="B2" s="137">
        <f>ROUND(SUMIF(一年内到期的非流动资产明细表!B:B,A2,一年内到期的非流动资产明细表!E:E),2)</f>
        <v>0</v>
      </c>
      <c r="C2" s="137">
        <f>ROUND(SUMIF(一年内到期的非流动资产明细表!B:B,一年内到期的非流动资产!A2,一年内到期的非流动资产明细表!H:H),2)</f>
        <v>0</v>
      </c>
    </row>
    <row r="3" spans="1:3">
      <c r="A3" s="277" t="s">
        <v>2259</v>
      </c>
      <c r="B3" s="137">
        <f>ROUND(SUMIF(一年内到期的非流动资产明细表!B:B,A3,一年内到期的非流动资产明细表!E:E),2)</f>
        <v>0</v>
      </c>
      <c r="C3" s="137">
        <f>ROUND(SUMIF(一年内到期的非流动资产明细表!B:B,一年内到期的非流动资产!A3,一年内到期的非流动资产明细表!H:H),2)</f>
        <v>0</v>
      </c>
    </row>
    <row r="4" spans="1:3">
      <c r="A4" s="277" t="s">
        <v>2260</v>
      </c>
      <c r="B4" s="137">
        <f>ROUND(SUMIF(一年内到期的非流动资产明细表!B:B,A4,一年内到期的非流动资产明细表!E:E),2)</f>
        <v>0</v>
      </c>
      <c r="C4" s="137">
        <f>ROUND(SUMIF(一年内到期的非流动资产明细表!B:B,一年内到期的非流动资产!A4,一年内到期的非流动资产明细表!H:H),2)</f>
        <v>0</v>
      </c>
    </row>
    <row r="5" spans="1:3">
      <c r="A5" s="277"/>
      <c r="B5" s="137">
        <f>ROUND(SUMIF(一年内到期的非流动资产明细表!B:B,A5,一年内到期的非流动资产明细表!E:E),2)</f>
        <v>0</v>
      </c>
      <c r="C5" s="137">
        <f>ROUND(SUMIF(一年内到期的非流动资产明细表!B:B,一年内到期的非流动资产!A5,一年内到期的非流动资产明细表!H:H),2)</f>
        <v>0</v>
      </c>
    </row>
    <row r="6" spans="1:3">
      <c r="A6" s="277"/>
      <c r="B6" s="137">
        <f>ROUND(SUMIF(一年内到期的非流动资产明细表!B:B,A6,一年内到期的非流动资产明细表!E:E),2)</f>
        <v>0</v>
      </c>
      <c r="C6" s="137">
        <f>ROUND(SUMIF(一年内到期的非流动资产明细表!B:B,一年内到期的非流动资产!A6,一年内到期的非流动资产明细表!H:H),2)</f>
        <v>0</v>
      </c>
    </row>
    <row r="7" spans="1:3">
      <c r="A7" s="277"/>
      <c r="B7" s="137">
        <f>ROUND(SUMIF(一年内到期的非流动资产明细表!B:B,A7,一年内到期的非流动资产明细表!E:E),2)</f>
        <v>0</v>
      </c>
      <c r="C7" s="137">
        <f>ROUND(SUMIF(一年内到期的非流动资产明细表!B:B,一年内到期的非流动资产!A7,一年内到期的非流动资产明细表!H:H),2)</f>
        <v>0</v>
      </c>
    </row>
    <row r="8" spans="1:3">
      <c r="A8" s="18" t="s">
        <v>204</v>
      </c>
      <c r="B8" s="1">
        <f>ROUND(SUM(B2:B7),2)</f>
        <v>0</v>
      </c>
      <c r="C8" s="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sheetPr codeName="Sheet15"/>
  <dimension ref="A1:C60"/>
  <sheetViews>
    <sheetView workbookViewId="0">
      <pane xSplit="1" ySplit="1" topLeftCell="B38" activePane="bottomRight" state="frozen"/>
      <selection pane="topRight" activeCell="B1" sqref="B1"/>
      <selection pane="bottomLeft" activeCell="A2" sqref="A2"/>
      <selection pane="bottomRight" activeCell="F44" sqref="F44"/>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2" t="s">
        <v>1494</v>
      </c>
      <c r="B1" s="106" t="s">
        <v>1442</v>
      </c>
      <c r="C1" s="106" t="s">
        <v>1443</v>
      </c>
    </row>
    <row r="2" spans="1:3">
      <c r="A2" s="18" t="s">
        <v>1276</v>
      </c>
      <c r="B2" s="1"/>
      <c r="C2" s="1"/>
    </row>
    <row r="3" spans="1:3">
      <c r="A3" s="18" t="s">
        <v>1277</v>
      </c>
      <c r="B3" s="1">
        <f>ROUND(现金流量表计算表!K31,2)</f>
        <v>1557301756.55</v>
      </c>
      <c r="C3" s="1"/>
    </row>
    <row r="4" spans="1:3">
      <c r="A4" s="18" t="s">
        <v>1278</v>
      </c>
      <c r="B4" s="1"/>
      <c r="C4" s="1"/>
    </row>
    <row r="5" spans="1:3">
      <c r="A5" s="18" t="s">
        <v>1279</v>
      </c>
      <c r="B5" s="1"/>
      <c r="C5" s="1"/>
    </row>
    <row r="6" spans="1:3">
      <c r="A6" s="18" t="s">
        <v>1280</v>
      </c>
      <c r="B6" s="1"/>
      <c r="C6" s="1"/>
    </row>
    <row r="7" spans="1:3">
      <c r="A7" s="18" t="s">
        <v>1281</v>
      </c>
      <c r="B7" s="1"/>
      <c r="C7" s="1"/>
    </row>
    <row r="8" spans="1:3">
      <c r="A8" s="18" t="s">
        <v>1495</v>
      </c>
      <c r="B8" s="1"/>
      <c r="C8" s="1"/>
    </row>
    <row r="9" spans="1:3">
      <c r="A9" s="18" t="s">
        <v>1282</v>
      </c>
      <c r="B9" s="1"/>
      <c r="C9" s="1"/>
    </row>
    <row r="10" spans="1:3">
      <c r="A10" s="18" t="s">
        <v>1283</v>
      </c>
      <c r="B10" s="1"/>
      <c r="C10" s="1"/>
    </row>
    <row r="11" spans="1:3">
      <c r="A11" s="18" t="s">
        <v>1284</v>
      </c>
      <c r="B11" s="1"/>
      <c r="C11" s="1"/>
    </row>
    <row r="12" spans="1:3">
      <c r="A12" s="18" t="s">
        <v>1285</v>
      </c>
      <c r="B12" s="1"/>
      <c r="C12" s="1"/>
    </row>
    <row r="13" spans="1:3">
      <c r="A13" s="18" t="s">
        <v>1286</v>
      </c>
      <c r="B13" s="1"/>
      <c r="C13" s="1"/>
    </row>
    <row r="14" spans="1:3">
      <c r="A14" s="18" t="s">
        <v>1496</v>
      </c>
      <c r="B14" s="1"/>
      <c r="C14" s="1"/>
    </row>
    <row r="15" spans="1:3">
      <c r="A15" s="18" t="s">
        <v>1287</v>
      </c>
      <c r="B15" s="1">
        <f>ROUND(现金流量表计算表!K41,2)</f>
        <v>0</v>
      </c>
      <c r="C15" s="1"/>
    </row>
    <row r="16" spans="1:3">
      <c r="A16" s="18" t="s">
        <v>1288</v>
      </c>
      <c r="B16" s="1">
        <f>ROUND(现金流量表计算表!K83,2)</f>
        <v>74328000</v>
      </c>
      <c r="C16" s="1"/>
    </row>
    <row r="17" spans="1:3">
      <c r="A17" s="18" t="s">
        <v>1289</v>
      </c>
      <c r="B17" s="629">
        <f>ROUND(SUM(B3:B16),2)</f>
        <v>1631629756.55</v>
      </c>
      <c r="C17" s="15">
        <f>ROUND(SUM(C3:C16),2)</f>
        <v>0</v>
      </c>
    </row>
    <row r="18" spans="1:3">
      <c r="A18" s="18" t="s">
        <v>1290</v>
      </c>
      <c r="B18" s="1">
        <f>ROUND(现金流量表计算表!K130,2)</f>
        <v>1355991048.6099999</v>
      </c>
      <c r="C18" s="1"/>
    </row>
    <row r="19" spans="1:3">
      <c r="A19" s="18" t="s">
        <v>1291</v>
      </c>
      <c r="B19" s="1"/>
      <c r="C19" s="1"/>
    </row>
    <row r="20" spans="1:3">
      <c r="A20" s="18" t="s">
        <v>1292</v>
      </c>
      <c r="B20" s="1"/>
      <c r="C20" s="1"/>
    </row>
    <row r="21" spans="1:3">
      <c r="A21" s="18" t="s">
        <v>1293</v>
      </c>
      <c r="B21" s="1"/>
      <c r="C21" s="1"/>
    </row>
    <row r="22" spans="1:3">
      <c r="A22" s="18" t="s">
        <v>1497</v>
      </c>
      <c r="B22" s="1"/>
      <c r="C22" s="1"/>
    </row>
    <row r="23" spans="1:3">
      <c r="A23" s="18" t="s">
        <v>1294</v>
      </c>
      <c r="B23" s="1"/>
      <c r="C23" s="1"/>
    </row>
    <row r="24" spans="1:3">
      <c r="A24" s="18" t="s">
        <v>1295</v>
      </c>
      <c r="B24" s="1"/>
      <c r="C24" s="1"/>
    </row>
    <row r="25" spans="1:3">
      <c r="A25" s="18" t="s">
        <v>1965</v>
      </c>
      <c r="B25" s="1">
        <f>ROUND(现金流量表计算表!K150,2)</f>
        <v>0</v>
      </c>
      <c r="C25" s="1"/>
    </row>
    <row r="26" spans="1:3">
      <c r="A26" s="18" t="s">
        <v>1967</v>
      </c>
      <c r="B26" s="1">
        <f>ROUND(现金流量表计算表!K171,2)</f>
        <v>0</v>
      </c>
      <c r="C26" s="1"/>
    </row>
    <row r="27" spans="1:3">
      <c r="A27" s="18" t="s">
        <v>1296</v>
      </c>
      <c r="B27" s="1" t="e">
        <f>ROUND(现金流量表计算表!K228,2)</f>
        <v>#N/A</v>
      </c>
      <c r="C27" s="1"/>
    </row>
    <row r="28" spans="1:3">
      <c r="A28" s="18" t="s">
        <v>1297</v>
      </c>
      <c r="B28" s="629" t="e">
        <f>ROUND(SUM(B18:B27),2)</f>
        <v>#N/A</v>
      </c>
      <c r="C28" s="15">
        <f>ROUND(SUM(C18:C27),2)</f>
        <v>0</v>
      </c>
    </row>
    <row r="29" spans="1:3">
      <c r="A29" s="18" t="s">
        <v>743</v>
      </c>
      <c r="B29" s="629" t="e">
        <f>ROUND(B17-B28,2)</f>
        <v>#N/A</v>
      </c>
      <c r="C29" s="15">
        <f>ROUND(C17-C28,2)</f>
        <v>0</v>
      </c>
    </row>
    <row r="30" spans="1:3">
      <c r="A30" s="18" t="s">
        <v>1298</v>
      </c>
      <c r="B30" s="1"/>
      <c r="C30" s="1"/>
    </row>
    <row r="31" spans="1:3">
      <c r="A31" s="18" t="s">
        <v>1299</v>
      </c>
      <c r="B31" s="1">
        <f>ROUND(现金流量表计算表!K238,2)</f>
        <v>0</v>
      </c>
      <c r="C31" s="1"/>
    </row>
    <row r="32" spans="1:3">
      <c r="A32" s="18" t="s">
        <v>1300</v>
      </c>
      <c r="B32" s="1">
        <f>ROUND(现金流量表计算表!K244,2)</f>
        <v>0</v>
      </c>
      <c r="C32" s="1"/>
    </row>
    <row r="33" spans="1:3">
      <c r="A33" s="18" t="s">
        <v>1498</v>
      </c>
      <c r="B33" s="1">
        <f>ROUND(现金流量表计算表!K259,2)</f>
        <v>3131735.07</v>
      </c>
      <c r="C33" s="1"/>
    </row>
    <row r="34" spans="1:3">
      <c r="A34" s="18" t="s">
        <v>1499</v>
      </c>
      <c r="B34" s="1">
        <f>ROUND(现金流量表计算表!K266,2)</f>
        <v>0</v>
      </c>
      <c r="C34" s="1"/>
    </row>
    <row r="35" spans="1:3">
      <c r="A35" s="18" t="s">
        <v>1301</v>
      </c>
      <c r="B35" s="1">
        <f>ROUND(现金流量表计算表!K273,2)</f>
        <v>0</v>
      </c>
      <c r="C35" s="1"/>
    </row>
    <row r="36" spans="1:3">
      <c r="A36" s="18" t="s">
        <v>1302</v>
      </c>
      <c r="B36" s="629">
        <f>ROUND(SUM(B31:B35),2)</f>
        <v>3131735.07</v>
      </c>
      <c r="C36" s="15">
        <f>ROUND(SUM(C31:C35),2)</f>
        <v>0</v>
      </c>
    </row>
    <row r="37" spans="1:3">
      <c r="A37" s="18" t="s">
        <v>1500</v>
      </c>
      <c r="B37" s="1" t="e">
        <f>ROUND(现金流量表计算表!K296,2)</f>
        <v>#N/A</v>
      </c>
      <c r="C37" s="1"/>
    </row>
    <row r="38" spans="1:3">
      <c r="A38" s="18" t="s">
        <v>1303</v>
      </c>
      <c r="B38" s="1">
        <f>ROUND(现金流量表计算表!K311,2)</f>
        <v>0</v>
      </c>
      <c r="C38" s="1"/>
    </row>
    <row r="39" spans="1:3">
      <c r="A39" s="18" t="s">
        <v>1304</v>
      </c>
      <c r="B39" s="1"/>
      <c r="C39" s="1"/>
    </row>
    <row r="40" spans="1:3">
      <c r="A40" s="18" t="s">
        <v>1305</v>
      </c>
      <c r="B40" s="1">
        <f>ROUND(现金流量表计算表!K317,2)</f>
        <v>0</v>
      </c>
      <c r="C40" s="1"/>
    </row>
    <row r="41" spans="1:3">
      <c r="A41" s="18" t="s">
        <v>1306</v>
      </c>
      <c r="B41" s="1">
        <f>ROUND(现金流量表计算表!K325,2)</f>
        <v>0</v>
      </c>
      <c r="C41" s="1"/>
    </row>
    <row r="42" spans="1:3">
      <c r="A42" s="18" t="s">
        <v>1307</v>
      </c>
      <c r="B42" s="629" t="e">
        <f>ROUND(SUM(B37:B41),2)</f>
        <v>#N/A</v>
      </c>
      <c r="C42" s="15">
        <f>ROUND(SUM(C37:C41),2)</f>
        <v>0</v>
      </c>
    </row>
    <row r="43" spans="1:3">
      <c r="A43" s="18" t="s">
        <v>1501</v>
      </c>
      <c r="B43" s="629" t="e">
        <f>ROUND(B36-B42,2)</f>
        <v>#N/A</v>
      </c>
      <c r="C43" s="15">
        <f>ROUND(C36-C42,2)</f>
        <v>0</v>
      </c>
    </row>
    <row r="44" spans="1:3">
      <c r="A44" s="18" t="s">
        <v>1308</v>
      </c>
      <c r="B44" s="1"/>
      <c r="C44" s="1"/>
    </row>
    <row r="45" spans="1:3">
      <c r="A45" s="18" t="s">
        <v>1309</v>
      </c>
      <c r="B45" s="1">
        <f>ROUND(现金流量表计算表!K332,2)</f>
        <v>0</v>
      </c>
      <c r="C45" s="1"/>
    </row>
    <row r="46" spans="1:3">
      <c r="A46" s="18" t="s">
        <v>1310</v>
      </c>
      <c r="B46" s="1"/>
      <c r="C46" s="1"/>
    </row>
    <row r="47" spans="1:3">
      <c r="A47" s="18" t="s">
        <v>1311</v>
      </c>
      <c r="B47" s="1">
        <f>ROUND(现金流量表计算表!K340,2)</f>
        <v>0</v>
      </c>
      <c r="C47" s="1"/>
    </row>
    <row r="48" spans="1:3">
      <c r="A48" s="18" t="s">
        <v>1312</v>
      </c>
      <c r="B48" s="1"/>
      <c r="C48" s="1"/>
    </row>
    <row r="49" spans="1:3">
      <c r="A49" s="18" t="s">
        <v>1313</v>
      </c>
      <c r="B49" s="1">
        <f>ROUND(现金流量表计算表!K346,2)</f>
        <v>0</v>
      </c>
      <c r="C49" s="1"/>
    </row>
    <row r="50" spans="1:3">
      <c r="A50" s="18" t="s">
        <v>1314</v>
      </c>
      <c r="B50" s="629">
        <f>ROUND(SUM(B47:B49,B45),2)</f>
        <v>0</v>
      </c>
      <c r="C50" s="15">
        <f>ROUND(SUM(C47:C49,C45),2)</f>
        <v>0</v>
      </c>
    </row>
    <row r="51" spans="1:3">
      <c r="A51" s="18" t="s">
        <v>1315</v>
      </c>
      <c r="B51" s="1">
        <f>ROUND(现金流量表计算表!K357,2)</f>
        <v>0</v>
      </c>
      <c r="C51" s="1"/>
    </row>
    <row r="52" spans="1:3">
      <c r="A52" s="18" t="s">
        <v>1316</v>
      </c>
      <c r="B52" s="1">
        <f>ROUND(现金流量表计算表!K365,2)</f>
        <v>0</v>
      </c>
      <c r="C52" s="1"/>
    </row>
    <row r="53" spans="1:3">
      <c r="A53" s="18" t="s">
        <v>1317</v>
      </c>
      <c r="B53" s="1"/>
      <c r="C53" s="1"/>
    </row>
    <row r="54" spans="1:3">
      <c r="A54" s="18" t="s">
        <v>1318</v>
      </c>
      <c r="B54" s="1">
        <f>ROUND(现金流量表计算表!K373,2)</f>
        <v>0</v>
      </c>
      <c r="C54" s="1"/>
    </row>
    <row r="55" spans="1:3">
      <c r="A55" s="18" t="s">
        <v>1319</v>
      </c>
      <c r="B55" s="629">
        <f>ROUND(SUM(B51:B52,B54),2)</f>
        <v>0</v>
      </c>
      <c r="C55" s="15">
        <f>ROUND(SUM(C51:C52,C54),2)</f>
        <v>0</v>
      </c>
    </row>
    <row r="56" spans="1:3">
      <c r="A56" s="18" t="s">
        <v>1502</v>
      </c>
      <c r="B56" s="629">
        <f>ROUND(B50-B55,2)</f>
        <v>0</v>
      </c>
      <c r="C56" s="15">
        <f>ROUND(C50-C55,2)</f>
        <v>0</v>
      </c>
    </row>
    <row r="57" spans="1:3">
      <c r="A57" s="18" t="s">
        <v>1320</v>
      </c>
      <c r="B57" s="1"/>
      <c r="C57" s="1"/>
    </row>
    <row r="58" spans="1:3">
      <c r="A58" s="18" t="s">
        <v>1321</v>
      </c>
      <c r="B58" s="629" t="e">
        <f>ROUND(B57+B56+B43+B29,2)</f>
        <v>#N/A</v>
      </c>
      <c r="C58" s="15">
        <f>ROUND(C57+C56+C43+C29,2)</f>
        <v>0</v>
      </c>
    </row>
    <row r="59" spans="1:3">
      <c r="A59" s="18" t="s">
        <v>1322</v>
      </c>
      <c r="B59" s="1">
        <f>ROUND(C60,2)</f>
        <v>0</v>
      </c>
      <c r="C59" s="1"/>
    </row>
    <row r="60" spans="1:3">
      <c r="A60" s="18" t="s">
        <v>1323</v>
      </c>
      <c r="B60" s="629" t="e">
        <f>ROUND(B58+B59,2)</f>
        <v>#N/A</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sheetPr codeName="Sheet150"/>
  <dimension ref="A1:I16"/>
  <sheetViews>
    <sheetView workbookViewId="0">
      <selection activeCell="Q13" sqref="Q13"/>
    </sheetView>
  </sheetViews>
  <sheetFormatPr defaultRowHeight="13.8"/>
  <cols>
    <col min="2" max="9" width="8.88671875" style="230"/>
  </cols>
  <sheetData>
    <row r="1" spans="1:8">
      <c r="A1" s="230" t="s">
        <v>2427</v>
      </c>
      <c r="B1" s="230" t="s">
        <v>4345</v>
      </c>
      <c r="C1" s="230" t="s">
        <v>258</v>
      </c>
      <c r="D1" s="230" t="s">
        <v>4346</v>
      </c>
      <c r="E1" s="230" t="s">
        <v>349</v>
      </c>
      <c r="F1" s="230" t="s">
        <v>260</v>
      </c>
      <c r="G1" s="230" t="s">
        <v>4347</v>
      </c>
      <c r="H1" s="230" t="s">
        <v>351</v>
      </c>
    </row>
    <row r="2" spans="1:8">
      <c r="A2" s="230" t="str">
        <f>IF(OR(I2&gt;0,D2&gt;0),基础信息!$B$1,"")</f>
        <v/>
      </c>
      <c r="B2" s="550"/>
      <c r="C2" s="290"/>
      <c r="D2" s="290"/>
      <c r="E2" s="230">
        <f>C2-D2</f>
        <v>0</v>
      </c>
      <c r="F2" s="290"/>
      <c r="G2" s="290"/>
      <c r="H2" s="230">
        <f>F2-G2</f>
        <v>0</v>
      </c>
    </row>
    <row r="3" spans="1:8">
      <c r="A3" s="230" t="str">
        <f>IF(OR(I3&gt;0,D3&gt;0),基础信息!$B$1,"")</f>
        <v/>
      </c>
      <c r="B3" s="550"/>
      <c r="C3" s="290"/>
      <c r="D3" s="290"/>
      <c r="E3" s="230">
        <f t="shared" ref="E3:E16" si="0">C3-D3</f>
        <v>0</v>
      </c>
      <c r="F3" s="290"/>
      <c r="G3" s="290"/>
      <c r="H3" s="230">
        <f t="shared" ref="H3:H16" si="1">F3-G3</f>
        <v>0</v>
      </c>
    </row>
    <row r="4" spans="1:8">
      <c r="A4" s="230" t="str">
        <f>IF(OR(I4&gt;0,D4&gt;0),基础信息!$B$1,"")</f>
        <v/>
      </c>
      <c r="B4" s="550"/>
      <c r="C4" s="290"/>
      <c r="D4" s="290"/>
      <c r="E4" s="230">
        <f t="shared" si="0"/>
        <v>0</v>
      </c>
      <c r="F4" s="290"/>
      <c r="G4" s="290"/>
      <c r="H4" s="230">
        <f t="shared" si="1"/>
        <v>0</v>
      </c>
    </row>
    <row r="5" spans="1:8">
      <c r="A5" s="230" t="str">
        <f>IF(OR(I5&gt;0,D5&gt;0),基础信息!$B$1,"")</f>
        <v/>
      </c>
      <c r="B5" s="550"/>
      <c r="C5" s="290"/>
      <c r="D5" s="290"/>
      <c r="E5" s="230">
        <f t="shared" si="0"/>
        <v>0</v>
      </c>
      <c r="F5" s="290"/>
      <c r="G5" s="290"/>
      <c r="H5" s="230">
        <f t="shared" si="1"/>
        <v>0</v>
      </c>
    </row>
    <row r="6" spans="1:8">
      <c r="A6" s="230" t="str">
        <f>IF(OR(I6&gt;0,D6&gt;0),基础信息!$B$1,"")</f>
        <v/>
      </c>
      <c r="B6" s="550"/>
      <c r="C6" s="290"/>
      <c r="D6" s="290"/>
      <c r="E6" s="230">
        <f t="shared" si="0"/>
        <v>0</v>
      </c>
      <c r="F6" s="290"/>
      <c r="G6" s="290"/>
      <c r="H6" s="230">
        <f t="shared" si="1"/>
        <v>0</v>
      </c>
    </row>
    <row r="7" spans="1:8">
      <c r="A7" s="230" t="str">
        <f>IF(OR(I7&gt;0,D7&gt;0),基础信息!$B$1,"")</f>
        <v/>
      </c>
      <c r="B7" s="550"/>
      <c r="C7" s="290"/>
      <c r="D7" s="290"/>
      <c r="E7" s="230">
        <f t="shared" si="0"/>
        <v>0</v>
      </c>
      <c r="F7" s="290"/>
      <c r="G7" s="290"/>
      <c r="H7" s="230">
        <f t="shared" si="1"/>
        <v>0</v>
      </c>
    </row>
    <row r="8" spans="1:8">
      <c r="A8" s="230" t="str">
        <f>IF(OR(I8&gt;0,D8&gt;0),基础信息!$B$1,"")</f>
        <v/>
      </c>
      <c r="B8" s="550"/>
      <c r="C8" s="290"/>
      <c r="D8" s="290"/>
      <c r="E8" s="230">
        <f t="shared" si="0"/>
        <v>0</v>
      </c>
      <c r="F8" s="290"/>
      <c r="G8" s="290"/>
      <c r="H8" s="230">
        <f t="shared" si="1"/>
        <v>0</v>
      </c>
    </row>
    <row r="9" spans="1:8">
      <c r="A9" s="230" t="str">
        <f>IF(OR(I9&gt;0,D9&gt;0),基础信息!$B$1,"")</f>
        <v/>
      </c>
      <c r="B9" s="550"/>
      <c r="C9" s="290"/>
      <c r="D9" s="290"/>
      <c r="E9" s="230">
        <f t="shared" si="0"/>
        <v>0</v>
      </c>
      <c r="F9" s="290"/>
      <c r="G9" s="290"/>
      <c r="H9" s="230">
        <f t="shared" si="1"/>
        <v>0</v>
      </c>
    </row>
    <row r="10" spans="1:8">
      <c r="A10" s="230" t="str">
        <f>IF(OR(I10&gt;0,D10&gt;0),基础信息!$B$1,"")</f>
        <v/>
      </c>
      <c r="B10" s="550"/>
      <c r="C10" s="290"/>
      <c r="D10" s="290"/>
      <c r="E10" s="230">
        <f t="shared" si="0"/>
        <v>0</v>
      </c>
      <c r="F10" s="290"/>
      <c r="G10" s="290"/>
      <c r="H10" s="230">
        <f t="shared" si="1"/>
        <v>0</v>
      </c>
    </row>
    <row r="11" spans="1:8">
      <c r="A11" s="230" t="str">
        <f>IF(OR(I11&gt;0,D11&gt;0),基础信息!$B$1,"")</f>
        <v/>
      </c>
      <c r="B11" s="550"/>
      <c r="C11" s="290"/>
      <c r="D11" s="290"/>
      <c r="E11" s="230">
        <f t="shared" si="0"/>
        <v>0</v>
      </c>
      <c r="F11" s="290"/>
      <c r="G11" s="290"/>
      <c r="H11" s="230">
        <f t="shared" si="1"/>
        <v>0</v>
      </c>
    </row>
    <row r="12" spans="1:8">
      <c r="A12" s="230" t="str">
        <f>IF(OR(I12&gt;0,D12&gt;0),基础信息!$B$1,"")</f>
        <v/>
      </c>
      <c r="B12" s="550"/>
      <c r="C12" s="290"/>
      <c r="D12" s="290"/>
      <c r="E12" s="230">
        <f t="shared" si="0"/>
        <v>0</v>
      </c>
      <c r="F12" s="290"/>
      <c r="G12" s="290"/>
      <c r="H12" s="230">
        <f t="shared" si="1"/>
        <v>0</v>
      </c>
    </row>
    <row r="13" spans="1:8">
      <c r="A13" s="230" t="str">
        <f>IF(OR(I13&gt;0,D13&gt;0),基础信息!$B$1,"")</f>
        <v/>
      </c>
      <c r="B13" s="550"/>
      <c r="C13" s="290"/>
      <c r="D13" s="290"/>
      <c r="E13" s="230">
        <f t="shared" si="0"/>
        <v>0</v>
      </c>
      <c r="F13" s="290"/>
      <c r="G13" s="290"/>
      <c r="H13" s="230">
        <f t="shared" si="1"/>
        <v>0</v>
      </c>
    </row>
    <row r="14" spans="1:8">
      <c r="A14" s="230" t="str">
        <f>IF(OR(I14&gt;0,D14&gt;0),基础信息!$B$1,"")</f>
        <v/>
      </c>
      <c r="B14" s="550"/>
      <c r="C14" s="290"/>
      <c r="D14" s="290"/>
      <c r="E14" s="230">
        <f t="shared" si="0"/>
        <v>0</v>
      </c>
      <c r="F14" s="290"/>
      <c r="G14" s="290"/>
      <c r="H14" s="230">
        <f t="shared" si="1"/>
        <v>0</v>
      </c>
    </row>
    <row r="15" spans="1:8">
      <c r="A15" s="230" t="str">
        <f>IF(OR(I15&gt;0,D15&gt;0),基础信息!$B$1,"")</f>
        <v/>
      </c>
      <c r="B15" s="550"/>
      <c r="C15" s="290"/>
      <c r="D15" s="290"/>
      <c r="E15" s="230">
        <f t="shared" si="0"/>
        <v>0</v>
      </c>
      <c r="F15" s="290"/>
      <c r="G15" s="290"/>
      <c r="H15" s="230">
        <f t="shared" si="1"/>
        <v>0</v>
      </c>
    </row>
    <row r="16" spans="1:8">
      <c r="A16" s="230" t="str">
        <f>IF(OR(I16&gt;0,D16&gt;0),基础信息!$B$1,"")</f>
        <v/>
      </c>
      <c r="B16" s="550"/>
      <c r="C16" s="290"/>
      <c r="D16" s="290"/>
      <c r="E16" s="230">
        <f t="shared" si="0"/>
        <v>0</v>
      </c>
      <c r="F16" s="290"/>
      <c r="G16" s="290"/>
      <c r="H16"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codeName="Sheet151">
    <tabColor rgb="FFFFC000"/>
  </sheetPr>
  <dimension ref="A1:C9"/>
  <sheetViews>
    <sheetView workbookViewId="0">
      <selection activeCell="G14" sqref="G14"/>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7" t="s">
        <v>2252</v>
      </c>
      <c r="B2" s="1">
        <f>ROUND(SUMIF(其他流动资产明细表!B:B,A2,其他流动资产明细表!E:E),2)</f>
        <v>0</v>
      </c>
      <c r="C2" s="1">
        <f>ROUND(SUMIF(其他流动资产明细表!B:B,A2,其他流动资产明细表!H:H),2)</f>
        <v>0</v>
      </c>
    </row>
    <row r="3" spans="1:3">
      <c r="A3" s="277" t="s">
        <v>2255</v>
      </c>
      <c r="B3" s="1">
        <f>ROUND(SUMIF(其他流动资产明细表!B:B,A3,其他流动资产明细表!E:E),2)</f>
        <v>0</v>
      </c>
      <c r="C3" s="1">
        <f>ROUND(SUMIF(其他流动资产明细表!B:B,A3,其他流动资产明细表!H:H),2)</f>
        <v>0</v>
      </c>
    </row>
    <row r="4" spans="1:3">
      <c r="A4" s="277" t="s">
        <v>2256</v>
      </c>
      <c r="B4" s="1">
        <f>ROUND(SUMIF(其他流动资产明细表!B:B,A4,其他流动资产明细表!E:E),2)</f>
        <v>0</v>
      </c>
      <c r="C4" s="1">
        <f>ROUND(SUMIF(其他流动资产明细表!B:B,A4,其他流动资产明细表!H:H),2)</f>
        <v>0</v>
      </c>
    </row>
    <row r="5" spans="1:3">
      <c r="A5" s="277"/>
      <c r="B5" s="1">
        <f>ROUND(SUMIF(其他流动资产明细表!B:B,A5,其他流动资产明细表!E:E),2)</f>
        <v>0</v>
      </c>
      <c r="C5" s="1">
        <f>ROUND(SUMIF(其他流动资产明细表!B:B,A5,其他流动资产明细表!H:H),2)</f>
        <v>0</v>
      </c>
    </row>
    <row r="6" spans="1:3">
      <c r="A6" s="277"/>
      <c r="B6" s="1">
        <f>ROUND(SUMIF(其他流动资产明细表!B:B,A6,其他流动资产明细表!E:E),2)</f>
        <v>0</v>
      </c>
      <c r="C6" s="1">
        <f>ROUND(SUMIF(其他流动资产明细表!B:B,A6,其他流动资产明细表!H:H),2)</f>
        <v>0</v>
      </c>
    </row>
    <row r="7" spans="1:3">
      <c r="A7" s="277"/>
      <c r="B7" s="1">
        <f>ROUND(SUMIF(其他流动资产明细表!B:B,A7,其他流动资产明细表!E:E),2)</f>
        <v>0</v>
      </c>
      <c r="C7" s="1">
        <f>ROUND(SUMIF(其他流动资产明细表!B:B,A7,其他流动资产明细表!H:H),2)</f>
        <v>0</v>
      </c>
    </row>
    <row r="8" spans="1:3">
      <c r="A8" s="277"/>
      <c r="B8" s="1">
        <f>ROUND(SUMIF(其他流动资产明细表!B:B,A8,其他流动资产明细表!E:E),2)</f>
        <v>0</v>
      </c>
      <c r="C8" s="1">
        <f>ROUND(SUMIF(其他流动资产明细表!B:B,A8,其他流动资产明细表!H:H),2)</f>
        <v>0</v>
      </c>
    </row>
    <row r="9" spans="1:3">
      <c r="A9" s="18" t="s">
        <v>204</v>
      </c>
      <c r="B9" s="1">
        <f>ROUND(SUM(B2:B8),2)</f>
        <v>0</v>
      </c>
      <c r="C9" s="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sheetPr codeName="Sheet152"/>
  <dimension ref="A1:I16"/>
  <sheetViews>
    <sheetView workbookViewId="0">
      <selection activeCell="H12" sqref="H12"/>
    </sheetView>
  </sheetViews>
  <sheetFormatPr defaultRowHeight="13.8"/>
  <cols>
    <col min="1" max="1" width="10.6640625" style="230" bestFit="1" customWidth="1"/>
    <col min="2" max="8" width="9.5546875" style="230" bestFit="1" customWidth="1"/>
    <col min="9" max="9" width="8.88671875" style="230"/>
  </cols>
  <sheetData>
    <row r="1" spans="1:8">
      <c r="A1" s="230" t="s">
        <v>2427</v>
      </c>
      <c r="B1" s="230" t="s">
        <v>4345</v>
      </c>
      <c r="C1" s="230" t="s">
        <v>258</v>
      </c>
      <c r="D1" s="230" t="s">
        <v>4346</v>
      </c>
      <c r="E1" s="230" t="s">
        <v>349</v>
      </c>
      <c r="F1" s="230" t="s">
        <v>260</v>
      </c>
      <c r="G1" s="230" t="s">
        <v>4347</v>
      </c>
      <c r="H1" s="230" t="s">
        <v>351</v>
      </c>
    </row>
    <row r="2" spans="1:8">
      <c r="A2" s="230" t="str">
        <f>IF(OR(C2&gt;0,F2&gt;0),基础信息!$B$1,"")</f>
        <v/>
      </c>
      <c r="B2" s="550"/>
      <c r="C2" s="290"/>
      <c r="D2" s="290"/>
      <c r="E2" s="230">
        <f>C2-D2</f>
        <v>0</v>
      </c>
      <c r="F2" s="290"/>
      <c r="G2" s="290"/>
      <c r="H2" s="230">
        <f>F2-G2</f>
        <v>0</v>
      </c>
    </row>
    <row r="3" spans="1:8">
      <c r="A3" s="230" t="str">
        <f>IF(OR(C3&gt;0,F3&gt;0),基础信息!$B$1,"")</f>
        <v/>
      </c>
      <c r="B3" s="550"/>
      <c r="C3" s="290"/>
      <c r="D3" s="290"/>
      <c r="E3" s="230">
        <f t="shared" ref="E3:E16" si="0">C3-D3</f>
        <v>0</v>
      </c>
      <c r="F3" s="290"/>
      <c r="G3" s="290"/>
      <c r="H3" s="230">
        <f t="shared" ref="H3:H16" si="1">F3-G3</f>
        <v>0</v>
      </c>
    </row>
    <row r="4" spans="1:8">
      <c r="A4" s="230" t="str">
        <f>IF(OR(C4&gt;0,F4&gt;0),基础信息!$B$1,"")</f>
        <v/>
      </c>
      <c r="B4" s="550"/>
      <c r="C4" s="290"/>
      <c r="D4" s="290"/>
      <c r="E4" s="230">
        <f t="shared" si="0"/>
        <v>0</v>
      </c>
      <c r="F4" s="290"/>
      <c r="G4" s="290"/>
      <c r="H4" s="230">
        <f t="shared" si="1"/>
        <v>0</v>
      </c>
    </row>
    <row r="5" spans="1:8">
      <c r="A5" s="230" t="str">
        <f>IF(OR(C5&gt;0,F5&gt;0),基础信息!$B$1,"")</f>
        <v/>
      </c>
      <c r="B5" s="550"/>
      <c r="C5" s="290"/>
      <c r="D5" s="290"/>
      <c r="E5" s="230">
        <f t="shared" si="0"/>
        <v>0</v>
      </c>
      <c r="F5" s="290"/>
      <c r="G5" s="290"/>
      <c r="H5" s="230">
        <f t="shared" si="1"/>
        <v>0</v>
      </c>
    </row>
    <row r="6" spans="1:8">
      <c r="A6" s="230" t="str">
        <f>IF(OR(C6&gt;0,F6&gt;0),基础信息!$B$1,"")</f>
        <v/>
      </c>
      <c r="B6" s="550"/>
      <c r="C6" s="290"/>
      <c r="D6" s="290"/>
      <c r="E6" s="230">
        <f t="shared" si="0"/>
        <v>0</v>
      </c>
      <c r="F6" s="290"/>
      <c r="G6" s="290"/>
      <c r="H6" s="230">
        <f t="shared" si="1"/>
        <v>0</v>
      </c>
    </row>
    <row r="7" spans="1:8">
      <c r="A7" s="230" t="str">
        <f>IF(OR(C7&gt;0,F7&gt;0),基础信息!$B$1,"")</f>
        <v/>
      </c>
      <c r="B7" s="550"/>
      <c r="C7" s="290"/>
      <c r="D7" s="290"/>
      <c r="E7" s="230">
        <f t="shared" si="0"/>
        <v>0</v>
      </c>
      <c r="F7" s="290"/>
      <c r="G7" s="290"/>
      <c r="H7" s="230">
        <f t="shared" si="1"/>
        <v>0</v>
      </c>
    </row>
    <row r="8" spans="1:8">
      <c r="A8" s="230" t="str">
        <f>IF(OR(C8&gt;0,F8&gt;0),基础信息!$B$1,"")</f>
        <v/>
      </c>
      <c r="B8" s="550"/>
      <c r="C8" s="290"/>
      <c r="D8" s="290"/>
      <c r="E8" s="230">
        <f t="shared" si="0"/>
        <v>0</v>
      </c>
      <c r="F8" s="290"/>
      <c r="G8" s="290"/>
      <c r="H8" s="230">
        <f t="shared" si="1"/>
        <v>0</v>
      </c>
    </row>
    <row r="9" spans="1:8">
      <c r="A9" s="230" t="str">
        <f>IF(OR(C9&gt;0,F9&gt;0),基础信息!$B$1,"")</f>
        <v/>
      </c>
      <c r="B9" s="550"/>
      <c r="C9" s="290"/>
      <c r="D9" s="290"/>
      <c r="E9" s="230">
        <f t="shared" si="0"/>
        <v>0</v>
      </c>
      <c r="F9" s="290"/>
      <c r="G9" s="290"/>
      <c r="H9" s="230">
        <f t="shared" si="1"/>
        <v>0</v>
      </c>
    </row>
    <row r="10" spans="1:8">
      <c r="A10" s="230" t="str">
        <f>IF(OR(C10&gt;0,F10&gt;0),基础信息!$B$1,"")</f>
        <v/>
      </c>
      <c r="B10" s="550"/>
      <c r="C10" s="290"/>
      <c r="D10" s="290"/>
      <c r="E10" s="230">
        <f t="shared" si="0"/>
        <v>0</v>
      </c>
      <c r="F10" s="290"/>
      <c r="G10" s="290"/>
      <c r="H10" s="230">
        <f t="shared" si="1"/>
        <v>0</v>
      </c>
    </row>
    <row r="11" spans="1:8">
      <c r="A11" s="230" t="str">
        <f>IF(OR(C11&gt;0,F11&gt;0),基础信息!$B$1,"")</f>
        <v/>
      </c>
      <c r="B11" s="550"/>
      <c r="C11" s="290"/>
      <c r="D11" s="290"/>
      <c r="E11" s="230">
        <f t="shared" si="0"/>
        <v>0</v>
      </c>
      <c r="F11" s="290"/>
      <c r="G11" s="290"/>
      <c r="H11" s="230">
        <f t="shared" si="1"/>
        <v>0</v>
      </c>
    </row>
    <row r="12" spans="1:8">
      <c r="A12" s="230" t="str">
        <f>IF(OR(C12&gt;0,F12&gt;0),基础信息!$B$1,"")</f>
        <v/>
      </c>
      <c r="B12" s="550"/>
      <c r="C12" s="290"/>
      <c r="D12" s="290"/>
      <c r="E12" s="230">
        <f t="shared" si="0"/>
        <v>0</v>
      </c>
      <c r="F12" s="290"/>
      <c r="G12" s="290"/>
      <c r="H12" s="230">
        <f t="shared" si="1"/>
        <v>0</v>
      </c>
    </row>
    <row r="13" spans="1:8">
      <c r="A13" s="230" t="str">
        <f>IF(OR(C13&gt;0,F13&gt;0),基础信息!$B$1,"")</f>
        <v/>
      </c>
      <c r="B13" s="550"/>
      <c r="C13" s="290"/>
      <c r="D13" s="290"/>
      <c r="E13" s="230">
        <f t="shared" si="0"/>
        <v>0</v>
      </c>
      <c r="F13" s="290"/>
      <c r="G13" s="290"/>
      <c r="H13" s="230">
        <f t="shared" si="1"/>
        <v>0</v>
      </c>
    </row>
    <row r="14" spans="1:8">
      <c r="A14" s="230" t="str">
        <f>IF(OR(C14&gt;0,F14&gt;0),基础信息!$B$1,"")</f>
        <v/>
      </c>
      <c r="B14" s="550"/>
      <c r="C14" s="290"/>
      <c r="D14" s="290"/>
      <c r="E14" s="230">
        <f t="shared" si="0"/>
        <v>0</v>
      </c>
      <c r="F14" s="290"/>
      <c r="G14" s="290"/>
      <c r="H14" s="230">
        <f t="shared" si="1"/>
        <v>0</v>
      </c>
    </row>
    <row r="15" spans="1:8">
      <c r="A15" s="230" t="str">
        <f>IF(OR(C15&gt;0,F15&gt;0),基础信息!$B$1,"")</f>
        <v/>
      </c>
      <c r="B15" s="550"/>
      <c r="C15" s="290"/>
      <c r="D15" s="290"/>
      <c r="E15" s="230">
        <f t="shared" si="0"/>
        <v>0</v>
      </c>
      <c r="F15" s="290"/>
      <c r="G15" s="290"/>
      <c r="H15" s="230">
        <f t="shared" si="1"/>
        <v>0</v>
      </c>
    </row>
    <row r="16" spans="1:8">
      <c r="A16" s="230" t="str">
        <f>IF(OR(C16&gt;0,F16&gt;0),基础信息!$B$1,"")</f>
        <v/>
      </c>
      <c r="B16" s="550"/>
      <c r="C16" s="290"/>
      <c r="D16" s="290"/>
      <c r="E16" s="230">
        <f t="shared" si="0"/>
        <v>0</v>
      </c>
      <c r="F16" s="290"/>
      <c r="G16" s="290"/>
      <c r="H16"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codeName="Sheet153">
    <tabColor rgb="FFFFC000"/>
  </sheetPr>
  <dimension ref="A1:F9"/>
  <sheetViews>
    <sheetView workbookViewId="0">
      <selection activeCell="B3" sqref="B3"/>
    </sheetView>
  </sheetViews>
  <sheetFormatPr defaultRowHeight="13.8"/>
  <cols>
    <col min="1" max="16384" width="8.88671875" style="18"/>
  </cols>
  <sheetData>
    <row r="1" spans="1:6" ht="28.8">
      <c r="A1" s="19" t="s">
        <v>28</v>
      </c>
      <c r="B1" s="20" t="s">
        <v>285</v>
      </c>
      <c r="C1" s="20" t="s">
        <v>391</v>
      </c>
      <c r="D1" s="20" t="s">
        <v>392</v>
      </c>
      <c r="E1" s="20" t="s">
        <v>393</v>
      </c>
      <c r="F1" s="20" t="s">
        <v>203</v>
      </c>
    </row>
    <row r="2" spans="1:6" ht="14.4">
      <c r="A2" s="606">
        <f>合同取得成本明细表!B2</f>
        <v>0</v>
      </c>
      <c r="B2" s="295">
        <f>合同取得成本明细表!C2-合同取得成本明细表!G2</f>
        <v>0</v>
      </c>
      <c r="C2" s="295">
        <f>合同取得成本明细表!D2</f>
        <v>0</v>
      </c>
      <c r="D2" s="295">
        <f>合同取得成本明细表!E2</f>
        <v>0</v>
      </c>
      <c r="E2" s="295">
        <f>合同取得成本明细表!H2-合同取得成本明细表!J2</f>
        <v>0</v>
      </c>
      <c r="F2" s="69">
        <f>B2+C2-D2-E2</f>
        <v>0</v>
      </c>
    </row>
    <row r="3" spans="1:6" ht="14.4">
      <c r="A3" s="606">
        <f>合同取得成本明细表!B3</f>
        <v>0</v>
      </c>
      <c r="B3" s="295">
        <f>合同取得成本明细表!C3-合同取得成本明细表!G3</f>
        <v>0</v>
      </c>
      <c r="C3" s="295">
        <f>合同取得成本明细表!D3</f>
        <v>0</v>
      </c>
      <c r="D3" s="295">
        <f>合同取得成本明细表!E3</f>
        <v>0</v>
      </c>
      <c r="E3" s="295">
        <f>合同取得成本明细表!H3</f>
        <v>0</v>
      </c>
      <c r="F3" s="69">
        <f t="shared" ref="F3:F8" si="0">B3+C3-D3-E3</f>
        <v>0</v>
      </c>
    </row>
    <row r="4" spans="1:6" ht="14.4">
      <c r="A4" s="606">
        <f>合同取得成本明细表!B4</f>
        <v>0</v>
      </c>
      <c r="B4" s="295">
        <f>合同取得成本明细表!C4-合同取得成本明细表!G4</f>
        <v>0</v>
      </c>
      <c r="C4" s="295">
        <f>合同取得成本明细表!D4</f>
        <v>0</v>
      </c>
      <c r="D4" s="295">
        <f>合同取得成本明细表!E4</f>
        <v>0</v>
      </c>
      <c r="E4" s="295">
        <f>合同取得成本明细表!H4</f>
        <v>0</v>
      </c>
      <c r="F4" s="69">
        <f t="shared" si="0"/>
        <v>0</v>
      </c>
    </row>
    <row r="5" spans="1:6" ht="14.4">
      <c r="A5" s="606">
        <f>合同取得成本明细表!B5</f>
        <v>0</v>
      </c>
      <c r="B5" s="295">
        <f>合同取得成本明细表!C5-合同取得成本明细表!G5</f>
        <v>0</v>
      </c>
      <c r="C5" s="295">
        <f>合同取得成本明细表!D5</f>
        <v>0</v>
      </c>
      <c r="D5" s="295">
        <f>合同取得成本明细表!E5</f>
        <v>0</v>
      </c>
      <c r="E5" s="295">
        <f>合同取得成本明细表!H5</f>
        <v>0</v>
      </c>
      <c r="F5" s="69">
        <f t="shared" si="0"/>
        <v>0</v>
      </c>
    </row>
    <row r="6" spans="1:6" ht="14.4">
      <c r="A6" s="606">
        <f>合同取得成本明细表!B6</f>
        <v>0</v>
      </c>
      <c r="B6" s="295">
        <f>合同取得成本明细表!C6-合同取得成本明细表!G6</f>
        <v>0</v>
      </c>
      <c r="C6" s="295">
        <f>合同取得成本明细表!D6</f>
        <v>0</v>
      </c>
      <c r="D6" s="295">
        <f>合同取得成本明细表!E6</f>
        <v>0</v>
      </c>
      <c r="E6" s="295">
        <f>合同取得成本明细表!H6</f>
        <v>0</v>
      </c>
      <c r="F6" s="69">
        <f t="shared" si="0"/>
        <v>0</v>
      </c>
    </row>
    <row r="7" spans="1:6" ht="14.4">
      <c r="A7" s="606">
        <f>合同取得成本明细表!B7</f>
        <v>0</v>
      </c>
      <c r="B7" s="295">
        <f>合同取得成本明细表!C7-合同取得成本明细表!G7</f>
        <v>0</v>
      </c>
      <c r="C7" s="295">
        <f>合同取得成本明细表!D7</f>
        <v>0</v>
      </c>
      <c r="D7" s="295">
        <f>合同取得成本明细表!E7</f>
        <v>0</v>
      </c>
      <c r="E7" s="295">
        <f>合同取得成本明细表!H7</f>
        <v>0</v>
      </c>
      <c r="F7" s="69">
        <f t="shared" si="0"/>
        <v>0</v>
      </c>
    </row>
    <row r="8" spans="1:6" ht="14.4">
      <c r="A8" s="606">
        <f>合同取得成本明细表!B8</f>
        <v>0</v>
      </c>
      <c r="B8" s="295">
        <f>合同取得成本明细表!C8-合同取得成本明细表!G8</f>
        <v>0</v>
      </c>
      <c r="C8" s="295">
        <f>合同取得成本明细表!D8</f>
        <v>0</v>
      </c>
      <c r="D8" s="295">
        <f>合同取得成本明细表!E8</f>
        <v>0</v>
      </c>
      <c r="E8" s="295">
        <f>合同取得成本明细表!H8</f>
        <v>0</v>
      </c>
      <c r="F8" s="69">
        <f t="shared" si="0"/>
        <v>0</v>
      </c>
    </row>
    <row r="9" spans="1:6" ht="14.4">
      <c r="A9" s="335" t="s">
        <v>2449</v>
      </c>
      <c r="B9" s="69">
        <f>SUM(B2:B8)</f>
        <v>0</v>
      </c>
      <c r="C9" s="69">
        <f t="shared" ref="C9:F9" si="1">SUM(C2:C8)</f>
        <v>0</v>
      </c>
      <c r="D9" s="69">
        <f t="shared" si="1"/>
        <v>0</v>
      </c>
      <c r="E9" s="69">
        <f t="shared" si="1"/>
        <v>0</v>
      </c>
      <c r="F9" s="69">
        <f t="shared" si="1"/>
        <v>0</v>
      </c>
    </row>
  </sheetData>
  <phoneticPr fontId="1"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sheetPr codeName="Sheet154"/>
  <dimension ref="A1:J22"/>
  <sheetViews>
    <sheetView workbookViewId="0">
      <selection activeCell="D7" sqref="D7"/>
    </sheetView>
  </sheetViews>
  <sheetFormatPr defaultRowHeight="13.8"/>
  <cols>
    <col min="3" max="3" width="8.44140625" customWidth="1"/>
    <col min="6" max="6" width="8.88671875" style="230"/>
    <col min="7" max="10" width="10.6640625" style="230" bestFit="1" customWidth="1"/>
  </cols>
  <sheetData>
    <row r="1" spans="1:10">
      <c r="A1" t="s">
        <v>2427</v>
      </c>
      <c r="B1" t="s">
        <v>4348</v>
      </c>
      <c r="C1" t="s">
        <v>285</v>
      </c>
      <c r="D1" t="s">
        <v>391</v>
      </c>
      <c r="E1" t="s">
        <v>392</v>
      </c>
      <c r="F1" s="230" t="s">
        <v>203</v>
      </c>
      <c r="G1" s="230" t="s">
        <v>4347</v>
      </c>
      <c r="H1" s="230" t="s">
        <v>2389</v>
      </c>
      <c r="I1" s="230" t="s">
        <v>4349</v>
      </c>
      <c r="J1" s="230" t="s">
        <v>4346</v>
      </c>
    </row>
    <row r="2" spans="1:10">
      <c r="A2" s="230" t="str">
        <f>IF(OR(C2&gt;0,F2&gt;0),基础信息!$B$1,"")</f>
        <v/>
      </c>
      <c r="B2" s="256"/>
      <c r="C2" s="256"/>
      <c r="D2" s="256"/>
      <c r="E2" s="256"/>
      <c r="F2" s="230">
        <f>C2+D2-E2</f>
        <v>0</v>
      </c>
      <c r="G2" s="290"/>
      <c r="H2" s="290"/>
      <c r="I2" s="290"/>
      <c r="J2" s="230">
        <f>G2+H2-I2</f>
        <v>0</v>
      </c>
    </row>
    <row r="3" spans="1:10">
      <c r="A3" s="230" t="str">
        <f>IF(OR(C3&gt;0,F3&gt;0),基础信息!$B$1,"")</f>
        <v/>
      </c>
      <c r="B3" s="256"/>
      <c r="C3" s="256"/>
      <c r="D3" s="256"/>
      <c r="E3" s="256"/>
      <c r="F3" s="230">
        <f t="shared" ref="F3:F22" si="0">C3+D3-E3</f>
        <v>0</v>
      </c>
      <c r="G3" s="290"/>
      <c r="H3" s="290"/>
      <c r="I3" s="290"/>
      <c r="J3" s="230">
        <f t="shared" ref="J3:J22" si="1">G3+H3-I3</f>
        <v>0</v>
      </c>
    </row>
    <row r="4" spans="1:10">
      <c r="A4" s="230" t="str">
        <f>IF(OR(C4&gt;0,F4&gt;0),基础信息!$B$1,"")</f>
        <v/>
      </c>
      <c r="B4" s="256"/>
      <c r="C4" s="256"/>
      <c r="D4" s="256"/>
      <c r="E4" s="256"/>
      <c r="F4" s="230">
        <f t="shared" si="0"/>
        <v>0</v>
      </c>
      <c r="G4" s="290"/>
      <c r="H4" s="290"/>
      <c r="I4" s="290"/>
      <c r="J4" s="230">
        <f t="shared" si="1"/>
        <v>0</v>
      </c>
    </row>
    <row r="5" spans="1:10">
      <c r="A5" s="230" t="str">
        <f>IF(OR(C5&gt;0,F5&gt;0),基础信息!$B$1,"")</f>
        <v/>
      </c>
      <c r="B5" s="256"/>
      <c r="C5" s="256"/>
      <c r="D5" s="256"/>
      <c r="E5" s="256"/>
      <c r="F5" s="230">
        <f t="shared" si="0"/>
        <v>0</v>
      </c>
      <c r="G5" s="290"/>
      <c r="H5" s="290"/>
      <c r="I5" s="290"/>
      <c r="J5" s="230">
        <f t="shared" si="1"/>
        <v>0</v>
      </c>
    </row>
    <row r="6" spans="1:10">
      <c r="A6" s="230" t="str">
        <f>IF(OR(C6&gt;0,F6&gt;0),基础信息!$B$1,"")</f>
        <v/>
      </c>
      <c r="B6" s="256"/>
      <c r="C6" s="256"/>
      <c r="D6" s="256"/>
      <c r="E6" s="256"/>
      <c r="F6" s="230">
        <f t="shared" si="0"/>
        <v>0</v>
      </c>
      <c r="G6" s="290"/>
      <c r="H6" s="290"/>
      <c r="I6" s="290"/>
      <c r="J6" s="230">
        <f t="shared" si="1"/>
        <v>0</v>
      </c>
    </row>
    <row r="7" spans="1:10">
      <c r="A7" s="230" t="str">
        <f>IF(OR(C7&gt;0,F7&gt;0),基础信息!$B$1,"")</f>
        <v/>
      </c>
      <c r="B7" s="256"/>
      <c r="C7" s="256"/>
      <c r="D7" s="256"/>
      <c r="E7" s="256"/>
      <c r="F7" s="230">
        <f t="shared" si="0"/>
        <v>0</v>
      </c>
      <c r="G7" s="290"/>
      <c r="H7" s="290"/>
      <c r="I7" s="290"/>
      <c r="J7" s="230">
        <f t="shared" si="1"/>
        <v>0</v>
      </c>
    </row>
    <row r="8" spans="1:10">
      <c r="A8" s="230" t="str">
        <f>IF(OR(C8&gt;0,F8&gt;0),基础信息!$B$1,"")</f>
        <v/>
      </c>
      <c r="B8" s="256"/>
      <c r="C8" s="256"/>
      <c r="D8" s="256"/>
      <c r="E8" s="256"/>
      <c r="F8" s="230">
        <f t="shared" si="0"/>
        <v>0</v>
      </c>
      <c r="G8" s="290"/>
      <c r="H8" s="290"/>
      <c r="I8" s="290"/>
      <c r="J8" s="230">
        <f t="shared" si="1"/>
        <v>0</v>
      </c>
    </row>
    <row r="9" spans="1:10">
      <c r="A9" s="230" t="str">
        <f>IF(OR(C9&gt;0,F9&gt;0),基础信息!$B$1,"")</f>
        <v/>
      </c>
      <c r="B9" s="256"/>
      <c r="C9" s="256"/>
      <c r="D9" s="256"/>
      <c r="E9" s="256"/>
      <c r="F9" s="230">
        <f t="shared" si="0"/>
        <v>0</v>
      </c>
      <c r="G9" s="290"/>
      <c r="H9" s="290"/>
      <c r="I9" s="290"/>
      <c r="J9" s="230">
        <f t="shared" si="1"/>
        <v>0</v>
      </c>
    </row>
    <row r="10" spans="1:10">
      <c r="A10" s="230" t="str">
        <f>IF(OR(C10&gt;0,F10&gt;0),基础信息!$B$1,"")</f>
        <v/>
      </c>
      <c r="B10" s="256"/>
      <c r="C10" s="256"/>
      <c r="D10" s="256"/>
      <c r="E10" s="256"/>
      <c r="F10" s="230">
        <f t="shared" si="0"/>
        <v>0</v>
      </c>
      <c r="G10" s="290"/>
      <c r="H10" s="290"/>
      <c r="I10" s="290"/>
      <c r="J10" s="230">
        <f t="shared" si="1"/>
        <v>0</v>
      </c>
    </row>
    <row r="11" spans="1:10">
      <c r="A11" s="230" t="str">
        <f>IF(OR(C11&gt;0,F11&gt;0),基础信息!$B$1,"")</f>
        <v/>
      </c>
      <c r="B11" s="256"/>
      <c r="C11" s="256"/>
      <c r="D11" s="256"/>
      <c r="E11" s="256"/>
      <c r="F11" s="230">
        <f t="shared" si="0"/>
        <v>0</v>
      </c>
      <c r="G11" s="290"/>
      <c r="H11" s="290"/>
      <c r="I11" s="290"/>
      <c r="J11" s="230">
        <f t="shared" si="1"/>
        <v>0</v>
      </c>
    </row>
    <row r="12" spans="1:10">
      <c r="A12" s="230" t="str">
        <f>IF(OR(C12&gt;0,F12&gt;0),基础信息!$B$1,"")</f>
        <v/>
      </c>
      <c r="B12" s="256"/>
      <c r="C12" s="256"/>
      <c r="D12" s="256"/>
      <c r="E12" s="256"/>
      <c r="F12" s="230">
        <f t="shared" si="0"/>
        <v>0</v>
      </c>
      <c r="G12" s="290"/>
      <c r="H12" s="290"/>
      <c r="I12" s="290"/>
      <c r="J12" s="230">
        <f t="shared" si="1"/>
        <v>0</v>
      </c>
    </row>
    <row r="13" spans="1:10">
      <c r="A13" s="230" t="str">
        <f>IF(OR(C13&gt;0,F13&gt;0),基础信息!$B$1,"")</f>
        <v/>
      </c>
      <c r="B13" s="256"/>
      <c r="C13" s="256"/>
      <c r="D13" s="256"/>
      <c r="E13" s="256"/>
      <c r="F13" s="230">
        <f t="shared" si="0"/>
        <v>0</v>
      </c>
      <c r="G13" s="290"/>
      <c r="H13" s="290"/>
      <c r="I13" s="290"/>
      <c r="J13" s="230">
        <f t="shared" si="1"/>
        <v>0</v>
      </c>
    </row>
    <row r="14" spans="1:10">
      <c r="A14" s="230" t="str">
        <f>IF(OR(C14&gt;0,F14&gt;0),基础信息!$B$1,"")</f>
        <v/>
      </c>
      <c r="B14" s="256"/>
      <c r="C14" s="256"/>
      <c r="D14" s="256"/>
      <c r="E14" s="256"/>
      <c r="F14" s="230">
        <f t="shared" si="0"/>
        <v>0</v>
      </c>
      <c r="G14" s="290"/>
      <c r="H14" s="290"/>
      <c r="I14" s="290"/>
      <c r="J14" s="230">
        <f t="shared" si="1"/>
        <v>0</v>
      </c>
    </row>
    <row r="15" spans="1:10">
      <c r="A15" s="230" t="str">
        <f>IF(OR(C15&gt;0,F15&gt;0),基础信息!$B$1,"")</f>
        <v/>
      </c>
      <c r="B15" s="256"/>
      <c r="C15" s="256"/>
      <c r="D15" s="256"/>
      <c r="E15" s="256"/>
      <c r="F15" s="230">
        <f t="shared" si="0"/>
        <v>0</v>
      </c>
      <c r="G15" s="290"/>
      <c r="H15" s="290"/>
      <c r="I15" s="290"/>
      <c r="J15" s="230">
        <f t="shared" si="1"/>
        <v>0</v>
      </c>
    </row>
    <row r="16" spans="1:10">
      <c r="A16" s="230" t="str">
        <f>IF(OR(C16&gt;0,F16&gt;0),基础信息!$B$1,"")</f>
        <v/>
      </c>
      <c r="B16" s="256"/>
      <c r="C16" s="256"/>
      <c r="D16" s="256"/>
      <c r="E16" s="256"/>
      <c r="F16" s="230">
        <f t="shared" si="0"/>
        <v>0</v>
      </c>
      <c r="G16" s="290"/>
      <c r="H16" s="290"/>
      <c r="I16" s="290"/>
      <c r="J16" s="230">
        <f t="shared" si="1"/>
        <v>0</v>
      </c>
    </row>
    <row r="17" spans="1:10">
      <c r="A17" s="230" t="str">
        <f>IF(OR(C17&gt;0,F17&gt;0),基础信息!$B$1,"")</f>
        <v/>
      </c>
      <c r="B17" s="256"/>
      <c r="C17" s="256"/>
      <c r="D17" s="256"/>
      <c r="E17" s="256"/>
      <c r="F17" s="230">
        <f t="shared" si="0"/>
        <v>0</v>
      </c>
      <c r="G17" s="290"/>
      <c r="H17" s="290"/>
      <c r="I17" s="290"/>
      <c r="J17" s="230">
        <f t="shared" si="1"/>
        <v>0</v>
      </c>
    </row>
    <row r="18" spans="1:10">
      <c r="A18" s="230" t="str">
        <f>IF(OR(C18&gt;0,F18&gt;0),基础信息!$B$1,"")</f>
        <v/>
      </c>
      <c r="B18" s="256"/>
      <c r="C18" s="256"/>
      <c r="D18" s="256"/>
      <c r="E18" s="256"/>
      <c r="F18" s="230">
        <f t="shared" si="0"/>
        <v>0</v>
      </c>
      <c r="G18" s="290"/>
      <c r="H18" s="290"/>
      <c r="I18" s="290"/>
      <c r="J18" s="230">
        <f t="shared" si="1"/>
        <v>0</v>
      </c>
    </row>
    <row r="19" spans="1:10">
      <c r="A19" s="230" t="str">
        <f>IF(OR(C19&gt;0,F19&gt;0),基础信息!$B$1,"")</f>
        <v/>
      </c>
      <c r="B19" s="256"/>
      <c r="C19" s="256"/>
      <c r="D19" s="256"/>
      <c r="E19" s="256"/>
      <c r="F19" s="230">
        <f t="shared" si="0"/>
        <v>0</v>
      </c>
      <c r="G19" s="290"/>
      <c r="H19" s="290"/>
      <c r="I19" s="290"/>
      <c r="J19" s="230">
        <f t="shared" si="1"/>
        <v>0</v>
      </c>
    </row>
    <row r="20" spans="1:10">
      <c r="A20" s="230" t="str">
        <f>IF(OR(C20&gt;0,F20&gt;0),基础信息!$B$1,"")</f>
        <v/>
      </c>
      <c r="B20" s="256"/>
      <c r="C20" s="256"/>
      <c r="D20" s="256"/>
      <c r="E20" s="256"/>
      <c r="F20" s="230">
        <f t="shared" si="0"/>
        <v>0</v>
      </c>
      <c r="G20" s="290"/>
      <c r="H20" s="290"/>
      <c r="I20" s="290"/>
      <c r="J20" s="230">
        <f t="shared" si="1"/>
        <v>0</v>
      </c>
    </row>
    <row r="21" spans="1:10">
      <c r="A21" s="230" t="str">
        <f>IF(OR(C21&gt;0,F21&gt;0),基础信息!$B$1,"")</f>
        <v/>
      </c>
      <c r="B21" s="256"/>
      <c r="C21" s="256"/>
      <c r="D21" s="256"/>
      <c r="E21" s="256"/>
      <c r="F21" s="230">
        <f t="shared" si="0"/>
        <v>0</v>
      </c>
      <c r="G21" s="290"/>
      <c r="H21" s="290"/>
      <c r="I21" s="290"/>
      <c r="J21" s="230">
        <f t="shared" si="1"/>
        <v>0</v>
      </c>
    </row>
    <row r="22" spans="1:10">
      <c r="A22" s="230" t="str">
        <f>IF(OR(C22&gt;0,F22&gt;0),基础信息!$B$1,"")</f>
        <v/>
      </c>
      <c r="B22" s="256"/>
      <c r="C22" s="256"/>
      <c r="D22" s="256"/>
      <c r="E22" s="256"/>
      <c r="F22" s="230">
        <f t="shared" si="0"/>
        <v>0</v>
      </c>
      <c r="G22" s="290"/>
      <c r="H22" s="290"/>
      <c r="I22" s="290"/>
      <c r="J22" s="230">
        <f t="shared" si="1"/>
        <v>0</v>
      </c>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codeName="Sheet155">
    <tabColor rgb="FFFFC000"/>
  </sheetPr>
  <dimension ref="A1:G4"/>
  <sheetViews>
    <sheetView workbookViewId="0">
      <selection activeCell="I14" sqref="I14"/>
    </sheetView>
  </sheetViews>
  <sheetFormatPr defaultRowHeight="13.8"/>
  <sheetData>
    <row r="1" spans="1:7" ht="28.8">
      <c r="A1" s="32" t="s">
        <v>28</v>
      </c>
      <c r="B1" s="32" t="s">
        <v>258</v>
      </c>
      <c r="C1" s="32" t="s">
        <v>291</v>
      </c>
      <c r="D1" s="32" t="s">
        <v>216</v>
      </c>
      <c r="E1" s="32" t="s">
        <v>260</v>
      </c>
      <c r="F1" s="32" t="s">
        <v>295</v>
      </c>
      <c r="G1" s="32" t="s">
        <v>222</v>
      </c>
    </row>
    <row r="2" spans="1:7" ht="14.4">
      <c r="A2" s="347" t="s">
        <v>397</v>
      </c>
      <c r="B2" s="295">
        <f>ROUND(SUMIF(债权投资明细表!B:B,A2,债权投资明细表!R:R),2)</f>
        <v>0</v>
      </c>
      <c r="C2" s="295">
        <f>ROUND(SUMIF(债权投资减值准备明细表!B:B,债权投资!A2,债权投资减值准备明细表!O:O),2)</f>
        <v>0</v>
      </c>
      <c r="D2" s="69">
        <f>ROUND(B2-C2,2)</f>
        <v>0</v>
      </c>
      <c r="E2" s="295">
        <f>ROUND(SUMIF(债权投资明细表!B:B,A2,债权投资明细表!J:J),2)</f>
        <v>0</v>
      </c>
      <c r="F2" s="295">
        <f>ROUND(SUMIF(债权投资减值准备明细表!B:B,债权投资!A2,债权投资减值准备明细表!D:D),2)</f>
        <v>0</v>
      </c>
      <c r="G2" s="69">
        <f>ROUND(E2-F2,2)</f>
        <v>0</v>
      </c>
    </row>
    <row r="3" spans="1:7" ht="14.4">
      <c r="A3" s="347" t="s">
        <v>399</v>
      </c>
      <c r="B3" s="295">
        <f>ROUND(SUMIF(债权投资明细表!B:B,A3,债权投资明细表!R:R),2)</f>
        <v>0</v>
      </c>
      <c r="C3" s="295">
        <f>ROUND(SUMIF(债权投资减值准备明细表!B:B,债权投资!A3,债权投资减值准备明细表!O:O),2)</f>
        <v>0</v>
      </c>
      <c r="D3" s="69">
        <f>ROUND(B3-C3,2)</f>
        <v>0</v>
      </c>
      <c r="E3" s="295">
        <f>ROUND(SUMIF(债权投资明细表!B:B,A3,债权投资明细表!J:J),2)</f>
        <v>0</v>
      </c>
      <c r="F3" s="295">
        <f>ROUND(SUMIF(债权投资减值准备明细表!B:B,债权投资!A3,债权投资减值准备明细表!D:D),2)</f>
        <v>0</v>
      </c>
      <c r="G3" s="69">
        <f>ROUND(E3-F3,2)</f>
        <v>0</v>
      </c>
    </row>
    <row r="4" spans="1:7" ht="14.4">
      <c r="A4" s="31" t="s">
        <v>204</v>
      </c>
      <c r="B4" s="69">
        <f>ROUND(SUM(B2:B3),2)</f>
        <v>0</v>
      </c>
      <c r="C4" s="69">
        <f>ROUND(SUM(C2:C3),2)</f>
        <v>0</v>
      </c>
      <c r="D4" s="69">
        <f>ROUND(SUM(D2:D3),2)</f>
        <v>0</v>
      </c>
      <c r="E4" s="69">
        <f>ROUND(SUM(E2:E3),2)</f>
        <v>0</v>
      </c>
      <c r="F4" s="69">
        <f>ROUND(SUM(F2:F3),2)</f>
        <v>0</v>
      </c>
      <c r="G4" s="69">
        <f>ROUND(SUM(G2:G3),2)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sheetPr codeName="Sheet156"/>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30" bestFit="1" customWidth="1"/>
    <col min="11" max="11" width="13.88671875" bestFit="1" customWidth="1"/>
    <col min="12" max="12" width="9.5546875" bestFit="1" customWidth="1"/>
    <col min="13" max="14" width="13.88671875" bestFit="1" customWidth="1"/>
    <col min="15" max="18" width="13.88671875" style="230" bestFit="1" customWidth="1"/>
    <col min="19" max="22" width="13.88671875" style="230" customWidth="1"/>
    <col min="23" max="23" width="15.109375" style="257" bestFit="1" customWidth="1"/>
    <col min="24" max="28" width="8.88671875" style="257"/>
    <col min="29" max="29" width="8.88671875" style="260"/>
  </cols>
  <sheetData>
    <row r="1" spans="1:28">
      <c r="A1" t="s">
        <v>2427</v>
      </c>
      <c r="B1" t="s">
        <v>4350</v>
      </c>
      <c r="C1" t="s">
        <v>4351</v>
      </c>
      <c r="D1" t="s">
        <v>4352</v>
      </c>
      <c r="E1" t="s">
        <v>4353</v>
      </c>
      <c r="F1" t="s">
        <v>4354</v>
      </c>
      <c r="G1" t="s">
        <v>4355</v>
      </c>
      <c r="H1" t="s">
        <v>4356</v>
      </c>
      <c r="I1" t="s">
        <v>4357</v>
      </c>
      <c r="J1" s="230" t="s">
        <v>218</v>
      </c>
      <c r="K1" t="s">
        <v>4358</v>
      </c>
      <c r="L1" t="s">
        <v>4359</v>
      </c>
      <c r="M1" t="s">
        <v>4360</v>
      </c>
      <c r="N1" t="s">
        <v>4361</v>
      </c>
      <c r="O1" s="230" t="s">
        <v>4362</v>
      </c>
      <c r="P1" s="230" t="s">
        <v>4363</v>
      </c>
      <c r="Q1" s="230" t="s">
        <v>4364</v>
      </c>
      <c r="R1" s="230" t="s">
        <v>214</v>
      </c>
      <c r="S1" t="s">
        <v>4365</v>
      </c>
      <c r="T1" t="s">
        <v>4366</v>
      </c>
      <c r="U1" t="s">
        <v>4367</v>
      </c>
      <c r="V1" t="s">
        <v>4368</v>
      </c>
      <c r="W1" s="260"/>
      <c r="X1" s="260"/>
      <c r="Y1" s="260"/>
      <c r="Z1" s="260"/>
      <c r="AA1" s="260"/>
      <c r="AB1" s="260"/>
    </row>
    <row r="2" spans="1:28">
      <c r="A2" s="230" t="str">
        <f>IF(OR(J2&gt;0,R2&gt;0),基础信息!$B$1,"")</f>
        <v/>
      </c>
      <c r="B2" s="277"/>
      <c r="C2" s="256"/>
      <c r="D2" s="256"/>
      <c r="E2" s="256"/>
      <c r="F2" s="256"/>
      <c r="G2" s="256"/>
      <c r="H2" s="256"/>
      <c r="I2" s="256"/>
      <c r="J2" s="230">
        <f>G2+H2+I2</f>
        <v>0</v>
      </c>
      <c r="K2" s="256"/>
      <c r="L2" s="256"/>
      <c r="M2" s="256"/>
      <c r="N2" s="256"/>
      <c r="O2" s="230">
        <f>G2+K2-L2</f>
        <v>0</v>
      </c>
      <c r="P2" s="230">
        <f>H2+M2</f>
        <v>0</v>
      </c>
      <c r="Q2" s="230">
        <f>I2+N2</f>
        <v>0</v>
      </c>
      <c r="R2" s="230">
        <f>O2+P2+Q2</f>
        <v>0</v>
      </c>
      <c r="S2" s="290"/>
      <c r="T2" s="290"/>
      <c r="U2" s="290"/>
      <c r="V2" s="290"/>
    </row>
    <row r="3" spans="1:28">
      <c r="A3" s="230" t="str">
        <f>IF(OR(J3&gt;0,R3&gt;0),基础信息!$B$1,"")</f>
        <v/>
      </c>
      <c r="B3" s="277"/>
      <c r="C3" s="256"/>
      <c r="D3" s="256"/>
      <c r="E3" s="256"/>
      <c r="F3" s="256"/>
      <c r="G3" s="256"/>
      <c r="H3" s="256"/>
      <c r="I3" s="256"/>
      <c r="J3" s="230">
        <f t="shared" ref="J3:J18" si="0">G3+H3+I3</f>
        <v>0</v>
      </c>
      <c r="K3" s="256"/>
      <c r="L3" s="256"/>
      <c r="M3" s="256"/>
      <c r="N3" s="256"/>
      <c r="O3" s="230">
        <f t="shared" ref="O3:O18" si="1">G3+K3-L3</f>
        <v>0</v>
      </c>
      <c r="P3" s="230">
        <f t="shared" ref="P3:P18" si="2">H3+M3</f>
        <v>0</v>
      </c>
      <c r="Q3" s="230">
        <f t="shared" ref="Q3:Q18" si="3">I3+N3</f>
        <v>0</v>
      </c>
      <c r="R3" s="230">
        <f t="shared" ref="R3:R18" si="4">O3+P3+Q3</f>
        <v>0</v>
      </c>
      <c r="S3" s="290"/>
      <c r="T3" s="290"/>
      <c r="U3" s="290"/>
      <c r="V3" s="290"/>
    </row>
    <row r="4" spans="1:28">
      <c r="A4" s="230" t="str">
        <f>IF(OR(J4&gt;0,R4&gt;0),基础信息!$B$1,"")</f>
        <v/>
      </c>
      <c r="B4" s="277"/>
      <c r="C4" s="256"/>
      <c r="D4" s="256"/>
      <c r="E4" s="256"/>
      <c r="F4" s="256"/>
      <c r="G4" s="256"/>
      <c r="H4" s="256"/>
      <c r="I4" s="256"/>
      <c r="J4" s="230">
        <f t="shared" si="0"/>
        <v>0</v>
      </c>
      <c r="K4" s="256"/>
      <c r="L4" s="256"/>
      <c r="M4" s="256"/>
      <c r="N4" s="256"/>
      <c r="O4" s="230">
        <f t="shared" si="1"/>
        <v>0</v>
      </c>
      <c r="P4" s="230">
        <f t="shared" si="2"/>
        <v>0</v>
      </c>
      <c r="Q4" s="230">
        <f t="shared" si="3"/>
        <v>0</v>
      </c>
      <c r="R4" s="230">
        <f t="shared" si="4"/>
        <v>0</v>
      </c>
      <c r="S4" s="290"/>
      <c r="T4" s="290"/>
      <c r="U4" s="290"/>
      <c r="V4" s="290"/>
    </row>
    <row r="5" spans="1:28">
      <c r="A5" s="230" t="str">
        <f>IF(OR(J5&gt;0,R5&gt;0),基础信息!$B$1,"")</f>
        <v/>
      </c>
      <c r="B5" s="277"/>
      <c r="C5" s="256"/>
      <c r="D5" s="256"/>
      <c r="E5" s="256"/>
      <c r="F5" s="256"/>
      <c r="G5" s="256"/>
      <c r="H5" s="256"/>
      <c r="I5" s="256"/>
      <c r="J5" s="230">
        <f t="shared" si="0"/>
        <v>0</v>
      </c>
      <c r="K5" s="256"/>
      <c r="L5" s="256"/>
      <c r="M5" s="256"/>
      <c r="N5" s="256"/>
      <c r="O5" s="230">
        <f t="shared" si="1"/>
        <v>0</v>
      </c>
      <c r="P5" s="230">
        <f t="shared" si="2"/>
        <v>0</v>
      </c>
      <c r="Q5" s="230">
        <f t="shared" si="3"/>
        <v>0</v>
      </c>
      <c r="R5" s="230">
        <f t="shared" si="4"/>
        <v>0</v>
      </c>
      <c r="S5" s="290"/>
      <c r="T5" s="290"/>
      <c r="U5" s="290"/>
      <c r="V5" s="290"/>
    </row>
    <row r="6" spans="1:28">
      <c r="A6" s="230" t="str">
        <f>IF(OR(J6&gt;0,R6&gt;0),基础信息!$B$1,"")</f>
        <v/>
      </c>
      <c r="B6" s="277"/>
      <c r="C6" s="256"/>
      <c r="D6" s="256"/>
      <c r="E6" s="256"/>
      <c r="F6" s="256"/>
      <c r="G6" s="256"/>
      <c r="H6" s="256"/>
      <c r="I6" s="256"/>
      <c r="J6" s="230">
        <f t="shared" si="0"/>
        <v>0</v>
      </c>
      <c r="K6" s="256"/>
      <c r="L6" s="256"/>
      <c r="M6" s="256"/>
      <c r="N6" s="256"/>
      <c r="O6" s="230">
        <f t="shared" si="1"/>
        <v>0</v>
      </c>
      <c r="P6" s="230">
        <f t="shared" si="2"/>
        <v>0</v>
      </c>
      <c r="Q6" s="230">
        <f t="shared" si="3"/>
        <v>0</v>
      </c>
      <c r="R6" s="230">
        <f t="shared" si="4"/>
        <v>0</v>
      </c>
      <c r="S6" s="290"/>
      <c r="T6" s="290"/>
      <c r="U6" s="290"/>
      <c r="V6" s="290"/>
    </row>
    <row r="7" spans="1:28">
      <c r="A7" s="230" t="str">
        <f>IF(OR(J7&gt;0,R7&gt;0),基础信息!$B$1,"")</f>
        <v/>
      </c>
      <c r="B7" s="277"/>
      <c r="C7" s="256"/>
      <c r="D7" s="256"/>
      <c r="E7" s="256"/>
      <c r="F7" s="256"/>
      <c r="G7" s="256"/>
      <c r="H7" s="256"/>
      <c r="I7" s="256"/>
      <c r="J7" s="230">
        <f t="shared" si="0"/>
        <v>0</v>
      </c>
      <c r="K7" s="256"/>
      <c r="L7" s="256"/>
      <c r="M7" s="256"/>
      <c r="N7" s="256"/>
      <c r="O7" s="230">
        <f t="shared" si="1"/>
        <v>0</v>
      </c>
      <c r="P7" s="230">
        <f t="shared" si="2"/>
        <v>0</v>
      </c>
      <c r="Q7" s="230">
        <f t="shared" si="3"/>
        <v>0</v>
      </c>
      <c r="R7" s="230">
        <f t="shared" si="4"/>
        <v>0</v>
      </c>
      <c r="S7" s="290"/>
      <c r="T7" s="290"/>
      <c r="U7" s="290"/>
      <c r="V7" s="290"/>
    </row>
    <row r="8" spans="1:28">
      <c r="A8" s="230" t="str">
        <f>IF(OR(J8&gt;0,R8&gt;0),基础信息!$B$1,"")</f>
        <v/>
      </c>
      <c r="B8" s="277"/>
      <c r="C8" s="256"/>
      <c r="D8" s="256"/>
      <c r="E8" s="256"/>
      <c r="F8" s="256"/>
      <c r="G8" s="256"/>
      <c r="H8" s="256"/>
      <c r="I8" s="256"/>
      <c r="J8" s="230">
        <f t="shared" si="0"/>
        <v>0</v>
      </c>
      <c r="K8" s="256"/>
      <c r="L8" s="256"/>
      <c r="M8" s="256"/>
      <c r="N8" s="256"/>
      <c r="O8" s="230">
        <f t="shared" si="1"/>
        <v>0</v>
      </c>
      <c r="P8" s="230">
        <f t="shared" si="2"/>
        <v>0</v>
      </c>
      <c r="Q8" s="230">
        <f t="shared" si="3"/>
        <v>0</v>
      </c>
      <c r="R8" s="230">
        <f t="shared" si="4"/>
        <v>0</v>
      </c>
      <c r="S8" s="290"/>
      <c r="T8" s="290"/>
      <c r="U8" s="290"/>
      <c r="V8" s="290"/>
    </row>
    <row r="9" spans="1:28">
      <c r="A9" s="230" t="str">
        <f>IF(OR(J9&gt;0,R9&gt;0),基础信息!$B$1,"")</f>
        <v/>
      </c>
      <c r="B9" s="277"/>
      <c r="C9" s="256"/>
      <c r="D9" s="256"/>
      <c r="E9" s="256"/>
      <c r="F9" s="256"/>
      <c r="G9" s="256"/>
      <c r="H9" s="256"/>
      <c r="I9" s="256"/>
      <c r="J9" s="230">
        <f t="shared" si="0"/>
        <v>0</v>
      </c>
      <c r="K9" s="256"/>
      <c r="L9" s="256"/>
      <c r="M9" s="256"/>
      <c r="N9" s="256"/>
      <c r="O9" s="230">
        <f t="shared" si="1"/>
        <v>0</v>
      </c>
      <c r="P9" s="230">
        <f t="shared" si="2"/>
        <v>0</v>
      </c>
      <c r="Q9" s="230">
        <f t="shared" si="3"/>
        <v>0</v>
      </c>
      <c r="R9" s="230">
        <f t="shared" si="4"/>
        <v>0</v>
      </c>
      <c r="S9" s="290"/>
      <c r="T9" s="290"/>
      <c r="U9" s="290"/>
      <c r="V9" s="290"/>
    </row>
    <row r="10" spans="1:28">
      <c r="A10" s="230" t="str">
        <f>IF(OR(J10&gt;0,R10&gt;0),基础信息!$B$1,"")</f>
        <v/>
      </c>
      <c r="B10" s="277"/>
      <c r="C10" s="256"/>
      <c r="D10" s="256"/>
      <c r="E10" s="256"/>
      <c r="F10" s="256"/>
      <c r="G10" s="256"/>
      <c r="H10" s="256"/>
      <c r="I10" s="256"/>
      <c r="J10" s="230">
        <f t="shared" si="0"/>
        <v>0</v>
      </c>
      <c r="K10" s="256"/>
      <c r="L10" s="256"/>
      <c r="M10" s="256"/>
      <c r="N10" s="256"/>
      <c r="O10" s="230">
        <f t="shared" si="1"/>
        <v>0</v>
      </c>
      <c r="P10" s="230">
        <f t="shared" si="2"/>
        <v>0</v>
      </c>
      <c r="Q10" s="230">
        <f t="shared" si="3"/>
        <v>0</v>
      </c>
      <c r="R10" s="230">
        <f t="shared" si="4"/>
        <v>0</v>
      </c>
      <c r="S10" s="290"/>
      <c r="T10" s="290"/>
      <c r="U10" s="290"/>
      <c r="V10" s="290"/>
    </row>
    <row r="11" spans="1:28">
      <c r="A11" s="230" t="str">
        <f>IF(OR(J11&gt;0,R11&gt;0),基础信息!$B$1,"")</f>
        <v/>
      </c>
      <c r="B11" s="277"/>
      <c r="C11" s="256"/>
      <c r="D11" s="256"/>
      <c r="E11" s="256"/>
      <c r="F11" s="256"/>
      <c r="G11" s="256"/>
      <c r="H11" s="256"/>
      <c r="I11" s="256"/>
      <c r="J11" s="230">
        <f t="shared" si="0"/>
        <v>0</v>
      </c>
      <c r="K11" s="256"/>
      <c r="L11" s="256"/>
      <c r="M11" s="256"/>
      <c r="N11" s="256"/>
      <c r="O11" s="230">
        <f t="shared" si="1"/>
        <v>0</v>
      </c>
      <c r="P11" s="230">
        <f t="shared" si="2"/>
        <v>0</v>
      </c>
      <c r="Q11" s="230">
        <f t="shared" si="3"/>
        <v>0</v>
      </c>
      <c r="R11" s="230">
        <f t="shared" si="4"/>
        <v>0</v>
      </c>
      <c r="S11" s="290"/>
      <c r="T11" s="290"/>
      <c r="U11" s="290"/>
      <c r="V11" s="290"/>
    </row>
    <row r="12" spans="1:28">
      <c r="A12" s="230" t="str">
        <f>IF(OR(J12&gt;0,R12&gt;0),基础信息!$B$1,"")</f>
        <v/>
      </c>
      <c r="B12" s="277"/>
      <c r="C12" s="256"/>
      <c r="D12" s="256"/>
      <c r="E12" s="256"/>
      <c r="F12" s="256"/>
      <c r="G12" s="256"/>
      <c r="H12" s="256"/>
      <c r="I12" s="256"/>
      <c r="J12" s="230">
        <f t="shared" si="0"/>
        <v>0</v>
      </c>
      <c r="K12" s="256"/>
      <c r="L12" s="256"/>
      <c r="M12" s="256"/>
      <c r="N12" s="256"/>
      <c r="O12" s="230">
        <f t="shared" si="1"/>
        <v>0</v>
      </c>
      <c r="P12" s="230">
        <f t="shared" si="2"/>
        <v>0</v>
      </c>
      <c r="Q12" s="230">
        <f t="shared" si="3"/>
        <v>0</v>
      </c>
      <c r="R12" s="230">
        <f t="shared" si="4"/>
        <v>0</v>
      </c>
      <c r="S12" s="290"/>
      <c r="T12" s="290"/>
      <c r="U12" s="290"/>
      <c r="V12" s="290"/>
    </row>
    <row r="13" spans="1:28">
      <c r="A13" s="230" t="str">
        <f>IF(OR(J13&gt;0,R13&gt;0),基础信息!$B$1,"")</f>
        <v/>
      </c>
      <c r="B13" s="277"/>
      <c r="C13" s="256"/>
      <c r="D13" s="256"/>
      <c r="E13" s="256"/>
      <c r="F13" s="256"/>
      <c r="G13" s="256"/>
      <c r="H13" s="256"/>
      <c r="I13" s="256"/>
      <c r="J13" s="230">
        <f t="shared" si="0"/>
        <v>0</v>
      </c>
      <c r="K13" s="256"/>
      <c r="L13" s="256"/>
      <c r="M13" s="256"/>
      <c r="N13" s="256"/>
      <c r="O13" s="230">
        <f t="shared" si="1"/>
        <v>0</v>
      </c>
      <c r="P13" s="230">
        <f t="shared" si="2"/>
        <v>0</v>
      </c>
      <c r="Q13" s="230">
        <f t="shared" si="3"/>
        <v>0</v>
      </c>
      <c r="R13" s="230">
        <f t="shared" si="4"/>
        <v>0</v>
      </c>
      <c r="S13" s="290"/>
      <c r="T13" s="290"/>
      <c r="U13" s="290"/>
      <c r="V13" s="290"/>
    </row>
    <row r="14" spans="1:28">
      <c r="A14" s="230" t="str">
        <f>IF(OR(J14&gt;0,R14&gt;0),基础信息!$B$1,"")</f>
        <v/>
      </c>
      <c r="B14" s="277"/>
      <c r="C14" s="256"/>
      <c r="D14" s="256"/>
      <c r="E14" s="256"/>
      <c r="F14" s="256"/>
      <c r="G14" s="256"/>
      <c r="H14" s="256"/>
      <c r="I14" s="256"/>
      <c r="J14" s="230">
        <f t="shared" si="0"/>
        <v>0</v>
      </c>
      <c r="K14" s="256"/>
      <c r="L14" s="256"/>
      <c r="M14" s="256"/>
      <c r="N14" s="256"/>
      <c r="O14" s="230">
        <f t="shared" si="1"/>
        <v>0</v>
      </c>
      <c r="P14" s="230">
        <f t="shared" si="2"/>
        <v>0</v>
      </c>
      <c r="Q14" s="230">
        <f t="shared" si="3"/>
        <v>0</v>
      </c>
      <c r="R14" s="230">
        <f t="shared" si="4"/>
        <v>0</v>
      </c>
      <c r="S14" s="290"/>
      <c r="T14" s="290"/>
      <c r="U14" s="290"/>
      <c r="V14" s="290"/>
    </row>
    <row r="15" spans="1:28">
      <c r="A15" s="230" t="str">
        <f>IF(OR(J15&gt;0,R15&gt;0),基础信息!$B$1,"")</f>
        <v/>
      </c>
      <c r="B15" s="277"/>
      <c r="C15" s="256"/>
      <c r="D15" s="256"/>
      <c r="E15" s="256"/>
      <c r="F15" s="256"/>
      <c r="G15" s="256"/>
      <c r="H15" s="256"/>
      <c r="I15" s="256"/>
      <c r="J15" s="230">
        <f t="shared" si="0"/>
        <v>0</v>
      </c>
      <c r="K15" s="256"/>
      <c r="L15" s="256"/>
      <c r="M15" s="256"/>
      <c r="N15" s="256"/>
      <c r="O15" s="230">
        <f t="shared" si="1"/>
        <v>0</v>
      </c>
      <c r="P15" s="230">
        <f t="shared" si="2"/>
        <v>0</v>
      </c>
      <c r="Q15" s="230">
        <f t="shared" si="3"/>
        <v>0</v>
      </c>
      <c r="R15" s="230">
        <f t="shared" si="4"/>
        <v>0</v>
      </c>
      <c r="S15" s="290"/>
      <c r="T15" s="290"/>
      <c r="U15" s="290"/>
      <c r="V15" s="290"/>
    </row>
    <row r="16" spans="1:28">
      <c r="A16" s="230" t="str">
        <f>IF(OR(J16&gt;0,R16&gt;0),基础信息!$B$1,"")</f>
        <v/>
      </c>
      <c r="B16" s="277"/>
      <c r="C16" s="256"/>
      <c r="D16" s="256"/>
      <c r="E16" s="256"/>
      <c r="F16" s="256"/>
      <c r="G16" s="256"/>
      <c r="H16" s="256"/>
      <c r="I16" s="256"/>
      <c r="J16" s="230">
        <f t="shared" si="0"/>
        <v>0</v>
      </c>
      <c r="K16" s="256"/>
      <c r="L16" s="256"/>
      <c r="M16" s="256"/>
      <c r="N16" s="256"/>
      <c r="O16" s="230">
        <f t="shared" si="1"/>
        <v>0</v>
      </c>
      <c r="P16" s="230">
        <f t="shared" si="2"/>
        <v>0</v>
      </c>
      <c r="Q16" s="230">
        <f t="shared" si="3"/>
        <v>0</v>
      </c>
      <c r="R16" s="230">
        <f t="shared" si="4"/>
        <v>0</v>
      </c>
      <c r="S16" s="290"/>
      <c r="T16" s="290"/>
      <c r="U16" s="290"/>
      <c r="V16" s="290"/>
    </row>
    <row r="17" spans="1:22">
      <c r="A17" s="230" t="str">
        <f>IF(OR(J17&gt;0,R17&gt;0),基础信息!$B$1,"")</f>
        <v/>
      </c>
      <c r="B17" s="277"/>
      <c r="C17" s="256"/>
      <c r="D17" s="256"/>
      <c r="E17" s="256"/>
      <c r="F17" s="256"/>
      <c r="G17" s="256"/>
      <c r="H17" s="256"/>
      <c r="I17" s="256"/>
      <c r="J17" s="230">
        <f t="shared" si="0"/>
        <v>0</v>
      </c>
      <c r="K17" s="256"/>
      <c r="L17" s="256"/>
      <c r="M17" s="256"/>
      <c r="N17" s="256"/>
      <c r="O17" s="230">
        <f t="shared" si="1"/>
        <v>0</v>
      </c>
      <c r="P17" s="230">
        <f t="shared" si="2"/>
        <v>0</v>
      </c>
      <c r="Q17" s="230">
        <f t="shared" si="3"/>
        <v>0</v>
      </c>
      <c r="R17" s="230">
        <f t="shared" si="4"/>
        <v>0</v>
      </c>
      <c r="S17" s="290"/>
      <c r="T17" s="290"/>
      <c r="U17" s="290"/>
      <c r="V17" s="290"/>
    </row>
    <row r="18" spans="1:22">
      <c r="A18" s="230" t="str">
        <f>IF(OR(J18&gt;0,R18&gt;0),基础信息!$B$1,"")</f>
        <v/>
      </c>
      <c r="B18" s="277"/>
      <c r="C18" s="256"/>
      <c r="D18" s="256"/>
      <c r="E18" s="256"/>
      <c r="F18" s="256"/>
      <c r="G18" s="256"/>
      <c r="H18" s="256"/>
      <c r="I18" s="256"/>
      <c r="J18" s="230">
        <f t="shared" si="0"/>
        <v>0</v>
      </c>
      <c r="K18" s="256"/>
      <c r="L18" s="256"/>
      <c r="M18" s="256"/>
      <c r="N18" s="256"/>
      <c r="O18" s="230">
        <f t="shared" si="1"/>
        <v>0</v>
      </c>
      <c r="P18" s="230">
        <f t="shared" si="2"/>
        <v>0</v>
      </c>
      <c r="Q18" s="230">
        <f t="shared" si="3"/>
        <v>0</v>
      </c>
      <c r="R18" s="230">
        <f t="shared" si="4"/>
        <v>0</v>
      </c>
      <c r="S18" s="290"/>
      <c r="T18" s="290"/>
      <c r="U18" s="290"/>
      <c r="V18" s="29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codeName="Sheet157">
    <tabColor rgb="FFFFC000"/>
  </sheetPr>
  <dimension ref="A1:E13"/>
  <sheetViews>
    <sheetView workbookViewId="0">
      <selection activeCell="J20" sqref="J20"/>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326</v>
      </c>
      <c r="C1" s="18" t="s">
        <v>327</v>
      </c>
      <c r="D1" s="18" t="s">
        <v>328</v>
      </c>
      <c r="E1" s="18" t="s">
        <v>204</v>
      </c>
    </row>
    <row r="2" spans="1:5">
      <c r="A2" s="18" t="s">
        <v>260</v>
      </c>
      <c r="B2" s="139">
        <f>ROUND(SUMIF(债权投资减值准备明细表!$C:$C,债权投资减值准备!B$1,债权投资减值准备明细表!$D:$D),2)</f>
        <v>0</v>
      </c>
      <c r="C2" s="139">
        <f>ROUND(SUMIF(债权投资减值准备明细表!$C:$C,债权投资减值准备!C$1,债权投资减值准备明细表!$D:$D),2)</f>
        <v>0</v>
      </c>
      <c r="D2" s="139">
        <f>ROUND(SUMIF(债权投资减值准备明细表!$C:$C,债权投资减值准备!D$1,债权投资减值准备明细表!$D:$D),2)</f>
        <v>0</v>
      </c>
      <c r="E2" s="134">
        <f>ROUND(SUM(B2:D2),2)</f>
        <v>0</v>
      </c>
    </row>
    <row r="3" spans="1:5">
      <c r="A3" s="18" t="s">
        <v>334</v>
      </c>
      <c r="B3" s="139">
        <f>ROUND(SUMIF(债权投资减值准备明细表!$C:$C,债权投资减值准备!B$1,债权投资减值准备明细表!$E:$E),2)</f>
        <v>0</v>
      </c>
      <c r="C3" s="139">
        <f>ROUND(SUMIF(债权投资减值准备明细表!$C:$C,债权投资减值准备!C$1,债权投资减值准备明细表!$E:$E),2)</f>
        <v>0</v>
      </c>
      <c r="D3" s="139">
        <f>ROUND(SUMIF(债权投资减值准备明细表!$C:$C,债权投资减值准备!D$1,债权投资减值准备明细表!$E:$E),2)</f>
        <v>0</v>
      </c>
      <c r="E3" s="134">
        <f>ROUND(SUM(B3:D3),2)</f>
        <v>0</v>
      </c>
    </row>
    <row r="4" spans="1:5">
      <c r="A4" s="57" t="s">
        <v>335</v>
      </c>
      <c r="B4" s="139">
        <f>ROUND(SUMIF(债权投资减值准备明细表!$C:$C,债权投资减值准备!B$1,债权投资减值准备明细表!$F:$F),2)</f>
        <v>0</v>
      </c>
      <c r="C4" s="139">
        <f>ROUND(SUMIF(债权投资减值准备明细表!$C:$C,债权投资减值准备!C$1,债权投资减值准备明细表!$F:$F),2)</f>
        <v>0</v>
      </c>
      <c r="D4" s="139">
        <f>ROUND(SUMIF(债权投资减值准备明细表!$C:$C,债权投资减值准备!D$1,债权投资减值准备明细表!$F:$F),2)</f>
        <v>0</v>
      </c>
      <c r="E4" s="134">
        <f>ROUND(SUM(B4:D4),2)</f>
        <v>0</v>
      </c>
    </row>
    <row r="5" spans="1:5">
      <c r="A5" s="57" t="s">
        <v>336</v>
      </c>
      <c r="B5" s="139">
        <f>ROUND(SUMIF(债权投资减值准备明细表!$C:$C,债权投资减值准备!B$1,债权投资减值准备明细表!$G:$G),2)</f>
        <v>0</v>
      </c>
      <c r="C5" s="139">
        <f>ROUND(SUMIF(债权投资减值准备明细表!$C:$C,债权投资减值准备!C$1,债权投资减值准备明细表!$G:$G),2)</f>
        <v>0</v>
      </c>
      <c r="D5" s="139">
        <f>ROUND(SUMIF(债权投资减值准备明细表!$C:$C,债权投资减值准备!D$1,债权投资减值准备明细表!$G:$G),2)</f>
        <v>0</v>
      </c>
      <c r="E5" s="134">
        <f>ROUND(SUM(B5:D5),2)</f>
        <v>0</v>
      </c>
    </row>
    <row r="6" spans="1:5">
      <c r="A6" s="57" t="s">
        <v>337</v>
      </c>
      <c r="B6" s="139">
        <f>ROUND(SUMIF(债权投资减值准备明细表!$C:$C,债权投资减值准备!B$1,债权投资减值准备明细表!$H:$H),2)</f>
        <v>0</v>
      </c>
      <c r="C6" s="139">
        <f>ROUND(SUMIF(债权投资减值准备明细表!$C:$C,债权投资减值准备!C$1,债权投资减值准备明细表!$H:$H),2)</f>
        <v>0</v>
      </c>
      <c r="D6" s="139">
        <f>ROUND(SUMIF(债权投资减值准备明细表!$C:$C,债权投资减值准备!D$1,债权投资减值准备明细表!$H:$H),2)</f>
        <v>0</v>
      </c>
      <c r="E6" s="134">
        <f>ROUND(SUM(B6:D6),2)</f>
        <v>0</v>
      </c>
    </row>
    <row r="7" spans="1:5">
      <c r="A7" s="57" t="s">
        <v>338</v>
      </c>
      <c r="B7" s="139">
        <f>ROUND(SUMIF(债权投资减值准备明细表!$C:$C,债权投资减值准备!B$1,债权投资减值准备明细表!$I:$I),2)</f>
        <v>0</v>
      </c>
      <c r="C7" s="139">
        <f>ROUND(SUMIF(债权投资减值准备明细表!$C:$C,债权投资减值准备!C$1,债权投资减值准备明细表!$I:$I),2)</f>
        <v>0</v>
      </c>
      <c r="D7" s="139">
        <f>ROUND(SUMIF(债权投资减值准备明细表!$C:$C,债权投资减值准备!D$1,债权投资减值准备明细表!$I:$I),2)</f>
        <v>0</v>
      </c>
      <c r="E7" s="134">
        <f>ROUND(SUM(B7:D7),2)</f>
        <v>0</v>
      </c>
    </row>
    <row r="8" spans="1:5">
      <c r="A8" s="18" t="s">
        <v>329</v>
      </c>
      <c r="B8" s="139">
        <f>ROUND(SUMIF(债权投资减值准备明细表!$C:$C,债权投资减值准备!B$1,债权投资减值准备明细表!$J:$J),2)</f>
        <v>0</v>
      </c>
      <c r="C8" s="139">
        <f>ROUND(SUMIF(债权投资减值准备明细表!$C:$C,债权投资减值准备!C$1,债权投资减值准备明细表!$J:$J),2)</f>
        <v>0</v>
      </c>
      <c r="D8" s="139">
        <f>ROUND(SUMIF(债权投资减值准备明细表!$C:$C,债权投资减值准备!D$1,债权投资减值准备明细表!$J:$J),2)</f>
        <v>0</v>
      </c>
      <c r="E8" s="134">
        <f>ROUND(SUM(B8:D8),2)</f>
        <v>0</v>
      </c>
    </row>
    <row r="9" spans="1:5">
      <c r="A9" s="18" t="s">
        <v>330</v>
      </c>
      <c r="B9" s="139">
        <f>ROUND(SUMIF(债权投资减值准备明细表!$C:$C,债权投资减值准备!B$1,债权投资减值准备明细表!$K:$K),2)</f>
        <v>0</v>
      </c>
      <c r="C9" s="139">
        <f>ROUND(SUMIF(债权投资减值准备明细表!$C:$C,债权投资减值准备!C$1,债权投资减值准备明细表!$K:$K),2)</f>
        <v>0</v>
      </c>
      <c r="D9" s="139">
        <f>ROUND(SUMIF(债权投资减值准备明细表!$C:$C,债权投资减值准备!D$1,债权投资减值准备明细表!$K:$K),2)</f>
        <v>0</v>
      </c>
      <c r="E9" s="134">
        <f>ROUND(SUM(B9:D9),2)</f>
        <v>0</v>
      </c>
    </row>
    <row r="10" spans="1:5">
      <c r="A10" s="18" t="s">
        <v>331</v>
      </c>
      <c r="B10" s="139">
        <f>ROUND(SUMIF(债权投资减值准备明细表!$C:$C,债权投资减值准备!B$1,债权投资减值准备明细表!$L:$L),2)</f>
        <v>0</v>
      </c>
      <c r="C10" s="139">
        <f>ROUND(SUMIF(债权投资减值准备明细表!$C:$C,债权投资减值准备!C$1,债权投资减值准备明细表!$L:$L),2)</f>
        <v>0</v>
      </c>
      <c r="D10" s="139">
        <f>ROUND(SUMIF(债权投资减值准备明细表!$C:$C,债权投资减值准备!D$1,债权投资减值准备明细表!$L:$L),2)</f>
        <v>0</v>
      </c>
      <c r="E10" s="134">
        <f>ROUND(SUM(B10:D10),2)</f>
        <v>0</v>
      </c>
    </row>
    <row r="11" spans="1:5">
      <c r="A11" s="18" t="s">
        <v>332</v>
      </c>
      <c r="B11" s="139">
        <f>ROUND(SUMIF(债权投资减值准备明细表!$C:$C,债权投资减值准备!B$1,债权投资减值准备明细表!$M:$M),2)</f>
        <v>0</v>
      </c>
      <c r="C11" s="139">
        <f>ROUND(SUMIF(债权投资减值准备明细表!$C:$C,债权投资减值准备!C$1,债权投资减值准备明细表!$M:$M),2)</f>
        <v>0</v>
      </c>
      <c r="D11" s="139">
        <f>ROUND(SUMIF(债权投资减值准备明细表!$C:$C,债权投资减值准备!D$1,债权投资减值准备明细表!$M:$M),2)</f>
        <v>0</v>
      </c>
      <c r="E11" s="134">
        <f>ROUND(SUM(B11:D11),2)</f>
        <v>0</v>
      </c>
    </row>
    <row r="12" spans="1:5">
      <c r="A12" s="18" t="s">
        <v>333</v>
      </c>
      <c r="B12" s="139">
        <f>ROUND(SUMIF(债权投资减值准备明细表!$C:$C,债权投资减值准备!B$1,债权投资减值准备明细表!$N:$N),2)</f>
        <v>0</v>
      </c>
      <c r="C12" s="139">
        <f>ROUND(SUMIF(债权投资减值准备明细表!$C:$C,债权投资减值准备!C$1,债权投资减值准备明细表!$N:$N),2)</f>
        <v>0</v>
      </c>
      <c r="D12" s="139">
        <f>ROUND(SUMIF(债权投资减值准备明细表!$C:$C,债权投资减值准备!D$1,债权投资减值准备明细表!$N:$N),2)</f>
        <v>0</v>
      </c>
      <c r="E12" s="134">
        <f>ROUND(SUM(B12:D12),2)</f>
        <v>0</v>
      </c>
    </row>
    <row r="13" spans="1:5">
      <c r="A13" s="18" t="s">
        <v>258</v>
      </c>
      <c r="B13" s="134">
        <f>ROUND(SUM(B4:B12,B2),2)</f>
        <v>0</v>
      </c>
      <c r="C13" s="134">
        <f>ROUND(SUM(C4:C12,C2),2)</f>
        <v>0</v>
      </c>
      <c r="D13" s="134">
        <f>ROUND(SUM(D4:D12,D2),2)</f>
        <v>0</v>
      </c>
      <c r="E13" s="134">
        <f>ROUND(SUM(E4:E12,E2),2)</f>
        <v>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sheetPr codeName="Sheet158"/>
  <dimension ref="A1:O18"/>
  <sheetViews>
    <sheetView workbookViewId="0">
      <selection activeCell="A4" sqref="A4"/>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2427</v>
      </c>
      <c r="B1" t="s">
        <v>4350</v>
      </c>
      <c r="C1" t="s">
        <v>4374</v>
      </c>
      <c r="D1" t="s">
        <v>610</v>
      </c>
      <c r="E1" s="230" t="s">
        <v>4369</v>
      </c>
      <c r="F1" s="230" t="s">
        <v>4370</v>
      </c>
      <c r="G1" s="230" t="s">
        <v>4371</v>
      </c>
      <c r="H1" s="230" t="s">
        <v>4372</v>
      </c>
      <c r="I1" s="230" t="s">
        <v>4373</v>
      </c>
      <c r="J1" s="230" t="s">
        <v>329</v>
      </c>
      <c r="K1" s="230" t="s">
        <v>330</v>
      </c>
      <c r="L1" s="230" t="s">
        <v>331</v>
      </c>
      <c r="M1" s="230" t="s">
        <v>332</v>
      </c>
      <c r="N1" s="230" t="s">
        <v>333</v>
      </c>
      <c r="O1" s="230" t="s">
        <v>422</v>
      </c>
    </row>
    <row r="2" spans="1:15">
      <c r="A2" s="230" t="str">
        <f>IF(OR(K2&gt;0,S2&gt;0),基础信息!$B$1,"")</f>
        <v/>
      </c>
      <c r="B2" s="277"/>
      <c r="C2" s="277"/>
      <c r="D2" s="256"/>
      <c r="E2" s="230">
        <f>SUM(F2:I2)</f>
        <v>0</v>
      </c>
      <c r="F2" s="290"/>
      <c r="G2" s="290"/>
      <c r="H2" s="290"/>
      <c r="I2" s="290"/>
      <c r="J2" s="290"/>
      <c r="K2" s="290"/>
      <c r="L2" s="290"/>
      <c r="M2" s="290"/>
      <c r="N2" s="290"/>
      <c r="O2" s="230">
        <f>SUM(F2:N2,D2)</f>
        <v>0</v>
      </c>
    </row>
    <row r="3" spans="1:15">
      <c r="A3" s="230" t="str">
        <f>IF(OR(K3&gt;0,S3&gt;0),基础信息!$B$1,"")</f>
        <v/>
      </c>
      <c r="B3" s="277"/>
      <c r="C3" s="277"/>
      <c r="D3" s="256"/>
      <c r="E3" s="230">
        <f t="shared" ref="E3:E18" si="0">SUM(F3:I3)</f>
        <v>0</v>
      </c>
      <c r="F3" s="290"/>
      <c r="G3" s="290"/>
      <c r="H3" s="290"/>
      <c r="I3" s="290"/>
      <c r="J3" s="290"/>
      <c r="K3" s="290"/>
      <c r="L3" s="290"/>
      <c r="M3" s="290"/>
      <c r="N3" s="290"/>
      <c r="O3" s="230">
        <f t="shared" ref="O3:O18" si="1">SUM(F3:N3,D3)</f>
        <v>0</v>
      </c>
    </row>
    <row r="4" spans="1:15">
      <c r="A4" s="230" t="str">
        <f>IF(OR(K4&gt;0,S4&gt;0),基础信息!$B$1,"")</f>
        <v/>
      </c>
      <c r="B4" s="277"/>
      <c r="C4" s="277"/>
      <c r="D4" s="256"/>
      <c r="E4" s="230">
        <f t="shared" si="0"/>
        <v>0</v>
      </c>
      <c r="F4" s="290"/>
      <c r="G4" s="290"/>
      <c r="H4" s="290"/>
      <c r="I4" s="290"/>
      <c r="J4" s="290"/>
      <c r="K4" s="290"/>
      <c r="L4" s="290"/>
      <c r="M4" s="290"/>
      <c r="N4" s="290"/>
      <c r="O4" s="230">
        <f t="shared" si="1"/>
        <v>0</v>
      </c>
    </row>
    <row r="5" spans="1:15">
      <c r="A5" s="230" t="str">
        <f>IF(OR(K5&gt;0,S5&gt;0),基础信息!$B$1,"")</f>
        <v/>
      </c>
      <c r="B5" s="277"/>
      <c r="C5" s="277"/>
      <c r="D5" s="256"/>
      <c r="E5" s="230">
        <f t="shared" si="0"/>
        <v>0</v>
      </c>
      <c r="F5" s="290"/>
      <c r="G5" s="290"/>
      <c r="H5" s="290"/>
      <c r="I5" s="290"/>
      <c r="J5" s="290"/>
      <c r="K5" s="290"/>
      <c r="L5" s="290"/>
      <c r="M5" s="290"/>
      <c r="N5" s="290"/>
      <c r="O5" s="230">
        <f t="shared" si="1"/>
        <v>0</v>
      </c>
    </row>
    <row r="6" spans="1:15">
      <c r="A6" s="230" t="str">
        <f>IF(OR(K6&gt;0,S6&gt;0),基础信息!$B$1,"")</f>
        <v/>
      </c>
      <c r="B6" s="277"/>
      <c r="C6" s="277"/>
      <c r="D6" s="256"/>
      <c r="E6" s="230">
        <f t="shared" si="0"/>
        <v>0</v>
      </c>
      <c r="F6" s="290"/>
      <c r="G6" s="290"/>
      <c r="H6" s="290"/>
      <c r="I6" s="290"/>
      <c r="J6" s="290"/>
      <c r="K6" s="290"/>
      <c r="L6" s="290"/>
      <c r="M6" s="290"/>
      <c r="N6" s="290"/>
      <c r="O6" s="230">
        <f t="shared" si="1"/>
        <v>0</v>
      </c>
    </row>
    <row r="7" spans="1:15">
      <c r="A7" s="230" t="str">
        <f>IF(OR(K7&gt;0,S7&gt;0),基础信息!$B$1,"")</f>
        <v/>
      </c>
      <c r="B7" s="277"/>
      <c r="C7" s="277"/>
      <c r="D7" s="256"/>
      <c r="E7" s="230">
        <f t="shared" si="0"/>
        <v>0</v>
      </c>
      <c r="F7" s="290"/>
      <c r="G7" s="290"/>
      <c r="H7" s="290"/>
      <c r="I7" s="290"/>
      <c r="J7" s="290"/>
      <c r="K7" s="290"/>
      <c r="L7" s="290"/>
      <c r="M7" s="290"/>
      <c r="N7" s="290"/>
      <c r="O7" s="230">
        <f t="shared" si="1"/>
        <v>0</v>
      </c>
    </row>
    <row r="8" spans="1:15">
      <c r="A8" s="230" t="str">
        <f>IF(OR(K8&gt;0,S8&gt;0),基础信息!$B$1,"")</f>
        <v/>
      </c>
      <c r="B8" s="277"/>
      <c r="C8" s="277"/>
      <c r="D8" s="256"/>
      <c r="E8" s="230">
        <f t="shared" si="0"/>
        <v>0</v>
      </c>
      <c r="F8" s="290"/>
      <c r="G8" s="290"/>
      <c r="H8" s="290"/>
      <c r="I8" s="290"/>
      <c r="J8" s="290"/>
      <c r="K8" s="290"/>
      <c r="L8" s="290"/>
      <c r="M8" s="290"/>
      <c r="N8" s="290"/>
      <c r="O8" s="230">
        <f t="shared" si="1"/>
        <v>0</v>
      </c>
    </row>
    <row r="9" spans="1:15">
      <c r="A9" s="230" t="str">
        <f>IF(OR(K9&gt;0,S9&gt;0),基础信息!$B$1,"")</f>
        <v/>
      </c>
      <c r="B9" s="277"/>
      <c r="C9" s="277"/>
      <c r="D9" s="256"/>
      <c r="E9" s="230">
        <f t="shared" si="0"/>
        <v>0</v>
      </c>
      <c r="F9" s="290"/>
      <c r="G9" s="290"/>
      <c r="H9" s="290"/>
      <c r="I9" s="290"/>
      <c r="J9" s="290"/>
      <c r="K9" s="290"/>
      <c r="L9" s="290"/>
      <c r="M9" s="290"/>
      <c r="N9" s="290"/>
      <c r="O9" s="230">
        <f t="shared" si="1"/>
        <v>0</v>
      </c>
    </row>
    <row r="10" spans="1:15">
      <c r="A10" s="230" t="str">
        <f>IF(OR(K10&gt;0,S10&gt;0),基础信息!$B$1,"")</f>
        <v/>
      </c>
      <c r="B10" s="277"/>
      <c r="C10" s="277"/>
      <c r="D10" s="256"/>
      <c r="E10" s="230">
        <f t="shared" si="0"/>
        <v>0</v>
      </c>
      <c r="F10" s="290"/>
      <c r="G10" s="290"/>
      <c r="H10" s="290"/>
      <c r="I10" s="290"/>
      <c r="J10" s="290"/>
      <c r="K10" s="290"/>
      <c r="L10" s="290"/>
      <c r="M10" s="290"/>
      <c r="N10" s="290"/>
      <c r="O10" s="230">
        <f t="shared" si="1"/>
        <v>0</v>
      </c>
    </row>
    <row r="11" spans="1:15">
      <c r="A11" s="230" t="str">
        <f>IF(OR(K11&gt;0,S11&gt;0),基础信息!$B$1,"")</f>
        <v/>
      </c>
      <c r="B11" s="277"/>
      <c r="C11" s="277"/>
      <c r="D11" s="256"/>
      <c r="E11" s="230">
        <f t="shared" si="0"/>
        <v>0</v>
      </c>
      <c r="F11" s="290"/>
      <c r="G11" s="290"/>
      <c r="H11" s="290"/>
      <c r="I11" s="290"/>
      <c r="J11" s="290"/>
      <c r="K11" s="290"/>
      <c r="L11" s="290"/>
      <c r="M11" s="290"/>
      <c r="N11" s="290"/>
      <c r="O11" s="230">
        <f t="shared" si="1"/>
        <v>0</v>
      </c>
    </row>
    <row r="12" spans="1:15">
      <c r="A12" s="230" t="str">
        <f>IF(OR(K12&gt;0,S12&gt;0),基础信息!$B$1,"")</f>
        <v/>
      </c>
      <c r="B12" s="277"/>
      <c r="C12" s="277"/>
      <c r="D12" s="256"/>
      <c r="E12" s="230">
        <f t="shared" si="0"/>
        <v>0</v>
      </c>
      <c r="F12" s="290"/>
      <c r="G12" s="290"/>
      <c r="H12" s="290"/>
      <c r="I12" s="290"/>
      <c r="J12" s="290"/>
      <c r="K12" s="290"/>
      <c r="L12" s="290"/>
      <c r="M12" s="290"/>
      <c r="N12" s="290"/>
      <c r="O12" s="230">
        <f t="shared" si="1"/>
        <v>0</v>
      </c>
    </row>
    <row r="13" spans="1:15">
      <c r="A13" s="230" t="str">
        <f>IF(OR(K13&gt;0,S13&gt;0),基础信息!$B$1,"")</f>
        <v/>
      </c>
      <c r="B13" s="277"/>
      <c r="C13" s="277"/>
      <c r="D13" s="256"/>
      <c r="E13" s="230">
        <f t="shared" si="0"/>
        <v>0</v>
      </c>
      <c r="F13" s="290"/>
      <c r="G13" s="290"/>
      <c r="H13" s="290"/>
      <c r="I13" s="290"/>
      <c r="J13" s="290"/>
      <c r="K13" s="290"/>
      <c r="L13" s="290"/>
      <c r="M13" s="290"/>
      <c r="N13" s="290"/>
      <c r="O13" s="230">
        <f t="shared" si="1"/>
        <v>0</v>
      </c>
    </row>
    <row r="14" spans="1:15">
      <c r="A14" s="230" t="str">
        <f>IF(OR(K14&gt;0,S14&gt;0),基础信息!$B$1,"")</f>
        <v/>
      </c>
      <c r="B14" s="277"/>
      <c r="C14" s="277"/>
      <c r="D14" s="256"/>
      <c r="E14" s="230">
        <f t="shared" si="0"/>
        <v>0</v>
      </c>
      <c r="F14" s="290"/>
      <c r="G14" s="290"/>
      <c r="H14" s="290"/>
      <c r="I14" s="290"/>
      <c r="J14" s="290"/>
      <c r="K14" s="290"/>
      <c r="L14" s="290"/>
      <c r="M14" s="290"/>
      <c r="N14" s="290"/>
      <c r="O14" s="230">
        <f t="shared" si="1"/>
        <v>0</v>
      </c>
    </row>
    <row r="15" spans="1:15">
      <c r="A15" s="230" t="str">
        <f>IF(OR(K15&gt;0,S15&gt;0),基础信息!$B$1,"")</f>
        <v/>
      </c>
      <c r="B15" s="277"/>
      <c r="C15" s="277"/>
      <c r="D15" s="256"/>
      <c r="E15" s="230">
        <f t="shared" si="0"/>
        <v>0</v>
      </c>
      <c r="F15" s="290"/>
      <c r="G15" s="290"/>
      <c r="H15" s="290"/>
      <c r="I15" s="290"/>
      <c r="J15" s="290"/>
      <c r="K15" s="290"/>
      <c r="L15" s="290"/>
      <c r="M15" s="290"/>
      <c r="N15" s="290"/>
      <c r="O15" s="230">
        <f t="shared" si="1"/>
        <v>0</v>
      </c>
    </row>
    <row r="16" spans="1:15">
      <c r="A16" s="230" t="str">
        <f>IF(OR(K16&gt;0,S16&gt;0),基础信息!$B$1,"")</f>
        <v/>
      </c>
      <c r="B16" s="277"/>
      <c r="C16" s="277"/>
      <c r="D16" s="256"/>
      <c r="E16" s="230">
        <f t="shared" si="0"/>
        <v>0</v>
      </c>
      <c r="F16" s="290"/>
      <c r="G16" s="290"/>
      <c r="H16" s="290"/>
      <c r="I16" s="290"/>
      <c r="J16" s="290"/>
      <c r="K16" s="290"/>
      <c r="L16" s="290"/>
      <c r="M16" s="290"/>
      <c r="N16" s="290"/>
      <c r="O16" s="230">
        <f t="shared" si="1"/>
        <v>0</v>
      </c>
    </row>
    <row r="17" spans="1:15">
      <c r="A17" s="230" t="str">
        <f>IF(OR(K17&gt;0,S17&gt;0),基础信息!$B$1,"")</f>
        <v/>
      </c>
      <c r="B17" s="277"/>
      <c r="C17" s="277"/>
      <c r="D17" s="256"/>
      <c r="E17" s="230">
        <f t="shared" si="0"/>
        <v>0</v>
      </c>
      <c r="F17" s="290"/>
      <c r="G17" s="290"/>
      <c r="H17" s="290"/>
      <c r="I17" s="290"/>
      <c r="J17" s="290"/>
      <c r="K17" s="290"/>
      <c r="L17" s="290"/>
      <c r="M17" s="290"/>
      <c r="N17" s="290"/>
      <c r="O17" s="230">
        <f t="shared" si="1"/>
        <v>0</v>
      </c>
    </row>
    <row r="18" spans="1:15">
      <c r="A18" s="230" t="str">
        <f>IF(OR(K18&gt;0,S18&gt;0),基础信息!$B$1,"")</f>
        <v/>
      </c>
      <c r="B18" s="277"/>
      <c r="C18" s="277"/>
      <c r="D18" s="256"/>
      <c r="E18" s="230">
        <f t="shared" si="0"/>
        <v>0</v>
      </c>
      <c r="F18" s="290"/>
      <c r="G18" s="290"/>
      <c r="H18" s="290"/>
      <c r="I18" s="290"/>
      <c r="J18" s="290"/>
      <c r="K18" s="290"/>
      <c r="L18" s="290"/>
      <c r="M18" s="290"/>
      <c r="N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codeName="Sheet159">
    <tabColor rgb="FFFFC000"/>
  </sheetPr>
  <dimension ref="A1:E5"/>
  <sheetViews>
    <sheetView workbookViewId="0">
      <selection activeCell="J17" sqref="J17"/>
    </sheetView>
  </sheetViews>
  <sheetFormatPr defaultRowHeight="13.8"/>
  <cols>
    <col min="1" max="16384" width="8.88671875" style="18"/>
  </cols>
  <sheetData>
    <row r="1" spans="1:5" ht="14.4">
      <c r="A1" s="20" t="s">
        <v>28</v>
      </c>
      <c r="B1" s="20" t="s">
        <v>401</v>
      </c>
      <c r="C1" s="19" t="s">
        <v>402</v>
      </c>
      <c r="D1" s="19" t="s">
        <v>403</v>
      </c>
      <c r="E1" s="20" t="s">
        <v>404</v>
      </c>
    </row>
    <row r="2" spans="1:5" ht="14.4">
      <c r="A2" s="269"/>
      <c r="B2" s="281"/>
      <c r="C2" s="281"/>
      <c r="D2" s="281"/>
      <c r="E2" s="282"/>
    </row>
    <row r="3" spans="1:5" ht="14.4">
      <c r="A3" s="269"/>
      <c r="B3" s="281"/>
      <c r="C3" s="281"/>
      <c r="D3" s="281"/>
      <c r="E3" s="282"/>
    </row>
    <row r="4" spans="1:5" ht="14.4">
      <c r="A4" s="269"/>
      <c r="B4" s="281"/>
      <c r="C4" s="281"/>
      <c r="D4" s="281"/>
      <c r="E4" s="282"/>
    </row>
    <row r="5" spans="1:5" ht="14.4">
      <c r="A5" s="18" t="s">
        <v>204</v>
      </c>
      <c r="B5" s="21">
        <f>ROUND(SUM(B2:B4),2)</f>
        <v>0</v>
      </c>
      <c r="C5" s="21">
        <f>ROUND(SUM(C2:C4),2)</f>
        <v>0</v>
      </c>
      <c r="D5" s="21">
        <f>ROUND(SUM(D2:D4),2)</f>
        <v>0</v>
      </c>
      <c r="E5" s="21">
        <f>ROUND(SUM(E2:E4),2)</f>
        <v>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sheetPr codeName="Sheet16"/>
  <dimension ref="A1:O34"/>
  <sheetViews>
    <sheetView workbookViewId="0">
      <pane xSplit="1" ySplit="1" topLeftCell="B2" activePane="bottomRight" state="frozen"/>
      <selection pane="topRight" activeCell="B1" sqref="B1"/>
      <selection pane="bottomLeft" activeCell="A2" sqref="A2"/>
      <selection pane="bottomRight" activeCell="J34" sqref="J34"/>
    </sheetView>
  </sheetViews>
  <sheetFormatPr defaultRowHeight="11.4"/>
  <cols>
    <col min="1" max="1" width="35.6640625" style="143" bestFit="1" customWidth="1"/>
    <col min="2" max="2" width="15.33203125" style="143" bestFit="1" customWidth="1"/>
    <col min="3" max="5" width="6.5546875" style="143" bestFit="1" customWidth="1"/>
    <col min="6" max="6" width="8.109375" style="143" bestFit="1" customWidth="1"/>
    <col min="7" max="7" width="9" style="143" bestFit="1" customWidth="1"/>
    <col min="8" max="8" width="11.44140625" style="143" bestFit="1" customWidth="1"/>
    <col min="9" max="9" width="8.109375" style="143" bestFit="1" customWidth="1"/>
    <col min="10" max="10" width="8" style="143" bestFit="1" customWidth="1"/>
    <col min="11" max="11" width="13.44140625" style="143" bestFit="1" customWidth="1"/>
    <col min="12" max="12" width="15.109375" style="143" bestFit="1" customWidth="1"/>
    <col min="13" max="13" width="24.33203125" style="143" bestFit="1" customWidth="1"/>
    <col min="14" max="14" width="14.21875" style="143" bestFit="1" customWidth="1"/>
    <col min="15" max="15" width="15.109375" style="143" bestFit="1" customWidth="1"/>
    <col min="16" max="16384" width="8.88671875" style="143"/>
  </cols>
  <sheetData>
    <row r="1" spans="1:15">
      <c r="A1" s="142" t="s">
        <v>1514</v>
      </c>
      <c r="B1" s="142" t="s">
        <v>1515</v>
      </c>
      <c r="C1" s="142" t="s">
        <v>1090</v>
      </c>
      <c r="D1" s="142" t="s">
        <v>1516</v>
      </c>
      <c r="E1" s="142" t="s">
        <v>423</v>
      </c>
      <c r="F1" s="142" t="s">
        <v>1517</v>
      </c>
      <c r="G1" s="142" t="s">
        <v>1518</v>
      </c>
      <c r="H1" s="142" t="s">
        <v>69</v>
      </c>
      <c r="I1" s="142" t="s">
        <v>1519</v>
      </c>
      <c r="J1" s="142" t="s">
        <v>71</v>
      </c>
      <c r="K1" s="142" t="s">
        <v>1520</v>
      </c>
      <c r="L1" s="142" t="s">
        <v>73</v>
      </c>
      <c r="M1" s="142" t="s">
        <v>1521</v>
      </c>
      <c r="N1" s="142" t="s">
        <v>1522</v>
      </c>
      <c r="O1" s="142" t="s">
        <v>1523</v>
      </c>
    </row>
    <row r="2" spans="1:15">
      <c r="A2" s="144" t="s">
        <v>1503</v>
      </c>
      <c r="B2" s="145">
        <f>ROUND(上期所有者权益变动表!B34,2)</f>
        <v>0</v>
      </c>
      <c r="C2" s="145">
        <f>ROUND(上期所有者权益变动表!C34,2)</f>
        <v>0</v>
      </c>
      <c r="D2" s="145">
        <f>ROUND(上期所有者权益变动表!D34,2)</f>
        <v>0</v>
      </c>
      <c r="E2" s="145">
        <f>ROUND(上期所有者权益变动表!E34,2)</f>
        <v>0</v>
      </c>
      <c r="F2" s="145">
        <f>ROUND(上期所有者权益变动表!F34,2)</f>
        <v>0</v>
      </c>
      <c r="G2" s="145">
        <f>ROUND(上期所有者权益变动表!G34,2)</f>
        <v>0</v>
      </c>
      <c r="H2" s="145">
        <f>ROUND(上期所有者权益变动表!H34,2)</f>
        <v>0</v>
      </c>
      <c r="I2" s="145">
        <f>ROUND(上期所有者权益变动表!I34,2)</f>
        <v>0</v>
      </c>
      <c r="J2" s="145">
        <f>ROUND(上期所有者权益变动表!J34,2)</f>
        <v>0</v>
      </c>
      <c r="K2" s="145">
        <f>ROUND(上期所有者权益变动表!K34,2)</f>
        <v>0</v>
      </c>
      <c r="L2" s="145">
        <f>ROUND(上期所有者权益变动表!L34,2)</f>
        <v>286220514.49000001</v>
      </c>
      <c r="M2" s="146">
        <f>ROUND(SUM(B2:L2),2)</f>
        <v>286220514.49000001</v>
      </c>
      <c r="N2" s="145">
        <f>ROUND(上期所有者权益变动表!N34,2)</f>
        <v>0</v>
      </c>
      <c r="O2" s="146">
        <f>ROUND(M2+N2,2)</f>
        <v>286220514.49000001</v>
      </c>
    </row>
    <row r="3" spans="1:15">
      <c r="A3" s="147" t="s">
        <v>1504</v>
      </c>
      <c r="B3" s="145"/>
      <c r="C3" s="145"/>
      <c r="D3" s="145"/>
      <c r="E3" s="145"/>
      <c r="F3" s="145"/>
      <c r="G3" s="145"/>
      <c r="H3" s="145"/>
      <c r="I3" s="145"/>
      <c r="J3" s="145"/>
      <c r="K3" s="145"/>
      <c r="L3" s="145"/>
      <c r="M3" s="146">
        <f t="shared" ref="M3:M34" si="0">ROUND(SUM(B3:L3),2)</f>
        <v>0</v>
      </c>
      <c r="N3" s="145"/>
      <c r="O3" s="146">
        <f t="shared" ref="O3:O34" si="1">ROUND(M3+N3,2)</f>
        <v>0</v>
      </c>
    </row>
    <row r="4" spans="1:15">
      <c r="A4" s="147" t="s">
        <v>1505</v>
      </c>
      <c r="B4" s="145"/>
      <c r="C4" s="145"/>
      <c r="D4" s="145"/>
      <c r="E4" s="145"/>
      <c r="F4" s="145"/>
      <c r="G4" s="145"/>
      <c r="H4" s="145"/>
      <c r="I4" s="145"/>
      <c r="J4" s="145"/>
      <c r="K4" s="145"/>
      <c r="L4" s="145"/>
      <c r="M4" s="146">
        <f t="shared" si="0"/>
        <v>0</v>
      </c>
      <c r="N4" s="145"/>
      <c r="O4" s="146">
        <f t="shared" si="1"/>
        <v>0</v>
      </c>
    </row>
    <row r="5" spans="1:15">
      <c r="A5" s="147" t="s">
        <v>5477</v>
      </c>
      <c r="B5" s="145"/>
      <c r="C5" s="145"/>
      <c r="D5" s="145"/>
      <c r="E5" s="145"/>
      <c r="F5" s="145"/>
      <c r="G5" s="145"/>
      <c r="H5" s="145"/>
      <c r="I5" s="145"/>
      <c r="J5" s="145"/>
      <c r="K5" s="145"/>
      <c r="L5" s="145"/>
      <c r="M5" s="146">
        <f t="shared" si="0"/>
        <v>0</v>
      </c>
      <c r="N5" s="145"/>
      <c r="O5" s="146">
        <f t="shared" si="1"/>
        <v>0</v>
      </c>
    </row>
    <row r="6" spans="1:15">
      <c r="A6" s="144" t="s">
        <v>1506</v>
      </c>
      <c r="B6" s="146">
        <f>ROUND(SUM(B2:B5),2)</f>
        <v>0</v>
      </c>
      <c r="C6" s="146">
        <f t="shared" ref="C6:N6" si="2">ROUND(SUM(C2:C5),2)</f>
        <v>0</v>
      </c>
      <c r="D6" s="146">
        <f t="shared" si="2"/>
        <v>0</v>
      </c>
      <c r="E6" s="146">
        <f t="shared" si="2"/>
        <v>0</v>
      </c>
      <c r="F6" s="146">
        <f t="shared" si="2"/>
        <v>0</v>
      </c>
      <c r="G6" s="146">
        <f t="shared" si="2"/>
        <v>0</v>
      </c>
      <c r="H6" s="146">
        <f t="shared" si="2"/>
        <v>0</v>
      </c>
      <c r="I6" s="146">
        <f t="shared" si="2"/>
        <v>0</v>
      </c>
      <c r="J6" s="146">
        <f t="shared" si="2"/>
        <v>0</v>
      </c>
      <c r="K6" s="146">
        <f t="shared" si="2"/>
        <v>0</v>
      </c>
      <c r="L6" s="146">
        <f t="shared" si="2"/>
        <v>286220514.49000001</v>
      </c>
      <c r="M6" s="146">
        <f t="shared" si="0"/>
        <v>286220514.49000001</v>
      </c>
      <c r="N6" s="146">
        <f t="shared" si="2"/>
        <v>0</v>
      </c>
      <c r="O6" s="146">
        <f t="shared" si="1"/>
        <v>286220514.49000001</v>
      </c>
    </row>
    <row r="7" spans="1:15" ht="21.6">
      <c r="A7" s="148" t="s">
        <v>3998</v>
      </c>
      <c r="B7" s="146">
        <f>ROUND(B8+B9+B14+B17+B27,2)</f>
        <v>0</v>
      </c>
      <c r="C7" s="146">
        <f t="shared" ref="C7:N7" si="3">ROUND(C8+C9+C14+C17+C27,2)</f>
        <v>0</v>
      </c>
      <c r="D7" s="146">
        <f t="shared" si="3"/>
        <v>0</v>
      </c>
      <c r="E7" s="146">
        <f t="shared" si="3"/>
        <v>0</v>
      </c>
      <c r="F7" s="146">
        <f t="shared" si="3"/>
        <v>0</v>
      </c>
      <c r="G7" s="146">
        <f t="shared" si="3"/>
        <v>0</v>
      </c>
      <c r="H7" s="146">
        <f t="shared" si="3"/>
        <v>0</v>
      </c>
      <c r="I7" s="146">
        <f t="shared" si="3"/>
        <v>0</v>
      </c>
      <c r="J7" s="146">
        <f t="shared" si="3"/>
        <v>0</v>
      </c>
      <c r="K7" s="146">
        <f t="shared" si="3"/>
        <v>0</v>
      </c>
      <c r="L7" s="146">
        <f t="shared" si="3"/>
        <v>246130378.22999999</v>
      </c>
      <c r="M7" s="146">
        <f t="shared" si="0"/>
        <v>246130378.22999999</v>
      </c>
      <c r="N7" s="146">
        <f t="shared" si="3"/>
        <v>0</v>
      </c>
      <c r="O7" s="146">
        <f t="shared" si="1"/>
        <v>246130378.22999999</v>
      </c>
    </row>
    <row r="8" spans="1:15">
      <c r="A8" s="147" t="s">
        <v>1508</v>
      </c>
      <c r="B8" s="145"/>
      <c r="C8" s="145"/>
      <c r="D8" s="145"/>
      <c r="E8" s="145"/>
      <c r="F8" s="145"/>
      <c r="G8" s="145"/>
      <c r="H8" s="145">
        <f>ROUND(本期TB!H216,2)</f>
        <v>0</v>
      </c>
      <c r="I8" s="145"/>
      <c r="J8" s="145"/>
      <c r="K8" s="145"/>
      <c r="L8" s="145">
        <f>ROUND(本期TB!H213,2)</f>
        <v>246130378.22999999</v>
      </c>
      <c r="M8" s="146">
        <f t="shared" si="0"/>
        <v>246130378.22999999</v>
      </c>
      <c r="N8" s="145">
        <f>ROUND(本期TB!H236,2)</f>
        <v>0</v>
      </c>
      <c r="O8" s="146">
        <f t="shared" si="1"/>
        <v>246130378.22999999</v>
      </c>
    </row>
    <row r="9" spans="1:15">
      <c r="A9" s="147" t="s">
        <v>1509</v>
      </c>
      <c r="B9" s="146">
        <f>ROUND(SUM(B10:B13),2)</f>
        <v>0</v>
      </c>
      <c r="C9" s="146">
        <f t="shared" ref="C9:N9" si="4">ROUND(SUM(C10:C13),2)</f>
        <v>0</v>
      </c>
      <c r="D9" s="146">
        <f t="shared" si="4"/>
        <v>0</v>
      </c>
      <c r="E9" s="146">
        <f t="shared" si="4"/>
        <v>0</v>
      </c>
      <c r="F9" s="146">
        <f t="shared" si="4"/>
        <v>0</v>
      </c>
      <c r="G9" s="146">
        <f t="shared" si="4"/>
        <v>0</v>
      </c>
      <c r="H9" s="146">
        <f t="shared" si="4"/>
        <v>0</v>
      </c>
      <c r="I9" s="146">
        <f t="shared" si="4"/>
        <v>0</v>
      </c>
      <c r="J9" s="146">
        <f t="shared" si="4"/>
        <v>0</v>
      </c>
      <c r="K9" s="146">
        <f t="shared" si="4"/>
        <v>0</v>
      </c>
      <c r="L9" s="146">
        <f t="shared" si="4"/>
        <v>0</v>
      </c>
      <c r="M9" s="146">
        <f t="shared" si="0"/>
        <v>0</v>
      </c>
      <c r="N9" s="146">
        <f t="shared" si="4"/>
        <v>0</v>
      </c>
      <c r="O9" s="146">
        <f t="shared" si="1"/>
        <v>0</v>
      </c>
    </row>
    <row r="10" spans="1:15">
      <c r="A10" s="147" t="s">
        <v>1557</v>
      </c>
      <c r="B10" s="145"/>
      <c r="C10" s="145"/>
      <c r="D10" s="145"/>
      <c r="E10" s="145"/>
      <c r="F10" s="145"/>
      <c r="G10" s="145"/>
      <c r="H10" s="145"/>
      <c r="I10" s="145"/>
      <c r="J10" s="145"/>
      <c r="K10" s="145"/>
      <c r="L10" s="145"/>
      <c r="M10" s="146">
        <f t="shared" si="0"/>
        <v>0</v>
      </c>
      <c r="N10" s="145"/>
      <c r="O10" s="146">
        <f t="shared" si="1"/>
        <v>0</v>
      </c>
    </row>
    <row r="11" spans="1:15">
      <c r="A11" s="147" t="s">
        <v>1558</v>
      </c>
      <c r="B11" s="145"/>
      <c r="C11" s="145"/>
      <c r="D11" s="145"/>
      <c r="E11" s="145"/>
      <c r="F11" s="145"/>
      <c r="G11" s="145"/>
      <c r="H11" s="145"/>
      <c r="I11" s="145"/>
      <c r="J11" s="145"/>
      <c r="K11" s="145"/>
      <c r="L11" s="145"/>
      <c r="M11" s="146">
        <f t="shared" si="0"/>
        <v>0</v>
      </c>
      <c r="N11" s="145"/>
      <c r="O11" s="146">
        <f t="shared" si="1"/>
        <v>0</v>
      </c>
    </row>
    <row r="12" spans="1:15">
      <c r="A12" s="147" t="s">
        <v>1559</v>
      </c>
      <c r="B12" s="145"/>
      <c r="C12" s="145"/>
      <c r="D12" s="145"/>
      <c r="E12" s="145"/>
      <c r="F12" s="145"/>
      <c r="G12" s="145"/>
      <c r="H12" s="145"/>
      <c r="I12" s="145"/>
      <c r="J12" s="145"/>
      <c r="K12" s="145"/>
      <c r="L12" s="145"/>
      <c r="M12" s="146">
        <f t="shared" si="0"/>
        <v>0</v>
      </c>
      <c r="N12" s="145"/>
      <c r="O12" s="146">
        <f t="shared" si="1"/>
        <v>0</v>
      </c>
    </row>
    <row r="13" spans="1:15">
      <c r="A13" s="147" t="s">
        <v>5476</v>
      </c>
      <c r="B13" s="145"/>
      <c r="C13" s="145"/>
      <c r="D13" s="145"/>
      <c r="E13" s="145"/>
      <c r="F13" s="145"/>
      <c r="G13" s="145"/>
      <c r="H13" s="145"/>
      <c r="I13" s="145"/>
      <c r="J13" s="145"/>
      <c r="K13" s="145"/>
      <c r="L13" s="145"/>
      <c r="M13" s="146">
        <f t="shared" si="0"/>
        <v>0</v>
      </c>
      <c r="N13" s="145"/>
      <c r="O13" s="146">
        <f t="shared" si="1"/>
        <v>0</v>
      </c>
    </row>
    <row r="14" spans="1:15">
      <c r="A14" s="147" t="s">
        <v>4002</v>
      </c>
      <c r="B14" s="146">
        <f>ROUND(SUM(B15:B16),2)</f>
        <v>0</v>
      </c>
      <c r="C14" s="146">
        <f t="shared" ref="C14:N14" si="5">ROUND(SUM(C15:C16),2)</f>
        <v>0</v>
      </c>
      <c r="D14" s="146">
        <f t="shared" si="5"/>
        <v>0</v>
      </c>
      <c r="E14" s="146">
        <f t="shared" si="5"/>
        <v>0</v>
      </c>
      <c r="F14" s="146">
        <f t="shared" si="5"/>
        <v>0</v>
      </c>
      <c r="G14" s="146">
        <f t="shared" si="5"/>
        <v>0</v>
      </c>
      <c r="H14" s="146">
        <f t="shared" si="5"/>
        <v>0</v>
      </c>
      <c r="I14" s="146">
        <f t="shared" si="5"/>
        <v>0</v>
      </c>
      <c r="J14" s="146">
        <f t="shared" si="5"/>
        <v>0</v>
      </c>
      <c r="K14" s="146">
        <f t="shared" si="5"/>
        <v>0</v>
      </c>
      <c r="L14" s="146">
        <f t="shared" si="5"/>
        <v>0</v>
      </c>
      <c r="M14" s="146">
        <f t="shared" si="0"/>
        <v>0</v>
      </c>
      <c r="N14" s="146">
        <f t="shared" si="5"/>
        <v>0</v>
      </c>
      <c r="O14" s="146">
        <f t="shared" si="1"/>
        <v>0</v>
      </c>
    </row>
    <row r="15" spans="1:15">
      <c r="A15" s="147" t="s">
        <v>1560</v>
      </c>
      <c r="B15" s="145"/>
      <c r="C15" s="145"/>
      <c r="D15" s="145"/>
      <c r="E15" s="145"/>
      <c r="F15" s="145"/>
      <c r="G15" s="145"/>
      <c r="H15" s="145"/>
      <c r="I15" s="145"/>
      <c r="J15" s="145"/>
      <c r="K15" s="145"/>
      <c r="L15" s="145"/>
      <c r="M15" s="146">
        <f t="shared" si="0"/>
        <v>0</v>
      </c>
      <c r="N15" s="145"/>
      <c r="O15" s="146">
        <f t="shared" si="1"/>
        <v>0</v>
      </c>
    </row>
    <row r="16" spans="1:15">
      <c r="A16" s="147" t="s">
        <v>1561</v>
      </c>
      <c r="B16" s="145"/>
      <c r="C16" s="145"/>
      <c r="D16" s="145"/>
      <c r="E16" s="145"/>
      <c r="F16" s="145"/>
      <c r="G16" s="145"/>
      <c r="H16" s="145"/>
      <c r="I16" s="145"/>
      <c r="J16" s="145"/>
      <c r="K16" s="145"/>
      <c r="L16" s="145"/>
      <c r="M16" s="146">
        <f t="shared" si="0"/>
        <v>0</v>
      </c>
      <c r="N16" s="145"/>
      <c r="O16" s="146">
        <f t="shared" si="1"/>
        <v>0</v>
      </c>
    </row>
    <row r="17" spans="1:15">
      <c r="A17" s="147" t="s">
        <v>3999</v>
      </c>
      <c r="B17" s="146">
        <f>ROUND(SUM(B18,B24,B25,B26),2)</f>
        <v>0</v>
      </c>
      <c r="C17" s="146">
        <f t="shared" ref="C17:N17" si="6">ROUND(SUM(C18,C24,C25,C26),2)</f>
        <v>0</v>
      </c>
      <c r="D17" s="146">
        <f t="shared" si="6"/>
        <v>0</v>
      </c>
      <c r="E17" s="146">
        <f t="shared" si="6"/>
        <v>0</v>
      </c>
      <c r="F17" s="146">
        <f t="shared" si="6"/>
        <v>0</v>
      </c>
      <c r="G17" s="146">
        <f t="shared" si="6"/>
        <v>0</v>
      </c>
      <c r="H17" s="146">
        <f t="shared" si="6"/>
        <v>0</v>
      </c>
      <c r="I17" s="146">
        <f t="shared" si="6"/>
        <v>0</v>
      </c>
      <c r="J17" s="146">
        <f t="shared" si="6"/>
        <v>0</v>
      </c>
      <c r="K17" s="146">
        <f t="shared" si="6"/>
        <v>0</v>
      </c>
      <c r="L17" s="146">
        <f t="shared" si="6"/>
        <v>0</v>
      </c>
      <c r="M17" s="146">
        <f t="shared" si="0"/>
        <v>0</v>
      </c>
      <c r="N17" s="146">
        <f t="shared" si="6"/>
        <v>0</v>
      </c>
      <c r="O17" s="146">
        <f t="shared" si="1"/>
        <v>0</v>
      </c>
    </row>
    <row r="18" spans="1:15">
      <c r="A18" s="147" t="s">
        <v>1562</v>
      </c>
      <c r="B18" s="146">
        <f>ROUND(SUM(B19:B23),2)</f>
        <v>0</v>
      </c>
      <c r="C18" s="146">
        <f t="shared" ref="C18:N18" si="7">ROUND(SUM(C19:C23),2)</f>
        <v>0</v>
      </c>
      <c r="D18" s="146">
        <f t="shared" si="7"/>
        <v>0</v>
      </c>
      <c r="E18" s="146">
        <f t="shared" si="7"/>
        <v>0</v>
      </c>
      <c r="F18" s="146">
        <f t="shared" si="7"/>
        <v>0</v>
      </c>
      <c r="G18" s="146">
        <f t="shared" si="7"/>
        <v>0</v>
      </c>
      <c r="H18" s="146">
        <f t="shared" si="7"/>
        <v>0</v>
      </c>
      <c r="I18" s="146">
        <f t="shared" si="7"/>
        <v>0</v>
      </c>
      <c r="J18" s="146">
        <f t="shared" si="7"/>
        <v>0</v>
      </c>
      <c r="K18" s="146">
        <f t="shared" si="7"/>
        <v>0</v>
      </c>
      <c r="L18" s="146">
        <f t="shared" si="7"/>
        <v>0</v>
      </c>
      <c r="M18" s="146">
        <f t="shared" si="0"/>
        <v>0</v>
      </c>
      <c r="N18" s="146">
        <f t="shared" si="7"/>
        <v>0</v>
      </c>
      <c r="O18" s="146">
        <f t="shared" si="1"/>
        <v>0</v>
      </c>
    </row>
    <row r="19" spans="1:15">
      <c r="A19" s="147" t="s">
        <v>1434</v>
      </c>
      <c r="B19" s="145"/>
      <c r="C19" s="145"/>
      <c r="D19" s="145"/>
      <c r="E19" s="145"/>
      <c r="F19" s="145"/>
      <c r="G19" s="145"/>
      <c r="H19" s="145"/>
      <c r="I19" s="145"/>
      <c r="J19" s="145">
        <f>ROUND(本期TB!H244,2)</f>
        <v>0</v>
      </c>
      <c r="K19" s="145"/>
      <c r="L19" s="145">
        <f>ROUND(-J19,2)</f>
        <v>0</v>
      </c>
      <c r="M19" s="146">
        <f t="shared" si="0"/>
        <v>0</v>
      </c>
      <c r="N19" s="145"/>
      <c r="O19" s="146">
        <f t="shared" si="1"/>
        <v>0</v>
      </c>
    </row>
    <row r="20" spans="1:15">
      <c r="A20" s="147" t="s">
        <v>1435</v>
      </c>
      <c r="B20" s="145"/>
      <c r="C20" s="145"/>
      <c r="D20" s="145"/>
      <c r="E20" s="145"/>
      <c r="F20" s="145"/>
      <c r="G20" s="145"/>
      <c r="H20" s="145"/>
      <c r="I20" s="145"/>
      <c r="J20" s="145">
        <f>ROUND(本期TB!H252,2)</f>
        <v>0</v>
      </c>
      <c r="K20" s="145"/>
      <c r="L20" s="145">
        <f>ROUND(-J20,2)</f>
        <v>0</v>
      </c>
      <c r="M20" s="146">
        <f t="shared" si="0"/>
        <v>0</v>
      </c>
      <c r="N20" s="145"/>
      <c r="O20" s="146">
        <f t="shared" si="1"/>
        <v>0</v>
      </c>
    </row>
    <row r="21" spans="1:15">
      <c r="A21" s="147" t="s">
        <v>1436</v>
      </c>
      <c r="B21" s="145"/>
      <c r="C21" s="145"/>
      <c r="D21" s="145"/>
      <c r="E21" s="145"/>
      <c r="F21" s="145"/>
      <c r="G21" s="145"/>
      <c r="H21" s="145"/>
      <c r="I21" s="145"/>
      <c r="J21" s="145">
        <f>ROUND(本期TB!H247,2)</f>
        <v>0</v>
      </c>
      <c r="K21" s="145"/>
      <c r="L21" s="145">
        <f>ROUND(-J21,2)</f>
        <v>0</v>
      </c>
      <c r="M21" s="146">
        <f t="shared" si="0"/>
        <v>0</v>
      </c>
      <c r="N21" s="145"/>
      <c r="O21" s="146">
        <f t="shared" si="1"/>
        <v>0</v>
      </c>
    </row>
    <row r="22" spans="1:15">
      <c r="A22" s="147" t="s">
        <v>1437</v>
      </c>
      <c r="B22" s="145"/>
      <c r="C22" s="145"/>
      <c r="D22" s="145"/>
      <c r="E22" s="145"/>
      <c r="F22" s="145"/>
      <c r="G22" s="145"/>
      <c r="H22" s="145"/>
      <c r="I22" s="145"/>
      <c r="J22" s="145">
        <f>ROUND(本期TB!H248,2)</f>
        <v>0</v>
      </c>
      <c r="K22" s="145"/>
      <c r="L22" s="145">
        <f>ROUND(-J22,2)</f>
        <v>0</v>
      </c>
      <c r="M22" s="146">
        <f t="shared" si="0"/>
        <v>0</v>
      </c>
      <c r="N22" s="145"/>
      <c r="O22" s="146">
        <f t="shared" si="1"/>
        <v>0</v>
      </c>
    </row>
    <row r="23" spans="1:15">
      <c r="A23" s="147" t="s">
        <v>1438</v>
      </c>
      <c r="B23" s="145"/>
      <c r="C23" s="145"/>
      <c r="D23" s="145"/>
      <c r="E23" s="145"/>
      <c r="F23" s="145"/>
      <c r="G23" s="145"/>
      <c r="H23" s="145"/>
      <c r="I23" s="145"/>
      <c r="J23" s="145">
        <f>ROUND(本期TB!H249,2)</f>
        <v>0</v>
      </c>
      <c r="K23" s="145"/>
      <c r="L23" s="145">
        <f>ROUND(-J23,2)</f>
        <v>0</v>
      </c>
      <c r="M23" s="146">
        <f t="shared" si="0"/>
        <v>0</v>
      </c>
      <c r="N23" s="145"/>
      <c r="O23" s="146">
        <f t="shared" si="1"/>
        <v>0</v>
      </c>
    </row>
    <row r="24" spans="1:15">
      <c r="A24" s="147" t="s">
        <v>1563</v>
      </c>
      <c r="B24" s="145"/>
      <c r="C24" s="145"/>
      <c r="D24" s="145"/>
      <c r="E24" s="145"/>
      <c r="F24" s="145"/>
      <c r="G24" s="145"/>
      <c r="H24" s="145"/>
      <c r="I24" s="145"/>
      <c r="J24" s="145"/>
      <c r="K24" s="145"/>
      <c r="L24" s="145"/>
      <c r="M24" s="146">
        <f t="shared" si="0"/>
        <v>0</v>
      </c>
      <c r="N24" s="145"/>
      <c r="O24" s="146">
        <f t="shared" si="1"/>
        <v>0</v>
      </c>
    </row>
    <row r="25" spans="1:15">
      <c r="A25" s="147" t="s">
        <v>1564</v>
      </c>
      <c r="B25" s="145"/>
      <c r="C25" s="145"/>
      <c r="D25" s="145"/>
      <c r="E25" s="145"/>
      <c r="F25" s="145"/>
      <c r="G25" s="145"/>
      <c r="H25" s="145"/>
      <c r="I25" s="145"/>
      <c r="J25" s="145"/>
      <c r="K25" s="145"/>
      <c r="L25" s="145">
        <f>ROUND(-本期TB!H253,2)</f>
        <v>0</v>
      </c>
      <c r="M25" s="146">
        <f t="shared" si="0"/>
        <v>0</v>
      </c>
      <c r="N25" s="145"/>
      <c r="O25" s="146">
        <f t="shared" si="1"/>
        <v>0</v>
      </c>
    </row>
    <row r="26" spans="1:15">
      <c r="A26" s="147" t="s">
        <v>5475</v>
      </c>
      <c r="B26" s="145"/>
      <c r="C26" s="145"/>
      <c r="D26" s="145"/>
      <c r="E26" s="145"/>
      <c r="F26" s="145"/>
      <c r="G26" s="145"/>
      <c r="H26" s="145"/>
      <c r="I26" s="145"/>
      <c r="J26" s="145"/>
      <c r="K26" s="145"/>
      <c r="L26" s="145"/>
      <c r="M26" s="146">
        <f t="shared" si="0"/>
        <v>0</v>
      </c>
      <c r="N26" s="145"/>
      <c r="O26" s="146">
        <f t="shared" si="1"/>
        <v>0</v>
      </c>
    </row>
    <row r="27" spans="1:15">
      <c r="A27" s="147" t="s">
        <v>4000</v>
      </c>
      <c r="B27" s="146">
        <f>ROUND(SUM(B28:B33),2)</f>
        <v>0</v>
      </c>
      <c r="C27" s="146">
        <f t="shared" ref="C27:N27" si="8">ROUND(SUM(C28:C33),2)</f>
        <v>0</v>
      </c>
      <c r="D27" s="146">
        <f t="shared" si="8"/>
        <v>0</v>
      </c>
      <c r="E27" s="146">
        <f t="shared" si="8"/>
        <v>0</v>
      </c>
      <c r="F27" s="146">
        <f t="shared" si="8"/>
        <v>0</v>
      </c>
      <c r="G27" s="146">
        <f t="shared" si="8"/>
        <v>0</v>
      </c>
      <c r="H27" s="146">
        <f t="shared" si="8"/>
        <v>0</v>
      </c>
      <c r="I27" s="146">
        <f t="shared" si="8"/>
        <v>0</v>
      </c>
      <c r="J27" s="146">
        <f t="shared" si="8"/>
        <v>0</v>
      </c>
      <c r="K27" s="146">
        <f t="shared" si="8"/>
        <v>0</v>
      </c>
      <c r="L27" s="146">
        <f>ROUND(SUM(L28:L33),2)</f>
        <v>0</v>
      </c>
      <c r="M27" s="146">
        <f t="shared" si="0"/>
        <v>0</v>
      </c>
      <c r="N27" s="146">
        <f t="shared" si="8"/>
        <v>0</v>
      </c>
      <c r="O27" s="146">
        <f t="shared" si="1"/>
        <v>0</v>
      </c>
    </row>
    <row r="28" spans="1:15">
      <c r="A28" s="147" t="s">
        <v>1565</v>
      </c>
      <c r="B28" s="145"/>
      <c r="C28" s="145"/>
      <c r="D28" s="145"/>
      <c r="E28" s="145"/>
      <c r="F28" s="145"/>
      <c r="G28" s="145"/>
      <c r="H28" s="145"/>
      <c r="I28" s="145"/>
      <c r="J28" s="145"/>
      <c r="K28" s="145"/>
      <c r="L28" s="145"/>
      <c r="M28" s="146">
        <f t="shared" si="0"/>
        <v>0</v>
      </c>
      <c r="N28" s="145"/>
      <c r="O28" s="146">
        <f t="shared" si="1"/>
        <v>0</v>
      </c>
    </row>
    <row r="29" spans="1:15">
      <c r="A29" s="147" t="s">
        <v>1566</v>
      </c>
      <c r="B29" s="145"/>
      <c r="C29" s="145"/>
      <c r="D29" s="145"/>
      <c r="E29" s="149"/>
      <c r="F29" s="145"/>
      <c r="G29" s="145"/>
      <c r="H29" s="145"/>
      <c r="I29" s="145"/>
      <c r="J29" s="145"/>
      <c r="K29" s="145"/>
      <c r="L29" s="145"/>
      <c r="M29" s="146">
        <f t="shared" si="0"/>
        <v>0</v>
      </c>
      <c r="N29" s="145"/>
      <c r="O29" s="146">
        <f t="shared" si="1"/>
        <v>0</v>
      </c>
    </row>
    <row r="30" spans="1:15">
      <c r="A30" s="147" t="s">
        <v>1567</v>
      </c>
      <c r="B30" s="145"/>
      <c r="C30" s="145"/>
      <c r="D30" s="145"/>
      <c r="E30" s="145"/>
      <c r="F30" s="145"/>
      <c r="G30" s="145"/>
      <c r="H30" s="145"/>
      <c r="I30" s="145"/>
      <c r="J30" s="145"/>
      <c r="K30" s="145"/>
      <c r="L30" s="145"/>
      <c r="M30" s="146">
        <f t="shared" si="0"/>
        <v>0</v>
      </c>
      <c r="N30" s="145"/>
      <c r="O30" s="146">
        <f t="shared" si="1"/>
        <v>0</v>
      </c>
    </row>
    <row r="31" spans="1:15">
      <c r="A31" s="147" t="s">
        <v>1568</v>
      </c>
      <c r="B31" s="145"/>
      <c r="C31" s="145"/>
      <c r="D31" s="145"/>
      <c r="E31" s="145"/>
      <c r="F31" s="145"/>
      <c r="G31" s="145"/>
      <c r="H31" s="145"/>
      <c r="I31" s="145"/>
      <c r="J31" s="145"/>
      <c r="K31" s="145"/>
      <c r="L31" s="145"/>
      <c r="M31" s="146">
        <f t="shared" si="0"/>
        <v>0</v>
      </c>
      <c r="N31" s="145"/>
      <c r="O31" s="146">
        <f t="shared" si="1"/>
        <v>0</v>
      </c>
    </row>
    <row r="32" spans="1:15">
      <c r="A32" s="147" t="s">
        <v>4001</v>
      </c>
      <c r="B32" s="145"/>
      <c r="C32" s="145"/>
      <c r="D32" s="145"/>
      <c r="E32" s="145"/>
      <c r="F32" s="145"/>
      <c r="G32" s="145"/>
      <c r="H32" s="145"/>
      <c r="I32" s="145"/>
      <c r="J32" s="145"/>
      <c r="K32" s="145"/>
      <c r="L32" s="145"/>
      <c r="M32" s="146">
        <f t="shared" ref="M32" si="9">ROUND(SUM(B32:L32),2)</f>
        <v>0</v>
      </c>
      <c r="N32" s="145"/>
      <c r="O32" s="146">
        <f t="shared" ref="O32" si="10">ROUND(M32+N32,2)</f>
        <v>0</v>
      </c>
    </row>
    <row r="33" spans="1:15">
      <c r="A33" s="147" t="s">
        <v>5474</v>
      </c>
      <c r="B33" s="145"/>
      <c r="C33" s="145"/>
      <c r="D33" s="145"/>
      <c r="E33" s="145"/>
      <c r="F33" s="145"/>
      <c r="G33" s="145"/>
      <c r="H33" s="145"/>
      <c r="I33" s="145"/>
      <c r="J33" s="145"/>
      <c r="K33" s="145"/>
      <c r="L33" s="145"/>
      <c r="M33" s="146">
        <f t="shared" si="0"/>
        <v>0</v>
      </c>
      <c r="N33" s="145"/>
      <c r="O33" s="146">
        <f t="shared" si="1"/>
        <v>0</v>
      </c>
    </row>
    <row r="34" spans="1:15">
      <c r="A34" s="144" t="s">
        <v>4003</v>
      </c>
      <c r="B34" s="150">
        <f>ROUND(B6+B7,2)</f>
        <v>0</v>
      </c>
      <c r="C34" s="150">
        <f t="shared" ref="C34:N34" si="11">ROUND(C6+C7,2)</f>
        <v>0</v>
      </c>
      <c r="D34" s="150">
        <f t="shared" si="11"/>
        <v>0</v>
      </c>
      <c r="E34" s="150">
        <f t="shared" si="11"/>
        <v>0</v>
      </c>
      <c r="F34" s="150">
        <f t="shared" si="11"/>
        <v>0</v>
      </c>
      <c r="G34" s="150">
        <f t="shared" si="11"/>
        <v>0</v>
      </c>
      <c r="H34" s="150">
        <f t="shared" si="11"/>
        <v>0</v>
      </c>
      <c r="I34" s="150">
        <f t="shared" si="11"/>
        <v>0</v>
      </c>
      <c r="J34" s="150">
        <f t="shared" si="11"/>
        <v>0</v>
      </c>
      <c r="K34" s="150">
        <f t="shared" si="11"/>
        <v>0</v>
      </c>
      <c r="L34" s="150">
        <f t="shared" si="11"/>
        <v>532350892.72000003</v>
      </c>
      <c r="M34" s="146">
        <f t="shared" si="0"/>
        <v>532350892.72000003</v>
      </c>
      <c r="N34" s="150">
        <f t="shared" si="11"/>
        <v>0</v>
      </c>
      <c r="O34" s="146">
        <f t="shared" si="1"/>
        <v>532350892.72000003</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codeName="Sheet160">
    <tabColor rgb="FFFFC000"/>
  </sheetPr>
  <dimension ref="A1:G7"/>
  <sheetViews>
    <sheetView workbookViewId="0">
      <selection activeCell="E15" sqref="E15"/>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349</v>
      </c>
      <c r="E1" s="40" t="s">
        <v>260</v>
      </c>
      <c r="F1" s="40" t="s">
        <v>295</v>
      </c>
      <c r="G1" s="40" t="s">
        <v>351</v>
      </c>
    </row>
    <row r="2" spans="1:7" ht="14.4">
      <c r="A2" s="34" t="s">
        <v>405</v>
      </c>
      <c r="B2" s="291">
        <f>ROUND(SUM(可供出售债务工具明细表!N:N),2)</f>
        <v>0</v>
      </c>
      <c r="C2" s="298"/>
      <c r="D2" s="152">
        <f>ROUND(B2-C2,2)</f>
        <v>0</v>
      </c>
      <c r="E2" s="265"/>
      <c r="F2" s="279"/>
      <c r="G2" s="152">
        <f>ROUND(E2-F2,2)</f>
        <v>0</v>
      </c>
    </row>
    <row r="3" spans="1:7" ht="14.4">
      <c r="A3" s="34" t="s">
        <v>406</v>
      </c>
      <c r="B3" s="157">
        <f>ROUND(SUM(B4:B5),2)</f>
        <v>0</v>
      </c>
      <c r="C3" s="157">
        <f>ROUND(SUM(C4:C5),2)</f>
        <v>0</v>
      </c>
      <c r="D3" s="152">
        <f>ROUND(B3-C3,2)</f>
        <v>0</v>
      </c>
      <c r="E3" s="157">
        <f>ROUND(SUM(E4:E5),2)</f>
        <v>0</v>
      </c>
      <c r="F3" s="157">
        <f>ROUND(SUM(F4:F5),2)</f>
        <v>0</v>
      </c>
      <c r="G3" s="152">
        <f>ROUND(E3-F3,2)</f>
        <v>0</v>
      </c>
    </row>
    <row r="4" spans="1:7" ht="14.4">
      <c r="A4" s="34" t="s">
        <v>407</v>
      </c>
      <c r="B4" s="291">
        <f>ROUND(SUMIF(可供出售权益工具明细表!C:C,"公允价值法",可供出售权益工具明细表!M:M),2)</f>
        <v>0</v>
      </c>
      <c r="C4" s="298">
        <f>ROUND(SUMIF(可供出售权益工具明细表!C:C,"公允价值法",可供出售权益工具明细表!S:S),2)</f>
        <v>0</v>
      </c>
      <c r="D4" s="152">
        <f>ROUND(B4-C4,2)</f>
        <v>0</v>
      </c>
      <c r="E4" s="265"/>
      <c r="F4" s="279"/>
      <c r="G4" s="152">
        <f>ROUND(E4-F4,2)</f>
        <v>0</v>
      </c>
    </row>
    <row r="5" spans="1:7">
      <c r="A5" s="43" t="s">
        <v>4193</v>
      </c>
      <c r="B5" s="291">
        <f>ROUND(SUMIF(可供出售权益工具明细表!C:C,"成本法",可供出售权益工具明细表!M:M),2)</f>
        <v>0</v>
      </c>
      <c r="C5" s="298">
        <f>ROUND(SUMIF(可供出售权益工具明细表!C:C,"公允价值法",可供出售权益工具明细表!S:S),2)</f>
        <v>0</v>
      </c>
      <c r="D5" s="152">
        <f>ROUND(B5-C5,2)</f>
        <v>0</v>
      </c>
      <c r="E5" s="265"/>
      <c r="F5" s="279"/>
      <c r="G5" s="152">
        <f>ROUND(E5-F5,2)</f>
        <v>0</v>
      </c>
    </row>
    <row r="6" spans="1:7" ht="14.4">
      <c r="A6" s="34" t="s">
        <v>202</v>
      </c>
      <c r="B6" s="291"/>
      <c r="C6" s="298"/>
      <c r="D6" s="152">
        <f>ROUND(B6-C6,2)</f>
        <v>0</v>
      </c>
      <c r="E6" s="265"/>
      <c r="F6" s="279"/>
      <c r="G6" s="152">
        <f>ROUND(E6-F6,2)</f>
        <v>0</v>
      </c>
    </row>
    <row r="7" spans="1:7" ht="14.4">
      <c r="A7" s="35" t="s">
        <v>204</v>
      </c>
      <c r="B7" s="157">
        <f>ROUND(SUM(B6,B3,B2),2)</f>
        <v>0</v>
      </c>
      <c r="C7" s="157">
        <f>ROUND(SUM(C6,C3,C2),2)</f>
        <v>0</v>
      </c>
      <c r="D7" s="157">
        <f>ROUND(SUM(D6,D3,D2),2)</f>
        <v>0</v>
      </c>
      <c r="E7" s="157">
        <f>ROUND(SUM(E6,E3,E2),2)</f>
        <v>0</v>
      </c>
      <c r="F7" s="157">
        <f>ROUND(SUM(F6,F3,F2),2)</f>
        <v>0</v>
      </c>
      <c r="G7" s="157">
        <f>ROUND(SUM(G6,G3,G2),2)</f>
        <v>0</v>
      </c>
    </row>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codeName="Sheet161">
    <tabColor rgb="FFFFC000"/>
  </sheetPr>
  <dimension ref="A1:E5"/>
  <sheetViews>
    <sheetView workbookViewId="0">
      <selection activeCell="C14" sqref="C14:C15"/>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411</v>
      </c>
      <c r="C1" s="20" t="s">
        <v>412</v>
      </c>
      <c r="D1" s="59" t="s">
        <v>202</v>
      </c>
      <c r="E1" s="32" t="s">
        <v>204</v>
      </c>
    </row>
    <row r="2" spans="1:5" ht="14.4">
      <c r="A2" s="44" t="s">
        <v>408</v>
      </c>
      <c r="B2" s="158">
        <f>ROUND(SUMIF(可供出售权益工具明细表!C:C,"公允价值法",可供出售权益工具明细表!E:E),2)</f>
        <v>0</v>
      </c>
      <c r="C2" s="158">
        <f>ROUND(SUM(可供出售债务工具明细表!F:F),2)</f>
        <v>0</v>
      </c>
      <c r="D2" s="54"/>
      <c r="E2" s="158">
        <f>ROUND(SUM(B2:D2),2)</f>
        <v>0</v>
      </c>
    </row>
    <row r="3" spans="1:5" ht="14.4">
      <c r="A3" s="44" t="s">
        <v>386</v>
      </c>
      <c r="B3" s="158">
        <f>ROUND(SUM(可供出售权益工具明细表!L:L),2)</f>
        <v>0</v>
      </c>
      <c r="C3" s="158">
        <f>ROUND(SUM(可供出售债务工具明细表!M:M),2)</f>
        <v>0</v>
      </c>
      <c r="D3" s="54"/>
      <c r="E3" s="158">
        <f>ROUND(SUM(B3:D3),2)</f>
        <v>0</v>
      </c>
    </row>
    <row r="4" spans="1:5" ht="14.4">
      <c r="A4" s="44" t="s">
        <v>409</v>
      </c>
      <c r="B4" s="158">
        <f>ROUND(SUMIF(可供出售权益工具明细表!C:C,"公允价值法",可供出售权益工具明细表!N:N),2)</f>
        <v>0</v>
      </c>
      <c r="C4" s="54"/>
      <c r="D4" s="54"/>
      <c r="E4" s="158">
        <f>ROUND(SUM(B4:D4),2)</f>
        <v>0</v>
      </c>
    </row>
    <row r="5" spans="1:5" ht="14.4">
      <c r="A5" s="44" t="s">
        <v>410</v>
      </c>
      <c r="B5" s="158">
        <f>ROUND(SUMIF(可供出售权益工具明细表!C:C,"公允价值法",可供出售权益工具明细表!S:S),2)</f>
        <v>0</v>
      </c>
      <c r="C5" s="54"/>
      <c r="D5" s="54"/>
      <c r="E5" s="158">
        <f>ROUND(SUM(B5:D5),2)</f>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codeName="Sheet162">
    <tabColor rgb="FFFFC000"/>
  </sheetPr>
  <dimension ref="A1:G5"/>
  <sheetViews>
    <sheetView workbookViewId="0">
      <selection activeCell="F11" sqref="F11"/>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418</v>
      </c>
      <c r="B1" s="32" t="s">
        <v>4217</v>
      </c>
      <c r="C1" s="32" t="s">
        <v>414</v>
      </c>
      <c r="D1" s="32" t="s">
        <v>415</v>
      </c>
      <c r="E1" s="32" t="s">
        <v>416</v>
      </c>
      <c r="F1" s="40" t="s">
        <v>410</v>
      </c>
      <c r="G1" s="40" t="s">
        <v>417</v>
      </c>
    </row>
    <row r="2" spans="1:7" ht="14.4">
      <c r="A2" s="305"/>
      <c r="B2" s="308"/>
      <c r="C2" s="308"/>
      <c r="D2" s="308"/>
      <c r="E2" s="308"/>
      <c r="F2" s="293"/>
      <c r="G2" s="293"/>
    </row>
    <row r="3" spans="1:7">
      <c r="A3" s="309"/>
      <c r="B3" s="276"/>
      <c r="C3" s="276"/>
      <c r="D3" s="276"/>
      <c r="E3" s="276"/>
      <c r="F3" s="275"/>
      <c r="G3" s="275"/>
    </row>
    <row r="4" spans="1:7">
      <c r="A4" s="309"/>
      <c r="B4" s="276"/>
      <c r="C4" s="276"/>
      <c r="D4" s="276"/>
      <c r="E4" s="276"/>
      <c r="F4" s="275"/>
      <c r="G4" s="275"/>
    </row>
    <row r="5" spans="1:7" ht="14.4">
      <c r="A5" s="35" t="s">
        <v>204</v>
      </c>
      <c r="B5" s="50">
        <f>ROUND(SUM(B2:B4),2)</f>
        <v>0</v>
      </c>
      <c r="C5" s="50">
        <f>ROUND(SUM(C2:C4),2)</f>
        <v>0</v>
      </c>
      <c r="D5" s="50"/>
      <c r="E5" s="54" t="s">
        <v>239</v>
      </c>
      <c r="F5" s="39"/>
      <c r="G5" s="41" t="s">
        <v>239</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sheetPr codeName="Sheet163"/>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G19" sqref="G19"/>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0" bestFit="1" customWidth="1"/>
    <col min="15" max="15" width="35.88671875" bestFit="1" customWidth="1"/>
    <col min="16" max="16" width="9.5546875" bestFit="1" customWidth="1"/>
    <col min="17" max="18" width="13.88671875" bestFit="1" customWidth="1"/>
  </cols>
  <sheetData>
    <row r="1" spans="1:18">
      <c r="A1" t="s">
        <v>2427</v>
      </c>
      <c r="B1" t="s">
        <v>2460</v>
      </c>
      <c r="C1" t="s">
        <v>420</v>
      </c>
      <c r="D1" t="s">
        <v>2461</v>
      </c>
      <c r="E1" t="s">
        <v>401</v>
      </c>
      <c r="F1" t="s">
        <v>413</v>
      </c>
      <c r="G1" t="s">
        <v>404</v>
      </c>
      <c r="H1" t="s">
        <v>610</v>
      </c>
      <c r="I1" t="s">
        <v>2462</v>
      </c>
      <c r="J1" t="s">
        <v>2463</v>
      </c>
      <c r="K1" t="s">
        <v>2464</v>
      </c>
      <c r="L1" t="s">
        <v>480</v>
      </c>
      <c r="M1" t="s">
        <v>2465</v>
      </c>
      <c r="N1" s="230" t="s">
        <v>422</v>
      </c>
      <c r="O1" t="s">
        <v>2466</v>
      </c>
      <c r="P1" t="s">
        <v>2467</v>
      </c>
      <c r="Q1" t="s">
        <v>2468</v>
      </c>
      <c r="R1" t="s">
        <v>2469</v>
      </c>
    </row>
    <row r="2" spans="1:18">
      <c r="A2" t="str">
        <f>IF(F2&gt;0,基础信息!$B$1,"")</f>
        <v/>
      </c>
      <c r="B2" s="256"/>
      <c r="C2" s="256"/>
      <c r="D2" s="256"/>
      <c r="E2" s="256"/>
      <c r="F2" s="256"/>
      <c r="G2" s="256"/>
      <c r="H2" s="256"/>
      <c r="I2" s="256"/>
      <c r="J2" s="256"/>
      <c r="K2" s="256"/>
      <c r="L2" s="256"/>
      <c r="M2" s="256"/>
      <c r="N2" s="230">
        <f>H2+I2+J2-K2-L2+M2</f>
        <v>0</v>
      </c>
      <c r="O2" s="256"/>
      <c r="P2" s="256"/>
      <c r="Q2" s="256"/>
      <c r="R2" s="256"/>
    </row>
    <row r="3" spans="1:18">
      <c r="A3" t="str">
        <f>IF(F3&gt;0,基础信息!$B$1,"")</f>
        <v/>
      </c>
      <c r="B3" s="256"/>
      <c r="C3" s="256"/>
      <c r="D3" s="256"/>
      <c r="E3" s="256"/>
      <c r="F3" s="256"/>
      <c r="G3" s="256"/>
      <c r="H3" s="256"/>
      <c r="I3" s="256"/>
      <c r="J3" s="256"/>
      <c r="K3" s="256"/>
      <c r="L3" s="256"/>
      <c r="M3" s="256"/>
      <c r="N3" s="230">
        <f t="shared" ref="N3:N15" si="0">H3+I3+J3-K3-L3+M3</f>
        <v>0</v>
      </c>
      <c r="O3" s="256"/>
      <c r="P3" s="256"/>
      <c r="Q3" s="256"/>
      <c r="R3" s="256"/>
    </row>
    <row r="4" spans="1:18">
      <c r="A4" t="str">
        <f>IF(F4&gt;0,基础信息!$B$1,"")</f>
        <v/>
      </c>
      <c r="B4" s="256"/>
      <c r="C4" s="256"/>
      <c r="D4" s="256"/>
      <c r="E4" s="256"/>
      <c r="F4" s="256"/>
      <c r="G4" s="256"/>
      <c r="H4" s="256"/>
      <c r="I4" s="256"/>
      <c r="J4" s="256"/>
      <c r="K4" s="256"/>
      <c r="L4" s="256"/>
      <c r="M4" s="256"/>
      <c r="N4" s="230">
        <f t="shared" si="0"/>
        <v>0</v>
      </c>
      <c r="O4" s="256"/>
      <c r="P4" s="256"/>
      <c r="Q4" s="256"/>
      <c r="R4" s="256"/>
    </row>
    <row r="5" spans="1:18">
      <c r="A5" t="str">
        <f>IF(F5&gt;0,基础信息!$B$1,"")</f>
        <v/>
      </c>
      <c r="B5" s="256"/>
      <c r="C5" s="256"/>
      <c r="D5" s="256"/>
      <c r="E5" s="256"/>
      <c r="F5" s="256"/>
      <c r="G5" s="256"/>
      <c r="H5" s="256"/>
      <c r="I5" s="256"/>
      <c r="J5" s="256"/>
      <c r="K5" s="256"/>
      <c r="L5" s="256"/>
      <c r="M5" s="256"/>
      <c r="N5" s="230">
        <f t="shared" si="0"/>
        <v>0</v>
      </c>
      <c r="O5" s="256"/>
      <c r="P5" s="256"/>
      <c r="Q5" s="256"/>
      <c r="R5" s="256"/>
    </row>
    <row r="6" spans="1:18">
      <c r="A6" t="str">
        <f>IF(F6&gt;0,基础信息!$B$1,"")</f>
        <v/>
      </c>
      <c r="B6" s="256"/>
      <c r="C6" s="256"/>
      <c r="D6" s="256"/>
      <c r="E6" s="256"/>
      <c r="F6" s="256"/>
      <c r="G6" s="256"/>
      <c r="H6" s="256"/>
      <c r="I6" s="256"/>
      <c r="J6" s="256"/>
      <c r="K6" s="256"/>
      <c r="L6" s="256"/>
      <c r="M6" s="256"/>
      <c r="N6" s="230">
        <f t="shared" si="0"/>
        <v>0</v>
      </c>
      <c r="O6" s="256"/>
      <c r="P6" s="256"/>
      <c r="Q6" s="256"/>
      <c r="R6" s="256"/>
    </row>
    <row r="7" spans="1:18">
      <c r="A7" t="str">
        <f>IF(F7&gt;0,基础信息!$B$1,"")</f>
        <v/>
      </c>
      <c r="B7" s="256"/>
      <c r="C7" s="256"/>
      <c r="D7" s="256"/>
      <c r="E7" s="256"/>
      <c r="F7" s="256"/>
      <c r="G7" s="256"/>
      <c r="H7" s="256"/>
      <c r="I7" s="256"/>
      <c r="J7" s="256"/>
      <c r="K7" s="256"/>
      <c r="L7" s="256"/>
      <c r="M7" s="256"/>
      <c r="N7" s="230">
        <f t="shared" si="0"/>
        <v>0</v>
      </c>
      <c r="O7" s="256"/>
      <c r="P7" s="256"/>
      <c r="Q7" s="256"/>
      <c r="R7" s="256"/>
    </row>
    <row r="8" spans="1:18">
      <c r="A8" t="str">
        <f>IF(F8&gt;0,基础信息!$B$1,"")</f>
        <v/>
      </c>
      <c r="B8" s="256"/>
      <c r="C8" s="256"/>
      <c r="D8" s="256"/>
      <c r="E8" s="256"/>
      <c r="F8" s="256"/>
      <c r="G8" s="256"/>
      <c r="H8" s="256"/>
      <c r="I8" s="256"/>
      <c r="J8" s="256"/>
      <c r="K8" s="256"/>
      <c r="L8" s="256"/>
      <c r="M8" s="256"/>
      <c r="N8" s="230">
        <f t="shared" si="0"/>
        <v>0</v>
      </c>
      <c r="O8" s="256"/>
      <c r="P8" s="256"/>
      <c r="Q8" s="256"/>
      <c r="R8" s="256"/>
    </row>
    <row r="9" spans="1:18">
      <c r="A9" t="str">
        <f>IF(F9&gt;0,基础信息!$B$1,"")</f>
        <v/>
      </c>
      <c r="B9" s="256"/>
      <c r="C9" s="256"/>
      <c r="D9" s="256"/>
      <c r="E9" s="256"/>
      <c r="F9" s="256"/>
      <c r="G9" s="256"/>
      <c r="H9" s="256"/>
      <c r="I9" s="256"/>
      <c r="J9" s="256"/>
      <c r="K9" s="256"/>
      <c r="L9" s="256"/>
      <c r="M9" s="256"/>
      <c r="N9" s="230">
        <f t="shared" si="0"/>
        <v>0</v>
      </c>
      <c r="O9" s="256"/>
      <c r="P9" s="256"/>
      <c r="Q9" s="256"/>
      <c r="R9" s="256"/>
    </row>
    <row r="10" spans="1:18">
      <c r="A10" t="str">
        <f>IF(F10&gt;0,基础信息!$B$1,"")</f>
        <v/>
      </c>
      <c r="B10" s="256"/>
      <c r="C10" s="256"/>
      <c r="D10" s="256"/>
      <c r="E10" s="256"/>
      <c r="F10" s="256"/>
      <c r="G10" s="256"/>
      <c r="H10" s="256"/>
      <c r="I10" s="256"/>
      <c r="J10" s="256"/>
      <c r="K10" s="256"/>
      <c r="L10" s="256"/>
      <c r="M10" s="256"/>
      <c r="N10" s="230">
        <f t="shared" si="0"/>
        <v>0</v>
      </c>
      <c r="O10" s="256"/>
      <c r="P10" s="256"/>
      <c r="Q10" s="256"/>
      <c r="R10" s="256"/>
    </row>
    <row r="11" spans="1:18">
      <c r="A11" t="str">
        <f>IF(F11&gt;0,基础信息!$B$1,"")</f>
        <v/>
      </c>
      <c r="B11" s="256"/>
      <c r="C11" s="256"/>
      <c r="D11" s="256"/>
      <c r="E11" s="256"/>
      <c r="F11" s="256"/>
      <c r="G11" s="256"/>
      <c r="H11" s="256"/>
      <c r="I11" s="256"/>
      <c r="J11" s="256"/>
      <c r="K11" s="256"/>
      <c r="L11" s="256"/>
      <c r="M11" s="256"/>
      <c r="N11" s="230">
        <f t="shared" si="0"/>
        <v>0</v>
      </c>
      <c r="O11" s="256"/>
      <c r="P11" s="256"/>
      <c r="Q11" s="256"/>
      <c r="R11" s="256"/>
    </row>
    <row r="12" spans="1:18">
      <c r="A12" t="str">
        <f>IF(F12&gt;0,基础信息!$B$1,"")</f>
        <v/>
      </c>
      <c r="B12" s="256"/>
      <c r="C12" s="256"/>
      <c r="D12" s="256"/>
      <c r="E12" s="256"/>
      <c r="F12" s="256"/>
      <c r="G12" s="256"/>
      <c r="H12" s="256"/>
      <c r="I12" s="256"/>
      <c r="J12" s="256"/>
      <c r="K12" s="256"/>
      <c r="L12" s="256"/>
      <c r="M12" s="256"/>
      <c r="N12" s="230">
        <f t="shared" si="0"/>
        <v>0</v>
      </c>
      <c r="O12" s="256"/>
      <c r="P12" s="256"/>
      <c r="Q12" s="256"/>
      <c r="R12" s="256"/>
    </row>
    <row r="13" spans="1:18">
      <c r="A13" t="str">
        <f>IF(F13&gt;0,基础信息!$B$1,"")</f>
        <v/>
      </c>
      <c r="B13" s="256"/>
      <c r="C13" s="256"/>
      <c r="D13" s="256"/>
      <c r="E13" s="256"/>
      <c r="F13" s="256"/>
      <c r="G13" s="256"/>
      <c r="H13" s="256"/>
      <c r="I13" s="256"/>
      <c r="J13" s="256"/>
      <c r="K13" s="256"/>
      <c r="L13" s="256"/>
      <c r="M13" s="256"/>
      <c r="N13" s="230">
        <f t="shared" si="0"/>
        <v>0</v>
      </c>
      <c r="O13" s="256"/>
      <c r="P13" s="256"/>
      <c r="Q13" s="256"/>
      <c r="R13" s="256"/>
    </row>
    <row r="14" spans="1:18">
      <c r="A14" t="str">
        <f>IF(F14&gt;0,基础信息!$B$1,"")</f>
        <v/>
      </c>
      <c r="B14" s="256"/>
      <c r="C14" s="256"/>
      <c r="D14" s="256"/>
      <c r="E14" s="256"/>
      <c r="F14" s="256"/>
      <c r="G14" s="256"/>
      <c r="H14" s="256"/>
      <c r="I14" s="256"/>
      <c r="J14" s="256"/>
      <c r="K14" s="256"/>
      <c r="L14" s="256"/>
      <c r="M14" s="256"/>
      <c r="N14" s="230">
        <f t="shared" si="0"/>
        <v>0</v>
      </c>
      <c r="O14" s="256"/>
      <c r="P14" s="256"/>
      <c r="Q14" s="256"/>
      <c r="R14" s="256"/>
    </row>
    <row r="15" spans="1:18">
      <c r="A15" t="str">
        <f>IF(F15&gt;0,基础信息!$B$1,"")</f>
        <v/>
      </c>
      <c r="B15" s="256"/>
      <c r="C15" s="256"/>
      <c r="D15" s="256"/>
      <c r="E15" s="256"/>
      <c r="F15" s="256"/>
      <c r="G15" s="256"/>
      <c r="H15" s="256"/>
      <c r="I15" s="256"/>
      <c r="J15" s="256"/>
      <c r="K15" s="256"/>
      <c r="L15" s="256"/>
      <c r="M15" s="256"/>
      <c r="N15" s="230">
        <f t="shared" si="0"/>
        <v>0</v>
      </c>
      <c r="O15" s="256"/>
      <c r="P15" s="256"/>
      <c r="Q15" s="256"/>
      <c r="R15" s="256"/>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sheetPr codeName="Sheet164"/>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A6" sqref="A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0"/>
    <col min="14" max="14" width="51.21875" bestFit="1" customWidth="1"/>
    <col min="15" max="15" width="18.33203125" bestFit="1" customWidth="1"/>
    <col min="19" max="19" width="8.88671875" style="230"/>
    <col min="20" max="20" width="18.33203125" bestFit="1" customWidth="1"/>
    <col min="21" max="21" width="22.6640625" bestFit="1" customWidth="1"/>
    <col min="22" max="36" width="9.88671875" customWidth="1"/>
  </cols>
  <sheetData>
    <row r="1" spans="1:21">
      <c r="A1" t="s">
        <v>2427</v>
      </c>
      <c r="B1" t="s">
        <v>421</v>
      </c>
      <c r="C1" t="s">
        <v>2470</v>
      </c>
      <c r="D1" t="s">
        <v>2471</v>
      </c>
      <c r="E1" t="s">
        <v>2472</v>
      </c>
      <c r="F1" t="s">
        <v>610</v>
      </c>
      <c r="G1" t="s">
        <v>2473</v>
      </c>
      <c r="H1" t="s">
        <v>2479</v>
      </c>
      <c r="I1" t="s">
        <v>2463</v>
      </c>
      <c r="J1" t="s">
        <v>2464</v>
      </c>
      <c r="K1" t="s">
        <v>480</v>
      </c>
      <c r="L1" t="s">
        <v>2465</v>
      </c>
      <c r="M1" s="230" t="s">
        <v>422</v>
      </c>
      <c r="N1" t="s">
        <v>2474</v>
      </c>
      <c r="O1" t="s">
        <v>2477</v>
      </c>
      <c r="P1" t="s">
        <v>2480</v>
      </c>
      <c r="Q1" t="s">
        <v>2481</v>
      </c>
      <c r="R1" t="s">
        <v>2482</v>
      </c>
      <c r="S1" s="230" t="s">
        <v>291</v>
      </c>
      <c r="T1" t="s">
        <v>2475</v>
      </c>
      <c r="U1" t="s">
        <v>2476</v>
      </c>
    </row>
    <row r="2" spans="1:21">
      <c r="A2" t="str">
        <f>IF(E2&gt;0,基础信息!$B$1,"")</f>
        <v/>
      </c>
      <c r="B2" s="256"/>
      <c r="C2" s="277"/>
      <c r="D2" s="256"/>
      <c r="E2" s="256"/>
      <c r="F2" s="256"/>
      <c r="G2" s="256"/>
      <c r="H2" s="256"/>
      <c r="I2" s="256"/>
      <c r="J2" s="256"/>
      <c r="K2" s="256"/>
      <c r="L2" s="256"/>
      <c r="M2" s="230">
        <f t="shared" ref="M2:M13" si="0">F2+G2+H2+I2-J2-K2+L2</f>
        <v>0</v>
      </c>
      <c r="N2" s="256"/>
      <c r="O2" s="256"/>
      <c r="P2" s="256"/>
      <c r="Q2" s="256"/>
      <c r="R2" s="256"/>
      <c r="S2" s="230">
        <f>O2++P2+Q2-R2</f>
        <v>0</v>
      </c>
    </row>
    <row r="3" spans="1:21">
      <c r="A3" t="str">
        <f>IF(E3&gt;0,基础信息!$B$1,"")</f>
        <v/>
      </c>
      <c r="B3" s="256"/>
      <c r="C3" s="277"/>
      <c r="D3" s="256"/>
      <c r="E3" s="256"/>
      <c r="F3" s="256"/>
      <c r="G3" s="256"/>
      <c r="H3" s="256"/>
      <c r="I3" s="256"/>
      <c r="J3" s="256"/>
      <c r="K3" s="256"/>
      <c r="L3" s="256"/>
      <c r="M3" s="230">
        <f t="shared" si="0"/>
        <v>0</v>
      </c>
      <c r="N3" s="256"/>
      <c r="O3" s="256"/>
      <c r="P3" s="256"/>
      <c r="Q3" s="256"/>
      <c r="R3" s="256"/>
      <c r="S3" s="230">
        <f>O3++P3+Q3-R3</f>
        <v>0</v>
      </c>
    </row>
    <row r="4" spans="1:21">
      <c r="A4" t="str">
        <f>IF(E4&gt;0,基础信息!$B$1,"")</f>
        <v/>
      </c>
      <c r="B4" s="256"/>
      <c r="C4" s="277"/>
      <c r="D4" s="256"/>
      <c r="E4" s="256"/>
      <c r="F4" s="256"/>
      <c r="G4" s="256"/>
      <c r="H4" s="256"/>
      <c r="I4" s="256"/>
      <c r="J4" s="256"/>
      <c r="K4" s="256"/>
      <c r="L4" s="256"/>
      <c r="M4" s="230">
        <f t="shared" si="0"/>
        <v>0</v>
      </c>
      <c r="N4" s="256"/>
      <c r="O4" s="256"/>
      <c r="P4" s="256"/>
      <c r="Q4" s="256"/>
      <c r="R4" s="256"/>
      <c r="S4" s="230">
        <f t="shared" ref="S4:S12" si="1">O4++P4+Q4-R4</f>
        <v>0</v>
      </c>
    </row>
    <row r="5" spans="1:21">
      <c r="A5" t="str">
        <f>IF(E5&gt;0,基础信息!$B$1,"")</f>
        <v/>
      </c>
      <c r="B5" s="256"/>
      <c r="C5" s="277"/>
      <c r="D5" s="256"/>
      <c r="E5" s="256"/>
      <c r="F5" s="256"/>
      <c r="G5" s="256"/>
      <c r="H5" s="256"/>
      <c r="I5" s="256"/>
      <c r="J5" s="256"/>
      <c r="K5" s="256"/>
      <c r="L5" s="256"/>
      <c r="M5" s="230">
        <f t="shared" si="0"/>
        <v>0</v>
      </c>
      <c r="N5" s="256"/>
      <c r="O5" s="256"/>
      <c r="P5" s="256"/>
      <c r="Q5" s="256"/>
      <c r="R5" s="256"/>
      <c r="S5" s="230">
        <f t="shared" si="1"/>
        <v>0</v>
      </c>
    </row>
    <row r="6" spans="1:21">
      <c r="A6" t="str">
        <f>IF(E6&gt;0,基础信息!$B$1,"")</f>
        <v/>
      </c>
      <c r="B6" s="256"/>
      <c r="C6" s="277"/>
      <c r="D6" s="256"/>
      <c r="E6" s="256"/>
      <c r="F6" s="256"/>
      <c r="G6" s="256"/>
      <c r="H6" s="256"/>
      <c r="I6" s="256"/>
      <c r="J6" s="256"/>
      <c r="K6" s="256"/>
      <c r="L6" s="256"/>
      <c r="M6" s="230">
        <f t="shared" si="0"/>
        <v>0</v>
      </c>
      <c r="N6" s="256"/>
      <c r="O6" s="256"/>
      <c r="P6" s="256"/>
      <c r="Q6" s="256"/>
      <c r="R6" s="256"/>
      <c r="S6" s="230">
        <f t="shared" si="1"/>
        <v>0</v>
      </c>
    </row>
    <row r="7" spans="1:21">
      <c r="A7" t="str">
        <f>IF(E7&gt;0,基础信息!$B$1,"")</f>
        <v/>
      </c>
      <c r="B7" s="256"/>
      <c r="C7" s="277"/>
      <c r="D7" s="256"/>
      <c r="E7" s="256"/>
      <c r="F7" s="256"/>
      <c r="G7" s="256"/>
      <c r="H7" s="256"/>
      <c r="I7" s="256"/>
      <c r="J7" s="256"/>
      <c r="K7" s="256"/>
      <c r="L7" s="256"/>
      <c r="M7" s="230">
        <f t="shared" si="0"/>
        <v>0</v>
      </c>
      <c r="N7" s="256"/>
      <c r="O7" s="256"/>
      <c r="P7" s="256"/>
      <c r="Q7" s="256"/>
      <c r="R7" s="256"/>
      <c r="S7" s="230">
        <f t="shared" si="1"/>
        <v>0</v>
      </c>
    </row>
    <row r="8" spans="1:21">
      <c r="A8" t="str">
        <f>IF(E8&gt;0,基础信息!$B$1,"")</f>
        <v/>
      </c>
      <c r="B8" s="256"/>
      <c r="C8" s="277"/>
      <c r="D8" s="256"/>
      <c r="E8" s="256"/>
      <c r="F8" s="256"/>
      <c r="G8" s="256"/>
      <c r="H8" s="256"/>
      <c r="I8" s="256"/>
      <c r="J8" s="256"/>
      <c r="K8" s="256"/>
      <c r="L8" s="256"/>
      <c r="M8" s="230">
        <f t="shared" si="0"/>
        <v>0</v>
      </c>
      <c r="N8" s="256"/>
      <c r="O8" s="256"/>
      <c r="P8" s="256"/>
      <c r="Q8" s="256"/>
      <c r="R8" s="256"/>
      <c r="S8" s="230">
        <f t="shared" si="1"/>
        <v>0</v>
      </c>
    </row>
    <row r="9" spans="1:21">
      <c r="A9" t="str">
        <f>IF(E9&gt;0,基础信息!$B$1,"")</f>
        <v/>
      </c>
      <c r="B9" s="256"/>
      <c r="C9" s="277"/>
      <c r="D9" s="256"/>
      <c r="E9" s="256"/>
      <c r="F9" s="256"/>
      <c r="G9" s="256"/>
      <c r="H9" s="256"/>
      <c r="I9" s="256"/>
      <c r="J9" s="256"/>
      <c r="K9" s="256"/>
      <c r="L9" s="256"/>
      <c r="M9" s="230">
        <f t="shared" si="0"/>
        <v>0</v>
      </c>
      <c r="N9" s="256"/>
      <c r="O9" s="256"/>
      <c r="P9" s="256"/>
      <c r="Q9" s="256"/>
      <c r="R9" s="256"/>
      <c r="S9" s="230">
        <f t="shared" si="1"/>
        <v>0</v>
      </c>
    </row>
    <row r="10" spans="1:21">
      <c r="A10" t="str">
        <f>IF(E10&gt;0,基础信息!$B$1,"")</f>
        <v/>
      </c>
      <c r="B10" s="256"/>
      <c r="C10" s="277"/>
      <c r="D10" s="256"/>
      <c r="E10" s="256"/>
      <c r="F10" s="256"/>
      <c r="G10" s="256"/>
      <c r="H10" s="256"/>
      <c r="I10" s="256"/>
      <c r="J10" s="256"/>
      <c r="K10" s="256"/>
      <c r="L10" s="256"/>
      <c r="M10" s="230">
        <f t="shared" si="0"/>
        <v>0</v>
      </c>
      <c r="N10" s="256"/>
      <c r="O10" s="256"/>
      <c r="P10" s="256"/>
      <c r="Q10" s="256"/>
      <c r="R10" s="256"/>
      <c r="S10" s="230">
        <f t="shared" si="1"/>
        <v>0</v>
      </c>
    </row>
    <row r="11" spans="1:21">
      <c r="A11" t="str">
        <f>IF(E11&gt;0,基础信息!$B$1,"")</f>
        <v/>
      </c>
      <c r="B11" s="256"/>
      <c r="C11" s="277"/>
      <c r="D11" s="256"/>
      <c r="E11" s="256"/>
      <c r="F11" s="256"/>
      <c r="G11" s="256"/>
      <c r="H11" s="256"/>
      <c r="I11" s="256"/>
      <c r="J11" s="256"/>
      <c r="K11" s="256"/>
      <c r="L11" s="256"/>
      <c r="M11" s="230">
        <f t="shared" si="0"/>
        <v>0</v>
      </c>
      <c r="N11" s="256"/>
      <c r="O11" s="256"/>
      <c r="P11" s="256"/>
      <c r="Q11" s="256"/>
      <c r="R11" s="256"/>
      <c r="S11" s="230">
        <f t="shared" si="1"/>
        <v>0</v>
      </c>
    </row>
    <row r="12" spans="1:21">
      <c r="A12" t="str">
        <f>IF(E12&gt;0,基础信息!$B$1,"")</f>
        <v/>
      </c>
      <c r="B12" s="256"/>
      <c r="C12" s="277"/>
      <c r="D12" s="256"/>
      <c r="E12" s="256"/>
      <c r="F12" s="256"/>
      <c r="G12" s="256"/>
      <c r="H12" s="256"/>
      <c r="I12" s="256"/>
      <c r="J12" s="256"/>
      <c r="K12" s="256"/>
      <c r="L12" s="256"/>
      <c r="M12" s="230">
        <f t="shared" si="0"/>
        <v>0</v>
      </c>
      <c r="N12" s="256"/>
      <c r="O12" s="256"/>
      <c r="P12" s="256"/>
      <c r="Q12" s="256"/>
      <c r="R12" s="256"/>
      <c r="S12" s="230">
        <f t="shared" si="1"/>
        <v>0</v>
      </c>
    </row>
    <row r="13" spans="1:21">
      <c r="M13"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codeName="Sheet165">
    <tabColor rgb="FFFFC000"/>
  </sheetPr>
  <dimension ref="A1:G6"/>
  <sheetViews>
    <sheetView workbookViewId="0">
      <selection activeCell="I16" sqref="I16"/>
    </sheetView>
  </sheetViews>
  <sheetFormatPr defaultRowHeight="13.8"/>
  <cols>
    <col min="1" max="16384" width="8.88671875" style="18"/>
  </cols>
  <sheetData>
    <row r="1" spans="1:7" ht="28.8">
      <c r="A1" s="32" t="s">
        <v>28</v>
      </c>
      <c r="B1" s="32" t="s">
        <v>400</v>
      </c>
      <c r="C1" s="32" t="s">
        <v>395</v>
      </c>
      <c r="D1" s="32" t="s">
        <v>396</v>
      </c>
      <c r="E1" s="20" t="s">
        <v>419</v>
      </c>
      <c r="F1" s="32" t="s">
        <v>379</v>
      </c>
      <c r="G1" s="32" t="s">
        <v>378</v>
      </c>
    </row>
    <row r="2" spans="1:7" ht="14.4">
      <c r="A2" s="19" t="s">
        <v>397</v>
      </c>
      <c r="B2" s="295">
        <f>ROUND(SUMIF(其他债权投资明细表!$B:$B,$A2,其他债权投资明细表!Q:Q),2)</f>
        <v>0</v>
      </c>
      <c r="C2" s="295">
        <f>ROUND(SUMIF(其他债权投资明细表!$B:$B,$A2,其他债权投资明细表!R:R),2)</f>
        <v>0</v>
      </c>
      <c r="D2" s="295">
        <f>ROUND(SUMIF(其他债权投资明细表!$B:$B,$A2,其他债权投资明细表!S:S),2)</f>
        <v>0</v>
      </c>
      <c r="E2" s="295">
        <f>ROUND(SUMIF(其他债权投资明细表!$B:$B,$A2,其他债权投资明细表!T:T),2)</f>
        <v>0</v>
      </c>
      <c r="F2" s="69">
        <f>ROUND(SUM(B2:E2),2)</f>
        <v>0</v>
      </c>
      <c r="G2" s="295">
        <f>ROUND(SUMIF(其他债权投资减值准备明细表!B:B,A2,其他债权投资减值准备明细表!O:O),2)</f>
        <v>0</v>
      </c>
    </row>
    <row r="3" spans="1:7" ht="14.4">
      <c r="A3" s="19" t="s">
        <v>398</v>
      </c>
      <c r="B3" s="295">
        <f>ROUND(SUMIF(其他债权投资明细表!$B:$B,$A3,其他债权投资明细表!Q:Q),2)</f>
        <v>0</v>
      </c>
      <c r="C3" s="295">
        <f>ROUND(SUMIF(其他债权投资明细表!$B:$B,$A3,其他债权投资明细表!R:R),2)</f>
        <v>0</v>
      </c>
      <c r="D3" s="295">
        <f>ROUND(SUMIF(其他债权投资明细表!$B:$B,$A3,其他债权投资明细表!S:S),2)</f>
        <v>0</v>
      </c>
      <c r="E3" s="295">
        <f>ROUND(SUMIF(其他债权投资明细表!$B:$B,$A3,其他债权投资明细表!T:T),2)</f>
        <v>0</v>
      </c>
      <c r="F3" s="69">
        <f>ROUND(SUM(B3:E3),2)</f>
        <v>0</v>
      </c>
      <c r="G3" s="295">
        <f>ROUND(SUMIF(其他债权投资减值准备明细表!B:B,A3,其他债权投资减值准备明细表!O:O),2)</f>
        <v>0</v>
      </c>
    </row>
    <row r="4" spans="1:7" ht="14.4">
      <c r="A4" s="19" t="s">
        <v>399</v>
      </c>
      <c r="B4" s="295">
        <f>ROUND(SUMIF(其他债权投资明细表!$B:$B,$A4,其他债权投资明细表!Q:Q),2)</f>
        <v>0</v>
      </c>
      <c r="C4" s="295">
        <f>ROUND(SUMIF(其他债权投资明细表!$B:$B,$A4,其他债权投资明细表!R:R),2)</f>
        <v>0</v>
      </c>
      <c r="D4" s="295">
        <f>ROUND(SUMIF(其他债权投资明细表!$B:$B,$A4,其他债权投资明细表!S:S),2)</f>
        <v>0</v>
      </c>
      <c r="E4" s="295">
        <f>ROUND(SUMIF(其他债权投资明细表!$B:$B,$A4,其他债权投资明细表!T:T),2)</f>
        <v>0</v>
      </c>
      <c r="F4" s="69">
        <f>ROUND(SUM(B4:E4),2)</f>
        <v>0</v>
      </c>
      <c r="G4" s="295">
        <f>ROUND(SUMIF(其他债权投资减值准备明细表!B:B,A4,其他债权投资减值准备明细表!O:O),2)</f>
        <v>0</v>
      </c>
    </row>
    <row r="5" spans="1:7" ht="14.4">
      <c r="A5" s="19" t="s">
        <v>13</v>
      </c>
      <c r="B5" s="295">
        <f>ROUND(SUMIF(其他债权投资明细表!$B:$B,$A5,其他债权投资明细表!Q:Q),2)</f>
        <v>0</v>
      </c>
      <c r="C5" s="295">
        <f>ROUND(SUMIF(其他债权投资明细表!$B:$B,$A5,其他债权投资明细表!R:R),2)</f>
        <v>0</v>
      </c>
      <c r="D5" s="295">
        <f>ROUND(SUMIF(其他债权投资明细表!$B:$B,$A5,其他债权投资明细表!S:S),2)</f>
        <v>0</v>
      </c>
      <c r="E5" s="295">
        <f>ROUND(SUMIF(其他债权投资明细表!$B:$B,$A5,其他债权投资明细表!T:T),2)</f>
        <v>0</v>
      </c>
      <c r="F5" s="69">
        <f>ROUND(SUM(B5:E5),2)</f>
        <v>0</v>
      </c>
      <c r="G5" s="295">
        <f>ROUND(SUMIF(其他债权投资减值准备明细表!B:B,A5,其他债权投资减值准备明细表!O:O),2)</f>
        <v>0</v>
      </c>
    </row>
    <row r="6" spans="1:7" ht="14.4">
      <c r="A6" s="31" t="s">
        <v>204</v>
      </c>
      <c r="B6" s="295">
        <f>ROUND(SUM(B2:B5),2)</f>
        <v>0</v>
      </c>
      <c r="C6" s="295">
        <f>ROUND(SUM(C2:C5),2)</f>
        <v>0</v>
      </c>
      <c r="D6" s="295">
        <f>ROUND(SUM(D2:D5),2)</f>
        <v>0</v>
      </c>
      <c r="E6" s="295">
        <f>ROUND(SUM(E2:E5),2)</f>
        <v>0</v>
      </c>
      <c r="F6" s="69">
        <f>ROUND(SUM(F2:F5),2)</f>
        <v>0</v>
      </c>
      <c r="G6" s="69">
        <f>ROUND(SUM(G2:G5),2)</f>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codeName="Sheet166">
    <tabColor rgb="FFFFC000"/>
  </sheetPr>
  <dimension ref="A1:G6"/>
  <sheetViews>
    <sheetView workbookViewId="0">
      <selection activeCell="F11" sqref="F11"/>
    </sheetView>
  </sheetViews>
  <sheetFormatPr defaultRowHeight="13.8"/>
  <cols>
    <col min="1" max="16384" width="8.88671875" style="18"/>
  </cols>
  <sheetData>
    <row r="1" spans="1:7" ht="28.8">
      <c r="A1" s="32" t="s">
        <v>28</v>
      </c>
      <c r="B1" s="32" t="s">
        <v>400</v>
      </c>
      <c r="C1" s="32" t="s">
        <v>395</v>
      </c>
      <c r="D1" s="32" t="s">
        <v>396</v>
      </c>
      <c r="E1" s="20" t="s">
        <v>419</v>
      </c>
      <c r="F1" s="32" t="s">
        <v>379</v>
      </c>
      <c r="G1" s="32" t="s">
        <v>378</v>
      </c>
    </row>
    <row r="2" spans="1:7" ht="14.4">
      <c r="A2" s="19" t="s">
        <v>397</v>
      </c>
      <c r="B2" s="295">
        <f>ROUND(SUMIF(其他债权投资明细表!B:B,A2,其他债权投资明细表!G:G),2)</f>
        <v>0</v>
      </c>
      <c r="C2" s="295">
        <f>ROUND(SUMIF(其他债权投资明细表!B:B,A2,其他债权投资明细表!H:H),2)</f>
        <v>0</v>
      </c>
      <c r="D2" s="295">
        <f>ROUND(SUMIF(其他债权投资明细表!B:B,A2,其他债权投资明细表!I:I),2)</f>
        <v>0</v>
      </c>
      <c r="E2" s="295">
        <f>ROUND(SUMIF(其他债权投资明细表!B:B,A2,其他债权投资明细表!J:J),2)</f>
        <v>0</v>
      </c>
      <c r="F2" s="69">
        <f>ROUND(SUM(B2:E2),2)</f>
        <v>0</v>
      </c>
      <c r="G2" s="295">
        <f>ROUND(SUMIF(其他债权投资减值准备明细表!B:B,A2,其他债权投资减值准备明细表!E:E),2)</f>
        <v>0</v>
      </c>
    </row>
    <row r="3" spans="1:7" ht="14.4">
      <c r="A3" s="19" t="s">
        <v>398</v>
      </c>
      <c r="B3" s="295">
        <f>ROUND(SUMIF(其他债权投资明细表!B:B,A3,其他债权投资明细表!G:G),2)</f>
        <v>0</v>
      </c>
      <c r="C3" s="295">
        <f>ROUND(SUMIF(其他债权投资明细表!B:B,A3,其他债权投资明细表!H:H),2)</f>
        <v>0</v>
      </c>
      <c r="D3" s="295">
        <f>ROUND(SUMIF(其他债权投资明细表!B:B,A3,其他债权投资明细表!I:I),2)</f>
        <v>0</v>
      </c>
      <c r="E3" s="295">
        <f>ROUND(SUMIF(其他债权投资明细表!B:B,A3,其他债权投资明细表!J:J),2)</f>
        <v>0</v>
      </c>
      <c r="F3" s="69">
        <f>ROUND(SUM(B3:E3),2)</f>
        <v>0</v>
      </c>
      <c r="G3" s="295">
        <f>ROUND(SUMIF(其他债权投资减值准备明细表!B:B,A3,其他债权投资减值准备明细表!E:E),2)</f>
        <v>0</v>
      </c>
    </row>
    <row r="4" spans="1:7" ht="14.4">
      <c r="A4" s="19" t="s">
        <v>399</v>
      </c>
      <c r="B4" s="295">
        <f>ROUND(SUMIF(其他债权投资明细表!B:B,A4,其他债权投资明细表!G:G),2)</f>
        <v>0</v>
      </c>
      <c r="C4" s="295">
        <f>ROUND(SUMIF(其他债权投资明细表!B:B,A4,其他债权投资明细表!H:H),2)</f>
        <v>0</v>
      </c>
      <c r="D4" s="295">
        <f>ROUND(SUMIF(其他债权投资明细表!B:B,A4,其他债权投资明细表!I:I),2)</f>
        <v>0</v>
      </c>
      <c r="E4" s="295">
        <f>ROUND(SUMIF(其他债权投资明细表!B:B,A4,其他债权投资明细表!J:J),2)</f>
        <v>0</v>
      </c>
      <c r="F4" s="69">
        <f>ROUND(SUM(B4:E4),2)</f>
        <v>0</v>
      </c>
      <c r="G4" s="295">
        <f>ROUND(SUMIF(其他债权投资减值准备明细表!B:B,A4,其他债权投资减值准备明细表!E:E),2)</f>
        <v>0</v>
      </c>
    </row>
    <row r="5" spans="1:7" ht="14.4">
      <c r="A5" s="19" t="s">
        <v>13</v>
      </c>
      <c r="B5" s="295">
        <f>ROUND(SUMIF(其他债权投资明细表!B:B,A5,其他债权投资明细表!G:G),2)</f>
        <v>0</v>
      </c>
      <c r="C5" s="295">
        <f>ROUND(SUMIF(其他债权投资明细表!B:B,A5,其他债权投资明细表!H:H),2)</f>
        <v>0</v>
      </c>
      <c r="D5" s="295">
        <f>ROUND(SUMIF(其他债权投资明细表!B:B,A5,其他债权投资明细表!I:I),2)</f>
        <v>0</v>
      </c>
      <c r="E5" s="295">
        <f>ROUND(SUMIF(其他债权投资明细表!B:B,A5,其他债权投资明细表!J:J),2)</f>
        <v>0</v>
      </c>
      <c r="F5" s="69">
        <f>ROUND(SUM(B5:E5),2)</f>
        <v>0</v>
      </c>
      <c r="G5" s="295">
        <f>ROUND(SUMIF(其他债权投资减值准备明细表!B:B,A5,其他债权投资减值准备明细表!E:E),2)</f>
        <v>0</v>
      </c>
    </row>
    <row r="6" spans="1:7" ht="14.4">
      <c r="A6" s="31" t="s">
        <v>204</v>
      </c>
      <c r="B6" s="69">
        <f>ROUND(SUM(B2:B5),2)</f>
        <v>0</v>
      </c>
      <c r="C6" s="69">
        <f>ROUND(SUM(C2:C5),2)</f>
        <v>0</v>
      </c>
      <c r="D6" s="69">
        <f>ROUND(SUM(D2:D5),2)</f>
        <v>0</v>
      </c>
      <c r="E6" s="69">
        <f>ROUND(SUM(E2:E5),2)</f>
        <v>0</v>
      </c>
      <c r="F6" s="69">
        <f>ROUND(SUM(F2:F5),2)</f>
        <v>0</v>
      </c>
      <c r="G6" s="69">
        <f>ROUND(SUM(G2:G5),2)</f>
        <v>0</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sheetPr codeName="Sheet167"/>
  <dimension ref="A1:AF18"/>
  <sheetViews>
    <sheetView workbookViewId="0">
      <selection activeCell="A6" sqref="A6"/>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30" bestFit="1" customWidth="1"/>
    <col min="12" max="12" width="13.88671875" bestFit="1" customWidth="1"/>
    <col min="13" max="13" width="9.5546875" bestFit="1" customWidth="1"/>
    <col min="14" max="15" width="13.88671875" bestFit="1" customWidth="1"/>
    <col min="16" max="16" width="13.88671875" customWidth="1"/>
    <col min="17" max="19" width="13.88671875" style="230" bestFit="1" customWidth="1"/>
    <col min="20" max="20" width="13.88671875" style="230" customWidth="1"/>
    <col min="21" max="21" width="13.88671875" style="230" bestFit="1" customWidth="1"/>
    <col min="22" max="25" width="13.88671875" style="230" customWidth="1"/>
    <col min="26" max="26" width="15.109375" style="257" bestFit="1" customWidth="1"/>
    <col min="27" max="31" width="8.88671875" style="257"/>
    <col min="32" max="32" width="8.88671875" style="260"/>
  </cols>
  <sheetData>
    <row r="1" spans="1:31">
      <c r="A1" t="s">
        <v>2427</v>
      </c>
      <c r="B1" t="s">
        <v>4350</v>
      </c>
      <c r="C1" t="s">
        <v>4351</v>
      </c>
      <c r="D1" t="s">
        <v>4352</v>
      </c>
      <c r="E1" t="s">
        <v>4353</v>
      </c>
      <c r="F1" t="s">
        <v>4354</v>
      </c>
      <c r="G1" t="s">
        <v>4355</v>
      </c>
      <c r="H1" t="s">
        <v>4356</v>
      </c>
      <c r="I1" t="s">
        <v>4357</v>
      </c>
      <c r="J1" t="s">
        <v>4377</v>
      </c>
      <c r="K1" s="230" t="s">
        <v>218</v>
      </c>
      <c r="L1" t="s">
        <v>4358</v>
      </c>
      <c r="M1" t="s">
        <v>4359</v>
      </c>
      <c r="N1" t="s">
        <v>4360</v>
      </c>
      <c r="O1" t="s">
        <v>4361</v>
      </c>
      <c r="P1" t="s">
        <v>4375</v>
      </c>
      <c r="Q1" s="230" t="s">
        <v>4362</v>
      </c>
      <c r="R1" s="230" t="s">
        <v>4363</v>
      </c>
      <c r="S1" s="230" t="s">
        <v>4364</v>
      </c>
      <c r="T1" s="230" t="s">
        <v>4376</v>
      </c>
      <c r="U1" s="230" t="s">
        <v>214</v>
      </c>
      <c r="V1" t="s">
        <v>4365</v>
      </c>
      <c r="W1" t="s">
        <v>4366</v>
      </c>
      <c r="X1" t="s">
        <v>4367</v>
      </c>
      <c r="Y1" t="s">
        <v>4368</v>
      </c>
      <c r="Z1" s="260"/>
      <c r="AA1" s="260"/>
      <c r="AB1" s="260"/>
      <c r="AC1" s="260"/>
      <c r="AD1" s="260"/>
      <c r="AE1" s="260"/>
    </row>
    <row r="2" spans="1:31">
      <c r="A2" s="230" t="str">
        <f>IF(OR(K2&gt;0,U2&gt;0),基础信息!$B$1,"")</f>
        <v/>
      </c>
      <c r="B2" s="277"/>
      <c r="C2" s="256"/>
      <c r="D2" s="256"/>
      <c r="E2" s="256"/>
      <c r="F2" s="256"/>
      <c r="G2" s="256"/>
      <c r="H2" s="256"/>
      <c r="I2" s="256"/>
      <c r="J2" s="256"/>
      <c r="K2" s="230">
        <f>G2+H2+I2+J2</f>
        <v>0</v>
      </c>
      <c r="L2" s="256"/>
      <c r="M2" s="256"/>
      <c r="N2" s="256"/>
      <c r="O2" s="256"/>
      <c r="P2" s="256"/>
      <c r="Q2" s="230">
        <f>G2+L2-M2</f>
        <v>0</v>
      </c>
      <c r="R2" s="230">
        <f>H2+N2</f>
        <v>0</v>
      </c>
      <c r="S2" s="230">
        <f>I2+O2</f>
        <v>0</v>
      </c>
      <c r="T2" s="230">
        <f>J2+P2</f>
        <v>0</v>
      </c>
      <c r="U2" s="230">
        <f>Q2+R2+S2+T2</f>
        <v>0</v>
      </c>
      <c r="V2" s="290"/>
      <c r="W2" s="290"/>
      <c r="X2" s="290"/>
      <c r="Y2" s="290"/>
    </row>
    <row r="3" spans="1:31">
      <c r="A3" s="230" t="str">
        <f>IF(OR(K3&gt;0,U3&gt;0),基础信息!$B$1,"")</f>
        <v/>
      </c>
      <c r="B3" s="277"/>
      <c r="C3" s="256"/>
      <c r="D3" s="256"/>
      <c r="E3" s="256"/>
      <c r="F3" s="256"/>
      <c r="G3" s="256"/>
      <c r="H3" s="256"/>
      <c r="I3" s="256"/>
      <c r="J3" s="256"/>
      <c r="K3" s="230">
        <f t="shared" ref="K3:K18" si="0">G3+H3+I3+J3</f>
        <v>0</v>
      </c>
      <c r="L3" s="256"/>
      <c r="M3" s="256"/>
      <c r="N3" s="256"/>
      <c r="O3" s="256"/>
      <c r="P3" s="256"/>
      <c r="Q3" s="230">
        <f t="shared" ref="Q3:Q18" si="1">G3+L3-M3</f>
        <v>0</v>
      </c>
      <c r="R3" s="230">
        <f t="shared" ref="R3:R18" si="2">H3+N3</f>
        <v>0</v>
      </c>
      <c r="S3" s="230">
        <f t="shared" ref="S3:S18" si="3">I3+O3</f>
        <v>0</v>
      </c>
      <c r="T3" s="230">
        <f t="shared" ref="T3:T18" si="4">J3+P3</f>
        <v>0</v>
      </c>
      <c r="U3" s="230">
        <f t="shared" ref="U3:U18" si="5">Q3+R3+S3+T3</f>
        <v>0</v>
      </c>
      <c r="V3" s="290"/>
      <c r="W3" s="290"/>
      <c r="X3" s="290"/>
      <c r="Y3" s="290"/>
    </row>
    <row r="4" spans="1:31">
      <c r="A4" s="230" t="str">
        <f>IF(OR(K4&gt;0,U4&gt;0),基础信息!$B$1,"")</f>
        <v/>
      </c>
      <c r="B4" s="277"/>
      <c r="C4" s="256"/>
      <c r="D4" s="256"/>
      <c r="E4" s="256"/>
      <c r="F4" s="256"/>
      <c r="G4" s="256"/>
      <c r="H4" s="256"/>
      <c r="I4" s="256"/>
      <c r="J4" s="256"/>
      <c r="K4" s="230">
        <f t="shared" si="0"/>
        <v>0</v>
      </c>
      <c r="L4" s="256"/>
      <c r="M4" s="256"/>
      <c r="N4" s="256"/>
      <c r="O4" s="256"/>
      <c r="P4" s="256"/>
      <c r="Q4" s="230">
        <f t="shared" si="1"/>
        <v>0</v>
      </c>
      <c r="R4" s="230">
        <f t="shared" si="2"/>
        <v>0</v>
      </c>
      <c r="S4" s="230">
        <f t="shared" si="3"/>
        <v>0</v>
      </c>
      <c r="T4" s="230">
        <f t="shared" si="4"/>
        <v>0</v>
      </c>
      <c r="U4" s="230">
        <f t="shared" si="5"/>
        <v>0</v>
      </c>
      <c r="V4" s="290"/>
      <c r="W4" s="290"/>
      <c r="X4" s="290"/>
      <c r="Y4" s="290"/>
    </row>
    <row r="5" spans="1:31">
      <c r="A5" s="230" t="str">
        <f>IF(OR(K5&gt;0,U5&gt;0),基础信息!$B$1,"")</f>
        <v/>
      </c>
      <c r="B5" s="277"/>
      <c r="C5" s="256"/>
      <c r="D5" s="256"/>
      <c r="E5" s="256"/>
      <c r="F5" s="256"/>
      <c r="G5" s="256"/>
      <c r="H5" s="256"/>
      <c r="I5" s="256"/>
      <c r="J5" s="256"/>
      <c r="K5" s="230">
        <f t="shared" si="0"/>
        <v>0</v>
      </c>
      <c r="L5" s="256"/>
      <c r="M5" s="256"/>
      <c r="N5" s="256"/>
      <c r="O5" s="256"/>
      <c r="P5" s="256"/>
      <c r="Q5" s="230">
        <f t="shared" si="1"/>
        <v>0</v>
      </c>
      <c r="R5" s="230">
        <f t="shared" si="2"/>
        <v>0</v>
      </c>
      <c r="S5" s="230">
        <f t="shared" si="3"/>
        <v>0</v>
      </c>
      <c r="T5" s="230">
        <f t="shared" si="4"/>
        <v>0</v>
      </c>
      <c r="U5" s="230">
        <f t="shared" si="5"/>
        <v>0</v>
      </c>
      <c r="V5" s="290"/>
      <c r="W5" s="290"/>
      <c r="X5" s="290"/>
      <c r="Y5" s="290"/>
    </row>
    <row r="6" spans="1:31">
      <c r="A6" s="230" t="str">
        <f>IF(OR(K6&gt;0,U6&gt;0),基础信息!$B$1,"")</f>
        <v/>
      </c>
      <c r="B6" s="277"/>
      <c r="C6" s="256"/>
      <c r="D6" s="256"/>
      <c r="E6" s="256"/>
      <c r="F6" s="256"/>
      <c r="G6" s="256"/>
      <c r="H6" s="256"/>
      <c r="I6" s="256"/>
      <c r="J6" s="256"/>
      <c r="K6" s="230">
        <f t="shared" si="0"/>
        <v>0</v>
      </c>
      <c r="L6" s="256"/>
      <c r="M6" s="256"/>
      <c r="N6" s="256"/>
      <c r="O6" s="256"/>
      <c r="P6" s="256"/>
      <c r="Q6" s="230">
        <f t="shared" si="1"/>
        <v>0</v>
      </c>
      <c r="R6" s="230">
        <f t="shared" si="2"/>
        <v>0</v>
      </c>
      <c r="S6" s="230">
        <f t="shared" si="3"/>
        <v>0</v>
      </c>
      <c r="T6" s="230">
        <f t="shared" si="4"/>
        <v>0</v>
      </c>
      <c r="U6" s="230">
        <f t="shared" si="5"/>
        <v>0</v>
      </c>
      <c r="V6" s="290"/>
      <c r="W6" s="290"/>
      <c r="X6" s="290"/>
      <c r="Y6" s="290"/>
    </row>
    <row r="7" spans="1:31">
      <c r="A7" s="230" t="str">
        <f>IF(OR(K7&gt;0,U7&gt;0),基础信息!$B$1,"")</f>
        <v/>
      </c>
      <c r="B7" s="277"/>
      <c r="C7" s="256"/>
      <c r="D7" s="256"/>
      <c r="E7" s="256"/>
      <c r="F7" s="256"/>
      <c r="G7" s="256"/>
      <c r="H7" s="256"/>
      <c r="I7" s="256"/>
      <c r="J7" s="256"/>
      <c r="K7" s="230">
        <f t="shared" si="0"/>
        <v>0</v>
      </c>
      <c r="L7" s="256"/>
      <c r="M7" s="256"/>
      <c r="N7" s="256"/>
      <c r="O7" s="256"/>
      <c r="P7" s="256"/>
      <c r="Q7" s="230">
        <f t="shared" si="1"/>
        <v>0</v>
      </c>
      <c r="R7" s="230">
        <f t="shared" si="2"/>
        <v>0</v>
      </c>
      <c r="S7" s="230">
        <f t="shared" si="3"/>
        <v>0</v>
      </c>
      <c r="T7" s="230">
        <f t="shared" si="4"/>
        <v>0</v>
      </c>
      <c r="U7" s="230">
        <f t="shared" si="5"/>
        <v>0</v>
      </c>
      <c r="V7" s="290"/>
      <c r="W7" s="290"/>
      <c r="X7" s="290"/>
      <c r="Y7" s="290"/>
    </row>
    <row r="8" spans="1:31">
      <c r="A8" s="230" t="str">
        <f>IF(OR(K8&gt;0,U8&gt;0),基础信息!$B$1,"")</f>
        <v/>
      </c>
      <c r="B8" s="277"/>
      <c r="C8" s="256"/>
      <c r="D8" s="256"/>
      <c r="E8" s="256"/>
      <c r="F8" s="256"/>
      <c r="G8" s="256"/>
      <c r="H8" s="256"/>
      <c r="I8" s="256"/>
      <c r="J8" s="256"/>
      <c r="K8" s="230">
        <f t="shared" si="0"/>
        <v>0</v>
      </c>
      <c r="L8" s="256"/>
      <c r="M8" s="256"/>
      <c r="N8" s="256"/>
      <c r="O8" s="256"/>
      <c r="P8" s="256"/>
      <c r="Q8" s="230">
        <f t="shared" si="1"/>
        <v>0</v>
      </c>
      <c r="R8" s="230">
        <f t="shared" si="2"/>
        <v>0</v>
      </c>
      <c r="S8" s="230">
        <f t="shared" si="3"/>
        <v>0</v>
      </c>
      <c r="T8" s="230">
        <f t="shared" si="4"/>
        <v>0</v>
      </c>
      <c r="U8" s="230">
        <f t="shared" si="5"/>
        <v>0</v>
      </c>
      <c r="V8" s="290"/>
      <c r="W8" s="290"/>
      <c r="X8" s="290"/>
      <c r="Y8" s="290"/>
    </row>
    <row r="9" spans="1:31">
      <c r="A9" s="230" t="str">
        <f>IF(OR(K9&gt;0,U9&gt;0),基础信息!$B$1,"")</f>
        <v/>
      </c>
      <c r="B9" s="277"/>
      <c r="C9" s="256"/>
      <c r="D9" s="256"/>
      <c r="E9" s="256"/>
      <c r="F9" s="256"/>
      <c r="G9" s="256"/>
      <c r="H9" s="256"/>
      <c r="I9" s="256"/>
      <c r="J9" s="256"/>
      <c r="K9" s="230">
        <f t="shared" si="0"/>
        <v>0</v>
      </c>
      <c r="L9" s="256"/>
      <c r="M9" s="256"/>
      <c r="N9" s="256"/>
      <c r="O9" s="256"/>
      <c r="P9" s="256"/>
      <c r="Q9" s="230">
        <f t="shared" si="1"/>
        <v>0</v>
      </c>
      <c r="R9" s="230">
        <f t="shared" si="2"/>
        <v>0</v>
      </c>
      <c r="S9" s="230">
        <f t="shared" si="3"/>
        <v>0</v>
      </c>
      <c r="T9" s="230">
        <f t="shared" si="4"/>
        <v>0</v>
      </c>
      <c r="U9" s="230">
        <f t="shared" si="5"/>
        <v>0</v>
      </c>
      <c r="V9" s="290"/>
      <c r="W9" s="290"/>
      <c r="X9" s="290"/>
      <c r="Y9" s="290"/>
    </row>
    <row r="10" spans="1:31">
      <c r="A10" s="230" t="str">
        <f>IF(OR(K10&gt;0,U10&gt;0),基础信息!$B$1,"")</f>
        <v/>
      </c>
      <c r="B10" s="277"/>
      <c r="C10" s="256"/>
      <c r="D10" s="256"/>
      <c r="E10" s="256"/>
      <c r="F10" s="256"/>
      <c r="G10" s="256"/>
      <c r="H10" s="256"/>
      <c r="I10" s="256"/>
      <c r="J10" s="256"/>
      <c r="K10" s="230">
        <f t="shared" si="0"/>
        <v>0</v>
      </c>
      <c r="L10" s="256"/>
      <c r="M10" s="256"/>
      <c r="N10" s="256"/>
      <c r="O10" s="256"/>
      <c r="P10" s="256"/>
      <c r="Q10" s="230">
        <f t="shared" si="1"/>
        <v>0</v>
      </c>
      <c r="R10" s="230">
        <f t="shared" si="2"/>
        <v>0</v>
      </c>
      <c r="S10" s="230">
        <f t="shared" si="3"/>
        <v>0</v>
      </c>
      <c r="T10" s="230">
        <f t="shared" si="4"/>
        <v>0</v>
      </c>
      <c r="U10" s="230">
        <f t="shared" si="5"/>
        <v>0</v>
      </c>
      <c r="V10" s="290"/>
      <c r="W10" s="290"/>
      <c r="X10" s="290"/>
      <c r="Y10" s="290"/>
    </row>
    <row r="11" spans="1:31">
      <c r="A11" s="230" t="str">
        <f>IF(OR(K11&gt;0,U11&gt;0),基础信息!$B$1,"")</f>
        <v/>
      </c>
      <c r="B11" s="277"/>
      <c r="C11" s="256"/>
      <c r="D11" s="256"/>
      <c r="E11" s="256"/>
      <c r="F11" s="256"/>
      <c r="G11" s="256"/>
      <c r="H11" s="256"/>
      <c r="I11" s="256"/>
      <c r="J11" s="256"/>
      <c r="K11" s="230">
        <f t="shared" si="0"/>
        <v>0</v>
      </c>
      <c r="L11" s="256"/>
      <c r="M11" s="256"/>
      <c r="N11" s="256"/>
      <c r="O11" s="256"/>
      <c r="P11" s="256"/>
      <c r="Q11" s="230">
        <f t="shared" si="1"/>
        <v>0</v>
      </c>
      <c r="R11" s="230">
        <f t="shared" si="2"/>
        <v>0</v>
      </c>
      <c r="S11" s="230">
        <f t="shared" si="3"/>
        <v>0</v>
      </c>
      <c r="T11" s="230">
        <f t="shared" si="4"/>
        <v>0</v>
      </c>
      <c r="U11" s="230">
        <f t="shared" si="5"/>
        <v>0</v>
      </c>
      <c r="V11" s="290"/>
      <c r="W11" s="290"/>
      <c r="X11" s="290"/>
      <c r="Y11" s="290"/>
    </row>
    <row r="12" spans="1:31">
      <c r="A12" s="230" t="str">
        <f>IF(OR(K12&gt;0,U12&gt;0),基础信息!$B$1,"")</f>
        <v/>
      </c>
      <c r="B12" s="277"/>
      <c r="C12" s="256"/>
      <c r="D12" s="256"/>
      <c r="E12" s="256"/>
      <c r="F12" s="256"/>
      <c r="G12" s="256"/>
      <c r="H12" s="256"/>
      <c r="I12" s="256"/>
      <c r="J12" s="256"/>
      <c r="K12" s="230">
        <f t="shared" si="0"/>
        <v>0</v>
      </c>
      <c r="L12" s="256"/>
      <c r="M12" s="256"/>
      <c r="N12" s="256"/>
      <c r="O12" s="256"/>
      <c r="P12" s="256"/>
      <c r="Q12" s="230">
        <f t="shared" si="1"/>
        <v>0</v>
      </c>
      <c r="R12" s="230">
        <f t="shared" si="2"/>
        <v>0</v>
      </c>
      <c r="S12" s="230">
        <f t="shared" si="3"/>
        <v>0</v>
      </c>
      <c r="T12" s="230">
        <f t="shared" si="4"/>
        <v>0</v>
      </c>
      <c r="U12" s="230">
        <f t="shared" si="5"/>
        <v>0</v>
      </c>
      <c r="V12" s="290"/>
      <c r="W12" s="290"/>
      <c r="X12" s="290"/>
      <c r="Y12" s="290"/>
    </row>
    <row r="13" spans="1:31">
      <c r="A13" s="230" t="str">
        <f>IF(OR(K13&gt;0,U13&gt;0),基础信息!$B$1,"")</f>
        <v/>
      </c>
      <c r="B13" s="277"/>
      <c r="C13" s="256"/>
      <c r="D13" s="256"/>
      <c r="E13" s="256"/>
      <c r="F13" s="256"/>
      <c r="G13" s="256"/>
      <c r="H13" s="256"/>
      <c r="I13" s="256"/>
      <c r="J13" s="256"/>
      <c r="K13" s="230">
        <f t="shared" si="0"/>
        <v>0</v>
      </c>
      <c r="L13" s="256"/>
      <c r="M13" s="256"/>
      <c r="N13" s="256"/>
      <c r="O13" s="256"/>
      <c r="P13" s="256"/>
      <c r="Q13" s="230">
        <f t="shared" si="1"/>
        <v>0</v>
      </c>
      <c r="R13" s="230">
        <f t="shared" si="2"/>
        <v>0</v>
      </c>
      <c r="S13" s="230">
        <f t="shared" si="3"/>
        <v>0</v>
      </c>
      <c r="T13" s="230">
        <f t="shared" si="4"/>
        <v>0</v>
      </c>
      <c r="U13" s="230">
        <f t="shared" si="5"/>
        <v>0</v>
      </c>
      <c r="V13" s="290"/>
      <c r="W13" s="290"/>
      <c r="X13" s="290"/>
      <c r="Y13" s="290"/>
    </row>
    <row r="14" spans="1:31">
      <c r="A14" s="230" t="str">
        <f>IF(OR(K14&gt;0,U14&gt;0),基础信息!$B$1,"")</f>
        <v/>
      </c>
      <c r="B14" s="277"/>
      <c r="C14" s="256"/>
      <c r="D14" s="256"/>
      <c r="E14" s="256"/>
      <c r="F14" s="256"/>
      <c r="G14" s="256"/>
      <c r="H14" s="256"/>
      <c r="I14" s="256"/>
      <c r="J14" s="256"/>
      <c r="K14" s="230">
        <f t="shared" si="0"/>
        <v>0</v>
      </c>
      <c r="L14" s="256"/>
      <c r="M14" s="256"/>
      <c r="N14" s="256"/>
      <c r="O14" s="256"/>
      <c r="P14" s="256"/>
      <c r="Q14" s="230">
        <f t="shared" si="1"/>
        <v>0</v>
      </c>
      <c r="R14" s="230">
        <f t="shared" si="2"/>
        <v>0</v>
      </c>
      <c r="S14" s="230">
        <f t="shared" si="3"/>
        <v>0</v>
      </c>
      <c r="T14" s="230">
        <f t="shared" si="4"/>
        <v>0</v>
      </c>
      <c r="U14" s="230">
        <f t="shared" si="5"/>
        <v>0</v>
      </c>
      <c r="V14" s="290"/>
      <c r="W14" s="290"/>
      <c r="X14" s="290"/>
      <c r="Y14" s="290"/>
    </row>
    <row r="15" spans="1:31">
      <c r="A15" s="230" t="str">
        <f>IF(OR(K15&gt;0,U15&gt;0),基础信息!$B$1,"")</f>
        <v/>
      </c>
      <c r="B15" s="277"/>
      <c r="C15" s="256"/>
      <c r="D15" s="256"/>
      <c r="E15" s="256"/>
      <c r="F15" s="256"/>
      <c r="G15" s="256"/>
      <c r="H15" s="256"/>
      <c r="I15" s="256"/>
      <c r="J15" s="256"/>
      <c r="K15" s="230">
        <f t="shared" si="0"/>
        <v>0</v>
      </c>
      <c r="L15" s="256"/>
      <c r="M15" s="256"/>
      <c r="N15" s="256"/>
      <c r="O15" s="256"/>
      <c r="P15" s="256"/>
      <c r="Q15" s="230">
        <f t="shared" si="1"/>
        <v>0</v>
      </c>
      <c r="R15" s="230">
        <f t="shared" si="2"/>
        <v>0</v>
      </c>
      <c r="S15" s="230">
        <f t="shared" si="3"/>
        <v>0</v>
      </c>
      <c r="T15" s="230">
        <f t="shared" si="4"/>
        <v>0</v>
      </c>
      <c r="U15" s="230">
        <f t="shared" si="5"/>
        <v>0</v>
      </c>
      <c r="V15" s="290"/>
      <c r="W15" s="290"/>
      <c r="X15" s="290"/>
      <c r="Y15" s="290"/>
    </row>
    <row r="16" spans="1:31">
      <c r="A16" s="230" t="str">
        <f>IF(OR(K16&gt;0,U16&gt;0),基础信息!$B$1,"")</f>
        <v/>
      </c>
      <c r="B16" s="277"/>
      <c r="C16" s="256"/>
      <c r="D16" s="256"/>
      <c r="E16" s="256"/>
      <c r="F16" s="256"/>
      <c r="G16" s="256"/>
      <c r="H16" s="256"/>
      <c r="I16" s="256"/>
      <c r="J16" s="256"/>
      <c r="K16" s="230">
        <f t="shared" si="0"/>
        <v>0</v>
      </c>
      <c r="L16" s="256"/>
      <c r="M16" s="256"/>
      <c r="N16" s="256"/>
      <c r="O16" s="256"/>
      <c r="P16" s="256"/>
      <c r="Q16" s="230">
        <f t="shared" si="1"/>
        <v>0</v>
      </c>
      <c r="R16" s="230">
        <f t="shared" si="2"/>
        <v>0</v>
      </c>
      <c r="S16" s="230">
        <f t="shared" si="3"/>
        <v>0</v>
      </c>
      <c r="T16" s="230">
        <f t="shared" si="4"/>
        <v>0</v>
      </c>
      <c r="U16" s="230">
        <f t="shared" si="5"/>
        <v>0</v>
      </c>
      <c r="V16" s="290"/>
      <c r="W16" s="290"/>
      <c r="X16" s="290"/>
      <c r="Y16" s="290"/>
    </row>
    <row r="17" spans="1:25">
      <c r="A17" s="230" t="str">
        <f>IF(OR(K17&gt;0,U17&gt;0),基础信息!$B$1,"")</f>
        <v/>
      </c>
      <c r="B17" s="277"/>
      <c r="C17" s="256"/>
      <c r="D17" s="256"/>
      <c r="E17" s="256"/>
      <c r="F17" s="256"/>
      <c r="G17" s="256"/>
      <c r="H17" s="256"/>
      <c r="I17" s="256"/>
      <c r="J17" s="256"/>
      <c r="K17" s="230">
        <f t="shared" si="0"/>
        <v>0</v>
      </c>
      <c r="L17" s="256"/>
      <c r="M17" s="256"/>
      <c r="N17" s="256"/>
      <c r="O17" s="256"/>
      <c r="P17" s="256"/>
      <c r="Q17" s="230">
        <f t="shared" si="1"/>
        <v>0</v>
      </c>
      <c r="R17" s="230">
        <f t="shared" si="2"/>
        <v>0</v>
      </c>
      <c r="S17" s="230">
        <f t="shared" si="3"/>
        <v>0</v>
      </c>
      <c r="T17" s="230">
        <f t="shared" si="4"/>
        <v>0</v>
      </c>
      <c r="U17" s="230">
        <f t="shared" si="5"/>
        <v>0</v>
      </c>
      <c r="V17" s="290"/>
      <c r="W17" s="290"/>
      <c r="X17" s="290"/>
      <c r="Y17" s="290"/>
    </row>
    <row r="18" spans="1:25">
      <c r="A18" s="230" t="str">
        <f>IF(OR(K18&gt;0,U18&gt;0),基础信息!$B$1,"")</f>
        <v/>
      </c>
      <c r="B18" s="277"/>
      <c r="C18" s="256"/>
      <c r="D18" s="256"/>
      <c r="E18" s="256"/>
      <c r="F18" s="256"/>
      <c r="G18" s="256"/>
      <c r="H18" s="256"/>
      <c r="I18" s="256"/>
      <c r="J18" s="256"/>
      <c r="K18" s="230">
        <f t="shared" si="0"/>
        <v>0</v>
      </c>
      <c r="L18" s="256"/>
      <c r="M18" s="256"/>
      <c r="N18" s="256"/>
      <c r="O18" s="256"/>
      <c r="P18" s="256"/>
      <c r="Q18" s="230">
        <f t="shared" si="1"/>
        <v>0</v>
      </c>
      <c r="R18" s="230">
        <f t="shared" si="2"/>
        <v>0</v>
      </c>
      <c r="S18" s="230">
        <f t="shared" si="3"/>
        <v>0</v>
      </c>
      <c r="T18" s="230">
        <f t="shared" si="4"/>
        <v>0</v>
      </c>
      <c r="U18" s="230">
        <f t="shared" si="5"/>
        <v>0</v>
      </c>
      <c r="V18" s="290"/>
      <c r="W18" s="290"/>
      <c r="X18" s="290"/>
      <c r="Y18" s="29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codeName="Sheet168">
    <tabColor rgb="FFFFC000"/>
  </sheetPr>
  <dimension ref="A1:E13"/>
  <sheetViews>
    <sheetView workbookViewId="0">
      <selection activeCell="H15" sqref="H15"/>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326</v>
      </c>
      <c r="C1" s="18" t="s">
        <v>327</v>
      </c>
      <c r="D1" s="18" t="s">
        <v>328</v>
      </c>
      <c r="E1" s="18" t="s">
        <v>204</v>
      </c>
    </row>
    <row r="2" spans="1:5">
      <c r="A2" s="18" t="s">
        <v>260</v>
      </c>
      <c r="B2" s="139">
        <f>ROUND(SUMIF(其他债权投资减值准备明细表!$C:$C,其他债权投资减值准备!B$1,其他债权投资减值准备明细表!$D:$D),2)</f>
        <v>0</v>
      </c>
      <c r="C2" s="139">
        <f>ROUND(SUMIF(其他债权投资减值准备明细表!$C:$C,其他债权投资减值准备!C$1,其他债权投资减值准备明细表!$D:$D),2)</f>
        <v>0</v>
      </c>
      <c r="D2" s="139">
        <f>ROUND(SUMIF(其他债权投资减值准备明细表!$C:$C,其他债权投资减值准备!D$1,其他债权投资减值准备明细表!$D:$D),2)</f>
        <v>0</v>
      </c>
      <c r="E2" s="134">
        <f>ROUND(SUM(B2:D2),2)</f>
        <v>0</v>
      </c>
    </row>
    <row r="3" spans="1:5">
      <c r="A3" s="18" t="s">
        <v>334</v>
      </c>
      <c r="B3" s="139">
        <f>ROUND(SUMIF(其他债权投资减值准备明细表!$C:$C,其他债权投资减值准备!B$1,其他债权投资减值准备明细表!$E:$E),2)</f>
        <v>0</v>
      </c>
      <c r="C3" s="139">
        <f>ROUND(SUMIF(其他债权投资减值准备明细表!$C:$C,其他债权投资减值准备!C$1,其他债权投资减值准备明细表!$E:$E),2)</f>
        <v>0</v>
      </c>
      <c r="D3" s="139">
        <f>ROUND(SUMIF(其他债权投资减值准备明细表!$C:$C,其他债权投资减值准备!D$1,其他债权投资减值准备明细表!$E:$E),2)</f>
        <v>0</v>
      </c>
      <c r="E3" s="134">
        <f>ROUND(SUM(B3:D3),2)</f>
        <v>0</v>
      </c>
    </row>
    <row r="4" spans="1:5">
      <c r="A4" s="57" t="s">
        <v>335</v>
      </c>
      <c r="B4" s="139">
        <f>ROUND(SUMIF(其他债权投资减值准备明细表!$C:$C,其他债权投资减值准备!B$1,其他债权投资减值准备明细表!$F:$F),2)</f>
        <v>0</v>
      </c>
      <c r="C4" s="139">
        <f>ROUND(SUMIF(其他债权投资减值准备明细表!$C:$C,其他债权投资减值准备!C$1,其他债权投资减值准备明细表!$F:$F),2)</f>
        <v>0</v>
      </c>
      <c r="D4" s="139">
        <f>ROUND(SUMIF(其他债权投资减值准备明细表!$C:$C,其他债权投资减值准备!D$1,其他债权投资减值准备明细表!$F:$F),2)</f>
        <v>0</v>
      </c>
      <c r="E4" s="134">
        <f>ROUND(SUM(B4:D4),2)</f>
        <v>0</v>
      </c>
    </row>
    <row r="5" spans="1:5">
      <c r="A5" s="57" t="s">
        <v>336</v>
      </c>
      <c r="B5" s="139">
        <f>ROUND(SUMIF(其他债权投资减值准备明细表!$C:$C,其他债权投资减值准备!B$1,其他债权投资减值准备明细表!$G:$G),2)</f>
        <v>0</v>
      </c>
      <c r="C5" s="139">
        <f>ROUND(SUMIF(其他债权投资减值准备明细表!$C:$C,其他债权投资减值准备!C$1,其他债权投资减值准备明细表!$G:$G),2)</f>
        <v>0</v>
      </c>
      <c r="D5" s="139">
        <f>ROUND(SUMIF(其他债权投资减值准备明细表!$C:$C,其他债权投资减值准备!D$1,其他债权投资减值准备明细表!$G:$G),2)</f>
        <v>0</v>
      </c>
      <c r="E5" s="134">
        <f>ROUND(SUM(B5:D5),2)</f>
        <v>0</v>
      </c>
    </row>
    <row r="6" spans="1:5">
      <c r="A6" s="57" t="s">
        <v>337</v>
      </c>
      <c r="B6" s="139">
        <f>ROUND(SUMIF(其他债权投资减值准备明细表!$C:$C,其他债权投资减值准备!B$1,其他债权投资减值准备明细表!$H:$H),2)</f>
        <v>0</v>
      </c>
      <c r="C6" s="139">
        <f>ROUND(SUMIF(其他债权投资减值准备明细表!$C:$C,其他债权投资减值准备!C$1,其他债权投资减值准备明细表!$H:$H),2)</f>
        <v>0</v>
      </c>
      <c r="D6" s="139">
        <f>ROUND(SUMIF(其他债权投资减值准备明细表!$C:$C,其他债权投资减值准备!D$1,其他债权投资减值准备明细表!$H:$H),2)</f>
        <v>0</v>
      </c>
      <c r="E6" s="134">
        <f>ROUND(SUM(B6:D6),2)</f>
        <v>0</v>
      </c>
    </row>
    <row r="7" spans="1:5">
      <c r="A7" s="57" t="s">
        <v>338</v>
      </c>
      <c r="B7" s="139">
        <f>ROUND(SUMIF(其他债权投资减值准备明细表!$C:$C,其他债权投资减值准备!B$1,其他债权投资减值准备明细表!$I:$I),2)</f>
        <v>0</v>
      </c>
      <c r="C7" s="139">
        <f>ROUND(SUMIF(其他债权投资减值准备明细表!$C:$C,其他债权投资减值准备!C$1,其他债权投资减值准备明细表!$I:$I),2)</f>
        <v>0</v>
      </c>
      <c r="D7" s="139">
        <f>ROUND(SUMIF(其他债权投资减值准备明细表!$C:$C,其他债权投资减值准备!D$1,其他债权投资减值准备明细表!$I:$I),2)</f>
        <v>0</v>
      </c>
      <c r="E7" s="134">
        <f>ROUND(SUM(B7:D7),2)</f>
        <v>0</v>
      </c>
    </row>
    <row r="8" spans="1:5">
      <c r="A8" s="18" t="s">
        <v>329</v>
      </c>
      <c r="B8" s="139">
        <f>ROUND(SUMIF(其他债权投资减值准备明细表!$C:$C,其他债权投资减值准备!B$1,其他债权投资减值准备明细表!$J:$J),2)</f>
        <v>0</v>
      </c>
      <c r="C8" s="139">
        <f>ROUND(SUMIF(其他债权投资减值准备明细表!$C:$C,其他债权投资减值准备!C$1,其他债权投资减值准备明细表!$J:$J),2)</f>
        <v>0</v>
      </c>
      <c r="D8" s="139">
        <f>ROUND(SUMIF(其他债权投资减值准备明细表!$C:$C,其他债权投资减值准备!D$1,其他债权投资减值准备明细表!$J:$J),2)</f>
        <v>0</v>
      </c>
      <c r="E8" s="134">
        <f>ROUND(SUM(B8:D8),2)</f>
        <v>0</v>
      </c>
    </row>
    <row r="9" spans="1:5">
      <c r="A9" s="18" t="s">
        <v>330</v>
      </c>
      <c r="B9" s="139">
        <f>ROUND(SUMIF(其他债权投资减值准备明细表!$C:$C,其他债权投资减值准备!B$1,其他债权投资减值准备明细表!$K:$K),2)</f>
        <v>0</v>
      </c>
      <c r="C9" s="139">
        <f>ROUND(SUMIF(其他债权投资减值准备明细表!$C:$C,其他债权投资减值准备!C$1,其他债权投资减值准备明细表!$K:$K),2)</f>
        <v>0</v>
      </c>
      <c r="D9" s="139">
        <f>ROUND(SUMIF(其他债权投资减值准备明细表!$C:$C,其他债权投资减值准备!D$1,其他债权投资减值准备明细表!$K:$K),2)</f>
        <v>0</v>
      </c>
      <c r="E9" s="134">
        <f>ROUND(SUM(B9:D9),2)</f>
        <v>0</v>
      </c>
    </row>
    <row r="10" spans="1:5">
      <c r="A10" s="18" t="s">
        <v>331</v>
      </c>
      <c r="B10" s="139">
        <f>ROUND(SUMIF(其他债权投资减值准备明细表!$C:$C,其他债权投资减值准备!B$1,其他债权投资减值准备明细表!$L:$L),2)</f>
        <v>0</v>
      </c>
      <c r="C10" s="139">
        <f>ROUND(SUMIF(其他债权投资减值准备明细表!$C:$C,其他债权投资减值准备!C$1,其他债权投资减值准备明细表!$L:$L),2)</f>
        <v>0</v>
      </c>
      <c r="D10" s="139">
        <f>ROUND(SUMIF(其他债权投资减值准备明细表!$C:$C,其他债权投资减值准备!D$1,其他债权投资减值准备明细表!$L:$L),2)</f>
        <v>0</v>
      </c>
      <c r="E10" s="134">
        <f>ROUND(SUM(B10:D10),2)</f>
        <v>0</v>
      </c>
    </row>
    <row r="11" spans="1:5">
      <c r="A11" s="18" t="s">
        <v>332</v>
      </c>
      <c r="B11" s="139">
        <f>ROUND(SUMIF(其他债权投资减值准备明细表!$C:$C,其他债权投资减值准备!B$1,其他债权投资减值准备明细表!$M:$M),2)</f>
        <v>0</v>
      </c>
      <c r="C11" s="139">
        <f>ROUND(SUMIF(其他债权投资减值准备明细表!$C:$C,其他债权投资减值准备!C$1,其他债权投资减值准备明细表!$M:$M),2)</f>
        <v>0</v>
      </c>
      <c r="D11" s="139">
        <f>ROUND(SUMIF(其他债权投资减值准备明细表!$C:$C,其他债权投资减值准备!D$1,其他债权投资减值准备明细表!$M:$M),2)</f>
        <v>0</v>
      </c>
      <c r="E11" s="134">
        <f>ROUND(SUM(B11:D11),2)</f>
        <v>0</v>
      </c>
    </row>
    <row r="12" spans="1:5">
      <c r="A12" s="18" t="s">
        <v>333</v>
      </c>
      <c r="B12" s="139">
        <f>ROUND(SUMIF(其他债权投资减值准备明细表!$C:$C,其他债权投资减值准备!B$1,其他债权投资减值准备明细表!$N:$N),2)</f>
        <v>0</v>
      </c>
      <c r="C12" s="139">
        <f>ROUND(SUMIF(其他债权投资减值准备明细表!$C:$C,其他债权投资减值准备!C$1,其他债权投资减值准备明细表!$N:$N),2)</f>
        <v>0</v>
      </c>
      <c r="D12" s="139">
        <f>ROUND(SUMIF(其他债权投资减值准备明细表!$C:$C,其他债权投资减值准备!D$1,其他债权投资减值准备明细表!$N:$N),2)</f>
        <v>0</v>
      </c>
      <c r="E12" s="134">
        <f>ROUND(SUM(B12:D12),2)</f>
        <v>0</v>
      </c>
    </row>
    <row r="13" spans="1:5">
      <c r="A13" s="18" t="s">
        <v>258</v>
      </c>
      <c r="B13" s="134">
        <f>ROUND(SUM(B4:B12,B2),2)</f>
        <v>0</v>
      </c>
      <c r="C13" s="134">
        <f>ROUND(SUM(C4:C12,C2),2)</f>
        <v>0</v>
      </c>
      <c r="D13" s="134">
        <f>ROUND(SUM(D4:D12,D2),2)</f>
        <v>0</v>
      </c>
      <c r="E13" s="134">
        <f>ROUND(SUM(E4:E12,E2),2)</f>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sheetPr codeName="Sheet169"/>
  <dimension ref="A1:O18"/>
  <sheetViews>
    <sheetView workbookViewId="0">
      <selection activeCell="A6" sqref="A6"/>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2427</v>
      </c>
      <c r="B1" t="s">
        <v>4350</v>
      </c>
      <c r="C1" t="s">
        <v>4374</v>
      </c>
      <c r="D1" t="s">
        <v>610</v>
      </c>
      <c r="E1" s="230" t="s">
        <v>4369</v>
      </c>
      <c r="F1" s="230" t="s">
        <v>4370</v>
      </c>
      <c r="G1" s="230" t="s">
        <v>4371</v>
      </c>
      <c r="H1" s="230" t="s">
        <v>4372</v>
      </c>
      <c r="I1" s="230" t="s">
        <v>4373</v>
      </c>
      <c r="J1" s="230" t="s">
        <v>329</v>
      </c>
      <c r="K1" s="230" t="s">
        <v>330</v>
      </c>
      <c r="L1" s="230" t="s">
        <v>331</v>
      </c>
      <c r="M1" s="230" t="s">
        <v>332</v>
      </c>
      <c r="N1" s="230" t="s">
        <v>333</v>
      </c>
      <c r="O1" s="230" t="s">
        <v>422</v>
      </c>
    </row>
    <row r="2" spans="1:15">
      <c r="A2" s="230" t="str">
        <f>IF(OR(K2&gt;0,S2&gt;0),基础信息!$B$1,"")</f>
        <v/>
      </c>
      <c r="B2" s="277"/>
      <c r="C2" s="277"/>
      <c r="E2" s="230">
        <f>SUM(F2:I2)</f>
        <v>0</v>
      </c>
      <c r="O2" s="230">
        <f>SUM(F2:N2,D2)</f>
        <v>0</v>
      </c>
    </row>
    <row r="3" spans="1:15">
      <c r="A3" s="230" t="str">
        <f>IF(OR(K3&gt;0,S3&gt;0),基础信息!$B$1,"")</f>
        <v/>
      </c>
      <c r="B3" s="277"/>
      <c r="C3" s="277"/>
      <c r="E3" s="230">
        <f t="shared" ref="E3:E18" si="0">SUM(F3:I3)</f>
        <v>0</v>
      </c>
      <c r="O3" s="230">
        <f t="shared" ref="O3:O18" si="1">SUM(F3:N3,D3)</f>
        <v>0</v>
      </c>
    </row>
    <row r="4" spans="1:15">
      <c r="A4" s="230" t="str">
        <f>IF(OR(K4&gt;0,S4&gt;0),基础信息!$B$1,"")</f>
        <v/>
      </c>
      <c r="B4" s="277"/>
      <c r="C4" s="277"/>
      <c r="E4" s="230">
        <f t="shared" si="0"/>
        <v>0</v>
      </c>
      <c r="O4" s="230">
        <f t="shared" si="1"/>
        <v>0</v>
      </c>
    </row>
    <row r="5" spans="1:15">
      <c r="A5" s="230" t="str">
        <f>IF(OR(K5&gt;0,S5&gt;0),基础信息!$B$1,"")</f>
        <v/>
      </c>
      <c r="B5" s="277"/>
      <c r="C5" s="277"/>
      <c r="E5" s="230">
        <f t="shared" si="0"/>
        <v>0</v>
      </c>
      <c r="O5" s="230">
        <f t="shared" si="1"/>
        <v>0</v>
      </c>
    </row>
    <row r="6" spans="1:15">
      <c r="A6" s="230" t="str">
        <f>IF(OR(K6&gt;0,S6&gt;0),基础信息!$B$1,"")</f>
        <v/>
      </c>
      <c r="B6" s="277"/>
      <c r="C6" s="277"/>
      <c r="E6" s="230">
        <f t="shared" si="0"/>
        <v>0</v>
      </c>
      <c r="O6" s="230">
        <f t="shared" si="1"/>
        <v>0</v>
      </c>
    </row>
    <row r="7" spans="1:15">
      <c r="A7" s="230" t="str">
        <f>IF(OR(K7&gt;0,S7&gt;0),基础信息!$B$1,"")</f>
        <v/>
      </c>
      <c r="B7" s="277"/>
      <c r="C7" s="277"/>
      <c r="E7" s="230">
        <f t="shared" si="0"/>
        <v>0</v>
      </c>
      <c r="O7" s="230">
        <f t="shared" si="1"/>
        <v>0</v>
      </c>
    </row>
    <row r="8" spans="1:15">
      <c r="A8" s="230" t="str">
        <f>IF(OR(K8&gt;0,S8&gt;0),基础信息!$B$1,"")</f>
        <v/>
      </c>
      <c r="B8" s="277"/>
      <c r="C8" s="277"/>
      <c r="E8" s="230">
        <f t="shared" si="0"/>
        <v>0</v>
      </c>
      <c r="O8" s="230">
        <f t="shared" si="1"/>
        <v>0</v>
      </c>
    </row>
    <row r="9" spans="1:15">
      <c r="A9" s="230" t="str">
        <f>IF(OR(K9&gt;0,S9&gt;0),基础信息!$B$1,"")</f>
        <v/>
      </c>
      <c r="B9" s="277"/>
      <c r="C9" s="277"/>
      <c r="E9" s="230">
        <f t="shared" si="0"/>
        <v>0</v>
      </c>
      <c r="O9" s="230">
        <f t="shared" si="1"/>
        <v>0</v>
      </c>
    </row>
    <row r="10" spans="1:15">
      <c r="A10" s="230" t="str">
        <f>IF(OR(K10&gt;0,S10&gt;0),基础信息!$B$1,"")</f>
        <v/>
      </c>
      <c r="B10" s="277"/>
      <c r="C10" s="277"/>
      <c r="E10" s="230">
        <f t="shared" si="0"/>
        <v>0</v>
      </c>
      <c r="O10" s="230">
        <f t="shared" si="1"/>
        <v>0</v>
      </c>
    </row>
    <row r="11" spans="1:15">
      <c r="A11" s="230" t="str">
        <f>IF(OR(K11&gt;0,S11&gt;0),基础信息!$B$1,"")</f>
        <v/>
      </c>
      <c r="B11" s="277"/>
      <c r="C11" s="277"/>
      <c r="E11" s="230">
        <f t="shared" si="0"/>
        <v>0</v>
      </c>
      <c r="O11" s="230">
        <f t="shared" si="1"/>
        <v>0</v>
      </c>
    </row>
    <row r="12" spans="1:15">
      <c r="A12" s="230" t="str">
        <f>IF(OR(K12&gt;0,S12&gt;0),基础信息!$B$1,"")</f>
        <v/>
      </c>
      <c r="B12" s="277"/>
      <c r="C12" s="277"/>
      <c r="E12" s="230">
        <f t="shared" si="0"/>
        <v>0</v>
      </c>
      <c r="O12" s="230">
        <f t="shared" si="1"/>
        <v>0</v>
      </c>
    </row>
    <row r="13" spans="1:15">
      <c r="A13" s="230" t="str">
        <f>IF(OR(K13&gt;0,S13&gt;0),基础信息!$B$1,"")</f>
        <v/>
      </c>
      <c r="B13" s="277"/>
      <c r="C13" s="277"/>
      <c r="E13" s="230">
        <f t="shared" si="0"/>
        <v>0</v>
      </c>
      <c r="O13" s="230">
        <f t="shared" si="1"/>
        <v>0</v>
      </c>
    </row>
    <row r="14" spans="1:15">
      <c r="A14" s="230" t="str">
        <f>IF(OR(K14&gt;0,S14&gt;0),基础信息!$B$1,"")</f>
        <v/>
      </c>
      <c r="B14" s="277"/>
      <c r="C14" s="277"/>
      <c r="E14" s="230">
        <f t="shared" si="0"/>
        <v>0</v>
      </c>
      <c r="O14" s="230">
        <f t="shared" si="1"/>
        <v>0</v>
      </c>
    </row>
    <row r="15" spans="1:15">
      <c r="A15" s="230" t="str">
        <f>IF(OR(K15&gt;0,S15&gt;0),基础信息!$B$1,"")</f>
        <v/>
      </c>
      <c r="B15" s="277"/>
      <c r="C15" s="277"/>
      <c r="E15" s="230">
        <f t="shared" si="0"/>
        <v>0</v>
      </c>
      <c r="O15" s="230">
        <f t="shared" si="1"/>
        <v>0</v>
      </c>
    </row>
    <row r="16" spans="1:15">
      <c r="A16" s="230" t="str">
        <f>IF(OR(K16&gt;0,S16&gt;0),基础信息!$B$1,"")</f>
        <v/>
      </c>
      <c r="B16" s="277"/>
      <c r="C16" s="277"/>
      <c r="E16" s="230">
        <f t="shared" si="0"/>
        <v>0</v>
      </c>
      <c r="O16" s="230">
        <f t="shared" si="1"/>
        <v>0</v>
      </c>
    </row>
    <row r="17" spans="1:15">
      <c r="A17" s="230" t="str">
        <f>IF(OR(K17&gt;0,S17&gt;0),基础信息!$B$1,"")</f>
        <v/>
      </c>
      <c r="B17" s="277"/>
      <c r="C17" s="277"/>
      <c r="E17" s="230">
        <f t="shared" si="0"/>
        <v>0</v>
      </c>
      <c r="O17" s="230">
        <f t="shared" si="1"/>
        <v>0</v>
      </c>
    </row>
    <row r="18" spans="1:15">
      <c r="A18" s="230" t="str">
        <f>IF(OR(K18&gt;0,S18&gt;0),基础信息!$B$1,"")</f>
        <v/>
      </c>
      <c r="B18" s="277"/>
      <c r="C18" s="277"/>
      <c r="E18" s="230">
        <f t="shared" si="0"/>
        <v>0</v>
      </c>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sheetPr codeName="Sheet17"/>
  <dimension ref="A1:O34"/>
  <sheetViews>
    <sheetView workbookViewId="0">
      <pane xSplit="1" ySplit="1" topLeftCell="B2" activePane="bottomRight" state="frozen"/>
      <selection pane="topRight" activeCell="B1" sqref="B1"/>
      <selection pane="bottomLeft" activeCell="A2" sqref="A2"/>
      <selection pane="bottomRight" activeCell="F20" sqref="F20"/>
    </sheetView>
  </sheetViews>
  <sheetFormatPr defaultRowHeight="11.4"/>
  <cols>
    <col min="1" max="1" width="37.6640625" style="143" bestFit="1" customWidth="1"/>
    <col min="2" max="2" width="15.21875" style="143" bestFit="1" customWidth="1"/>
    <col min="3" max="11" width="8.88671875" style="143"/>
    <col min="12" max="12" width="15.109375" style="143" bestFit="1" customWidth="1"/>
    <col min="13" max="13" width="22.88671875" style="143" customWidth="1"/>
    <col min="14" max="14" width="12.21875" style="143" customWidth="1"/>
    <col min="15" max="15" width="15.109375" style="143" bestFit="1" customWidth="1"/>
    <col min="16" max="16384" width="8.88671875" style="143"/>
  </cols>
  <sheetData>
    <row r="1" spans="1:15" ht="21.6">
      <c r="A1" s="142" t="s">
        <v>1514</v>
      </c>
      <c r="B1" s="142" t="s">
        <v>1515</v>
      </c>
      <c r="C1" s="142" t="s">
        <v>1090</v>
      </c>
      <c r="D1" s="142" t="s">
        <v>1516</v>
      </c>
      <c r="E1" s="142" t="s">
        <v>423</v>
      </c>
      <c r="F1" s="142" t="s">
        <v>1517</v>
      </c>
      <c r="G1" s="142" t="s">
        <v>1518</v>
      </c>
      <c r="H1" s="142" t="s">
        <v>69</v>
      </c>
      <c r="I1" s="142" t="s">
        <v>1519</v>
      </c>
      <c r="J1" s="142" t="s">
        <v>71</v>
      </c>
      <c r="K1" s="142" t="s">
        <v>1520</v>
      </c>
      <c r="L1" s="142" t="s">
        <v>73</v>
      </c>
      <c r="M1" s="142" t="s">
        <v>1521</v>
      </c>
      <c r="N1" s="142" t="s">
        <v>1522</v>
      </c>
      <c r="O1" s="142" t="s">
        <v>1523</v>
      </c>
    </row>
    <row r="2" spans="1:15">
      <c r="A2" s="144" t="s">
        <v>1503</v>
      </c>
      <c r="B2" s="145"/>
      <c r="C2" s="145"/>
      <c r="D2" s="145"/>
      <c r="E2" s="145"/>
      <c r="F2" s="145"/>
      <c r="G2" s="145"/>
      <c r="H2" s="145"/>
      <c r="I2" s="145"/>
      <c r="J2" s="145"/>
      <c r="K2" s="145"/>
      <c r="L2" s="145"/>
      <c r="M2" s="146">
        <f>ROUND(SUM(B2:L2),2)</f>
        <v>0</v>
      </c>
      <c r="N2" s="145"/>
      <c r="O2" s="146">
        <f>ROUND(M2+N2,2)</f>
        <v>0</v>
      </c>
    </row>
    <row r="3" spans="1:15">
      <c r="A3" s="147" t="s">
        <v>1504</v>
      </c>
      <c r="B3" s="145"/>
      <c r="C3" s="145"/>
      <c r="D3" s="145"/>
      <c r="E3" s="145"/>
      <c r="F3" s="145"/>
      <c r="G3" s="145"/>
      <c r="H3" s="145"/>
      <c r="I3" s="145"/>
      <c r="J3" s="145"/>
      <c r="K3" s="145"/>
      <c r="L3" s="145"/>
      <c r="M3" s="146">
        <f t="shared" ref="M3:M34" si="0">ROUND(SUM(B3:L3),2)</f>
        <v>0</v>
      </c>
      <c r="N3" s="145"/>
      <c r="O3" s="146">
        <f t="shared" ref="O3:O34" si="1">ROUND(M3+N3,2)</f>
        <v>0</v>
      </c>
    </row>
    <row r="4" spans="1:15">
      <c r="A4" s="147" t="s">
        <v>1505</v>
      </c>
      <c r="B4" s="145"/>
      <c r="C4" s="145"/>
      <c r="D4" s="145"/>
      <c r="E4" s="145"/>
      <c r="F4" s="145"/>
      <c r="G4" s="145"/>
      <c r="H4" s="145"/>
      <c r="I4" s="145"/>
      <c r="J4" s="145"/>
      <c r="K4" s="145"/>
      <c r="L4" s="145"/>
      <c r="M4" s="146">
        <f t="shared" si="0"/>
        <v>0</v>
      </c>
      <c r="N4" s="145"/>
      <c r="O4" s="146">
        <f t="shared" si="1"/>
        <v>0</v>
      </c>
    </row>
    <row r="5" spans="1:15">
      <c r="A5" s="147" t="s">
        <v>5477</v>
      </c>
      <c r="B5" s="145"/>
      <c r="C5" s="145"/>
      <c r="D5" s="145"/>
      <c r="E5" s="145"/>
      <c r="F5" s="145"/>
      <c r="G5" s="145"/>
      <c r="H5" s="145"/>
      <c r="I5" s="145"/>
      <c r="J5" s="145"/>
      <c r="K5" s="145"/>
      <c r="L5" s="145"/>
      <c r="M5" s="146">
        <f t="shared" si="0"/>
        <v>0</v>
      </c>
      <c r="N5" s="145"/>
      <c r="O5" s="146">
        <f t="shared" si="1"/>
        <v>0</v>
      </c>
    </row>
    <row r="6" spans="1:15">
      <c r="A6" s="144" t="s">
        <v>1506</v>
      </c>
      <c r="B6" s="146">
        <f>ROUND(SUM(B2:B5),2)</f>
        <v>0</v>
      </c>
      <c r="C6" s="146">
        <f t="shared" ref="C6:N6" si="2">ROUND(SUM(C2:C5),2)</f>
        <v>0</v>
      </c>
      <c r="D6" s="146">
        <f t="shared" si="2"/>
        <v>0</v>
      </c>
      <c r="E6" s="146">
        <f t="shared" si="2"/>
        <v>0</v>
      </c>
      <c r="F6" s="146">
        <f t="shared" si="2"/>
        <v>0</v>
      </c>
      <c r="G6" s="146">
        <f t="shared" si="2"/>
        <v>0</v>
      </c>
      <c r="H6" s="146">
        <f t="shared" si="2"/>
        <v>0</v>
      </c>
      <c r="I6" s="146">
        <f t="shared" si="2"/>
        <v>0</v>
      </c>
      <c r="J6" s="146">
        <f t="shared" si="2"/>
        <v>0</v>
      </c>
      <c r="K6" s="146">
        <f t="shared" si="2"/>
        <v>0</v>
      </c>
      <c r="L6" s="146">
        <f t="shared" si="2"/>
        <v>0</v>
      </c>
      <c r="M6" s="146">
        <f t="shared" si="0"/>
        <v>0</v>
      </c>
      <c r="N6" s="146">
        <f t="shared" si="2"/>
        <v>0</v>
      </c>
      <c r="O6" s="146">
        <f t="shared" si="1"/>
        <v>0</v>
      </c>
    </row>
    <row r="7" spans="1:15">
      <c r="A7" s="148" t="s">
        <v>1507</v>
      </c>
      <c r="B7" s="146">
        <f>ROUND(B8+B9+B14+B17+B27,2)</f>
        <v>0</v>
      </c>
      <c r="C7" s="146">
        <f t="shared" ref="C7:N7" si="3">ROUND(C8+C9+C14+C17+C27,2)</f>
        <v>0</v>
      </c>
      <c r="D7" s="146">
        <f t="shared" si="3"/>
        <v>0</v>
      </c>
      <c r="E7" s="146">
        <f t="shared" si="3"/>
        <v>0</v>
      </c>
      <c r="F7" s="146">
        <f t="shared" si="3"/>
        <v>0</v>
      </c>
      <c r="G7" s="146">
        <f t="shared" si="3"/>
        <v>0</v>
      </c>
      <c r="H7" s="146">
        <f t="shared" si="3"/>
        <v>0</v>
      </c>
      <c r="I7" s="146">
        <f t="shared" si="3"/>
        <v>0</v>
      </c>
      <c r="J7" s="146">
        <f t="shared" si="3"/>
        <v>0</v>
      </c>
      <c r="K7" s="146">
        <f t="shared" si="3"/>
        <v>0</v>
      </c>
      <c r="L7" s="146">
        <f t="shared" si="3"/>
        <v>286220514.49000001</v>
      </c>
      <c r="M7" s="146">
        <f t="shared" si="0"/>
        <v>286220514.49000001</v>
      </c>
      <c r="N7" s="146">
        <f t="shared" si="3"/>
        <v>0</v>
      </c>
      <c r="O7" s="146">
        <f t="shared" si="1"/>
        <v>286220514.49000001</v>
      </c>
    </row>
    <row r="8" spans="1:15">
      <c r="A8" s="147" t="s">
        <v>1508</v>
      </c>
      <c r="B8" s="145"/>
      <c r="C8" s="145"/>
      <c r="D8" s="145"/>
      <c r="E8" s="145"/>
      <c r="F8" s="145"/>
      <c r="G8" s="145"/>
      <c r="H8" s="145">
        <f>上期TB!H214</f>
        <v>0</v>
      </c>
      <c r="I8" s="145"/>
      <c r="J8" s="145"/>
      <c r="K8" s="145"/>
      <c r="L8" s="145">
        <f>ROUND(上期TB!H211,2)</f>
        <v>286220514.49000001</v>
      </c>
      <c r="M8" s="146">
        <f t="shared" si="0"/>
        <v>286220514.49000001</v>
      </c>
      <c r="N8" s="145">
        <f>ROUND(上期TB!H234,2)</f>
        <v>0</v>
      </c>
      <c r="O8" s="146">
        <f t="shared" si="1"/>
        <v>286220514.49000001</v>
      </c>
    </row>
    <row r="9" spans="1:15">
      <c r="A9" s="147" t="s">
        <v>1509</v>
      </c>
      <c r="B9" s="146">
        <f>ROUND(SUM(B10:B13),2)</f>
        <v>0</v>
      </c>
      <c r="C9" s="146">
        <f t="shared" ref="C9:N9" si="4">ROUND(SUM(C10:C13),2)</f>
        <v>0</v>
      </c>
      <c r="D9" s="146">
        <f t="shared" si="4"/>
        <v>0</v>
      </c>
      <c r="E9" s="146">
        <f t="shared" si="4"/>
        <v>0</v>
      </c>
      <c r="F9" s="146">
        <f t="shared" si="4"/>
        <v>0</v>
      </c>
      <c r="G9" s="146">
        <f t="shared" si="4"/>
        <v>0</v>
      </c>
      <c r="H9" s="146">
        <f t="shared" si="4"/>
        <v>0</v>
      </c>
      <c r="I9" s="146">
        <f t="shared" si="4"/>
        <v>0</v>
      </c>
      <c r="J9" s="146">
        <f t="shared" si="4"/>
        <v>0</v>
      </c>
      <c r="K9" s="146">
        <f t="shared" si="4"/>
        <v>0</v>
      </c>
      <c r="L9" s="146">
        <f t="shared" si="4"/>
        <v>0</v>
      </c>
      <c r="M9" s="146">
        <f t="shared" si="0"/>
        <v>0</v>
      </c>
      <c r="N9" s="146">
        <f t="shared" si="4"/>
        <v>0</v>
      </c>
      <c r="O9" s="146">
        <f t="shared" si="1"/>
        <v>0</v>
      </c>
    </row>
    <row r="10" spans="1:15">
      <c r="A10" s="147" t="s">
        <v>1557</v>
      </c>
      <c r="B10" s="145"/>
      <c r="C10" s="145"/>
      <c r="D10" s="145"/>
      <c r="E10" s="145"/>
      <c r="F10" s="145"/>
      <c r="G10" s="145"/>
      <c r="H10" s="145"/>
      <c r="I10" s="145"/>
      <c r="J10" s="145"/>
      <c r="K10" s="145"/>
      <c r="L10" s="145"/>
      <c r="M10" s="146">
        <f t="shared" si="0"/>
        <v>0</v>
      </c>
      <c r="N10" s="145"/>
      <c r="O10" s="146">
        <f t="shared" si="1"/>
        <v>0</v>
      </c>
    </row>
    <row r="11" spans="1:15">
      <c r="A11" s="147" t="s">
        <v>1558</v>
      </c>
      <c r="B11" s="145"/>
      <c r="C11" s="145"/>
      <c r="D11" s="145"/>
      <c r="E11" s="145"/>
      <c r="F11" s="145"/>
      <c r="G11" s="145"/>
      <c r="H11" s="145"/>
      <c r="I11" s="145"/>
      <c r="J11" s="145"/>
      <c r="K11" s="145"/>
      <c r="L11" s="145"/>
      <c r="M11" s="146">
        <f t="shared" si="0"/>
        <v>0</v>
      </c>
      <c r="N11" s="145"/>
      <c r="O11" s="146">
        <f t="shared" si="1"/>
        <v>0</v>
      </c>
    </row>
    <row r="12" spans="1:15">
      <c r="A12" s="147" t="s">
        <v>1559</v>
      </c>
      <c r="B12" s="145"/>
      <c r="C12" s="145"/>
      <c r="D12" s="145"/>
      <c r="E12" s="145"/>
      <c r="F12" s="145"/>
      <c r="G12" s="145"/>
      <c r="H12" s="145"/>
      <c r="I12" s="145"/>
      <c r="J12" s="145"/>
      <c r="K12" s="145"/>
      <c r="L12" s="145"/>
      <c r="M12" s="146">
        <f t="shared" si="0"/>
        <v>0</v>
      </c>
      <c r="N12" s="145"/>
      <c r="O12" s="146">
        <f t="shared" si="1"/>
        <v>0</v>
      </c>
    </row>
    <row r="13" spans="1:15">
      <c r="A13" s="147" t="s">
        <v>5476</v>
      </c>
      <c r="B13" s="145"/>
      <c r="C13" s="145"/>
      <c r="D13" s="145"/>
      <c r="E13" s="145"/>
      <c r="F13" s="145"/>
      <c r="G13" s="145"/>
      <c r="H13" s="145"/>
      <c r="I13" s="145"/>
      <c r="J13" s="145"/>
      <c r="K13" s="145"/>
      <c r="L13" s="145"/>
      <c r="M13" s="146">
        <f t="shared" si="0"/>
        <v>0</v>
      </c>
      <c r="N13" s="145"/>
      <c r="O13" s="146">
        <f t="shared" si="1"/>
        <v>0</v>
      </c>
    </row>
    <row r="14" spans="1:15">
      <c r="A14" s="147" t="s">
        <v>1510</v>
      </c>
      <c r="B14" s="146">
        <f>ROUND(SUM(B15:B16),2)</f>
        <v>0</v>
      </c>
      <c r="C14" s="146">
        <f t="shared" ref="C14:N14" si="5">ROUND(SUM(C15:C16),2)</f>
        <v>0</v>
      </c>
      <c r="D14" s="146">
        <f t="shared" si="5"/>
        <v>0</v>
      </c>
      <c r="E14" s="146">
        <f t="shared" si="5"/>
        <v>0</v>
      </c>
      <c r="F14" s="146">
        <f t="shared" si="5"/>
        <v>0</v>
      </c>
      <c r="G14" s="146">
        <f t="shared" si="5"/>
        <v>0</v>
      </c>
      <c r="H14" s="146">
        <f t="shared" si="5"/>
        <v>0</v>
      </c>
      <c r="I14" s="146">
        <f t="shared" si="5"/>
        <v>0</v>
      </c>
      <c r="J14" s="146">
        <f t="shared" si="5"/>
        <v>0</v>
      </c>
      <c r="K14" s="146">
        <f t="shared" si="5"/>
        <v>0</v>
      </c>
      <c r="L14" s="146">
        <f t="shared" si="5"/>
        <v>0</v>
      </c>
      <c r="M14" s="146">
        <f t="shared" si="0"/>
        <v>0</v>
      </c>
      <c r="N14" s="146">
        <f t="shared" si="5"/>
        <v>0</v>
      </c>
      <c r="O14" s="146">
        <f t="shared" si="1"/>
        <v>0</v>
      </c>
    </row>
    <row r="15" spans="1:15">
      <c r="A15" s="147" t="s">
        <v>1560</v>
      </c>
      <c r="B15" s="145"/>
      <c r="C15" s="145"/>
      <c r="D15" s="145"/>
      <c r="E15" s="145"/>
      <c r="F15" s="145"/>
      <c r="G15" s="145"/>
      <c r="H15" s="145"/>
      <c r="I15" s="145"/>
      <c r="J15" s="145"/>
      <c r="K15" s="145"/>
      <c r="L15" s="145"/>
      <c r="M15" s="146">
        <f t="shared" si="0"/>
        <v>0</v>
      </c>
      <c r="N15" s="145"/>
      <c r="O15" s="146">
        <f t="shared" si="1"/>
        <v>0</v>
      </c>
    </row>
    <row r="16" spans="1:15">
      <c r="A16" s="147" t="s">
        <v>1561</v>
      </c>
      <c r="B16" s="145"/>
      <c r="C16" s="145"/>
      <c r="D16" s="145"/>
      <c r="E16" s="145"/>
      <c r="F16" s="145"/>
      <c r="G16" s="145"/>
      <c r="H16" s="145"/>
      <c r="I16" s="145"/>
      <c r="J16" s="145"/>
      <c r="K16" s="145"/>
      <c r="L16" s="145"/>
      <c r="M16" s="146">
        <f t="shared" si="0"/>
        <v>0</v>
      </c>
      <c r="N16" s="145"/>
      <c r="O16" s="146">
        <f t="shared" si="1"/>
        <v>0</v>
      </c>
    </row>
    <row r="17" spans="1:15">
      <c r="A17" s="147" t="s">
        <v>1511</v>
      </c>
      <c r="B17" s="146">
        <f>ROUND(SUM(B18,B24,B25,B26),2)</f>
        <v>0</v>
      </c>
      <c r="C17" s="146">
        <f t="shared" ref="C17:N17" si="6">ROUND(SUM(C18,C24,C25,C26),2)</f>
        <v>0</v>
      </c>
      <c r="D17" s="146">
        <f t="shared" si="6"/>
        <v>0</v>
      </c>
      <c r="E17" s="146">
        <f t="shared" si="6"/>
        <v>0</v>
      </c>
      <c r="F17" s="146">
        <f t="shared" si="6"/>
        <v>0</v>
      </c>
      <c r="G17" s="146">
        <f t="shared" si="6"/>
        <v>0</v>
      </c>
      <c r="H17" s="146">
        <f t="shared" si="6"/>
        <v>0</v>
      </c>
      <c r="I17" s="146">
        <f t="shared" si="6"/>
        <v>0</v>
      </c>
      <c r="J17" s="146">
        <f t="shared" si="6"/>
        <v>0</v>
      </c>
      <c r="K17" s="146">
        <f t="shared" si="6"/>
        <v>0</v>
      </c>
      <c r="L17" s="146">
        <f t="shared" si="6"/>
        <v>0</v>
      </c>
      <c r="M17" s="146">
        <f t="shared" si="0"/>
        <v>0</v>
      </c>
      <c r="N17" s="146">
        <f t="shared" si="6"/>
        <v>0</v>
      </c>
      <c r="O17" s="146">
        <f t="shared" si="1"/>
        <v>0</v>
      </c>
    </row>
    <row r="18" spans="1:15">
      <c r="A18" s="147" t="s">
        <v>1562</v>
      </c>
      <c r="B18" s="146">
        <f>ROUND(SUM(B19:B23),2)</f>
        <v>0</v>
      </c>
      <c r="C18" s="146">
        <f t="shared" ref="C18:N18" si="7">ROUND(SUM(C19:C23),2)</f>
        <v>0</v>
      </c>
      <c r="D18" s="146">
        <f t="shared" si="7"/>
        <v>0</v>
      </c>
      <c r="E18" s="146">
        <f t="shared" si="7"/>
        <v>0</v>
      </c>
      <c r="F18" s="146">
        <f t="shared" si="7"/>
        <v>0</v>
      </c>
      <c r="G18" s="146">
        <f t="shared" si="7"/>
        <v>0</v>
      </c>
      <c r="H18" s="146">
        <f t="shared" si="7"/>
        <v>0</v>
      </c>
      <c r="I18" s="146">
        <f t="shared" si="7"/>
        <v>0</v>
      </c>
      <c r="J18" s="146">
        <f t="shared" si="7"/>
        <v>0</v>
      </c>
      <c r="K18" s="146">
        <f t="shared" si="7"/>
        <v>0</v>
      </c>
      <c r="L18" s="146">
        <f t="shared" si="7"/>
        <v>0</v>
      </c>
      <c r="M18" s="146">
        <f t="shared" si="0"/>
        <v>0</v>
      </c>
      <c r="N18" s="146">
        <f t="shared" si="7"/>
        <v>0</v>
      </c>
      <c r="O18" s="146">
        <f t="shared" si="1"/>
        <v>0</v>
      </c>
    </row>
    <row r="19" spans="1:15">
      <c r="A19" s="147" t="s">
        <v>1434</v>
      </c>
      <c r="B19" s="145"/>
      <c r="C19" s="145"/>
      <c r="D19" s="145"/>
      <c r="E19" s="145"/>
      <c r="F19" s="145"/>
      <c r="G19" s="145"/>
      <c r="H19" s="145"/>
      <c r="I19" s="145"/>
      <c r="J19" s="145">
        <f>ROUND(上期TB!H242,2)</f>
        <v>0</v>
      </c>
      <c r="K19" s="145"/>
      <c r="L19" s="145">
        <f>ROUND(-J19,2)</f>
        <v>0</v>
      </c>
      <c r="M19" s="146">
        <f t="shared" si="0"/>
        <v>0</v>
      </c>
      <c r="N19" s="145"/>
      <c r="O19" s="146">
        <f t="shared" si="1"/>
        <v>0</v>
      </c>
    </row>
    <row r="20" spans="1:15">
      <c r="A20" s="147" t="s">
        <v>1435</v>
      </c>
      <c r="B20" s="145"/>
      <c r="C20" s="145"/>
      <c r="D20" s="145"/>
      <c r="E20" s="145"/>
      <c r="F20" s="145"/>
      <c r="G20" s="145"/>
      <c r="H20" s="145"/>
      <c r="I20" s="145"/>
      <c r="J20" s="145">
        <f>ROUND(上期TB!H250,2)</f>
        <v>0</v>
      </c>
      <c r="K20" s="145"/>
      <c r="L20" s="145">
        <f>ROUND(-J20,2)</f>
        <v>0</v>
      </c>
      <c r="M20" s="146">
        <f t="shared" si="0"/>
        <v>0</v>
      </c>
      <c r="N20" s="145"/>
      <c r="O20" s="146">
        <f t="shared" si="1"/>
        <v>0</v>
      </c>
    </row>
    <row r="21" spans="1:15">
      <c r="A21" s="147" t="s">
        <v>1436</v>
      </c>
      <c r="B21" s="145"/>
      <c r="C21" s="145"/>
      <c r="D21" s="145"/>
      <c r="E21" s="145"/>
      <c r="F21" s="145"/>
      <c r="G21" s="145"/>
      <c r="H21" s="145"/>
      <c r="I21" s="145"/>
      <c r="J21" s="145">
        <f>ROUND(上期TB!H245,2)</f>
        <v>0</v>
      </c>
      <c r="K21" s="145"/>
      <c r="L21" s="145">
        <f>ROUND(-J21,2)</f>
        <v>0</v>
      </c>
      <c r="M21" s="146">
        <f t="shared" si="0"/>
        <v>0</v>
      </c>
      <c r="N21" s="145"/>
      <c r="O21" s="146">
        <f t="shared" si="1"/>
        <v>0</v>
      </c>
    </row>
    <row r="22" spans="1:15">
      <c r="A22" s="147" t="s">
        <v>1437</v>
      </c>
      <c r="B22" s="145"/>
      <c r="C22" s="145"/>
      <c r="D22" s="145"/>
      <c r="E22" s="145"/>
      <c r="F22" s="145"/>
      <c r="G22" s="145"/>
      <c r="H22" s="145"/>
      <c r="I22" s="145"/>
      <c r="J22" s="145">
        <f>ROUND(上期TB!H246,2)</f>
        <v>0</v>
      </c>
      <c r="K22" s="145"/>
      <c r="L22" s="145">
        <f>ROUND(-J22,2)</f>
        <v>0</v>
      </c>
      <c r="M22" s="146">
        <f t="shared" si="0"/>
        <v>0</v>
      </c>
      <c r="N22" s="145"/>
      <c r="O22" s="146">
        <f t="shared" si="1"/>
        <v>0</v>
      </c>
    </row>
    <row r="23" spans="1:15">
      <c r="A23" s="147" t="s">
        <v>1438</v>
      </c>
      <c r="B23" s="145"/>
      <c r="C23" s="145"/>
      <c r="D23" s="145"/>
      <c r="E23" s="145"/>
      <c r="F23" s="145"/>
      <c r="G23" s="145"/>
      <c r="H23" s="145"/>
      <c r="I23" s="145"/>
      <c r="J23" s="145">
        <f>ROUND(上期TB!H247,2)</f>
        <v>0</v>
      </c>
      <c r="K23" s="145"/>
      <c r="L23" s="145">
        <f>ROUND(-J23,2)</f>
        <v>0</v>
      </c>
      <c r="M23" s="146">
        <f t="shared" si="0"/>
        <v>0</v>
      </c>
      <c r="N23" s="145"/>
      <c r="O23" s="146">
        <f t="shared" si="1"/>
        <v>0</v>
      </c>
    </row>
    <row r="24" spans="1:15">
      <c r="A24" s="147" t="s">
        <v>1563</v>
      </c>
      <c r="B24" s="145"/>
      <c r="C24" s="145"/>
      <c r="D24" s="145"/>
      <c r="E24" s="145"/>
      <c r="F24" s="145"/>
      <c r="G24" s="145"/>
      <c r="H24" s="145"/>
      <c r="I24" s="145"/>
      <c r="J24" s="145"/>
      <c r="K24" s="145"/>
      <c r="L24" s="145"/>
      <c r="M24" s="146">
        <f t="shared" si="0"/>
        <v>0</v>
      </c>
      <c r="N24" s="145"/>
      <c r="O24" s="146">
        <f t="shared" si="1"/>
        <v>0</v>
      </c>
    </row>
    <row r="25" spans="1:15">
      <c r="A25" s="147" t="s">
        <v>1564</v>
      </c>
      <c r="B25" s="145"/>
      <c r="C25" s="145"/>
      <c r="D25" s="145"/>
      <c r="E25" s="145"/>
      <c r="F25" s="145"/>
      <c r="G25" s="145"/>
      <c r="H25" s="145"/>
      <c r="I25" s="145"/>
      <c r="J25" s="145"/>
      <c r="K25" s="145"/>
      <c r="L25" s="145">
        <f>ROUND(-上期TB!H251,2)</f>
        <v>0</v>
      </c>
      <c r="M25" s="146">
        <f t="shared" si="0"/>
        <v>0</v>
      </c>
      <c r="N25" s="145"/>
      <c r="O25" s="146">
        <f t="shared" si="1"/>
        <v>0</v>
      </c>
    </row>
    <row r="26" spans="1:15">
      <c r="A26" s="147" t="s">
        <v>5475</v>
      </c>
      <c r="B26" s="145"/>
      <c r="C26" s="145"/>
      <c r="D26" s="145"/>
      <c r="E26" s="145"/>
      <c r="F26" s="145"/>
      <c r="G26" s="145"/>
      <c r="H26" s="145"/>
      <c r="I26" s="145"/>
      <c r="J26" s="145"/>
      <c r="K26" s="145"/>
      <c r="L26" s="145"/>
      <c r="M26" s="146">
        <f t="shared" si="0"/>
        <v>0</v>
      </c>
      <c r="N26" s="145"/>
      <c r="O26" s="146">
        <f t="shared" si="1"/>
        <v>0</v>
      </c>
    </row>
    <row r="27" spans="1:15">
      <c r="A27" s="147" t="s">
        <v>1512</v>
      </c>
      <c r="B27" s="146">
        <f>ROUND(SUM(B28:B33),2)</f>
        <v>0</v>
      </c>
      <c r="C27" s="146">
        <f t="shared" ref="C27:N27" si="8">ROUND(SUM(C28:C33),2)</f>
        <v>0</v>
      </c>
      <c r="D27" s="146">
        <f t="shared" si="8"/>
        <v>0</v>
      </c>
      <c r="E27" s="146">
        <f t="shared" si="8"/>
        <v>0</v>
      </c>
      <c r="F27" s="146">
        <f t="shared" si="8"/>
        <v>0</v>
      </c>
      <c r="G27" s="146">
        <f t="shared" si="8"/>
        <v>0</v>
      </c>
      <c r="H27" s="146">
        <f t="shared" si="8"/>
        <v>0</v>
      </c>
      <c r="I27" s="146">
        <f t="shared" si="8"/>
        <v>0</v>
      </c>
      <c r="J27" s="146">
        <f t="shared" si="8"/>
        <v>0</v>
      </c>
      <c r="K27" s="146">
        <f t="shared" si="8"/>
        <v>0</v>
      </c>
      <c r="L27" s="146">
        <f t="shared" si="8"/>
        <v>0</v>
      </c>
      <c r="M27" s="146">
        <f t="shared" si="0"/>
        <v>0</v>
      </c>
      <c r="N27" s="146">
        <f t="shared" si="8"/>
        <v>0</v>
      </c>
      <c r="O27" s="146">
        <f t="shared" si="1"/>
        <v>0</v>
      </c>
    </row>
    <row r="28" spans="1:15">
      <c r="A28" s="147" t="s">
        <v>1565</v>
      </c>
      <c r="B28" s="145"/>
      <c r="C28" s="145"/>
      <c r="D28" s="145"/>
      <c r="E28" s="145"/>
      <c r="F28" s="145"/>
      <c r="G28" s="145"/>
      <c r="H28" s="145"/>
      <c r="I28" s="145"/>
      <c r="J28" s="145"/>
      <c r="K28" s="145"/>
      <c r="L28" s="145"/>
      <c r="M28" s="146">
        <f t="shared" si="0"/>
        <v>0</v>
      </c>
      <c r="N28" s="145"/>
      <c r="O28" s="146">
        <f t="shared" si="1"/>
        <v>0</v>
      </c>
    </row>
    <row r="29" spans="1:15">
      <c r="A29" s="147" t="s">
        <v>1566</v>
      </c>
      <c r="B29" s="145"/>
      <c r="C29" s="145"/>
      <c r="D29" s="145"/>
      <c r="E29" s="149"/>
      <c r="F29" s="145"/>
      <c r="G29" s="145"/>
      <c r="H29" s="145"/>
      <c r="I29" s="145"/>
      <c r="J29" s="145"/>
      <c r="K29" s="145"/>
      <c r="L29" s="145"/>
      <c r="M29" s="146">
        <f t="shared" si="0"/>
        <v>0</v>
      </c>
      <c r="N29" s="145"/>
      <c r="O29" s="146">
        <f t="shared" si="1"/>
        <v>0</v>
      </c>
    </row>
    <row r="30" spans="1:15">
      <c r="A30" s="147" t="s">
        <v>1567</v>
      </c>
      <c r="B30" s="145"/>
      <c r="C30" s="145"/>
      <c r="D30" s="145"/>
      <c r="E30" s="145"/>
      <c r="F30" s="145"/>
      <c r="G30" s="145"/>
      <c r="H30" s="145"/>
      <c r="I30" s="145"/>
      <c r="J30" s="145"/>
      <c r="K30" s="145"/>
      <c r="L30" s="145"/>
      <c r="M30" s="146">
        <f t="shared" si="0"/>
        <v>0</v>
      </c>
      <c r="N30" s="145"/>
      <c r="O30" s="146">
        <f t="shared" si="1"/>
        <v>0</v>
      </c>
    </row>
    <row r="31" spans="1:15">
      <c r="A31" s="147" t="s">
        <v>1568</v>
      </c>
      <c r="B31" s="145"/>
      <c r="C31" s="145"/>
      <c r="D31" s="145"/>
      <c r="E31" s="145"/>
      <c r="F31" s="145"/>
      <c r="G31" s="145"/>
      <c r="H31" s="145"/>
      <c r="I31" s="145"/>
      <c r="J31" s="145"/>
      <c r="K31" s="145"/>
      <c r="L31" s="145"/>
      <c r="M31" s="146">
        <f t="shared" si="0"/>
        <v>0</v>
      </c>
      <c r="N31" s="145"/>
      <c r="O31" s="146">
        <f t="shared" si="1"/>
        <v>0</v>
      </c>
    </row>
    <row r="32" spans="1:15">
      <c r="A32" s="147" t="s">
        <v>4001</v>
      </c>
      <c r="B32" s="145"/>
      <c r="C32" s="145"/>
      <c r="D32" s="145"/>
      <c r="E32" s="145"/>
      <c r="F32" s="145"/>
      <c r="G32" s="145"/>
      <c r="H32" s="145"/>
      <c r="I32" s="145"/>
      <c r="J32" s="145"/>
      <c r="K32" s="145"/>
      <c r="L32" s="145"/>
      <c r="M32" s="146">
        <f t="shared" ref="M32:M33" si="9">ROUND(SUM(B32:L32),2)</f>
        <v>0</v>
      </c>
      <c r="N32" s="145"/>
      <c r="O32" s="146">
        <f t="shared" ref="O32:O33" si="10">ROUND(M32+N32,2)</f>
        <v>0</v>
      </c>
    </row>
    <row r="33" spans="1:15">
      <c r="A33" s="147" t="s">
        <v>5474</v>
      </c>
      <c r="B33" s="145"/>
      <c r="C33" s="145"/>
      <c r="D33" s="145"/>
      <c r="E33" s="145"/>
      <c r="F33" s="145"/>
      <c r="G33" s="145"/>
      <c r="H33" s="145"/>
      <c r="I33" s="145"/>
      <c r="J33" s="145"/>
      <c r="K33" s="145"/>
      <c r="L33" s="145"/>
      <c r="M33" s="146">
        <f t="shared" si="9"/>
        <v>0</v>
      </c>
      <c r="N33" s="145"/>
      <c r="O33" s="146">
        <f t="shared" si="10"/>
        <v>0</v>
      </c>
    </row>
    <row r="34" spans="1:15">
      <c r="A34" s="144" t="s">
        <v>1513</v>
      </c>
      <c r="B34" s="150">
        <f>ROUND(B6+B7,2)</f>
        <v>0</v>
      </c>
      <c r="C34" s="150">
        <f t="shared" ref="C34:N34" si="11">ROUND(C6+C7,2)</f>
        <v>0</v>
      </c>
      <c r="D34" s="150">
        <f t="shared" si="11"/>
        <v>0</v>
      </c>
      <c r="E34" s="150">
        <f t="shared" si="11"/>
        <v>0</v>
      </c>
      <c r="F34" s="150">
        <f t="shared" si="11"/>
        <v>0</v>
      </c>
      <c r="G34" s="150">
        <f t="shared" si="11"/>
        <v>0</v>
      </c>
      <c r="H34" s="150">
        <f t="shared" si="11"/>
        <v>0</v>
      </c>
      <c r="I34" s="150">
        <f t="shared" si="11"/>
        <v>0</v>
      </c>
      <c r="J34" s="150">
        <f t="shared" si="11"/>
        <v>0</v>
      </c>
      <c r="K34" s="150">
        <f t="shared" si="11"/>
        <v>0</v>
      </c>
      <c r="L34" s="150">
        <f t="shared" si="11"/>
        <v>286220514.49000001</v>
      </c>
      <c r="M34" s="146">
        <f t="shared" si="0"/>
        <v>286220514.49000001</v>
      </c>
      <c r="N34" s="150">
        <f t="shared" si="11"/>
        <v>0</v>
      </c>
      <c r="O34" s="146">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codeName="Sheet170">
    <tabColor rgb="FFFFC000"/>
  </sheetPr>
  <dimension ref="A1:G4"/>
  <sheetViews>
    <sheetView workbookViewId="0">
      <selection activeCell="J20" sqref="J20"/>
    </sheetView>
  </sheetViews>
  <sheetFormatPr defaultRowHeight="13.8"/>
  <cols>
    <col min="1" max="16384" width="8.88671875" style="18"/>
  </cols>
  <sheetData>
    <row r="1" spans="1:7" ht="14.4">
      <c r="A1" s="20" t="s">
        <v>28</v>
      </c>
      <c r="B1" s="20" t="s">
        <v>285</v>
      </c>
      <c r="C1" s="20" t="s">
        <v>203</v>
      </c>
      <c r="D1" s="20" t="s">
        <v>401</v>
      </c>
      <c r="E1" s="19" t="s">
        <v>402</v>
      </c>
      <c r="F1" s="19" t="s">
        <v>403</v>
      </c>
      <c r="G1" s="20" t="s">
        <v>404</v>
      </c>
    </row>
    <row r="2" spans="1:7" ht="14.4">
      <c r="A2" s="269"/>
      <c r="B2" s="281"/>
      <c r="C2" s="281"/>
      <c r="D2" s="281"/>
      <c r="E2" s="281"/>
      <c r="F2" s="281"/>
      <c r="G2" s="282"/>
    </row>
    <row r="3" spans="1:7" ht="14.4">
      <c r="A3" s="269"/>
      <c r="B3" s="281"/>
      <c r="C3" s="281"/>
      <c r="D3" s="281"/>
      <c r="E3" s="281"/>
      <c r="F3" s="281"/>
      <c r="G3" s="282"/>
    </row>
    <row r="4" spans="1:7" ht="14.4">
      <c r="A4" s="18" t="s">
        <v>204</v>
      </c>
      <c r="B4" s="69">
        <f>ROUND(SUM(B2:B3),2)</f>
        <v>0</v>
      </c>
      <c r="C4" s="69">
        <f>ROUND(SUM(C2:C3),2)</f>
        <v>0</v>
      </c>
      <c r="D4" s="21"/>
      <c r="E4" s="21"/>
      <c r="F4" s="21"/>
      <c r="G4" s="44"/>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codeName="Sheet171">
    <tabColor rgb="FFFFC000"/>
  </sheetPr>
  <dimension ref="A1:G4"/>
  <sheetViews>
    <sheetView workbookViewId="0">
      <selection activeCell="G16" sqref="G16"/>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349</v>
      </c>
      <c r="E1" s="40" t="s">
        <v>260</v>
      </c>
      <c r="F1" s="40" t="s">
        <v>295</v>
      </c>
      <c r="G1" s="40" t="s">
        <v>351</v>
      </c>
    </row>
    <row r="2" spans="1:7">
      <c r="A2" s="309"/>
      <c r="B2" s="265"/>
      <c r="C2" s="279"/>
      <c r="D2" s="152">
        <f>ROUND(B2-C2,2)</f>
        <v>0</v>
      </c>
      <c r="E2" s="265"/>
      <c r="F2" s="279"/>
      <c r="G2" s="152">
        <f>ROUND(E2-F2,2)</f>
        <v>0</v>
      </c>
    </row>
    <row r="3" spans="1:7">
      <c r="A3" s="309"/>
      <c r="B3" s="265"/>
      <c r="C3" s="279"/>
      <c r="D3" s="152">
        <f>ROUND(B3-C3,2)</f>
        <v>0</v>
      </c>
      <c r="E3" s="265"/>
      <c r="F3" s="279"/>
      <c r="G3" s="152">
        <f>ROUND(E3-F3,2)</f>
        <v>0</v>
      </c>
    </row>
    <row r="4" spans="1:7" ht="14.4">
      <c r="A4" s="35" t="s">
        <v>204</v>
      </c>
      <c r="B4" s="157">
        <f>ROUND(SUM(B2:B3),2)</f>
        <v>0</v>
      </c>
      <c r="C4" s="157">
        <f>ROUND(SUM(C2:C3),2)</f>
        <v>0</v>
      </c>
      <c r="D4" s="157">
        <f>ROUND(SUM(D2:D3),2)</f>
        <v>0</v>
      </c>
      <c r="E4" s="157">
        <f>ROUND(SUM(E2:E3),2)</f>
        <v>0</v>
      </c>
      <c r="F4" s="157">
        <f>ROUND(SUM(F2:F3),2)</f>
        <v>0</v>
      </c>
      <c r="G4" s="157">
        <f>ROUND(SUM(G2:G3),2)</f>
        <v>0</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codeName="Sheet172">
    <tabColor rgb="FFFFC000"/>
  </sheetPr>
  <dimension ref="A1:E4"/>
  <sheetViews>
    <sheetView workbookViewId="0">
      <selection activeCell="K9" sqref="K9"/>
    </sheetView>
  </sheetViews>
  <sheetFormatPr defaultRowHeight="13.8"/>
  <cols>
    <col min="1" max="16384" width="8.88671875" style="18"/>
  </cols>
  <sheetData>
    <row r="1" spans="1:5" ht="14.4">
      <c r="A1" s="20" t="s">
        <v>420</v>
      </c>
      <c r="B1" s="20" t="s">
        <v>4218</v>
      </c>
      <c r="C1" s="20" t="s">
        <v>402</v>
      </c>
      <c r="D1" s="20" t="s">
        <v>403</v>
      </c>
      <c r="E1" s="20" t="s">
        <v>404</v>
      </c>
    </row>
    <row r="2" spans="1:5">
      <c r="A2" s="304"/>
      <c r="B2" s="280"/>
      <c r="C2" s="280"/>
      <c r="D2" s="280"/>
      <c r="E2" s="280"/>
    </row>
    <row r="3" spans="1:5">
      <c r="A3" s="310"/>
      <c r="B3" s="280"/>
      <c r="C3" s="280"/>
      <c r="D3" s="280"/>
      <c r="E3" s="280"/>
    </row>
    <row r="4" spans="1:5" ht="14.4">
      <c r="A4" s="20" t="s">
        <v>204</v>
      </c>
      <c r="B4" s="54"/>
      <c r="C4" s="54" t="s">
        <v>38</v>
      </c>
      <c r="D4" s="54" t="s">
        <v>38</v>
      </c>
      <c r="E4" s="54" t="s">
        <v>38</v>
      </c>
    </row>
  </sheetData>
  <phoneticPr fontId="1" type="noConversion"/>
  <pageMargins left="0.7" right="0.7" top="0.75" bottom="0.75" header="0.3" footer="0.3"/>
  <pageSetup paperSize="9" orientation="portrait" verticalDpi="0"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codeName="Sheet173">
    <tabColor rgb="FFFFC000"/>
  </sheetPr>
  <dimension ref="A1:H7"/>
  <sheetViews>
    <sheetView workbookViewId="0">
      <selection activeCell="D18" sqref="D18"/>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427</v>
      </c>
      <c r="E1" s="26" t="s">
        <v>218</v>
      </c>
      <c r="F1" s="26" t="s">
        <v>220</v>
      </c>
      <c r="G1" s="26" t="s">
        <v>222</v>
      </c>
      <c r="H1" s="26" t="s">
        <v>424</v>
      </c>
    </row>
    <row r="2" spans="1:8">
      <c r="A2" s="607" t="s">
        <v>425</v>
      </c>
      <c r="B2" s="355">
        <f>ROUND(SUMIF(长期应收款明细表!D:D,长期应收款明细情况!A2,长期应收款明细表!I:I),2)</f>
        <v>0</v>
      </c>
      <c r="C2" s="355">
        <f>ROUND(SUMIF(长期应收款明细表!D:D,长期应收款明细情况!A2,长期应收款明细表!L:L),2)</f>
        <v>0</v>
      </c>
      <c r="D2" s="234">
        <f>ROUND(B2-C2,2)</f>
        <v>0</v>
      </c>
      <c r="E2" s="355">
        <f>ROUND(SUMIF(长期应收款明细表!D:D,A2,长期应收款明细表!O:O),2)</f>
        <v>0</v>
      </c>
      <c r="F2" s="355">
        <f>ROUND(SUMIF(长期应收款明细表!D:D,A2,长期应收款明细表!R:R),2)</f>
        <v>0</v>
      </c>
      <c r="G2" s="234">
        <f>ROUND(E2-F2,2)</f>
        <v>0</v>
      </c>
      <c r="H2" s="311"/>
    </row>
    <row r="3" spans="1:8">
      <c r="A3" s="607" t="s">
        <v>4192</v>
      </c>
      <c r="B3" s="355">
        <f>ROUND(SUMIF(长期应收款明细表!D:D,长期应收款明细情况!A3,长期应收款明细表!I:I),2)</f>
        <v>0</v>
      </c>
      <c r="C3" s="355">
        <f>ROUND(SUMIF(长期应收款明细表!D:D,长期应收款明细情况!A3,长期应收款明细表!L:L),2)</f>
        <v>0</v>
      </c>
      <c r="D3" s="234">
        <f>ROUND(B3-C3,2)</f>
        <v>0</v>
      </c>
      <c r="E3" s="355">
        <f>ROUND(SUMIF(长期应收款明细表!D:D,A3,长期应收款明细表!O:O),2)</f>
        <v>0</v>
      </c>
      <c r="F3" s="355">
        <f>ROUND(SUMIF(长期应收款明细表!D:D,A3,长期应收款明细表!R:R),2)</f>
        <v>0</v>
      </c>
      <c r="G3" s="234">
        <f>ROUND(E3-F3,2)</f>
        <v>0</v>
      </c>
      <c r="H3" s="311"/>
    </row>
    <row r="4" spans="1:8">
      <c r="A4" s="607" t="s">
        <v>4385</v>
      </c>
      <c r="B4" s="355">
        <f>ROUND(SUMIF(长期应收款明细表!D:D,长期应收款明细情况!A4,长期应收款明细表!I:I),2)</f>
        <v>0</v>
      </c>
      <c r="C4" s="355">
        <f>ROUND(SUMIF(长期应收款明细表!D:D,长期应收款明细情况!A4,长期应收款明细表!L:L),2)</f>
        <v>0</v>
      </c>
      <c r="D4" s="234">
        <f>ROUND(B4-C4,2)</f>
        <v>0</v>
      </c>
      <c r="E4" s="355">
        <f>ROUND(SUMIF(长期应收款明细表!D:D,A4,长期应收款明细表!O:O),2)</f>
        <v>0</v>
      </c>
      <c r="F4" s="355">
        <f>ROUND(SUMIF(长期应收款明细表!D:D,A4,长期应收款明细表!R:R),2)</f>
        <v>0</v>
      </c>
      <c r="G4" s="234">
        <f>ROUND(E4-F4,2)</f>
        <v>0</v>
      </c>
      <c r="H4" s="311"/>
    </row>
    <row r="5" spans="1:8">
      <c r="A5" s="607" t="s">
        <v>426</v>
      </c>
      <c r="B5" s="355">
        <f>ROUND(SUMIF(长期应收款明细表!D:D,长期应收款明细情况!A5,长期应收款明细表!I:I),2)</f>
        <v>0</v>
      </c>
      <c r="C5" s="355">
        <f>ROUND(SUMIF(长期应收款明细表!D:D,长期应收款明细情况!A5,长期应收款明细表!L:L),2)</f>
        <v>0</v>
      </c>
      <c r="D5" s="234">
        <f>ROUND(B5-C5,2)</f>
        <v>0</v>
      </c>
      <c r="E5" s="355">
        <f>ROUND(SUMIF(长期应收款明细表!D:D,A5,长期应收款明细表!O:O),2)</f>
        <v>0</v>
      </c>
      <c r="F5" s="355">
        <f>ROUND(SUMIF(长期应收款明细表!D:D,A5,长期应收款明细表!R:R),2)</f>
        <v>0</v>
      </c>
      <c r="G5" s="234">
        <f>ROUND(E5-F5,2)</f>
        <v>0</v>
      </c>
      <c r="H5" s="311"/>
    </row>
    <row r="6" spans="1:8">
      <c r="A6" s="607" t="s">
        <v>202</v>
      </c>
      <c r="B6" s="355">
        <f>ROUND(SUMIF(长期应收款明细表!D:D,长期应收款明细情况!A6,长期应收款明细表!I:I),2)</f>
        <v>0</v>
      </c>
      <c r="C6" s="355">
        <f>ROUND(SUMIF(长期应收款明细表!D:D,长期应收款明细情况!A6,长期应收款明细表!L:L),2)</f>
        <v>0</v>
      </c>
      <c r="D6" s="234">
        <f>ROUND(B6-C6,2)</f>
        <v>0</v>
      </c>
      <c r="E6" s="355">
        <f>ROUND(SUMIF(长期应收款明细表!D:D,A6,长期应收款明细表!O:O),2)</f>
        <v>0</v>
      </c>
      <c r="F6" s="355">
        <f>ROUND(SUMIF(长期应收款明细表!D:D,A6,长期应收款明细表!R:R),2)</f>
        <v>0</v>
      </c>
      <c r="G6" s="234">
        <f>ROUND(E6-F6,2)</f>
        <v>0</v>
      </c>
      <c r="H6" s="311"/>
    </row>
    <row r="7" spans="1:8">
      <c r="A7" s="27" t="s">
        <v>204</v>
      </c>
      <c r="B7" s="234">
        <f>ROUND(SUM(B4:B6,B2),2)</f>
        <v>0</v>
      </c>
      <c r="C7" s="234">
        <f>ROUND(SUM(C4:C6,C2),2)</f>
        <v>0</v>
      </c>
      <c r="D7" s="234">
        <f>ROUND(SUM(D4:D6,D2),2)</f>
        <v>0</v>
      </c>
      <c r="E7" s="234">
        <f>ROUND(SUM(E4:E6,E2),2)</f>
        <v>0</v>
      </c>
      <c r="F7" s="234">
        <f>ROUND(SUM(F4:F6,F2),2)</f>
        <v>0</v>
      </c>
      <c r="G7" s="234">
        <f>ROUND(SUM(G4:G6,G2),2)</f>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sheetPr codeName="Sheet174"/>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30" bestFit="1" customWidth="1"/>
    <col min="8" max="8" width="15" style="230" bestFit="1" customWidth="1"/>
    <col min="9" max="9" width="13.88671875" style="230" bestFit="1" customWidth="1"/>
    <col min="10" max="12" width="13.88671875" style="230" customWidth="1"/>
    <col min="13" max="13" width="13.88671875" style="230" bestFit="1" customWidth="1"/>
  </cols>
  <sheetData>
    <row r="1" spans="1:18">
      <c r="A1" t="s">
        <v>125</v>
      </c>
      <c r="B1" t="s">
        <v>4383</v>
      </c>
      <c r="C1" t="s">
        <v>4378</v>
      </c>
      <c r="D1" t="s">
        <v>4379</v>
      </c>
      <c r="E1" t="s">
        <v>4380</v>
      </c>
      <c r="F1" t="s">
        <v>4381</v>
      </c>
      <c r="G1" s="230" t="s">
        <v>4382</v>
      </c>
      <c r="H1" s="230" t="s">
        <v>4388</v>
      </c>
      <c r="I1" s="230" t="s">
        <v>4389</v>
      </c>
      <c r="J1" s="230" t="s">
        <v>215</v>
      </c>
      <c r="K1" s="230" t="s">
        <v>4386</v>
      </c>
      <c r="L1" s="230" t="s">
        <v>4387</v>
      </c>
      <c r="M1" s="230" t="s">
        <v>4384</v>
      </c>
      <c r="N1" s="230" t="s">
        <v>4390</v>
      </c>
      <c r="O1" s="230" t="s">
        <v>4391</v>
      </c>
      <c r="P1" s="230" t="s">
        <v>219</v>
      </c>
      <c r="Q1" s="230" t="s">
        <v>4392</v>
      </c>
      <c r="R1" s="230" t="s">
        <v>4393</v>
      </c>
    </row>
    <row r="2" spans="1:18">
      <c r="A2" t="str">
        <f>IF(G2&gt;0,基础信息!$B$1,"")</f>
        <v/>
      </c>
      <c r="C2" s="277"/>
      <c r="D2" s="277"/>
      <c r="G2" s="230">
        <f>SUM(H2:I2)</f>
        <v>0</v>
      </c>
      <c r="J2" s="230">
        <f>K2+L2</f>
        <v>0</v>
      </c>
      <c r="M2" s="230">
        <f>SUM(N2:O2)</f>
        <v>0</v>
      </c>
      <c r="N2" s="230"/>
      <c r="O2" s="230"/>
      <c r="P2" s="230">
        <f>Q2+R2</f>
        <v>0</v>
      </c>
      <c r="Q2" s="230"/>
      <c r="R2" s="230"/>
    </row>
    <row r="3" spans="1:18">
      <c r="A3" t="str">
        <f>IF(G3&gt;0,基础信息!$B$1,"")</f>
        <v/>
      </c>
      <c r="C3" s="277"/>
      <c r="D3" s="277"/>
      <c r="G3" s="230">
        <f t="shared" ref="G3:G29" si="0">SUM(H3:I3)</f>
        <v>0</v>
      </c>
      <c r="J3" s="230">
        <f t="shared" ref="J3:J29" si="1">K3+L3</f>
        <v>0</v>
      </c>
      <c r="M3" s="230">
        <f t="shared" ref="M3:M29" si="2">SUM(N3:O3)</f>
        <v>0</v>
      </c>
      <c r="N3" s="230"/>
      <c r="O3" s="230"/>
      <c r="P3" s="230">
        <f t="shared" ref="P3:P29" si="3">Q3+R3</f>
        <v>0</v>
      </c>
      <c r="Q3" s="230"/>
      <c r="R3" s="230"/>
    </row>
    <row r="4" spans="1:18">
      <c r="A4" t="str">
        <f>IF(G4&gt;0,基础信息!$B$1,"")</f>
        <v/>
      </c>
      <c r="C4" s="277"/>
      <c r="D4" s="277"/>
      <c r="G4" s="230">
        <f t="shared" si="0"/>
        <v>0</v>
      </c>
      <c r="J4" s="230">
        <f t="shared" si="1"/>
        <v>0</v>
      </c>
      <c r="M4" s="230">
        <f t="shared" si="2"/>
        <v>0</v>
      </c>
      <c r="N4" s="230"/>
      <c r="O4" s="230"/>
      <c r="P4" s="230">
        <f t="shared" si="3"/>
        <v>0</v>
      </c>
      <c r="Q4" s="230"/>
      <c r="R4" s="230"/>
    </row>
    <row r="5" spans="1:18">
      <c r="A5" t="str">
        <f>IF(G5&gt;0,基础信息!$B$1,"")</f>
        <v/>
      </c>
      <c r="C5" s="277"/>
      <c r="D5" s="277"/>
      <c r="G5" s="230">
        <f t="shared" si="0"/>
        <v>0</v>
      </c>
      <c r="J5" s="230">
        <f t="shared" si="1"/>
        <v>0</v>
      </c>
      <c r="M5" s="230">
        <f t="shared" si="2"/>
        <v>0</v>
      </c>
      <c r="N5" s="230"/>
      <c r="O5" s="230"/>
      <c r="P5" s="230">
        <f t="shared" si="3"/>
        <v>0</v>
      </c>
      <c r="Q5" s="230"/>
      <c r="R5" s="230"/>
    </row>
    <row r="6" spans="1:18">
      <c r="A6" t="str">
        <f>IF(G6&gt;0,基础信息!$B$1,"")</f>
        <v/>
      </c>
      <c r="C6" s="277"/>
      <c r="D6" s="277"/>
      <c r="G6" s="230">
        <f t="shared" si="0"/>
        <v>0</v>
      </c>
      <c r="J6" s="230">
        <f t="shared" si="1"/>
        <v>0</v>
      </c>
      <c r="M6" s="230">
        <f t="shared" si="2"/>
        <v>0</v>
      </c>
      <c r="P6" s="230">
        <f t="shared" si="3"/>
        <v>0</v>
      </c>
    </row>
    <row r="7" spans="1:18">
      <c r="A7" t="str">
        <f>IF(G7&gt;0,基础信息!$B$1,"")</f>
        <v/>
      </c>
      <c r="C7" s="277"/>
      <c r="D7" s="277"/>
      <c r="G7" s="230">
        <f t="shared" si="0"/>
        <v>0</v>
      </c>
      <c r="J7" s="230">
        <f t="shared" si="1"/>
        <v>0</v>
      </c>
      <c r="M7" s="230">
        <f t="shared" si="2"/>
        <v>0</v>
      </c>
      <c r="P7" s="230">
        <f t="shared" si="3"/>
        <v>0</v>
      </c>
    </row>
    <row r="8" spans="1:18">
      <c r="A8" t="str">
        <f>IF(G8&gt;0,基础信息!$B$1,"")</f>
        <v/>
      </c>
      <c r="C8" s="277"/>
      <c r="D8" s="277"/>
      <c r="G8" s="230">
        <f t="shared" si="0"/>
        <v>0</v>
      </c>
      <c r="J8" s="230">
        <f t="shared" si="1"/>
        <v>0</v>
      </c>
      <c r="M8" s="230">
        <f t="shared" si="2"/>
        <v>0</v>
      </c>
      <c r="P8" s="230">
        <f t="shared" si="3"/>
        <v>0</v>
      </c>
    </row>
    <row r="9" spans="1:18">
      <c r="A9" t="str">
        <f>IF(G9&gt;0,基础信息!$B$1,"")</f>
        <v/>
      </c>
      <c r="C9" s="277"/>
      <c r="D9" s="277"/>
      <c r="G9" s="230">
        <f t="shared" si="0"/>
        <v>0</v>
      </c>
      <c r="J9" s="230">
        <f t="shared" si="1"/>
        <v>0</v>
      </c>
      <c r="M9" s="230">
        <f t="shared" si="2"/>
        <v>0</v>
      </c>
      <c r="P9" s="230">
        <f t="shared" si="3"/>
        <v>0</v>
      </c>
    </row>
    <row r="10" spans="1:18">
      <c r="A10" t="str">
        <f>IF(G10&gt;0,基础信息!$B$1,"")</f>
        <v/>
      </c>
      <c r="C10" s="277"/>
      <c r="D10" s="277"/>
      <c r="G10" s="230">
        <f t="shared" si="0"/>
        <v>0</v>
      </c>
      <c r="J10" s="230">
        <f t="shared" si="1"/>
        <v>0</v>
      </c>
      <c r="M10" s="230">
        <f t="shared" si="2"/>
        <v>0</v>
      </c>
      <c r="P10" s="230">
        <f t="shared" si="3"/>
        <v>0</v>
      </c>
    </row>
    <row r="11" spans="1:18">
      <c r="A11" t="str">
        <f>IF(G11&gt;0,基础信息!$B$1,"")</f>
        <v/>
      </c>
      <c r="C11" s="277"/>
      <c r="D11" s="277"/>
      <c r="G11" s="230">
        <f t="shared" si="0"/>
        <v>0</v>
      </c>
      <c r="J11" s="230">
        <f t="shared" si="1"/>
        <v>0</v>
      </c>
      <c r="M11" s="230">
        <f t="shared" si="2"/>
        <v>0</v>
      </c>
      <c r="P11" s="230">
        <f t="shared" si="3"/>
        <v>0</v>
      </c>
    </row>
    <row r="12" spans="1:18">
      <c r="A12" t="str">
        <f>IF(G12&gt;0,基础信息!$B$1,"")</f>
        <v/>
      </c>
      <c r="C12" s="277"/>
      <c r="D12" s="277"/>
      <c r="G12" s="230">
        <f t="shared" si="0"/>
        <v>0</v>
      </c>
      <c r="J12" s="230">
        <f t="shared" si="1"/>
        <v>0</v>
      </c>
      <c r="M12" s="230">
        <f t="shared" si="2"/>
        <v>0</v>
      </c>
      <c r="P12" s="230">
        <f t="shared" si="3"/>
        <v>0</v>
      </c>
    </row>
    <row r="13" spans="1:18">
      <c r="A13" t="str">
        <f>IF(G13&gt;0,基础信息!$B$1,"")</f>
        <v/>
      </c>
      <c r="C13" s="277"/>
      <c r="D13" s="277"/>
      <c r="G13" s="230">
        <f t="shared" si="0"/>
        <v>0</v>
      </c>
      <c r="J13" s="230">
        <f t="shared" si="1"/>
        <v>0</v>
      </c>
      <c r="M13" s="230">
        <f t="shared" si="2"/>
        <v>0</v>
      </c>
      <c r="P13" s="230">
        <f t="shared" si="3"/>
        <v>0</v>
      </c>
    </row>
    <row r="14" spans="1:18">
      <c r="A14" t="str">
        <f>IF(G14&gt;0,基础信息!$B$1,"")</f>
        <v/>
      </c>
      <c r="C14" s="277"/>
      <c r="D14" s="277"/>
      <c r="G14" s="230">
        <f t="shared" si="0"/>
        <v>0</v>
      </c>
      <c r="J14" s="230">
        <f t="shared" si="1"/>
        <v>0</v>
      </c>
      <c r="M14" s="230">
        <f t="shared" si="2"/>
        <v>0</v>
      </c>
      <c r="P14" s="230">
        <f t="shared" si="3"/>
        <v>0</v>
      </c>
    </row>
    <row r="15" spans="1:18">
      <c r="A15" t="str">
        <f>IF(G15&gt;0,基础信息!$B$1,"")</f>
        <v/>
      </c>
      <c r="C15" s="277"/>
      <c r="D15" s="277"/>
      <c r="G15" s="230">
        <f t="shared" si="0"/>
        <v>0</v>
      </c>
      <c r="J15" s="230">
        <f t="shared" si="1"/>
        <v>0</v>
      </c>
      <c r="M15" s="230">
        <f t="shared" si="2"/>
        <v>0</v>
      </c>
      <c r="P15" s="230">
        <f t="shared" si="3"/>
        <v>0</v>
      </c>
    </row>
    <row r="16" spans="1:18">
      <c r="A16" t="str">
        <f>IF(G16&gt;0,基础信息!$B$1,"")</f>
        <v/>
      </c>
      <c r="C16" s="277"/>
      <c r="D16" s="277"/>
      <c r="G16" s="230">
        <f t="shared" si="0"/>
        <v>0</v>
      </c>
      <c r="J16" s="230">
        <f t="shared" si="1"/>
        <v>0</v>
      </c>
      <c r="M16" s="230">
        <f t="shared" si="2"/>
        <v>0</v>
      </c>
      <c r="P16" s="230">
        <f t="shared" si="3"/>
        <v>0</v>
      </c>
    </row>
    <row r="17" spans="1:16">
      <c r="A17" t="str">
        <f>IF(G17&gt;0,基础信息!$B$1,"")</f>
        <v/>
      </c>
      <c r="C17" s="277"/>
      <c r="D17" s="277"/>
      <c r="G17" s="230">
        <f t="shared" si="0"/>
        <v>0</v>
      </c>
      <c r="J17" s="230">
        <f t="shared" si="1"/>
        <v>0</v>
      </c>
      <c r="M17" s="230">
        <f t="shared" si="2"/>
        <v>0</v>
      </c>
      <c r="P17" s="230">
        <f t="shared" si="3"/>
        <v>0</v>
      </c>
    </row>
    <row r="18" spans="1:16">
      <c r="A18" t="str">
        <f>IF(G18&gt;0,基础信息!$B$1,"")</f>
        <v/>
      </c>
      <c r="C18" s="277"/>
      <c r="D18" s="277"/>
      <c r="G18" s="230">
        <f t="shared" si="0"/>
        <v>0</v>
      </c>
      <c r="J18" s="230">
        <f t="shared" si="1"/>
        <v>0</v>
      </c>
      <c r="M18" s="230">
        <f t="shared" si="2"/>
        <v>0</v>
      </c>
      <c r="P18" s="230">
        <f t="shared" si="3"/>
        <v>0</v>
      </c>
    </row>
    <row r="19" spans="1:16">
      <c r="A19" t="str">
        <f>IF(G19&gt;0,基础信息!$B$1,"")</f>
        <v/>
      </c>
      <c r="C19" s="277"/>
      <c r="D19" s="277"/>
      <c r="G19" s="230">
        <f t="shared" si="0"/>
        <v>0</v>
      </c>
      <c r="J19" s="230">
        <f t="shared" si="1"/>
        <v>0</v>
      </c>
      <c r="M19" s="230">
        <f t="shared" si="2"/>
        <v>0</v>
      </c>
      <c r="P19" s="230">
        <f t="shared" si="3"/>
        <v>0</v>
      </c>
    </row>
    <row r="20" spans="1:16">
      <c r="A20" t="str">
        <f>IF(G20&gt;0,基础信息!$B$1,"")</f>
        <v/>
      </c>
      <c r="C20" s="277"/>
      <c r="D20" s="277"/>
      <c r="G20" s="230">
        <f t="shared" si="0"/>
        <v>0</v>
      </c>
      <c r="J20" s="230">
        <f t="shared" si="1"/>
        <v>0</v>
      </c>
      <c r="M20" s="230">
        <f t="shared" si="2"/>
        <v>0</v>
      </c>
      <c r="P20" s="230">
        <f t="shared" si="3"/>
        <v>0</v>
      </c>
    </row>
    <row r="21" spans="1:16">
      <c r="A21" t="str">
        <f>IF(G21&gt;0,基础信息!$B$1,"")</f>
        <v/>
      </c>
      <c r="C21" s="277"/>
      <c r="D21" s="277"/>
      <c r="G21" s="230">
        <f t="shared" si="0"/>
        <v>0</v>
      </c>
      <c r="J21" s="230">
        <f t="shared" si="1"/>
        <v>0</v>
      </c>
      <c r="M21" s="230">
        <f t="shared" si="2"/>
        <v>0</v>
      </c>
      <c r="P21" s="230">
        <f t="shared" si="3"/>
        <v>0</v>
      </c>
    </row>
    <row r="22" spans="1:16">
      <c r="A22" t="str">
        <f>IF(G22&gt;0,基础信息!$B$1,"")</f>
        <v/>
      </c>
      <c r="C22" s="277"/>
      <c r="D22" s="277"/>
      <c r="G22" s="230">
        <f t="shared" si="0"/>
        <v>0</v>
      </c>
      <c r="J22" s="230">
        <f t="shared" si="1"/>
        <v>0</v>
      </c>
      <c r="M22" s="230">
        <f t="shared" si="2"/>
        <v>0</v>
      </c>
      <c r="P22" s="230">
        <f t="shared" si="3"/>
        <v>0</v>
      </c>
    </row>
    <row r="23" spans="1:16">
      <c r="A23" t="str">
        <f>IF(G23&gt;0,基础信息!$B$1,"")</f>
        <v/>
      </c>
      <c r="C23" s="277"/>
      <c r="D23" s="277"/>
      <c r="G23" s="230">
        <f t="shared" si="0"/>
        <v>0</v>
      </c>
      <c r="J23" s="230">
        <f t="shared" si="1"/>
        <v>0</v>
      </c>
      <c r="M23" s="230">
        <f t="shared" si="2"/>
        <v>0</v>
      </c>
      <c r="P23" s="230">
        <f t="shared" si="3"/>
        <v>0</v>
      </c>
    </row>
    <row r="24" spans="1:16">
      <c r="A24" t="str">
        <f>IF(G24&gt;0,基础信息!$B$1,"")</f>
        <v/>
      </c>
      <c r="C24" s="277"/>
      <c r="D24" s="277"/>
      <c r="G24" s="230">
        <f t="shared" si="0"/>
        <v>0</v>
      </c>
      <c r="J24" s="230">
        <f t="shared" si="1"/>
        <v>0</v>
      </c>
      <c r="M24" s="230">
        <f t="shared" si="2"/>
        <v>0</v>
      </c>
      <c r="P24" s="230">
        <f t="shared" si="3"/>
        <v>0</v>
      </c>
    </row>
    <row r="25" spans="1:16">
      <c r="A25" t="str">
        <f>IF(G25&gt;0,基础信息!$B$1,"")</f>
        <v/>
      </c>
      <c r="C25" s="277"/>
      <c r="D25" s="277"/>
      <c r="G25" s="230">
        <f t="shared" si="0"/>
        <v>0</v>
      </c>
      <c r="J25" s="230">
        <f t="shared" si="1"/>
        <v>0</v>
      </c>
      <c r="M25" s="230">
        <f t="shared" si="2"/>
        <v>0</v>
      </c>
      <c r="P25" s="230">
        <f t="shared" si="3"/>
        <v>0</v>
      </c>
    </row>
    <row r="26" spans="1:16">
      <c r="A26" t="str">
        <f>IF(G26&gt;0,基础信息!$B$1,"")</f>
        <v/>
      </c>
      <c r="C26" s="277"/>
      <c r="D26" s="277"/>
      <c r="G26" s="230">
        <f t="shared" si="0"/>
        <v>0</v>
      </c>
      <c r="J26" s="230">
        <f t="shared" si="1"/>
        <v>0</v>
      </c>
      <c r="M26" s="230">
        <f t="shared" si="2"/>
        <v>0</v>
      </c>
      <c r="P26" s="230">
        <f t="shared" si="3"/>
        <v>0</v>
      </c>
    </row>
    <row r="27" spans="1:16">
      <c r="A27" t="str">
        <f>IF(G27&gt;0,基础信息!$B$1,"")</f>
        <v/>
      </c>
      <c r="C27" s="277"/>
      <c r="D27" s="277"/>
      <c r="G27" s="230">
        <f t="shared" si="0"/>
        <v>0</v>
      </c>
      <c r="J27" s="230">
        <f t="shared" si="1"/>
        <v>0</v>
      </c>
      <c r="M27" s="230">
        <f t="shared" si="2"/>
        <v>0</v>
      </c>
      <c r="P27" s="230">
        <f t="shared" si="3"/>
        <v>0</v>
      </c>
    </row>
    <row r="28" spans="1:16">
      <c r="A28" t="str">
        <f>IF(G28&gt;0,基础信息!$B$1,"")</f>
        <v/>
      </c>
      <c r="C28" s="277"/>
      <c r="D28" s="277"/>
      <c r="G28" s="230">
        <f t="shared" si="0"/>
        <v>0</v>
      </c>
      <c r="J28" s="230">
        <f t="shared" si="1"/>
        <v>0</v>
      </c>
      <c r="M28" s="230">
        <f t="shared" si="2"/>
        <v>0</v>
      </c>
      <c r="P28" s="230">
        <f t="shared" si="3"/>
        <v>0</v>
      </c>
    </row>
    <row r="29" spans="1:16">
      <c r="A29" t="str">
        <f>IF(G29&gt;0,基础信息!$B$1,"")</f>
        <v/>
      </c>
      <c r="C29" s="277"/>
      <c r="D29" s="277"/>
      <c r="G29" s="230">
        <f t="shared" si="0"/>
        <v>0</v>
      </c>
      <c r="J29" s="230">
        <f t="shared" si="1"/>
        <v>0</v>
      </c>
      <c r="M29" s="230">
        <f t="shared" si="2"/>
        <v>0</v>
      </c>
      <c r="P29" s="230">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codeName="Sheet175">
    <tabColor rgb="FFFFC000"/>
  </sheetPr>
  <dimension ref="A1:E13"/>
  <sheetViews>
    <sheetView workbookViewId="0">
      <selection activeCell="H18" sqref="H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326</v>
      </c>
      <c r="C1" s="18" t="s">
        <v>327</v>
      </c>
      <c r="D1" s="18" t="s">
        <v>328</v>
      </c>
      <c r="E1" s="18" t="s">
        <v>204</v>
      </c>
    </row>
    <row r="2" spans="1:5">
      <c r="A2" s="18" t="s">
        <v>260</v>
      </c>
      <c r="B2" s="139">
        <f>ROUND(SUMIF(长期应收款减值准备明细表新金融工具!$C:$C,长期应收款坏账准备变动情况新金融工具准则!B$1,长期应收款减值准备明细表新金融工具!$D:$D),2)</f>
        <v>0</v>
      </c>
      <c r="C2" s="139">
        <f>ROUND(SUMIF(长期应收款减值准备明细表新金融工具!$C:$C,长期应收款坏账准备变动情况新金融工具准则!C$1,长期应收款减值准备明细表新金融工具!$D:$D),2)</f>
        <v>0</v>
      </c>
      <c r="D2" s="139">
        <f>ROUND(SUMIF(长期应收款减值准备明细表新金融工具!$C:$C,长期应收款坏账准备变动情况新金融工具准则!D$1,长期应收款减值准备明细表新金融工具!$D:$D),2)</f>
        <v>0</v>
      </c>
      <c r="E2" s="134">
        <f>ROUND(SUM(B2:D2),2)</f>
        <v>0</v>
      </c>
    </row>
    <row r="3" spans="1:5">
      <c r="A3" s="18" t="s">
        <v>334</v>
      </c>
      <c r="B3" s="139">
        <f>ROUND(SUMIF(长期应收款减值准备明细表新金融工具!$C:$C,长期应收款坏账准备变动情况新金融工具准则!B$1,长期应收款减值准备明细表新金融工具!$E:$E),2)</f>
        <v>0</v>
      </c>
      <c r="C3" s="139">
        <f>ROUND(SUMIF(长期应收款减值准备明细表新金融工具!$C:$C,长期应收款坏账准备变动情况新金融工具准则!C$1,长期应收款减值准备明细表新金融工具!$E:$E),2)</f>
        <v>0</v>
      </c>
      <c r="D3" s="139">
        <f>ROUND(SUMIF(长期应收款减值准备明细表新金融工具!$C:$C,长期应收款坏账准备变动情况新金融工具准则!D$1,长期应收款减值准备明细表新金融工具!$E:$E),2)</f>
        <v>0</v>
      </c>
      <c r="E3" s="134">
        <f>ROUND(SUM(B3:D3),2)</f>
        <v>0</v>
      </c>
    </row>
    <row r="4" spans="1:5">
      <c r="A4" s="57" t="s">
        <v>335</v>
      </c>
      <c r="B4" s="139">
        <f>ROUND(SUMIF(长期应收款减值准备明细表新金融工具!$C:$C,长期应收款坏账准备变动情况新金融工具准则!B$1,长期应收款减值准备明细表新金融工具!$F:$F),2)</f>
        <v>0</v>
      </c>
      <c r="C4" s="139">
        <f>ROUND(SUMIF(长期应收款减值准备明细表新金融工具!$C:$C,长期应收款坏账准备变动情况新金融工具准则!C$1,长期应收款减值准备明细表新金融工具!$F:$F),2)</f>
        <v>0</v>
      </c>
      <c r="D4" s="139">
        <f>ROUND(SUMIF(长期应收款减值准备明细表新金融工具!$C:$C,长期应收款坏账准备变动情况新金融工具准则!D$1,长期应收款减值准备明细表新金融工具!$F:$F),2)</f>
        <v>0</v>
      </c>
      <c r="E4" s="134">
        <f>ROUND(SUM(B4:D4),2)</f>
        <v>0</v>
      </c>
    </row>
    <row r="5" spans="1:5">
      <c r="A5" s="57" t="s">
        <v>336</v>
      </c>
      <c r="B5" s="139">
        <f>ROUND(SUMIF(长期应收款减值准备明细表新金融工具!$C:$C,长期应收款坏账准备变动情况新金融工具准则!B$1,长期应收款减值准备明细表新金融工具!$G:$G),2)</f>
        <v>0</v>
      </c>
      <c r="C5" s="139">
        <f>ROUND(SUMIF(长期应收款减值准备明细表新金融工具!$C:$C,长期应收款坏账准备变动情况新金融工具准则!C$1,长期应收款减值准备明细表新金融工具!$G:$G),2)</f>
        <v>0</v>
      </c>
      <c r="D5" s="139">
        <f>ROUND(SUMIF(长期应收款减值准备明细表新金融工具!$C:$C,长期应收款坏账准备变动情况新金融工具准则!D$1,长期应收款减值准备明细表新金融工具!$G:$G),2)</f>
        <v>0</v>
      </c>
      <c r="E5" s="134">
        <f>ROUND(SUM(B5:D5),2)</f>
        <v>0</v>
      </c>
    </row>
    <row r="6" spans="1:5">
      <c r="A6" s="57" t="s">
        <v>337</v>
      </c>
      <c r="B6" s="139">
        <f>ROUND(SUMIF(长期应收款减值准备明细表新金融工具!$C:$C,长期应收款坏账准备变动情况新金融工具准则!B$1,长期应收款减值准备明细表新金融工具!$H:$H),2)</f>
        <v>0</v>
      </c>
      <c r="C6" s="139">
        <f>ROUND(SUMIF(长期应收款减值准备明细表新金融工具!$C:$C,长期应收款坏账准备变动情况新金融工具准则!C$1,长期应收款减值准备明细表新金融工具!$H:$H),2)</f>
        <v>0</v>
      </c>
      <c r="D6" s="139">
        <f>ROUND(SUMIF(长期应收款减值准备明细表新金融工具!$C:$C,长期应收款坏账准备变动情况新金融工具准则!D$1,长期应收款减值准备明细表新金融工具!$H:$H),2)</f>
        <v>0</v>
      </c>
      <c r="E6" s="134">
        <f>ROUND(SUM(B6:D6),2)</f>
        <v>0</v>
      </c>
    </row>
    <row r="7" spans="1:5">
      <c r="A7" s="57" t="s">
        <v>338</v>
      </c>
      <c r="B7" s="139">
        <f>ROUND(SUMIF(长期应收款减值准备明细表新金融工具!$C:$C,长期应收款坏账准备变动情况新金融工具准则!B$1,长期应收款减值准备明细表新金融工具!$I:$I),2)</f>
        <v>0</v>
      </c>
      <c r="C7" s="139">
        <f>ROUND(SUMIF(长期应收款减值准备明细表新金融工具!$C:$C,长期应收款坏账准备变动情况新金融工具准则!C$1,长期应收款减值准备明细表新金融工具!$I:$I),2)</f>
        <v>0</v>
      </c>
      <c r="D7" s="139">
        <f>ROUND(SUMIF(长期应收款减值准备明细表新金融工具!$C:$C,长期应收款坏账准备变动情况新金融工具准则!D$1,长期应收款减值准备明细表新金融工具!$I:$I),2)</f>
        <v>0</v>
      </c>
      <c r="E7" s="134">
        <f>ROUND(SUM(B7:D7),2)</f>
        <v>0</v>
      </c>
    </row>
    <row r="8" spans="1:5">
      <c r="A8" s="18" t="s">
        <v>329</v>
      </c>
      <c r="B8" s="139">
        <f>ROUND(SUMIF(长期应收款减值准备明细表新金融工具!$C:$C,长期应收款坏账准备变动情况新金融工具准则!B$1,长期应收款减值准备明细表新金融工具!$J:$J),2)</f>
        <v>0</v>
      </c>
      <c r="C8" s="139">
        <f>ROUND(SUMIF(长期应收款减值准备明细表新金融工具!$C:$C,长期应收款坏账准备变动情况新金融工具准则!C$1,长期应收款减值准备明细表新金融工具!$J:$J),2)</f>
        <v>0</v>
      </c>
      <c r="D8" s="139">
        <f>ROUND(SUMIF(长期应收款减值准备明细表新金融工具!$C:$C,长期应收款坏账准备变动情况新金融工具准则!D$1,长期应收款减值准备明细表新金融工具!$J:$J),2)</f>
        <v>0</v>
      </c>
      <c r="E8" s="134">
        <f>ROUND(SUM(B8:D8),2)</f>
        <v>0</v>
      </c>
    </row>
    <row r="9" spans="1:5">
      <c r="A9" s="18" t="s">
        <v>330</v>
      </c>
      <c r="B9" s="139">
        <f>ROUND(SUMIF(长期应收款减值准备明细表新金融工具!$C:$C,长期应收款坏账准备变动情况新金融工具准则!B$1,长期应收款减值准备明细表新金融工具!$K:$K),2)</f>
        <v>0</v>
      </c>
      <c r="C9" s="139">
        <f>ROUND(SUMIF(长期应收款减值准备明细表新金融工具!$C:$C,长期应收款坏账准备变动情况新金融工具准则!C$1,长期应收款减值准备明细表新金融工具!$K:$K),2)</f>
        <v>0</v>
      </c>
      <c r="D9" s="139">
        <f>ROUND(SUMIF(长期应收款减值准备明细表新金融工具!$C:$C,长期应收款坏账准备变动情况新金融工具准则!D$1,长期应收款减值准备明细表新金融工具!$K:$K),2)</f>
        <v>0</v>
      </c>
      <c r="E9" s="134">
        <f>ROUND(SUM(B9:D9),2)</f>
        <v>0</v>
      </c>
    </row>
    <row r="10" spans="1:5">
      <c r="A10" s="18" t="s">
        <v>331</v>
      </c>
      <c r="B10" s="139">
        <f>ROUND(SUMIF(长期应收款减值准备明细表新金融工具!$C:$C,长期应收款坏账准备变动情况新金融工具准则!B$1,长期应收款减值准备明细表新金融工具!$L:$L),2)</f>
        <v>0</v>
      </c>
      <c r="C10" s="139">
        <f>ROUND(SUMIF(长期应收款减值准备明细表新金融工具!$C:$C,长期应收款坏账准备变动情况新金融工具准则!C$1,长期应收款减值准备明细表新金融工具!$L:$L),2)</f>
        <v>0</v>
      </c>
      <c r="D10" s="139">
        <f>ROUND(SUMIF(长期应收款减值准备明细表新金融工具!$C:$C,长期应收款坏账准备变动情况新金融工具准则!D$1,长期应收款减值准备明细表新金融工具!$L:$L),2)</f>
        <v>0</v>
      </c>
      <c r="E10" s="134">
        <f>ROUND(SUM(B10:D10),2)</f>
        <v>0</v>
      </c>
    </row>
    <row r="11" spans="1:5">
      <c r="A11" s="18" t="s">
        <v>332</v>
      </c>
      <c r="B11" s="139">
        <f>ROUND(SUMIF(长期应收款减值准备明细表新金融工具!$C:$C,长期应收款坏账准备变动情况新金融工具准则!B$1,长期应收款减值准备明细表新金融工具!$M:$M),2)</f>
        <v>0</v>
      </c>
      <c r="C11" s="139">
        <f>ROUND(SUMIF(长期应收款减值准备明细表新金融工具!$C:$C,长期应收款坏账准备变动情况新金融工具准则!C$1,长期应收款减值准备明细表新金融工具!$M:$M),2)</f>
        <v>0</v>
      </c>
      <c r="D11" s="139">
        <f>ROUND(SUMIF(长期应收款减值准备明细表新金融工具!$C:$C,长期应收款坏账准备变动情况新金融工具准则!D$1,长期应收款减值准备明细表新金融工具!$M:$M),2)</f>
        <v>0</v>
      </c>
      <c r="E11" s="134">
        <f>ROUND(SUM(B11:D11),2)</f>
        <v>0</v>
      </c>
    </row>
    <row r="12" spans="1:5">
      <c r="A12" s="18" t="s">
        <v>333</v>
      </c>
      <c r="B12" s="139">
        <f>ROUND(SUMIF(长期应收款减值准备明细表新金融工具!$C:$C,长期应收款坏账准备变动情况新金融工具准则!B$1,长期应收款减值准备明细表新金融工具!$N:$N),2)</f>
        <v>0</v>
      </c>
      <c r="C12" s="139">
        <f>ROUND(SUMIF(长期应收款减值准备明细表新金融工具!$C:$C,长期应收款坏账准备变动情况新金融工具准则!C$1,长期应收款减值准备明细表新金融工具!$N:$N),2)</f>
        <v>0</v>
      </c>
      <c r="D12" s="139">
        <f>ROUND(SUMIF(长期应收款减值准备明细表新金融工具!$C:$C,长期应收款坏账准备变动情况新金融工具准则!D$1,长期应收款减值准备明细表新金融工具!$N:$N),2)</f>
        <v>0</v>
      </c>
      <c r="E12" s="134">
        <f>ROUND(SUM(B12:D12),2)</f>
        <v>0</v>
      </c>
    </row>
    <row r="13" spans="1:5">
      <c r="A13" s="18" t="s">
        <v>258</v>
      </c>
      <c r="B13" s="134">
        <f>ROUND(SUM(B4:B12,B2),2)</f>
        <v>0</v>
      </c>
      <c r="C13" s="134">
        <f>ROUND(SUM(C4:C12,C2),2)</f>
        <v>0</v>
      </c>
      <c r="D13" s="134">
        <f>ROUND(SUM(D4:D12,D2),2)</f>
        <v>0</v>
      </c>
      <c r="E13" s="134">
        <f>ROUND(SUM(E4:E12,E2),2)</f>
        <v>0</v>
      </c>
    </row>
  </sheetData>
  <phoneticPr fontId="1"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sheetPr codeName="Sheet176"/>
  <dimension ref="A1:O18"/>
  <sheetViews>
    <sheetView workbookViewId="0">
      <selection activeCell="I29" sqref="I29"/>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2427</v>
      </c>
      <c r="B1" t="s">
        <v>2263</v>
      </c>
      <c r="C1" t="s">
        <v>4374</v>
      </c>
      <c r="D1" t="s">
        <v>610</v>
      </c>
      <c r="E1" s="230" t="s">
        <v>4369</v>
      </c>
      <c r="F1" s="230" t="s">
        <v>4370</v>
      </c>
      <c r="G1" s="230" t="s">
        <v>4371</v>
      </c>
      <c r="H1" s="230" t="s">
        <v>4372</v>
      </c>
      <c r="I1" s="230" t="s">
        <v>4373</v>
      </c>
      <c r="J1" s="230" t="s">
        <v>329</v>
      </c>
      <c r="K1" s="230" t="s">
        <v>330</v>
      </c>
      <c r="L1" s="230" t="s">
        <v>331</v>
      </c>
      <c r="M1" s="230" t="s">
        <v>332</v>
      </c>
      <c r="N1" s="230" t="s">
        <v>333</v>
      </c>
      <c r="O1" s="230" t="s">
        <v>422</v>
      </c>
    </row>
    <row r="2" spans="1:15">
      <c r="A2" s="230" t="str">
        <f>IF(OR(K2&gt;0,S2&gt;0),基础信息!$B$1,"")</f>
        <v/>
      </c>
      <c r="B2" s="290"/>
      <c r="C2" s="277"/>
      <c r="D2" s="256"/>
      <c r="E2" s="230">
        <f>SUM(F2:I2)</f>
        <v>0</v>
      </c>
      <c r="F2" s="290"/>
      <c r="G2" s="290"/>
      <c r="H2" s="290"/>
      <c r="I2" s="290"/>
      <c r="J2" s="290"/>
      <c r="K2" s="290"/>
      <c r="L2" s="290"/>
      <c r="M2" s="290"/>
      <c r="O2" s="230">
        <f>SUM(F2:N2,D2)</f>
        <v>0</v>
      </c>
    </row>
    <row r="3" spans="1:15">
      <c r="A3" s="230" t="str">
        <f>IF(OR(K3&gt;0,S3&gt;0),基础信息!$B$1,"")</f>
        <v/>
      </c>
      <c r="B3" s="290"/>
      <c r="C3" s="277"/>
      <c r="D3" s="256"/>
      <c r="E3" s="230">
        <f t="shared" ref="E3:E18" si="0">SUM(F3:I3)</f>
        <v>0</v>
      </c>
      <c r="F3" s="290"/>
      <c r="G3" s="290"/>
      <c r="H3" s="290"/>
      <c r="I3" s="290"/>
      <c r="J3" s="290"/>
      <c r="K3" s="290"/>
      <c r="L3" s="290"/>
      <c r="M3" s="290"/>
      <c r="O3" s="230">
        <f t="shared" ref="O3:O18" si="1">SUM(F3:N3,D3)</f>
        <v>0</v>
      </c>
    </row>
    <row r="4" spans="1:15">
      <c r="A4" s="230" t="str">
        <f>IF(OR(K4&gt;0,S4&gt;0),基础信息!$B$1,"")</f>
        <v/>
      </c>
      <c r="B4" s="290"/>
      <c r="C4" s="277"/>
      <c r="D4" s="256"/>
      <c r="E4" s="230">
        <f t="shared" si="0"/>
        <v>0</v>
      </c>
      <c r="F4" s="290"/>
      <c r="G4" s="290"/>
      <c r="H4" s="290"/>
      <c r="I4" s="290"/>
      <c r="J4" s="290"/>
      <c r="K4" s="290"/>
      <c r="L4" s="290"/>
      <c r="M4" s="290"/>
      <c r="O4" s="230">
        <f t="shared" si="1"/>
        <v>0</v>
      </c>
    </row>
    <row r="5" spans="1:15">
      <c r="A5" s="230" t="str">
        <f>IF(OR(K5&gt;0,S5&gt;0),基础信息!$B$1,"")</f>
        <v/>
      </c>
      <c r="B5" s="290"/>
      <c r="C5" s="277"/>
      <c r="D5" s="256"/>
      <c r="E5" s="230">
        <f t="shared" si="0"/>
        <v>0</v>
      </c>
      <c r="F5" s="290"/>
      <c r="G5" s="290"/>
      <c r="H5" s="290"/>
      <c r="I5" s="290"/>
      <c r="J5" s="290"/>
      <c r="K5" s="290"/>
      <c r="L5" s="290"/>
      <c r="M5" s="290"/>
      <c r="O5" s="230">
        <f t="shared" si="1"/>
        <v>0</v>
      </c>
    </row>
    <row r="6" spans="1:15">
      <c r="A6" s="230" t="str">
        <f>IF(OR(K6&gt;0,S6&gt;0),基础信息!$B$1,"")</f>
        <v/>
      </c>
      <c r="B6" s="290"/>
      <c r="C6" s="277"/>
      <c r="D6" s="256"/>
      <c r="E6" s="230">
        <f t="shared" si="0"/>
        <v>0</v>
      </c>
      <c r="F6" s="290"/>
      <c r="G6" s="290"/>
      <c r="H6" s="290"/>
      <c r="I6" s="290"/>
      <c r="J6" s="290"/>
      <c r="K6" s="290"/>
      <c r="L6" s="290"/>
      <c r="M6" s="290"/>
      <c r="O6" s="230">
        <f t="shared" si="1"/>
        <v>0</v>
      </c>
    </row>
    <row r="7" spans="1:15">
      <c r="A7" s="230" t="str">
        <f>IF(OR(K7&gt;0,S7&gt;0),基础信息!$B$1,"")</f>
        <v/>
      </c>
      <c r="B7" s="290"/>
      <c r="C7" s="277"/>
      <c r="D7" s="256"/>
      <c r="E7" s="230">
        <f t="shared" si="0"/>
        <v>0</v>
      </c>
      <c r="F7" s="290"/>
      <c r="G7" s="290"/>
      <c r="H7" s="290"/>
      <c r="I7" s="290"/>
      <c r="J7" s="290"/>
      <c r="K7" s="290"/>
      <c r="L7" s="290"/>
      <c r="M7" s="290"/>
      <c r="O7" s="230">
        <f t="shared" si="1"/>
        <v>0</v>
      </c>
    </row>
    <row r="8" spans="1:15">
      <c r="A8" s="230" t="str">
        <f>IF(OR(K8&gt;0,S8&gt;0),基础信息!$B$1,"")</f>
        <v/>
      </c>
      <c r="B8" s="290"/>
      <c r="C8" s="277"/>
      <c r="D8" s="256"/>
      <c r="E8" s="230">
        <f t="shared" si="0"/>
        <v>0</v>
      </c>
      <c r="F8" s="290"/>
      <c r="G8" s="290"/>
      <c r="H8" s="290"/>
      <c r="I8" s="290"/>
      <c r="J8" s="290"/>
      <c r="K8" s="290"/>
      <c r="L8" s="290"/>
      <c r="M8" s="290"/>
      <c r="O8" s="230">
        <f t="shared" si="1"/>
        <v>0</v>
      </c>
    </row>
    <row r="9" spans="1:15">
      <c r="A9" s="230" t="str">
        <f>IF(OR(K9&gt;0,S9&gt;0),基础信息!$B$1,"")</f>
        <v/>
      </c>
      <c r="B9" s="290"/>
      <c r="C9" s="277"/>
      <c r="D9" s="256"/>
      <c r="E9" s="230">
        <f t="shared" si="0"/>
        <v>0</v>
      </c>
      <c r="F9" s="290"/>
      <c r="G9" s="290"/>
      <c r="H9" s="290"/>
      <c r="I9" s="290"/>
      <c r="J9" s="290"/>
      <c r="K9" s="290"/>
      <c r="L9" s="290"/>
      <c r="M9" s="290"/>
      <c r="O9" s="230">
        <f t="shared" si="1"/>
        <v>0</v>
      </c>
    </row>
    <row r="10" spans="1:15">
      <c r="A10" s="230" t="str">
        <f>IF(OR(K10&gt;0,S10&gt;0),基础信息!$B$1,"")</f>
        <v/>
      </c>
      <c r="B10" s="290"/>
      <c r="C10" s="277"/>
      <c r="D10" s="256"/>
      <c r="E10" s="230">
        <f t="shared" si="0"/>
        <v>0</v>
      </c>
      <c r="F10" s="290"/>
      <c r="G10" s="290"/>
      <c r="H10" s="290"/>
      <c r="I10" s="290"/>
      <c r="J10" s="290"/>
      <c r="K10" s="290"/>
      <c r="L10" s="290"/>
      <c r="M10" s="290"/>
      <c r="O10" s="230">
        <f t="shared" si="1"/>
        <v>0</v>
      </c>
    </row>
    <row r="11" spans="1:15">
      <c r="A11" s="230" t="str">
        <f>IF(OR(K11&gt;0,S11&gt;0),基础信息!$B$1,"")</f>
        <v/>
      </c>
      <c r="B11" s="290"/>
      <c r="C11" s="277"/>
      <c r="D11" s="256"/>
      <c r="E11" s="230">
        <f t="shared" si="0"/>
        <v>0</v>
      </c>
      <c r="F11" s="290"/>
      <c r="G11" s="290"/>
      <c r="H11" s="290"/>
      <c r="I11" s="290"/>
      <c r="J11" s="290"/>
      <c r="K11" s="290"/>
      <c r="L11" s="290"/>
      <c r="M11" s="290"/>
      <c r="O11" s="230">
        <f t="shared" si="1"/>
        <v>0</v>
      </c>
    </row>
    <row r="12" spans="1:15">
      <c r="A12" s="230" t="str">
        <f>IF(OR(K12&gt;0,S12&gt;0),基础信息!$B$1,"")</f>
        <v/>
      </c>
      <c r="B12" s="290"/>
      <c r="C12" s="277"/>
      <c r="D12" s="256"/>
      <c r="E12" s="230">
        <f t="shared" si="0"/>
        <v>0</v>
      </c>
      <c r="F12" s="290"/>
      <c r="G12" s="290"/>
      <c r="H12" s="290"/>
      <c r="I12" s="290"/>
      <c r="J12" s="290"/>
      <c r="K12" s="290"/>
      <c r="L12" s="290"/>
      <c r="M12" s="290"/>
      <c r="O12" s="230">
        <f t="shared" si="1"/>
        <v>0</v>
      </c>
    </row>
    <row r="13" spans="1:15">
      <c r="A13" s="230" t="str">
        <f>IF(OR(K13&gt;0,S13&gt;0),基础信息!$B$1,"")</f>
        <v/>
      </c>
      <c r="B13" s="290"/>
      <c r="C13" s="277"/>
      <c r="D13" s="256"/>
      <c r="E13" s="230">
        <f t="shared" si="0"/>
        <v>0</v>
      </c>
      <c r="F13" s="290"/>
      <c r="G13" s="290"/>
      <c r="H13" s="290"/>
      <c r="I13" s="290"/>
      <c r="J13" s="290"/>
      <c r="K13" s="290"/>
      <c r="L13" s="290"/>
      <c r="M13" s="290"/>
      <c r="O13" s="230">
        <f t="shared" si="1"/>
        <v>0</v>
      </c>
    </row>
    <row r="14" spans="1:15">
      <c r="A14" s="230" t="str">
        <f>IF(OR(K14&gt;0,S14&gt;0),基础信息!$B$1,"")</f>
        <v/>
      </c>
      <c r="B14" s="290"/>
      <c r="C14" s="277"/>
      <c r="D14" s="256"/>
      <c r="E14" s="230">
        <f t="shared" si="0"/>
        <v>0</v>
      </c>
      <c r="F14" s="290"/>
      <c r="G14" s="290"/>
      <c r="H14" s="290"/>
      <c r="I14" s="290"/>
      <c r="J14" s="290"/>
      <c r="K14" s="290"/>
      <c r="L14" s="290"/>
      <c r="M14" s="290"/>
      <c r="O14" s="230">
        <f t="shared" si="1"/>
        <v>0</v>
      </c>
    </row>
    <row r="15" spans="1:15">
      <c r="A15" s="230" t="str">
        <f>IF(OR(K15&gt;0,S15&gt;0),基础信息!$B$1,"")</f>
        <v/>
      </c>
      <c r="B15" s="290"/>
      <c r="C15" s="277"/>
      <c r="D15" s="256"/>
      <c r="E15" s="230">
        <f t="shared" si="0"/>
        <v>0</v>
      </c>
      <c r="F15" s="290"/>
      <c r="G15" s="290"/>
      <c r="H15" s="290"/>
      <c r="I15" s="290"/>
      <c r="J15" s="290"/>
      <c r="K15" s="290"/>
      <c r="L15" s="290"/>
      <c r="M15" s="290"/>
      <c r="O15" s="230">
        <f t="shared" si="1"/>
        <v>0</v>
      </c>
    </row>
    <row r="16" spans="1:15">
      <c r="A16" s="230" t="str">
        <f>IF(OR(K16&gt;0,S16&gt;0),基础信息!$B$1,"")</f>
        <v/>
      </c>
      <c r="B16" s="290"/>
      <c r="C16" s="277"/>
      <c r="D16" s="256"/>
      <c r="E16" s="230">
        <f t="shared" si="0"/>
        <v>0</v>
      </c>
      <c r="F16" s="290"/>
      <c r="G16" s="290"/>
      <c r="H16" s="290"/>
      <c r="I16" s="290"/>
      <c r="J16" s="290"/>
      <c r="K16" s="290"/>
      <c r="L16" s="290"/>
      <c r="M16" s="290"/>
      <c r="O16" s="230">
        <f t="shared" si="1"/>
        <v>0</v>
      </c>
    </row>
    <row r="17" spans="1:15">
      <c r="A17" s="230" t="str">
        <f>IF(OR(K17&gt;0,S17&gt;0),基础信息!$B$1,"")</f>
        <v/>
      </c>
      <c r="B17" s="290"/>
      <c r="C17" s="277"/>
      <c r="D17" s="256"/>
      <c r="E17" s="230">
        <f t="shared" si="0"/>
        <v>0</v>
      </c>
      <c r="F17" s="290"/>
      <c r="G17" s="290"/>
      <c r="H17" s="290"/>
      <c r="I17" s="290"/>
      <c r="J17" s="290"/>
      <c r="K17" s="290"/>
      <c r="L17" s="290"/>
      <c r="M17" s="290"/>
      <c r="O17" s="230">
        <f t="shared" si="1"/>
        <v>0</v>
      </c>
    </row>
    <row r="18" spans="1:15">
      <c r="A18" s="230" t="str">
        <f>IF(OR(K18&gt;0,S18&gt;0),基础信息!$B$1,"")</f>
        <v/>
      </c>
      <c r="B18" s="290"/>
      <c r="C18" s="277"/>
      <c r="D18" s="256"/>
      <c r="E18" s="230">
        <f t="shared" si="0"/>
        <v>0</v>
      </c>
      <c r="F18" s="290"/>
      <c r="G18" s="290"/>
      <c r="H18" s="290"/>
      <c r="I18" s="290"/>
      <c r="J18" s="290"/>
      <c r="K18" s="290"/>
      <c r="L18" s="290"/>
      <c r="M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codeName="Sheet177">
    <tabColor rgb="FFFFC000"/>
  </sheetPr>
  <dimension ref="A1:C5"/>
  <sheetViews>
    <sheetView workbookViewId="0">
      <selection activeCell="C18" sqref="C18"/>
    </sheetView>
  </sheetViews>
  <sheetFormatPr defaultRowHeight="13.8"/>
  <cols>
    <col min="1" max="4" width="28.44140625" style="18" customWidth="1"/>
    <col min="5" max="16384" width="8.88671875" style="18"/>
  </cols>
  <sheetData>
    <row r="1" spans="1:3" ht="14.4">
      <c r="A1" s="35" t="s">
        <v>4191</v>
      </c>
      <c r="B1" s="35" t="s">
        <v>4219</v>
      </c>
      <c r="C1" s="20" t="s">
        <v>428</v>
      </c>
    </row>
    <row r="2" spans="1:3">
      <c r="A2" s="553" t="s">
        <v>4398</v>
      </c>
      <c r="B2" s="291">
        <f>ROUND(SUMIF(因金融资产转移而终止确认的长期应收款明细表!E:E,A2,因金融资产转移而终止确认的长期应收款明细表!F:F),2)</f>
        <v>0</v>
      </c>
      <c r="C2" s="291">
        <f>ROUND(SUMIF(因金融资产转移而终止确认的长期应收款明细表!E:E,A2,因金融资产转移而终止确认的长期应收款明细表!G:G),2)</f>
        <v>0</v>
      </c>
    </row>
    <row r="3" spans="1:3">
      <c r="A3" s="553" t="s">
        <v>4399</v>
      </c>
      <c r="B3" s="291">
        <f>ROUND(SUMIF(因金融资产转移而终止确认的长期应收款明细表!E:E,A3,因金融资产转移而终止确认的长期应收款明细表!F:F),2)</f>
        <v>0</v>
      </c>
      <c r="C3" s="291">
        <f>ROUND(SUMIF(因金融资产转移而终止确认的长期应收款明细表!E:E,A3,因金融资产转移而终止确认的长期应收款明细表!G:G),2)</f>
        <v>0</v>
      </c>
    </row>
    <row r="4" spans="1:3">
      <c r="A4" s="553" t="s">
        <v>202</v>
      </c>
      <c r="B4" s="291">
        <f>ROUND(SUMIF(因金融资产转移而终止确认的长期应收款明细表!E:E,A4,因金融资产转移而终止确认的长期应收款明细表!F:F),2)</f>
        <v>0</v>
      </c>
      <c r="C4" s="291">
        <f>ROUND(SUMIF(因金融资产转移而终止确认的长期应收款明细表!E:E,A4,因金融资产转移而终止确认的长期应收款明细表!G:G),2)</f>
        <v>0</v>
      </c>
    </row>
    <row r="5" spans="1:3">
      <c r="A5" s="41" t="s">
        <v>204</v>
      </c>
      <c r="B5" s="157">
        <f>ROUND(SUM(B2:B4),2)</f>
        <v>0</v>
      </c>
      <c r="C5" s="157">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sheetPr codeName="Sheet178"/>
  <dimension ref="A1:J26"/>
  <sheetViews>
    <sheetView workbookViewId="0">
      <selection activeCell="G14" sqref="G14"/>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2427</v>
      </c>
      <c r="B1" t="s">
        <v>4397</v>
      </c>
      <c r="C1" t="s">
        <v>2384</v>
      </c>
      <c r="D1" t="s">
        <v>4394</v>
      </c>
      <c r="E1" t="s">
        <v>4191</v>
      </c>
      <c r="F1" t="s">
        <v>4395</v>
      </c>
      <c r="G1" t="s">
        <v>428</v>
      </c>
      <c r="H1" t="s">
        <v>2522</v>
      </c>
      <c r="I1" t="s">
        <v>4396</v>
      </c>
      <c r="J1" t="s">
        <v>470</v>
      </c>
    </row>
    <row r="2" spans="1:10">
      <c r="A2" t="str">
        <f>IF(F2&gt;0,基础信息!$B$1,"")</f>
        <v/>
      </c>
      <c r="B2" s="256"/>
      <c r="C2" s="277"/>
      <c r="D2" s="277"/>
      <c r="E2" s="277"/>
      <c r="F2" s="256"/>
      <c r="G2" s="256"/>
      <c r="H2" s="256"/>
      <c r="I2" s="256"/>
      <c r="J2" s="256"/>
    </row>
    <row r="3" spans="1:10">
      <c r="A3" t="str">
        <f>IF(F3&gt;0,基础信息!$B$1,"")</f>
        <v/>
      </c>
      <c r="B3" s="256"/>
      <c r="C3" s="277"/>
      <c r="D3" s="277"/>
      <c r="E3" s="277"/>
      <c r="F3" s="256"/>
      <c r="G3" s="256"/>
      <c r="H3" s="256"/>
      <c r="I3" s="256"/>
      <c r="J3" s="256"/>
    </row>
    <row r="4" spans="1:10">
      <c r="A4" t="str">
        <f>IF(F4&gt;0,基础信息!$B$1,"")</f>
        <v/>
      </c>
      <c r="B4" s="256"/>
      <c r="C4" s="277"/>
      <c r="D4" s="277"/>
      <c r="E4" s="277"/>
      <c r="F4" s="256"/>
      <c r="G4" s="256"/>
      <c r="H4" s="256"/>
      <c r="I4" s="256"/>
      <c r="J4" s="256"/>
    </row>
    <row r="5" spans="1:10">
      <c r="A5" t="str">
        <f>IF(F5&gt;0,基础信息!$B$1,"")</f>
        <v/>
      </c>
      <c r="B5" s="256"/>
      <c r="C5" s="277"/>
      <c r="D5" s="277"/>
      <c r="E5" s="277"/>
      <c r="F5" s="256"/>
      <c r="G5" s="256"/>
      <c r="H5" s="256"/>
      <c r="I5" s="256"/>
      <c r="J5" s="256"/>
    </row>
    <row r="6" spans="1:10">
      <c r="A6" t="str">
        <f>IF(F6&gt;0,基础信息!$B$1,"")</f>
        <v/>
      </c>
      <c r="B6" s="256"/>
      <c r="C6" s="277"/>
      <c r="D6" s="277"/>
      <c r="E6" s="277"/>
      <c r="F6" s="256"/>
      <c r="G6" s="256"/>
      <c r="H6" s="256"/>
      <c r="I6" s="256"/>
      <c r="J6" s="256"/>
    </row>
    <row r="7" spans="1:10">
      <c r="A7" t="str">
        <f>IF(F7&gt;0,基础信息!$B$1,"")</f>
        <v/>
      </c>
      <c r="B7" s="256"/>
      <c r="C7" s="277"/>
      <c r="D7" s="277"/>
      <c r="E7" s="277"/>
      <c r="F7" s="256"/>
      <c r="G7" s="256"/>
      <c r="H7" s="256"/>
      <c r="I7" s="256"/>
      <c r="J7" s="256"/>
    </row>
    <row r="8" spans="1:10">
      <c r="A8" t="str">
        <f>IF(F8&gt;0,基础信息!$B$1,"")</f>
        <v/>
      </c>
      <c r="B8" s="256"/>
      <c r="C8" s="277"/>
      <c r="D8" s="277"/>
      <c r="E8" s="277"/>
      <c r="F8" s="256"/>
      <c r="G8" s="256"/>
      <c r="H8" s="256"/>
      <c r="I8" s="256"/>
      <c r="J8" s="256"/>
    </row>
    <row r="9" spans="1:10">
      <c r="A9" t="str">
        <f>IF(F9&gt;0,基础信息!$B$1,"")</f>
        <v/>
      </c>
      <c r="B9" s="256"/>
      <c r="C9" s="277"/>
      <c r="D9" s="277"/>
      <c r="E9" s="277"/>
      <c r="F9" s="256"/>
      <c r="G9" s="256"/>
      <c r="H9" s="256"/>
      <c r="I9" s="256"/>
      <c r="J9" s="256"/>
    </row>
    <row r="10" spans="1:10">
      <c r="A10" t="str">
        <f>IF(F10&gt;0,基础信息!$B$1,"")</f>
        <v/>
      </c>
      <c r="B10" s="256"/>
      <c r="C10" s="277"/>
      <c r="D10" s="277"/>
      <c r="E10" s="277"/>
      <c r="F10" s="256"/>
      <c r="G10" s="256"/>
      <c r="H10" s="256"/>
      <c r="I10" s="256"/>
      <c r="J10" s="256"/>
    </row>
    <row r="11" spans="1:10">
      <c r="A11" t="str">
        <f>IF(F11&gt;0,基础信息!$B$1,"")</f>
        <v/>
      </c>
      <c r="B11" s="256"/>
      <c r="C11" s="277"/>
      <c r="D11" s="277"/>
      <c r="E11" s="277"/>
      <c r="F11" s="256"/>
      <c r="G11" s="256"/>
      <c r="H11" s="256"/>
      <c r="I11" s="256"/>
      <c r="J11" s="256"/>
    </row>
    <row r="12" spans="1:10">
      <c r="A12" t="str">
        <f>IF(F12&gt;0,基础信息!$B$1,"")</f>
        <v/>
      </c>
      <c r="B12" s="256"/>
      <c r="C12" s="277"/>
      <c r="D12" s="277"/>
      <c r="E12" s="277"/>
      <c r="F12" s="256"/>
      <c r="G12" s="256"/>
      <c r="H12" s="256"/>
      <c r="I12" s="256"/>
      <c r="J12" s="256"/>
    </row>
    <row r="13" spans="1:10">
      <c r="A13" t="str">
        <f>IF(F13&gt;0,基础信息!$B$1,"")</f>
        <v/>
      </c>
      <c r="B13" s="256"/>
      <c r="C13" s="277"/>
      <c r="D13" s="277"/>
      <c r="E13" s="277"/>
      <c r="F13" s="256"/>
      <c r="G13" s="256"/>
      <c r="H13" s="256"/>
      <c r="I13" s="256"/>
      <c r="J13" s="256"/>
    </row>
    <row r="14" spans="1:10">
      <c r="A14" t="str">
        <f>IF(F14&gt;0,基础信息!$B$1,"")</f>
        <v/>
      </c>
      <c r="B14" s="256"/>
      <c r="C14" s="277"/>
      <c r="D14" s="277"/>
      <c r="E14" s="277"/>
      <c r="F14" s="256"/>
      <c r="G14" s="256"/>
      <c r="H14" s="256"/>
      <c r="I14" s="256"/>
      <c r="J14" s="256"/>
    </row>
    <row r="15" spans="1:10">
      <c r="A15" t="str">
        <f>IF(F15&gt;0,基础信息!$B$1,"")</f>
        <v/>
      </c>
      <c r="B15" s="256"/>
      <c r="C15" s="277"/>
      <c r="D15" s="277"/>
      <c r="E15" s="277"/>
      <c r="F15" s="256"/>
      <c r="G15" s="256"/>
      <c r="H15" s="256"/>
      <c r="I15" s="256"/>
      <c r="J15" s="256"/>
    </row>
    <row r="16" spans="1:10">
      <c r="A16" t="str">
        <f>IF(F16&gt;0,基础信息!$B$1,"")</f>
        <v/>
      </c>
      <c r="B16" s="256"/>
      <c r="C16" s="277"/>
      <c r="D16" s="277"/>
      <c r="E16" s="277"/>
      <c r="F16" s="256"/>
      <c r="G16" s="256"/>
      <c r="H16" s="256"/>
      <c r="I16" s="256"/>
      <c r="J16" s="256"/>
    </row>
    <row r="17" spans="1:10">
      <c r="A17" t="str">
        <f>IF(F17&gt;0,基础信息!$B$1,"")</f>
        <v/>
      </c>
      <c r="B17" s="256"/>
      <c r="C17" s="277"/>
      <c r="D17" s="277"/>
      <c r="E17" s="277"/>
      <c r="F17" s="256"/>
      <c r="G17" s="256"/>
      <c r="H17" s="256"/>
      <c r="I17" s="256"/>
      <c r="J17" s="256"/>
    </row>
    <row r="18" spans="1:10">
      <c r="A18" t="str">
        <f>IF(F18&gt;0,基础信息!$B$1,"")</f>
        <v/>
      </c>
      <c r="B18" s="256"/>
      <c r="C18" s="277"/>
      <c r="D18" s="277"/>
      <c r="E18" s="277"/>
      <c r="F18" s="256"/>
      <c r="G18" s="256"/>
      <c r="H18" s="256"/>
      <c r="I18" s="256"/>
      <c r="J18" s="256"/>
    </row>
    <row r="19" spans="1:10">
      <c r="A19" t="str">
        <f>IF(F19&gt;0,基础信息!$B$1,"")</f>
        <v/>
      </c>
      <c r="B19" s="256"/>
      <c r="C19" s="277"/>
      <c r="D19" s="277"/>
      <c r="E19" s="277"/>
      <c r="F19" s="256"/>
      <c r="G19" s="256"/>
      <c r="H19" s="256"/>
      <c r="I19" s="256"/>
      <c r="J19" s="256"/>
    </row>
    <row r="20" spans="1:10">
      <c r="A20" t="str">
        <f>IF(F20&gt;0,基础信息!$B$1,"")</f>
        <v/>
      </c>
      <c r="B20" s="256"/>
      <c r="C20" s="277"/>
      <c r="D20" s="277"/>
      <c r="E20" s="277"/>
      <c r="F20" s="256"/>
      <c r="G20" s="256"/>
      <c r="H20" s="256"/>
      <c r="I20" s="256"/>
      <c r="J20" s="256"/>
    </row>
    <row r="21" spans="1:10">
      <c r="A21" t="str">
        <f>IF(F21&gt;0,基础信息!$B$1,"")</f>
        <v/>
      </c>
      <c r="B21" s="256"/>
      <c r="C21" s="277"/>
      <c r="D21" s="277"/>
      <c r="E21" s="277"/>
      <c r="F21" s="256"/>
      <c r="G21" s="256"/>
      <c r="H21" s="256"/>
      <c r="I21" s="256"/>
      <c r="J21" s="256"/>
    </row>
    <row r="22" spans="1:10">
      <c r="A22" t="str">
        <f>IF(F22&gt;0,基础信息!$B$1,"")</f>
        <v/>
      </c>
      <c r="B22" s="256"/>
      <c r="C22" s="277"/>
      <c r="D22" s="277"/>
      <c r="E22" s="277"/>
      <c r="F22" s="256"/>
      <c r="G22" s="256"/>
      <c r="H22" s="256"/>
      <c r="I22" s="256"/>
      <c r="J22" s="256"/>
    </row>
    <row r="23" spans="1:10">
      <c r="A23" t="str">
        <f>IF(F23&gt;0,基础信息!$B$1,"")</f>
        <v/>
      </c>
      <c r="B23" s="256"/>
      <c r="C23" s="277"/>
      <c r="D23" s="277"/>
      <c r="E23" s="277"/>
      <c r="F23" s="256"/>
      <c r="G23" s="256"/>
      <c r="H23" s="256"/>
      <c r="I23" s="256"/>
      <c r="J23" s="256"/>
    </row>
    <row r="24" spans="1:10">
      <c r="A24" t="str">
        <f>IF(F24&gt;0,基础信息!$B$1,"")</f>
        <v/>
      </c>
      <c r="B24" s="256"/>
      <c r="C24" s="277"/>
      <c r="D24" s="277"/>
      <c r="E24" s="277"/>
      <c r="F24" s="256"/>
      <c r="G24" s="256"/>
      <c r="H24" s="256"/>
      <c r="I24" s="256"/>
      <c r="J24" s="256"/>
    </row>
    <row r="25" spans="1:10">
      <c r="A25" t="str">
        <f>IF(F25&gt;0,基础信息!$B$1,"")</f>
        <v/>
      </c>
      <c r="B25" s="256"/>
      <c r="C25" s="277"/>
      <c r="D25" s="277"/>
      <c r="E25" s="277"/>
      <c r="F25" s="256"/>
      <c r="G25" s="256"/>
      <c r="H25" s="256"/>
      <c r="I25" s="256"/>
      <c r="J25" s="256"/>
    </row>
    <row r="26" spans="1:10">
      <c r="A26" t="str">
        <f>IF(F26&gt;0,基础信息!$B$1,"")</f>
        <v/>
      </c>
      <c r="B26" s="256"/>
      <c r="C26" s="277"/>
      <c r="D26" s="277"/>
      <c r="E26" s="277"/>
      <c r="F26" s="256"/>
      <c r="G26" s="256"/>
      <c r="H26" s="256"/>
      <c r="I26" s="256"/>
      <c r="J26"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codeName="Sheet179">
    <tabColor rgb="FFFFC000"/>
  </sheetPr>
  <dimension ref="A1:B9"/>
  <sheetViews>
    <sheetView workbookViewId="0">
      <selection activeCell="B3" sqref="B3"/>
    </sheetView>
  </sheetViews>
  <sheetFormatPr defaultRowHeight="13.8"/>
  <cols>
    <col min="1" max="16384" width="8.88671875" style="18"/>
  </cols>
  <sheetData>
    <row r="1" spans="1:2" ht="15.6">
      <c r="A1" s="35" t="s">
        <v>28</v>
      </c>
      <c r="B1" s="545" t="s">
        <v>4216</v>
      </c>
    </row>
    <row r="2" spans="1:2" ht="14.4">
      <c r="A2" s="38" t="s">
        <v>270</v>
      </c>
      <c r="B2" s="39"/>
    </row>
    <row r="3" spans="1:2" ht="14.4">
      <c r="A3" s="266"/>
      <c r="B3" s="275"/>
    </row>
    <row r="4" spans="1:2">
      <c r="A4" s="309"/>
      <c r="B4" s="275"/>
    </row>
    <row r="5" spans="1:2" ht="14.4">
      <c r="A5" s="35" t="s">
        <v>271</v>
      </c>
      <c r="B5" s="39"/>
    </row>
    <row r="6" spans="1:2" ht="14.4">
      <c r="A6" s="38" t="s">
        <v>272</v>
      </c>
      <c r="B6" s="39"/>
    </row>
    <row r="7" spans="1:2" ht="14.4">
      <c r="A7" s="266"/>
      <c r="B7" s="275"/>
    </row>
    <row r="8" spans="1:2">
      <c r="A8" s="309"/>
      <c r="B8" s="275"/>
    </row>
    <row r="9" spans="1:2" ht="14.4">
      <c r="A9" s="35" t="s">
        <v>273</v>
      </c>
      <c r="B9" s="39"/>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5FD5-4272-4C41-A23A-1870E35DB3EE}">
  <sheetPr codeName="Sheet18"/>
  <dimension ref="A1:M390"/>
  <sheetViews>
    <sheetView topLeftCell="A13" workbookViewId="0">
      <selection activeCell="K255" sqref="K255"/>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style="230" bestFit="1" customWidth="1"/>
  </cols>
  <sheetData>
    <row r="1" spans="1:11">
      <c r="A1" t="s">
        <v>95</v>
      </c>
      <c r="B1" t="s">
        <v>470</v>
      </c>
      <c r="C1" t="s">
        <v>818</v>
      </c>
      <c r="D1" t="s">
        <v>819</v>
      </c>
      <c r="E1" t="s">
        <v>2523</v>
      </c>
      <c r="K1" s="230" t="s">
        <v>2523</v>
      </c>
    </row>
    <row r="2" spans="1:11">
      <c r="A2" t="s">
        <v>801</v>
      </c>
      <c r="B2" t="s">
        <v>5184</v>
      </c>
      <c r="C2" t="s">
        <v>5185</v>
      </c>
      <c r="D2" t="str">
        <f>_xlfn.IFNA(VLOOKUP(C2,[2]科目余额表!C:D,2,0),"")</f>
        <v/>
      </c>
      <c r="K2" s="290">
        <f>本期TB!H172</f>
        <v>1459507276.3900001</v>
      </c>
    </row>
    <row r="3" spans="1:11">
      <c r="A3" t="s">
        <v>802</v>
      </c>
      <c r="B3" t="s">
        <v>5184</v>
      </c>
      <c r="C3" t="s">
        <v>5186</v>
      </c>
      <c r="D3" t="str">
        <f>_xlfn.IFNA(VLOOKUP(C3,[2]科目余额表!C:D,2,0),"")</f>
        <v/>
      </c>
      <c r="K3" s="290">
        <f>本期TB!H173</f>
        <v>97794480.159999996</v>
      </c>
    </row>
    <row r="4" spans="1:11">
      <c r="A4" t="s">
        <v>5187</v>
      </c>
      <c r="B4" t="s">
        <v>5184</v>
      </c>
      <c r="C4" t="s">
        <v>5188</v>
      </c>
      <c r="D4" t="str">
        <f>_xlfn.IFNA(VLOOKUP(C4,[2]科目余额表!C:D,2,0),"")</f>
        <v/>
      </c>
    </row>
    <row r="5" spans="1:11">
      <c r="A5" t="s">
        <v>5187</v>
      </c>
      <c r="B5" t="s">
        <v>5184</v>
      </c>
      <c r="C5" t="s">
        <v>5189</v>
      </c>
      <c r="D5" t="str">
        <f>_xlfn.IFNA(VLOOKUP(C5,[2]科目余额表!C:D,2,0),"")</f>
        <v/>
      </c>
    </row>
    <row r="6" spans="1:11">
      <c r="A6" t="s">
        <v>5190</v>
      </c>
      <c r="B6" t="s">
        <v>5191</v>
      </c>
      <c r="D6" t="str">
        <f>_xlfn.IFNA(VLOOKUP(C6,[2]科目余额表!C:D,2,0),"")</f>
        <v/>
      </c>
    </row>
    <row r="7" spans="1:11">
      <c r="A7" t="s">
        <v>5192</v>
      </c>
      <c r="B7" t="s">
        <v>5193</v>
      </c>
      <c r="D7" t="str">
        <f>_xlfn.IFNA(VLOOKUP(C7,[2]科目余额表!C:D,2,0),"")</f>
        <v/>
      </c>
    </row>
    <row r="8" spans="1:11">
      <c r="A8" t="s">
        <v>5194</v>
      </c>
      <c r="B8" t="s">
        <v>5193</v>
      </c>
      <c r="C8" t="s">
        <v>5195</v>
      </c>
      <c r="D8" t="str">
        <f>_xlfn.IFNA(VLOOKUP(C8,[2]科目余额表!C:D,2,0),"")</f>
        <v/>
      </c>
    </row>
    <row r="9" spans="1:11">
      <c r="A9" t="s">
        <v>5196</v>
      </c>
      <c r="B9" t="s">
        <v>5191</v>
      </c>
      <c r="C9" t="s">
        <v>5195</v>
      </c>
      <c r="D9" t="str">
        <f>_xlfn.IFNA(VLOOKUP(C9,[2]科目余额表!C:D,2,0),"")</f>
        <v/>
      </c>
    </row>
    <row r="10" spans="1:11">
      <c r="A10" t="s">
        <v>5197</v>
      </c>
      <c r="B10" t="s">
        <v>5184</v>
      </c>
      <c r="D10" t="str">
        <f>_xlfn.IFNA(VLOOKUP(C10,[2]科目余额表!C:D,2,0),"")</f>
        <v/>
      </c>
      <c r="K10" s="290">
        <f>应交增值税计提!B3</f>
        <v>0</v>
      </c>
    </row>
    <row r="11" spans="1:11">
      <c r="A11" t="s">
        <v>5198</v>
      </c>
      <c r="D11" t="str">
        <f>_xlfn.IFNA(VLOOKUP(C11,[2]科目余额表!C:D,2,0),"")</f>
        <v/>
      </c>
    </row>
    <row r="12" spans="1:11">
      <c r="A12" t="s">
        <v>5199</v>
      </c>
      <c r="B12" t="s">
        <v>5193</v>
      </c>
      <c r="D12" t="str">
        <f>_xlfn.IFNA(VLOOKUP(C12,[2]科目余额表!C:D,2,0),"")</f>
        <v/>
      </c>
      <c r="K12" s="290">
        <f>上期TB!H12</f>
        <v>2000000</v>
      </c>
    </row>
    <row r="13" spans="1:11">
      <c r="A13" t="s">
        <v>5200</v>
      </c>
      <c r="B13" t="s">
        <v>5191</v>
      </c>
      <c r="D13" t="str">
        <f>_xlfn.IFNA(VLOOKUP(C13,[2]科目余额表!C:D,2,0),"")</f>
        <v/>
      </c>
      <c r="K13" s="290">
        <f>-本期TB!H12</f>
        <v>-2000000</v>
      </c>
    </row>
    <row r="14" spans="1:11">
      <c r="A14" t="s">
        <v>5201</v>
      </c>
      <c r="B14" t="s">
        <v>5193</v>
      </c>
      <c r="C14" t="s">
        <v>5202</v>
      </c>
      <c r="D14" t="str">
        <f>_xlfn.IFNA(VLOOKUP(C14,[2]科目余额表!C:D,2,0),"")</f>
        <v/>
      </c>
      <c r="K14" s="290">
        <f>上期TB!H15</f>
        <v>120902358.69</v>
      </c>
    </row>
    <row r="15" spans="1:11">
      <c r="A15" t="s">
        <v>5203</v>
      </c>
      <c r="B15" t="s">
        <v>5191</v>
      </c>
      <c r="C15" t="s">
        <v>5202</v>
      </c>
      <c r="D15" t="str">
        <f>_xlfn.IFNA(VLOOKUP(C15,[2]科目余额表!C:D,2,0),"")</f>
        <v/>
      </c>
      <c r="K15" s="290">
        <f>-本期TB!H15</f>
        <v>-120902358.69</v>
      </c>
    </row>
    <row r="16" spans="1:11">
      <c r="A16" t="s">
        <v>5204</v>
      </c>
      <c r="B16" t="s">
        <v>5191</v>
      </c>
      <c r="C16" t="s">
        <v>5205</v>
      </c>
      <c r="D16" t="str">
        <f>_xlfn.IFNA(VLOOKUP(C16,[2]科目余额表!C:D,2,0),"")</f>
        <v/>
      </c>
      <c r="K16" s="290">
        <f>本期TB!H119</f>
        <v>22100269.77</v>
      </c>
    </row>
    <row r="17" spans="1:13">
      <c r="A17" t="s">
        <v>5206</v>
      </c>
      <c r="B17" t="s">
        <v>5193</v>
      </c>
      <c r="C17" t="s">
        <v>5205</v>
      </c>
      <c r="D17" t="str">
        <f>_xlfn.IFNA(VLOOKUP(C17,[2]科目余额表!C:D,2,0),"")</f>
        <v/>
      </c>
      <c r="K17" s="290">
        <f>-上期TB!H117</f>
        <v>-22100269.77</v>
      </c>
    </row>
    <row r="18" spans="1:13">
      <c r="A18" t="s">
        <v>5207</v>
      </c>
      <c r="B18" t="s">
        <v>5208</v>
      </c>
      <c r="D18" t="str">
        <f>_xlfn.IFNA(VLOOKUP(C18,[2]科目余额表!C:D,2,0),"")</f>
        <v/>
      </c>
    </row>
    <row r="19" spans="1:13">
      <c r="A19" t="s">
        <v>5209</v>
      </c>
      <c r="D19" t="str">
        <f>_xlfn.IFNA(VLOOKUP(C19,[2]科目余额表!C:D,2,0),"")</f>
        <v/>
      </c>
    </row>
    <row r="20" spans="1:13">
      <c r="A20" t="s">
        <v>5210</v>
      </c>
      <c r="D20" t="str">
        <f>_xlfn.IFNA(VLOOKUP(C20,[2]科目余额表!C:D,2,0),"")</f>
        <v/>
      </c>
    </row>
    <row r="21" spans="1:13">
      <c r="A21" t="s">
        <v>5211</v>
      </c>
      <c r="B21" t="s">
        <v>5184</v>
      </c>
      <c r="D21" t="str">
        <f>_xlfn.IFNA(VLOOKUP(C21,[2]科目余额表!C:D,2,0),"")</f>
        <v/>
      </c>
    </row>
    <row r="22" spans="1:13">
      <c r="A22" t="s">
        <v>5212</v>
      </c>
      <c r="B22" t="s">
        <v>5208</v>
      </c>
      <c r="D22" t="str">
        <f>_xlfn.IFNA(VLOOKUP(C22,[2]科目余额表!C:D,2,0),"")</f>
        <v/>
      </c>
    </row>
    <row r="23" spans="1:13">
      <c r="A23" t="s">
        <v>5213</v>
      </c>
      <c r="D23" t="str">
        <f>_xlfn.IFNA(VLOOKUP(C23,[2]科目余额表!C:D,2,0),"")</f>
        <v/>
      </c>
    </row>
    <row r="24" spans="1:13">
      <c r="A24" t="s">
        <v>5214</v>
      </c>
      <c r="D24" t="str">
        <f>_xlfn.IFNA(VLOOKUP(C24,[2]科目余额表!C:D,2,0),"")</f>
        <v/>
      </c>
    </row>
    <row r="25" spans="1:13">
      <c r="A25" t="s">
        <v>5215</v>
      </c>
    </row>
    <row r="26" spans="1:13">
      <c r="A26" t="s">
        <v>5678</v>
      </c>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62" t="s">
        <v>5216</v>
      </c>
      <c r="B31" s="262"/>
      <c r="C31" s="262"/>
      <c r="D31" s="262" t="str">
        <f>_xlfn.IFNA(VLOOKUP(C31,[2]科目余额表!C:D,2,0),"")</f>
        <v/>
      </c>
      <c r="E31" s="262">
        <f>SUM(E2:E30)</f>
        <v>0</v>
      </c>
      <c r="F31" s="262">
        <f t="shared" ref="F31:K31" si="0">SUM(F2:F30)</f>
        <v>0</v>
      </c>
      <c r="G31" s="262">
        <f t="shared" si="0"/>
        <v>0</v>
      </c>
      <c r="H31" s="262">
        <f t="shared" si="0"/>
        <v>0</v>
      </c>
      <c r="I31" s="262">
        <f t="shared" si="0"/>
        <v>0</v>
      </c>
      <c r="J31" s="262">
        <f t="shared" si="0"/>
        <v>0</v>
      </c>
      <c r="K31" s="264">
        <f t="shared" si="0"/>
        <v>1557301756.5500002</v>
      </c>
      <c r="L31" s="262"/>
      <c r="M31" s="262"/>
    </row>
    <row r="32" spans="1:13">
      <c r="D32" t="str">
        <f>_xlfn.IFNA(VLOOKUP(C32,[2]科目余额表!C:D,2,0),"")</f>
        <v/>
      </c>
    </row>
    <row r="33" spans="1:13">
      <c r="A33" t="s">
        <v>5217</v>
      </c>
      <c r="D33" t="str">
        <f>_xlfn.IFNA(VLOOKUP(C33,[2]科目余额表!C:D,2,0),"")</f>
        <v/>
      </c>
    </row>
    <row r="34" spans="1:13">
      <c r="A34" t="s">
        <v>5218</v>
      </c>
      <c r="D34" t="str">
        <f>_xlfn.IFNA(VLOOKUP(C34,[2]科目余额表!C:D,2,0),"")</f>
        <v/>
      </c>
    </row>
    <row r="35" spans="1:13">
      <c r="A35" t="s">
        <v>5219</v>
      </c>
      <c r="D35" t="str">
        <f>_xlfn.IFNA(VLOOKUP(C35,[2]科目余额表!C:D,2,0),"")</f>
        <v/>
      </c>
    </row>
    <row r="36" spans="1:13">
      <c r="A36" t="s">
        <v>5220</v>
      </c>
      <c r="D36" t="str">
        <f>_xlfn.IFNA(VLOOKUP(C36,[2]科目余额表!C:D,2,0),"")</f>
        <v/>
      </c>
    </row>
    <row r="37" spans="1:13">
      <c r="A37" t="s">
        <v>5221</v>
      </c>
      <c r="D37" t="str">
        <f>_xlfn.IFNA(VLOOKUP(C37,[2]科目余额表!C:D,2,0),"")</f>
        <v/>
      </c>
    </row>
    <row r="38" spans="1:13">
      <c r="A38" t="s">
        <v>5222</v>
      </c>
      <c r="D38" t="str">
        <f>_xlfn.IFNA(VLOOKUP(C38,[2]科目余额表!C:D,2,0),"")</f>
        <v/>
      </c>
    </row>
    <row r="39" spans="1:13">
      <c r="D39" t="str">
        <f>_xlfn.IFNA(VLOOKUP(C39,[2]科目余额表!C:D,2,0),"")</f>
        <v/>
      </c>
    </row>
    <row r="40" spans="1:13">
      <c r="D40" t="str">
        <f>_xlfn.IFNA(VLOOKUP(C40,[2]科目余额表!C:D,2,0),"")</f>
        <v/>
      </c>
    </row>
    <row r="41" spans="1:13">
      <c r="A41" s="262" t="s">
        <v>5223</v>
      </c>
      <c r="B41" s="262"/>
      <c r="C41" s="262"/>
      <c r="D41" s="262" t="str">
        <f>_xlfn.IFNA(VLOOKUP(C41,[2]科目余额表!C:D,2,0),"")</f>
        <v/>
      </c>
      <c r="E41" s="262">
        <f>SUM(E33:E40)</f>
        <v>0</v>
      </c>
      <c r="F41" s="262">
        <f t="shared" ref="F41:K41" si="1">SUM(F33:F40)</f>
        <v>0</v>
      </c>
      <c r="G41" s="262">
        <f t="shared" si="1"/>
        <v>0</v>
      </c>
      <c r="H41" s="262">
        <f t="shared" si="1"/>
        <v>0</v>
      </c>
      <c r="I41" s="262">
        <f t="shared" si="1"/>
        <v>0</v>
      </c>
      <c r="J41" s="262">
        <f t="shared" si="1"/>
        <v>0</v>
      </c>
      <c r="K41" s="264">
        <f t="shared" si="1"/>
        <v>0</v>
      </c>
      <c r="L41" s="262"/>
      <c r="M41" s="262"/>
    </row>
    <row r="42" spans="1:13">
      <c r="D42" t="str">
        <f>_xlfn.IFNA(VLOOKUP(C42,[2]科目余额表!C:D,2,0),"")</f>
        <v/>
      </c>
    </row>
    <row r="43" spans="1:13">
      <c r="D43" t="str">
        <f>_xlfn.IFNA(VLOOKUP(C43,[2]科目余额表!C:D,2,0),"")</f>
        <v/>
      </c>
    </row>
    <row r="44" spans="1:13">
      <c r="A44" t="s">
        <v>5224</v>
      </c>
      <c r="D44" t="str">
        <f>_xlfn.IFNA(VLOOKUP(C44,[2]科目余额表!C:D,2,0),"")</f>
        <v/>
      </c>
    </row>
    <row r="45" spans="1:13">
      <c r="A45" t="s">
        <v>803</v>
      </c>
      <c r="B45" t="s">
        <v>5184</v>
      </c>
      <c r="D45" t="str">
        <f>_xlfn.IFNA(VLOOKUP(C45,[2]科目余额表!C:D,2,0),"")</f>
        <v/>
      </c>
      <c r="K45" s="290">
        <f>本期TB!H193</f>
        <v>74328000</v>
      </c>
    </row>
    <row r="46" spans="1:13">
      <c r="A46" t="s">
        <v>602</v>
      </c>
    </row>
    <row r="47" spans="1:13">
      <c r="A47" t="s">
        <v>792</v>
      </c>
    </row>
    <row r="48" spans="1:13">
      <c r="A48" t="s">
        <v>5225</v>
      </c>
      <c r="B48" t="s">
        <v>5184</v>
      </c>
      <c r="C48" t="s">
        <v>5226</v>
      </c>
      <c r="D48" t="str">
        <f>_xlfn.IFNA(VLOOKUP(C48,[2]科目余额表!C:D,2,0),"")</f>
        <v/>
      </c>
    </row>
    <row r="49" spans="1:11">
      <c r="A49" t="s">
        <v>2878</v>
      </c>
      <c r="B49" t="s">
        <v>5184</v>
      </c>
      <c r="C49" t="s">
        <v>5227</v>
      </c>
      <c r="D49" t="str">
        <f>_xlfn.IFNA(VLOOKUP(C49,[2]科目余额表!C:D,2,0),"")</f>
        <v/>
      </c>
      <c r="K49" s="290">
        <f>VLOOKUP("与企业日常活动无关的政府补助",营业外收入!A:C,2,0)</f>
        <v>0</v>
      </c>
    </row>
    <row r="50" spans="1:11">
      <c r="A50" t="s">
        <v>2878</v>
      </c>
      <c r="B50" t="s">
        <v>5184</v>
      </c>
      <c r="C50" t="s">
        <v>5228</v>
      </c>
      <c r="D50" t="str">
        <f>_xlfn.IFNA(VLOOKUP(C50,[2]科目余额表!C:D,2,0),"")</f>
        <v/>
      </c>
    </row>
    <row r="51" spans="1:11">
      <c r="A51" t="s">
        <v>5229</v>
      </c>
      <c r="B51" t="s">
        <v>5184</v>
      </c>
      <c r="C51" t="s">
        <v>5230</v>
      </c>
      <c r="D51" t="str">
        <f>_xlfn.IFNA(VLOOKUP(C51,[2]科目余额表!C:D,2,0),"")</f>
        <v/>
      </c>
    </row>
    <row r="52" spans="1:11">
      <c r="A52" t="s">
        <v>2879</v>
      </c>
      <c r="B52" t="s">
        <v>5191</v>
      </c>
      <c r="D52" t="str">
        <f>_xlfn.IFNA(VLOOKUP(C52,[2]科目余额表!C:D,2,0),"")</f>
        <v/>
      </c>
      <c r="K52" s="290">
        <f>本期TB!H149</f>
        <v>55530257.920000002</v>
      </c>
    </row>
    <row r="53" spans="1:11">
      <c r="A53" t="s">
        <v>2880</v>
      </c>
      <c r="B53" t="s">
        <v>5193</v>
      </c>
      <c r="D53" t="str">
        <f>_xlfn.IFNA(VLOOKUP(C53,[2]科目余额表!C:D,2,0),"")</f>
        <v/>
      </c>
      <c r="K53" s="290">
        <f>-上期TB!H147</f>
        <v>-55530257.920000002</v>
      </c>
    </row>
    <row r="54" spans="1:11">
      <c r="A54" t="s">
        <v>5231</v>
      </c>
      <c r="B54" t="s">
        <v>5193</v>
      </c>
      <c r="C54" t="s">
        <v>5232</v>
      </c>
      <c r="D54" t="str">
        <f>_xlfn.IFNA(VLOOKUP(C54,[2]科目余额表!C:D,2,0),"")</f>
        <v/>
      </c>
    </row>
    <row r="55" spans="1:11">
      <c r="A55" t="s">
        <v>5233</v>
      </c>
      <c r="B55" t="s">
        <v>5191</v>
      </c>
      <c r="C55" t="s">
        <v>5232</v>
      </c>
      <c r="D55" t="str">
        <f>_xlfn.IFNA(VLOOKUP(C55,[2]科目余额表!C:D,2,0),"")</f>
        <v/>
      </c>
    </row>
    <row r="56" spans="1:11">
      <c r="A56" t="s">
        <v>5234</v>
      </c>
      <c r="B56" t="s">
        <v>5191</v>
      </c>
      <c r="C56" t="s">
        <v>5235</v>
      </c>
      <c r="D56" t="str">
        <f>_xlfn.IFNA(VLOOKUP(C56,[2]科目余额表!C:D,2,0),"")</f>
        <v/>
      </c>
    </row>
    <row r="57" spans="1:11">
      <c r="A57" t="s">
        <v>5236</v>
      </c>
      <c r="B57" t="s">
        <v>5193</v>
      </c>
      <c r="C57" t="s">
        <v>5235</v>
      </c>
      <c r="D57" t="str">
        <f>_xlfn.IFNA(VLOOKUP(C57,[2]科目余额表!C:D,2,0),"")</f>
        <v/>
      </c>
    </row>
    <row r="58" spans="1:11">
      <c r="A58" t="s">
        <v>5237</v>
      </c>
    </row>
    <row r="59" spans="1:11">
      <c r="A59" t="s">
        <v>5238</v>
      </c>
    </row>
    <row r="60" spans="1:11">
      <c r="A60" t="s">
        <v>5239</v>
      </c>
    </row>
    <row r="61" spans="1:11">
      <c r="A61" t="s">
        <v>5240</v>
      </c>
    </row>
    <row r="62" spans="1:11">
      <c r="A62" t="s">
        <v>5241</v>
      </c>
    </row>
    <row r="63" spans="1:11">
      <c r="A63" t="s">
        <v>5242</v>
      </c>
    </row>
    <row r="64" spans="1:11">
      <c r="A64" t="s">
        <v>2885</v>
      </c>
      <c r="D64" t="str">
        <f>_xlfn.IFNA(VLOOKUP(C64,[2]科目余额表!C:D,2,0),"")</f>
        <v/>
      </c>
    </row>
    <row r="65" spans="1:11">
      <c r="A65" t="s">
        <v>5243</v>
      </c>
      <c r="B65" t="s">
        <v>5184</v>
      </c>
      <c r="D65" t="str">
        <f>_xlfn.IFNA(VLOOKUP(C65,[2]科目余额表!C:D,2,0),"")</f>
        <v/>
      </c>
    </row>
    <row r="66" spans="1:11">
      <c r="A66" t="s">
        <v>5244</v>
      </c>
    </row>
    <row r="67" spans="1:11">
      <c r="A67" t="s">
        <v>5245</v>
      </c>
      <c r="B67" t="s">
        <v>5193</v>
      </c>
      <c r="D67" t="str">
        <f>_xlfn.IFNA(VLOOKUP(C67,[2]科目余额表!C:D,2,0),"")</f>
        <v/>
      </c>
    </row>
    <row r="68" spans="1:11">
      <c r="A68" t="s">
        <v>5246</v>
      </c>
      <c r="B68" t="s">
        <v>5191</v>
      </c>
      <c r="D68" t="str">
        <f>_xlfn.IFNA(VLOOKUP(C68,[2]科目余额表!C:D,2,0),"")</f>
        <v/>
      </c>
    </row>
    <row r="69" spans="1:11">
      <c r="A69" t="s">
        <v>5247</v>
      </c>
      <c r="B69" t="s">
        <v>5191</v>
      </c>
    </row>
    <row r="70" spans="1:11">
      <c r="A70" t="s">
        <v>5248</v>
      </c>
      <c r="B70" t="s">
        <v>5193</v>
      </c>
    </row>
    <row r="71" spans="1:11">
      <c r="A71" t="s">
        <v>2373</v>
      </c>
      <c r="B71" t="s">
        <v>5184</v>
      </c>
      <c r="C71" t="s">
        <v>5249</v>
      </c>
      <c r="D71" t="str">
        <f>_xlfn.IFNA(VLOOKUP(C71,[2]科目余额表!C:D,2,0),"")</f>
        <v/>
      </c>
    </row>
    <row r="72" spans="1:11">
      <c r="A72" t="s">
        <v>5250</v>
      </c>
      <c r="B72" t="s">
        <v>5184</v>
      </c>
      <c r="D72" t="str">
        <f>_xlfn.IFNA(VLOOKUP(C72,[2]科目余额表!C:D,2,0),"")</f>
        <v/>
      </c>
    </row>
    <row r="73" spans="1:11">
      <c r="A73" t="s">
        <v>5251</v>
      </c>
      <c r="B73" t="s">
        <v>5184</v>
      </c>
      <c r="C73" t="s">
        <v>5252</v>
      </c>
      <c r="D73" t="str">
        <f>_xlfn.IFNA(VLOOKUP(C73,[2]科目余额表!C:D,2,0),"")</f>
        <v/>
      </c>
      <c r="K73" s="290">
        <f>财务费用分类表!B4</f>
        <v>0</v>
      </c>
    </row>
    <row r="74" spans="1:11">
      <c r="A74" t="s">
        <v>5253</v>
      </c>
      <c r="B74" t="s">
        <v>5184</v>
      </c>
      <c r="D74" t="str">
        <f>_xlfn.IFNA(VLOOKUP(C74,[2]科目余额表!C:D,2,0),"")</f>
        <v/>
      </c>
    </row>
    <row r="75" spans="1:11">
      <c r="A75" t="s">
        <v>2278</v>
      </c>
      <c r="D75" t="str">
        <f>_xlfn.IFNA(VLOOKUP(C75,[2]科目余额表!C:D,2,0),"")</f>
        <v/>
      </c>
    </row>
    <row r="76" spans="1:11">
      <c r="A76" t="s">
        <v>5254</v>
      </c>
      <c r="D76" t="str">
        <f>_xlfn.IFNA(VLOOKUP(C76,[2]科目余额表!C:D,2,0),"")</f>
        <v/>
      </c>
    </row>
    <row r="77" spans="1:11">
      <c r="A77" t="s">
        <v>5255</v>
      </c>
      <c r="D77" t="str">
        <f>_xlfn.IFNA(VLOOKUP(C77,[2]科目余额表!C:D,2,0),"")</f>
        <v/>
      </c>
    </row>
    <row r="78" spans="1:11">
      <c r="A78" t="s">
        <v>5256</v>
      </c>
      <c r="D78" t="str">
        <f>_xlfn.IFNA(VLOOKUP(C78,[2]科目余额表!C:D,2,0),"")</f>
        <v/>
      </c>
    </row>
    <row r="79" spans="1:11">
      <c r="A79" t="s">
        <v>5257</v>
      </c>
      <c r="D79" t="str">
        <f>_xlfn.IFNA(VLOOKUP(C79,[2]科目余额表!C:D,2,0),"")</f>
        <v/>
      </c>
    </row>
    <row r="80" spans="1:11">
      <c r="D80" t="str">
        <f>_xlfn.IFNA(VLOOKUP(C80,[2]科目余额表!C:D,2,0),"")</f>
        <v/>
      </c>
    </row>
    <row r="81" spans="1:13">
      <c r="D81" t="str">
        <f>_xlfn.IFNA(VLOOKUP(C81,[2]科目余额表!C:D,2,0),"")</f>
        <v/>
      </c>
    </row>
    <row r="82" spans="1:13">
      <c r="D82" t="str">
        <f>_xlfn.IFNA(VLOOKUP(C82,[2]科目余额表!C:D,2,0),"")</f>
        <v/>
      </c>
    </row>
    <row r="83" spans="1:13">
      <c r="A83" s="262" t="s">
        <v>5258</v>
      </c>
      <c r="B83" s="262"/>
      <c r="C83" s="262"/>
      <c r="D83" s="262" t="str">
        <f>_xlfn.IFNA(VLOOKUP(C83,[2]科目余额表!C:D,2,0),"")</f>
        <v/>
      </c>
      <c r="E83" s="262">
        <f t="shared" ref="E83:K83" si="2">SUM(E44:E82)</f>
        <v>0</v>
      </c>
      <c r="F83" s="262">
        <f t="shared" si="2"/>
        <v>0</v>
      </c>
      <c r="G83" s="262">
        <f t="shared" si="2"/>
        <v>0</v>
      </c>
      <c r="H83" s="262">
        <f t="shared" si="2"/>
        <v>0</v>
      </c>
      <c r="I83" s="262">
        <f t="shared" si="2"/>
        <v>0</v>
      </c>
      <c r="J83" s="262">
        <f t="shared" si="2"/>
        <v>0</v>
      </c>
      <c r="K83" s="264">
        <f t="shared" si="2"/>
        <v>74328000</v>
      </c>
      <c r="L83" s="262"/>
      <c r="M83" s="262"/>
    </row>
    <row r="84" spans="1:13">
      <c r="A84" s="262" t="s">
        <v>5259</v>
      </c>
      <c r="B84" s="262"/>
      <c r="C84" s="262"/>
      <c r="D84" s="262"/>
      <c r="E84" s="262">
        <f>SUM(E45:E63)</f>
        <v>0</v>
      </c>
      <c r="F84" s="262">
        <f t="shared" ref="F84:K84" si="3">SUM(F45:F63)</f>
        <v>0</v>
      </c>
      <c r="G84" s="262">
        <f t="shared" si="3"/>
        <v>0</v>
      </c>
      <c r="H84" s="262">
        <f t="shared" si="3"/>
        <v>0</v>
      </c>
      <c r="I84" s="262">
        <f t="shared" si="3"/>
        <v>0</v>
      </c>
      <c r="J84" s="262">
        <f t="shared" si="3"/>
        <v>0</v>
      </c>
      <c r="K84" s="264">
        <f t="shared" si="3"/>
        <v>74328000</v>
      </c>
      <c r="L84" s="262"/>
      <c r="M84" s="262"/>
    </row>
    <row r="85" spans="1:13">
      <c r="A85" s="262" t="s">
        <v>2331</v>
      </c>
      <c r="B85" s="262"/>
      <c r="C85" s="262"/>
      <c r="D85" s="262"/>
      <c r="E85" s="262">
        <f>SUM(E65:E70)</f>
        <v>0</v>
      </c>
      <c r="F85" s="262">
        <f t="shared" ref="F85:K85" si="4">SUM(F65:F70)</f>
        <v>0</v>
      </c>
      <c r="G85" s="262">
        <f t="shared" si="4"/>
        <v>0</v>
      </c>
      <c r="H85" s="262">
        <f t="shared" si="4"/>
        <v>0</v>
      </c>
      <c r="I85" s="262">
        <f t="shared" si="4"/>
        <v>0</v>
      </c>
      <c r="J85" s="262">
        <f t="shared" si="4"/>
        <v>0</v>
      </c>
      <c r="K85" s="264">
        <f t="shared" si="4"/>
        <v>0</v>
      </c>
      <c r="L85" s="262"/>
      <c r="M85" s="262"/>
    </row>
    <row r="86" spans="1:13">
      <c r="A86" s="262" t="s">
        <v>2884</v>
      </c>
      <c r="B86" s="262"/>
      <c r="C86" s="262"/>
      <c r="D86" s="262"/>
      <c r="E86" s="262">
        <f>SUM(E73)</f>
        <v>0</v>
      </c>
      <c r="F86" s="262">
        <f t="shared" ref="F86:K86" si="5">SUM(F73)</f>
        <v>0</v>
      </c>
      <c r="G86" s="262">
        <f t="shared" si="5"/>
        <v>0</v>
      </c>
      <c r="H86" s="262">
        <f t="shared" si="5"/>
        <v>0</v>
      </c>
      <c r="I86" s="262">
        <f t="shared" si="5"/>
        <v>0</v>
      </c>
      <c r="J86" s="262">
        <f t="shared" si="5"/>
        <v>0</v>
      </c>
      <c r="K86" s="264">
        <f t="shared" si="5"/>
        <v>0</v>
      </c>
      <c r="L86" s="262"/>
      <c r="M86" s="262"/>
    </row>
    <row r="87" spans="1:13">
      <c r="A87" s="262" t="s">
        <v>5260</v>
      </c>
      <c r="B87" s="262"/>
      <c r="C87" s="262"/>
      <c r="D87" s="262"/>
      <c r="E87" s="262">
        <f>SUM(E75:E79,E71)</f>
        <v>0</v>
      </c>
      <c r="F87" s="262">
        <f t="shared" ref="F87:K87" si="6">SUM(F75:F79,F71)</f>
        <v>0</v>
      </c>
      <c r="G87" s="262">
        <f t="shared" si="6"/>
        <v>0</v>
      </c>
      <c r="H87" s="262">
        <f t="shared" si="6"/>
        <v>0</v>
      </c>
      <c r="I87" s="262">
        <f t="shared" si="6"/>
        <v>0</v>
      </c>
      <c r="J87" s="262">
        <f t="shared" si="6"/>
        <v>0</v>
      </c>
      <c r="K87" s="264">
        <f t="shared" si="6"/>
        <v>0</v>
      </c>
      <c r="L87" s="262"/>
      <c r="M87" s="262"/>
    </row>
    <row r="89" spans="1:13">
      <c r="A89" s="256" t="s">
        <v>4524</v>
      </c>
      <c r="B89" s="256"/>
      <c r="C89" s="256"/>
      <c r="D89" s="256"/>
      <c r="E89" s="256">
        <f>E83-SUM(E84:E88)</f>
        <v>0</v>
      </c>
      <c r="F89" s="256">
        <f t="shared" ref="F89:K89" si="7">F83-SUM(F84:F88)</f>
        <v>0</v>
      </c>
      <c r="G89" s="256">
        <f t="shared" si="7"/>
        <v>0</v>
      </c>
      <c r="H89" s="256">
        <f t="shared" si="7"/>
        <v>0</v>
      </c>
      <c r="I89" s="256">
        <f t="shared" si="7"/>
        <v>0</v>
      </c>
      <c r="J89" s="256">
        <f t="shared" si="7"/>
        <v>0</v>
      </c>
      <c r="K89" s="290">
        <f t="shared" si="7"/>
        <v>0</v>
      </c>
      <c r="L89" s="256"/>
      <c r="M89" s="256"/>
    </row>
    <row r="90" spans="1:13">
      <c r="D90" t="str">
        <f>_xlfn.IFNA(VLOOKUP(C90,[2]科目余额表!C:D,2,0),"")</f>
        <v/>
      </c>
    </row>
    <row r="91" spans="1:13">
      <c r="A91" t="s">
        <v>806</v>
      </c>
      <c r="B91" t="s">
        <v>5208</v>
      </c>
      <c r="C91" t="s">
        <v>5261</v>
      </c>
      <c r="D91" t="str">
        <f>_xlfn.IFNA(VLOOKUP(C91,[2]科目余额表!C:D,2,0),"")</f>
        <v/>
      </c>
      <c r="K91" s="290">
        <f>本期TB!H179</f>
        <v>1345692986.9000001</v>
      </c>
    </row>
    <row r="92" spans="1:13">
      <c r="A92" t="s">
        <v>807</v>
      </c>
      <c r="B92" t="s">
        <v>5208</v>
      </c>
      <c r="C92" t="s">
        <v>5262</v>
      </c>
      <c r="D92" t="str">
        <f>_xlfn.IFNA(VLOOKUP(C92,[2]科目余额表!C:D,2,0),"")</f>
        <v/>
      </c>
      <c r="K92" s="290">
        <f>本期TB!H180</f>
        <v>10298061.710000001</v>
      </c>
    </row>
    <row r="93" spans="1:13">
      <c r="A93" t="s">
        <v>5263</v>
      </c>
      <c r="B93" t="s">
        <v>5208</v>
      </c>
      <c r="C93" t="s">
        <v>3453</v>
      </c>
      <c r="D93" t="str">
        <f>_xlfn.IFNA(VLOOKUP(C93,[2]科目余额表!C:D,2,0),"")</f>
        <v/>
      </c>
      <c r="K93" s="290">
        <f>应交增值税计提!B7</f>
        <v>0</v>
      </c>
    </row>
    <row r="94" spans="1:13">
      <c r="D94" t="str">
        <f>_xlfn.IFNA(VLOOKUP(C94,[2]科目余额表!C:D,2,0),"")</f>
        <v/>
      </c>
    </row>
    <row r="95" spans="1:13">
      <c r="A95" t="s">
        <v>5264</v>
      </c>
      <c r="D95" t="str">
        <f>_xlfn.IFNA(VLOOKUP(C95,[2]科目余额表!C:D,2,0),"")</f>
        <v/>
      </c>
    </row>
    <row r="96" spans="1:13">
      <c r="A96" t="s">
        <v>5653</v>
      </c>
      <c r="B96" t="s">
        <v>5191</v>
      </c>
      <c r="C96" t="s">
        <v>5265</v>
      </c>
      <c r="D96" t="str">
        <f>_xlfn.IFNA(VLOOKUP(C96,[2]科目余额表!C:D,2,0),"")</f>
        <v/>
      </c>
      <c r="K96" s="290">
        <f>本期TB!H34</f>
        <v>94178028.810000002</v>
      </c>
    </row>
    <row r="97" spans="1:11">
      <c r="A97" t="s">
        <v>5654</v>
      </c>
      <c r="B97" t="s">
        <v>5193</v>
      </c>
      <c r="C97" t="s">
        <v>5265</v>
      </c>
      <c r="D97" t="str">
        <f>_xlfn.IFNA(VLOOKUP(C97,[2]科目余额表!C:D,2,0),"")</f>
        <v/>
      </c>
      <c r="K97" s="290">
        <f>-上期TB!H34</f>
        <v>-94178028.810000002</v>
      </c>
    </row>
    <row r="98" spans="1:11">
      <c r="A98" t="s">
        <v>5266</v>
      </c>
      <c r="B98" t="s">
        <v>5191</v>
      </c>
      <c r="C98" t="s">
        <v>5267</v>
      </c>
      <c r="D98" t="str">
        <f>_xlfn.IFNA(VLOOKUP(C98,[2]科目余额表!C:D,2,0),"")</f>
        <v/>
      </c>
    </row>
    <row r="99" spans="1:11">
      <c r="A99" t="s">
        <v>5268</v>
      </c>
      <c r="B99" t="s">
        <v>5193</v>
      </c>
      <c r="C99" t="s">
        <v>5267</v>
      </c>
      <c r="D99" t="str">
        <f>_xlfn.IFNA(VLOOKUP(C99,[2]科目余额表!C:D,2,0),"")</f>
        <v/>
      </c>
    </row>
    <row r="100" spans="1:11">
      <c r="A100" t="s">
        <v>5269</v>
      </c>
      <c r="B100" t="s">
        <v>5191</v>
      </c>
      <c r="C100" t="s">
        <v>3629</v>
      </c>
      <c r="D100" t="str">
        <f>_xlfn.IFNA(VLOOKUP(C100,[2]科目余额表!C:D,2,0),"")</f>
        <v/>
      </c>
    </row>
    <row r="101" spans="1:11">
      <c r="A101" t="s">
        <v>5270</v>
      </c>
      <c r="B101" t="s">
        <v>5193</v>
      </c>
      <c r="C101" t="s">
        <v>3629</v>
      </c>
      <c r="D101" t="str">
        <f>_xlfn.IFNA(VLOOKUP(C101,[2]科目余额表!C:D,2,0),"")</f>
        <v/>
      </c>
    </row>
    <row r="102" spans="1:11">
      <c r="A102" t="s">
        <v>5271</v>
      </c>
      <c r="B102" t="s">
        <v>5191</v>
      </c>
      <c r="C102" t="s">
        <v>3270</v>
      </c>
      <c r="D102" t="str">
        <f>_xlfn.IFNA(VLOOKUP(C102,[2]科目余额表!C:D,2,0),"")</f>
        <v/>
      </c>
    </row>
    <row r="103" spans="1:11">
      <c r="A103" t="s">
        <v>5272</v>
      </c>
      <c r="B103" t="s">
        <v>5193</v>
      </c>
      <c r="C103" t="s">
        <v>3270</v>
      </c>
      <c r="D103" t="str">
        <f>_xlfn.IFNA(VLOOKUP(C103,[2]科目余额表!C:D,2,0),"")</f>
        <v/>
      </c>
    </row>
    <row r="104" spans="1:11">
      <c r="A104" t="s">
        <v>5273</v>
      </c>
      <c r="B104" t="s">
        <v>5191</v>
      </c>
      <c r="C104" t="s">
        <v>3717</v>
      </c>
      <c r="D104" t="str">
        <f>_xlfn.IFNA(VLOOKUP(C104,[2]科目余额表!C:D,2,0),"")</f>
        <v/>
      </c>
    </row>
    <row r="105" spans="1:11">
      <c r="A105" t="s">
        <v>5274</v>
      </c>
      <c r="B105" t="s">
        <v>5193</v>
      </c>
      <c r="C105" t="s">
        <v>3717</v>
      </c>
      <c r="D105" t="str">
        <f>_xlfn.IFNA(VLOOKUP(C105,[2]科目余额表!C:D,2,0),"")</f>
        <v/>
      </c>
    </row>
    <row r="106" spans="1:11">
      <c r="A106" t="s">
        <v>5275</v>
      </c>
      <c r="B106" t="s">
        <v>5191</v>
      </c>
      <c r="C106" t="s">
        <v>3236</v>
      </c>
      <c r="D106" t="str">
        <f>_xlfn.IFNA(VLOOKUP(C106,[2]科目余额表!C:D,2,0),"")</f>
        <v/>
      </c>
      <c r="K106" s="290">
        <f>本期TB!H19</f>
        <v>360794.15</v>
      </c>
    </row>
    <row r="107" spans="1:11">
      <c r="A107" t="s">
        <v>5276</v>
      </c>
      <c r="B107" t="s">
        <v>5193</v>
      </c>
      <c r="C107" t="s">
        <v>3236</v>
      </c>
      <c r="D107" t="str">
        <f>_xlfn.IFNA(VLOOKUP(C107,[2]科目余额表!C:D,2,0),"")</f>
        <v/>
      </c>
      <c r="K107" s="290">
        <f>-上期TB!H19</f>
        <v>-360794.15</v>
      </c>
    </row>
    <row r="108" spans="1:11">
      <c r="A108" t="s">
        <v>5277</v>
      </c>
      <c r="B108" t="s">
        <v>5193</v>
      </c>
      <c r="C108" t="s">
        <v>5278</v>
      </c>
      <c r="D108" t="str">
        <f>_xlfn.IFNA(VLOOKUP(C108,[2]科目余额表!C:D,2,0),"")</f>
        <v/>
      </c>
      <c r="K108" s="290">
        <f>上期TB!H115</f>
        <v>148589378.94</v>
      </c>
    </row>
    <row r="109" spans="1:11">
      <c r="A109" t="s">
        <v>5279</v>
      </c>
      <c r="B109" t="s">
        <v>5191</v>
      </c>
      <c r="C109" t="s">
        <v>5278</v>
      </c>
      <c r="D109" t="str">
        <f>_xlfn.IFNA(VLOOKUP(C109,[2]科目余额表!C:D,2,0),"")</f>
        <v/>
      </c>
      <c r="K109" s="290">
        <f>-本期TB!H117</f>
        <v>-148589378.94</v>
      </c>
    </row>
    <row r="110" spans="1:11">
      <c r="A110" t="s">
        <v>5280</v>
      </c>
      <c r="B110" t="s">
        <v>5193</v>
      </c>
      <c r="C110" t="s">
        <v>3401</v>
      </c>
      <c r="D110" t="str">
        <f>_xlfn.IFNA(VLOOKUP(C110,[2]科目余额表!C:D,2,0),"")</f>
        <v/>
      </c>
    </row>
    <row r="111" spans="1:11">
      <c r="A111" t="s">
        <v>5281</v>
      </c>
      <c r="B111" t="s">
        <v>5191</v>
      </c>
      <c r="C111" t="s">
        <v>3401</v>
      </c>
      <c r="D111" t="str">
        <f>_xlfn.IFNA(VLOOKUP(C111,[2]科目余额表!C:D,2,0),"")</f>
        <v/>
      </c>
    </row>
    <row r="112" spans="1:11">
      <c r="A112" t="s">
        <v>5282</v>
      </c>
      <c r="D112" t="str">
        <f>_xlfn.IFNA(VLOOKUP(C112,[2]科目余额表!C:D,2,0),"")</f>
        <v/>
      </c>
      <c r="K112" s="290">
        <f>-(薪酬校验表!B5+薪酬校验表!B7)</f>
        <v>0</v>
      </c>
    </row>
    <row r="113" spans="1:11">
      <c r="A113" t="s">
        <v>5283</v>
      </c>
      <c r="D113" t="str">
        <f>_xlfn.IFNA(VLOOKUP(C113,[2]科目余额表!C:D,2,0),"")</f>
        <v/>
      </c>
      <c r="K113" s="290">
        <f>-(折旧及摊销校验表!B8+折旧及摊销校验表!B7+折旧及摊销校验表!B19+折旧及摊销校验表!B44+折旧及摊销校验表!B30)</f>
        <v>0</v>
      </c>
    </row>
    <row r="114" spans="1:11">
      <c r="A114" t="s">
        <v>5284</v>
      </c>
      <c r="D114" t="str">
        <f>_xlfn.IFNA(VLOOKUP(C114,[2]科目余额表!C:D,2,0),"")</f>
        <v/>
      </c>
    </row>
    <row r="115" spans="1:11">
      <c r="A115" t="s">
        <v>5285</v>
      </c>
      <c r="D115" t="str">
        <f>_xlfn.IFNA(VLOOKUP(C115,[2]科目余额表!C:D,2,0),"")</f>
        <v/>
      </c>
    </row>
    <row r="116" spans="1:11">
      <c r="A116" t="s">
        <v>5286</v>
      </c>
      <c r="D116" t="str">
        <f>_xlfn.IFNA(VLOOKUP(C116,[2]科目余额表!C:D,2,0),"")</f>
        <v/>
      </c>
    </row>
    <row r="117" spans="1:11">
      <c r="A117" t="s">
        <v>5287</v>
      </c>
      <c r="D117" t="str">
        <f>_xlfn.IFNA(VLOOKUP(C117,[2]科目余额表!C:D,2,0),"")</f>
        <v/>
      </c>
    </row>
    <row r="118" spans="1:11">
      <c r="A118" t="s">
        <v>5288</v>
      </c>
      <c r="D118" t="str">
        <f>_xlfn.IFNA(VLOOKUP(C118,[2]科目余额表!C:D,2,0),"")</f>
        <v/>
      </c>
    </row>
    <row r="119" spans="1:11">
      <c r="A119" t="s">
        <v>5289</v>
      </c>
      <c r="D119" t="str">
        <f>_xlfn.IFNA(VLOOKUP(C119,[2]科目余额表!C:D,2,0),"")</f>
        <v/>
      </c>
    </row>
    <row r="120" spans="1:11">
      <c r="A120" t="s">
        <v>5290</v>
      </c>
      <c r="D120" t="str">
        <f>_xlfn.IFNA(VLOOKUP(C120,[2]科目余额表!C:D,2,0),"")</f>
        <v/>
      </c>
    </row>
    <row r="121" spans="1:11">
      <c r="A121" t="s">
        <v>5291</v>
      </c>
      <c r="C121" t="s">
        <v>5292</v>
      </c>
      <c r="D121" t="str">
        <f>_xlfn.IFNA(VLOOKUP(C121,[2]科目余额表!C:D,2,0),"")</f>
        <v/>
      </c>
    </row>
    <row r="122" spans="1:11">
      <c r="A122" t="s">
        <v>5293</v>
      </c>
      <c r="D122" t="str">
        <f>_xlfn.IFNA(VLOOKUP(C122,[2]科目余额表!C:D,2,0),"")</f>
        <v/>
      </c>
    </row>
    <row r="123" spans="1:11">
      <c r="A123" t="s">
        <v>5294</v>
      </c>
      <c r="D123" t="str">
        <f>_xlfn.IFNA(VLOOKUP(C123,[2]科目余额表!C:D,2,0),"")</f>
        <v/>
      </c>
    </row>
    <row r="124" spans="1:11">
      <c r="A124" t="s">
        <v>5655</v>
      </c>
      <c r="D124" t="str">
        <f>_xlfn.IFNA(VLOOKUP(C124,[2]科目余额表!C:D,2,0),"")</f>
        <v/>
      </c>
      <c r="K124" s="290">
        <f>-利息资本化校验!B3</f>
        <v>0</v>
      </c>
    </row>
    <row r="125" spans="1:11">
      <c r="D125" t="str">
        <f>_xlfn.IFNA(VLOOKUP(C125,[2]科目余额表!C:D,2,0),"")</f>
        <v/>
      </c>
    </row>
    <row r="126" spans="1:11">
      <c r="D126" t="str">
        <f>_xlfn.IFNA(VLOOKUP(C126,[2]科目余额表!C:D,2,0),"")</f>
        <v/>
      </c>
    </row>
    <row r="127" spans="1:11">
      <c r="D127" t="str">
        <f>_xlfn.IFNA(VLOOKUP(C127,[2]科目余额表!C:D,2,0),"")</f>
        <v/>
      </c>
    </row>
    <row r="128" spans="1:11">
      <c r="D128" t="str">
        <f>_xlfn.IFNA(VLOOKUP(C128,[2]科目余额表!C:D,2,0),"")</f>
        <v/>
      </c>
    </row>
    <row r="129" spans="1:13">
      <c r="D129" t="str">
        <f>_xlfn.IFNA(VLOOKUP(C129,[2]科目余额表!C:D,2,0),"")</f>
        <v/>
      </c>
    </row>
    <row r="130" spans="1:13">
      <c r="A130" s="262" t="s">
        <v>5295</v>
      </c>
      <c r="B130" s="262"/>
      <c r="C130" s="262"/>
      <c r="D130" s="262" t="str">
        <f>_xlfn.IFNA(VLOOKUP(C130,[2]科目余额表!C:D,2,0),"")</f>
        <v/>
      </c>
      <c r="E130" s="262">
        <f>SUM(E91:E129)</f>
        <v>0</v>
      </c>
      <c r="F130" s="262">
        <f t="shared" ref="F130:K130" si="8">SUM(F91:F129)</f>
        <v>0</v>
      </c>
      <c r="G130" s="262">
        <f t="shared" si="8"/>
        <v>0</v>
      </c>
      <c r="H130" s="262">
        <f t="shared" si="8"/>
        <v>0</v>
      </c>
      <c r="I130" s="262">
        <f t="shared" si="8"/>
        <v>0</v>
      </c>
      <c r="J130" s="262">
        <f t="shared" si="8"/>
        <v>0</v>
      </c>
      <c r="K130" s="626">
        <f t="shared" si="8"/>
        <v>1355991048.6100001</v>
      </c>
      <c r="L130" s="262"/>
      <c r="M130" s="262"/>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5296</v>
      </c>
      <c r="B135" t="s">
        <v>5208</v>
      </c>
      <c r="D135" t="str">
        <f>_xlfn.IFNA(VLOOKUP(C135,[2]科目余额表!C:D,2,0),"")</f>
        <v/>
      </c>
    </row>
    <row r="136" spans="1:13">
      <c r="A136" t="s">
        <v>5297</v>
      </c>
      <c r="B136" t="s">
        <v>5208</v>
      </c>
      <c r="D136" t="str">
        <f>_xlfn.IFNA(VLOOKUP(C136,[2]科目余额表!C:D,2,0),"")</f>
        <v/>
      </c>
    </row>
    <row r="137" spans="1:13">
      <c r="A137" t="s">
        <v>5298</v>
      </c>
      <c r="B137" t="s">
        <v>5208</v>
      </c>
      <c r="C137" t="s">
        <v>5299</v>
      </c>
      <c r="D137" t="str">
        <f>_xlfn.IFNA(VLOOKUP(C137,[2]科目余额表!C:D,2,0),"")</f>
        <v/>
      </c>
    </row>
    <row r="138" spans="1:13">
      <c r="A138" t="s">
        <v>5656</v>
      </c>
      <c r="B138" t="s">
        <v>5208</v>
      </c>
      <c r="C138" t="s">
        <v>5300</v>
      </c>
      <c r="D138" t="str">
        <f>_xlfn.IFNA(VLOOKUP(C138,[2]科目余额表!C:D,2,0),"")</f>
        <v/>
      </c>
    </row>
    <row r="139" spans="1:13">
      <c r="A139" t="s">
        <v>2555</v>
      </c>
      <c r="B139" t="s">
        <v>5208</v>
      </c>
      <c r="C139" t="s">
        <v>5301</v>
      </c>
      <c r="D139" t="str">
        <f>_xlfn.IFNA(VLOOKUP(C139,[2]科目余额表!C:D,2,0),"")</f>
        <v/>
      </c>
    </row>
    <row r="140" spans="1:13">
      <c r="A140" t="s">
        <v>2549</v>
      </c>
      <c r="B140" t="s">
        <v>5208</v>
      </c>
      <c r="C140" t="s">
        <v>5302</v>
      </c>
      <c r="D140" t="str">
        <f>_xlfn.IFNA(VLOOKUP(C140,[2]科目余额表!C:D,2,0),"")</f>
        <v/>
      </c>
    </row>
    <row r="141" spans="1:13">
      <c r="A141" t="s">
        <v>2551</v>
      </c>
      <c r="B141" t="s">
        <v>5208</v>
      </c>
      <c r="C141" t="s">
        <v>5303</v>
      </c>
      <c r="D141" t="str">
        <f>_xlfn.IFNA(VLOOKUP(C141,[2]科目余额表!C:D,2,0),"")</f>
        <v/>
      </c>
    </row>
    <row r="142" spans="1:13">
      <c r="A142" t="s">
        <v>5298</v>
      </c>
      <c r="B142" t="s">
        <v>5208</v>
      </c>
      <c r="C142" t="s">
        <v>5304</v>
      </c>
      <c r="D142" t="str">
        <f>_xlfn.IFNA(VLOOKUP(C142,[2]科目余额表!C:D,2,0),"")</f>
        <v/>
      </c>
    </row>
    <row r="143" spans="1:13">
      <c r="A143" t="s">
        <v>5298</v>
      </c>
      <c r="B143" t="s">
        <v>5208</v>
      </c>
      <c r="D143" t="s">
        <v>607</v>
      </c>
    </row>
    <row r="144" spans="1:13">
      <c r="A144" t="s">
        <v>5305</v>
      </c>
      <c r="B144" t="s">
        <v>5193</v>
      </c>
      <c r="C144" t="s">
        <v>5306</v>
      </c>
      <c r="D144" t="str">
        <f>_xlfn.IFNA(VLOOKUP(C144,[2]科目余额表!C:D,2,0),"")</f>
        <v/>
      </c>
    </row>
    <row r="145" spans="1:13">
      <c r="A145" t="s">
        <v>5307</v>
      </c>
      <c r="B145" t="s">
        <v>5191</v>
      </c>
      <c r="C145" t="s">
        <v>5306</v>
      </c>
      <c r="D145" t="str">
        <f>_xlfn.IFNA(VLOOKUP(C145,[2]科目余额表!C:D,2,0),"")</f>
        <v/>
      </c>
    </row>
    <row r="146" spans="1:13">
      <c r="A146" t="s">
        <v>5308</v>
      </c>
      <c r="B146" t="s">
        <v>5193</v>
      </c>
      <c r="C146" t="s">
        <v>5309</v>
      </c>
      <c r="D146" t="str">
        <f>_xlfn.IFNA(VLOOKUP(C146,[2]科目余额表!C:D,2,0),"")</f>
        <v/>
      </c>
      <c r="K146" s="290">
        <f>VLOOKUP("个人所得税",应交税费!A:E,2,0)</f>
        <v>0</v>
      </c>
    </row>
    <row r="147" spans="1:13">
      <c r="A147" t="s">
        <v>5310</v>
      </c>
      <c r="B147" t="s">
        <v>5191</v>
      </c>
      <c r="C147" t="s">
        <v>5309</v>
      </c>
      <c r="D147" t="str">
        <f>_xlfn.IFNA(VLOOKUP(C147,[2]科目余额表!C:D,2,0),"")</f>
        <v/>
      </c>
      <c r="K147" s="290">
        <f>-_xlfn.IFNA(VLOOKUP("个人所得税",应交税费!A:E,5,0),0)</f>
        <v>0</v>
      </c>
    </row>
    <row r="148" spans="1:13">
      <c r="A148" t="s">
        <v>5657</v>
      </c>
      <c r="D148" t="str">
        <f>_xlfn.IFNA(VLOOKUP(C148,[2]科目余额表!C:D,2,0),"")</f>
        <v/>
      </c>
      <c r="K148" s="290">
        <f>_xlfn.IFNA(VLOOKUP("合计",应付职工薪酬明细情况!A:E,4,0),0)</f>
        <v>0</v>
      </c>
    </row>
    <row r="149" spans="1:13">
      <c r="D149" t="str">
        <f>_xlfn.IFNA(VLOOKUP(C149,[2]科目余额表!C:D,2,0),"")</f>
        <v/>
      </c>
    </row>
    <row r="150" spans="1:13">
      <c r="A150" s="262" t="s">
        <v>5311</v>
      </c>
      <c r="B150" s="262"/>
      <c r="C150" s="262"/>
      <c r="D150" s="262" t="str">
        <f>_xlfn.IFNA(VLOOKUP(C150,[2]科目余额表!C:D,2,0),"")</f>
        <v/>
      </c>
      <c r="E150" s="262">
        <f>SUM(E135:E149)</f>
        <v>0</v>
      </c>
      <c r="F150" s="262">
        <f t="shared" ref="F150:K150" si="9">SUM(F135:F149)</f>
        <v>0</v>
      </c>
      <c r="G150" s="262">
        <f t="shared" si="9"/>
        <v>0</v>
      </c>
      <c r="H150" s="262">
        <f t="shared" si="9"/>
        <v>0</v>
      </c>
      <c r="I150" s="262">
        <f t="shared" si="9"/>
        <v>0</v>
      </c>
      <c r="J150" s="262">
        <f t="shared" si="9"/>
        <v>0</v>
      </c>
      <c r="K150" s="264">
        <f t="shared" si="9"/>
        <v>0</v>
      </c>
      <c r="L150" s="262"/>
      <c r="M150" s="262"/>
    </row>
    <row r="152" spans="1:13">
      <c r="D152" t="str">
        <f>_xlfn.IFNA(VLOOKUP(C152,[2]科目余额表!C:D,2,0),"")</f>
        <v/>
      </c>
    </row>
    <row r="153" spans="1:13">
      <c r="A153" t="s">
        <v>5312</v>
      </c>
      <c r="B153" t="s">
        <v>5208</v>
      </c>
      <c r="C153" t="s">
        <v>5313</v>
      </c>
      <c r="D153" t="str">
        <f>_xlfn.IFNA(VLOOKUP(C153,[2]科目余额表!C:D,2,0),"")</f>
        <v/>
      </c>
    </row>
    <row r="154" spans="1:13">
      <c r="A154" t="s">
        <v>5314</v>
      </c>
      <c r="B154" t="s">
        <v>5208</v>
      </c>
      <c r="C154" t="s">
        <v>5315</v>
      </c>
      <c r="D154" t="str">
        <f>_xlfn.IFNA(VLOOKUP(C154,[2]科目余额表!C:D,2,0),"")</f>
        <v/>
      </c>
    </row>
    <row r="155" spans="1:13">
      <c r="A155" t="s">
        <v>553</v>
      </c>
      <c r="B155" t="s">
        <v>5208</v>
      </c>
      <c r="C155" t="s">
        <v>5316</v>
      </c>
      <c r="D155" t="str">
        <f>_xlfn.IFNA(VLOOKUP(C155,[2]科目余额表!C:D,2,0),"")</f>
        <v/>
      </c>
    </row>
    <row r="156" spans="1:13">
      <c r="A156" t="s">
        <v>554</v>
      </c>
      <c r="B156" t="s">
        <v>5208</v>
      </c>
      <c r="C156" t="s">
        <v>5317</v>
      </c>
      <c r="D156" t="str">
        <f>_xlfn.IFNA(VLOOKUP(C156,[2]科目余额表!C:D,2,0),"")</f>
        <v/>
      </c>
    </row>
    <row r="157" spans="1:13">
      <c r="A157" t="s">
        <v>5318</v>
      </c>
      <c r="B157" t="s">
        <v>5208</v>
      </c>
      <c r="C157" t="s">
        <v>5319</v>
      </c>
      <c r="D157" t="str">
        <f>_xlfn.IFNA(VLOOKUP(C157,[2]科目余额表!C:D,2,0),"")</f>
        <v/>
      </c>
    </row>
    <row r="158" spans="1:13">
      <c r="A158" t="s">
        <v>5320</v>
      </c>
      <c r="B158" t="s">
        <v>5208</v>
      </c>
      <c r="C158" t="s">
        <v>5321</v>
      </c>
      <c r="D158" t="str">
        <f>_xlfn.IFNA(VLOOKUP(C158,[2]科目余额表!C:D,2,0),"")</f>
        <v/>
      </c>
    </row>
    <row r="159" spans="1:13">
      <c r="B159" t="s">
        <v>5208</v>
      </c>
      <c r="C159" t="s">
        <v>5322</v>
      </c>
      <c r="D159" t="str">
        <f>_xlfn.IFNA(VLOOKUP(C159,[2]科目余额表!C:D,2,0),"")</f>
        <v/>
      </c>
    </row>
    <row r="160" spans="1:13">
      <c r="A160" t="s">
        <v>4517</v>
      </c>
      <c r="B160" t="s">
        <v>5208</v>
      </c>
      <c r="C160" t="s">
        <v>5323</v>
      </c>
      <c r="D160" t="str">
        <f>_xlfn.IFNA(VLOOKUP(C160,[2]科目余额表!C:D,2,0),"")</f>
        <v/>
      </c>
    </row>
    <row r="161" spans="1:13">
      <c r="A161" t="s">
        <v>106</v>
      </c>
      <c r="B161" t="s">
        <v>5208</v>
      </c>
      <c r="C161" t="s">
        <v>5324</v>
      </c>
      <c r="D161" t="str">
        <f>_xlfn.IFNA(VLOOKUP(C161,[2]科目余额表!C:D,2,0),"")</f>
        <v/>
      </c>
    </row>
    <row r="162" spans="1:13">
      <c r="A162" t="s">
        <v>5658</v>
      </c>
      <c r="B162" t="s">
        <v>5208</v>
      </c>
      <c r="D162" t="str">
        <f>_xlfn.IFNA(VLOOKUP(C162,[2]科目余额表!C:D,2,0),"")</f>
        <v/>
      </c>
      <c r="K162" s="290">
        <f>_xlfn.IFNA(VLOOKUP("合计",应交税费!A:E,4,0),0)</f>
        <v>0</v>
      </c>
    </row>
    <row r="163" spans="1:13">
      <c r="A163" t="s">
        <v>5659</v>
      </c>
      <c r="B163" t="s">
        <v>5208</v>
      </c>
      <c r="D163" t="str">
        <f>_xlfn.IFNA(VLOOKUP(C163,[2]科目余额表!C:D,2,0),"")</f>
        <v/>
      </c>
      <c r="K163" s="290">
        <f>-_xlfn.IFNA(VLOOKUP("个人所得税",应交税费!A:E,4,0),0)</f>
        <v>0</v>
      </c>
    </row>
    <row r="164" spans="1:13">
      <c r="B164" t="s">
        <v>5208</v>
      </c>
      <c r="D164" t="str">
        <f>_xlfn.IFNA(VLOOKUP(C164,[2]科目余额表!C:D,2,0),"")</f>
        <v/>
      </c>
    </row>
    <row r="165" spans="1:13">
      <c r="B165" t="s">
        <v>5208</v>
      </c>
      <c r="D165" t="str">
        <f>_xlfn.IFNA(VLOOKUP(C165,[2]科目余额表!C:D,2,0),"")</f>
        <v/>
      </c>
    </row>
    <row r="166" spans="1:13">
      <c r="B166" t="s">
        <v>5208</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62" t="s">
        <v>5325</v>
      </c>
      <c r="B171" s="262"/>
      <c r="C171" s="262"/>
      <c r="D171" s="262" t="str">
        <f>_xlfn.IFNA(VLOOKUP(C171,[2]科目余额表!C:D,2,0),"")</f>
        <v/>
      </c>
      <c r="E171" s="262">
        <f>SUM(E153:E170)</f>
        <v>0</v>
      </c>
      <c r="F171" s="262">
        <f t="shared" ref="F171:K171" si="10">SUM(F153:F170)</f>
        <v>0</v>
      </c>
      <c r="G171" s="262">
        <f t="shared" si="10"/>
        <v>0</v>
      </c>
      <c r="H171" s="262">
        <f t="shared" si="10"/>
        <v>0</v>
      </c>
      <c r="I171" s="262">
        <f t="shared" si="10"/>
        <v>0</v>
      </c>
      <c r="J171" s="262">
        <f t="shared" si="10"/>
        <v>0</v>
      </c>
      <c r="K171" s="264">
        <f t="shared" si="10"/>
        <v>0</v>
      </c>
      <c r="L171" s="262"/>
      <c r="M171" s="262"/>
    </row>
    <row r="172" spans="1:13">
      <c r="D172" t="str">
        <f>_xlfn.IFNA(VLOOKUP(C172,[2]科目余额表!C:D,2,0),"")</f>
        <v/>
      </c>
    </row>
    <row r="173" spans="1:13">
      <c r="A173" t="s">
        <v>809</v>
      </c>
      <c r="D173" t="str">
        <f>_xlfn.IFNA(VLOOKUP(C173,[2]科目余额表!C:D,2,0),"")</f>
        <v/>
      </c>
    </row>
    <row r="174" spans="1:13">
      <c r="A174" t="s">
        <v>5660</v>
      </c>
      <c r="B174" t="s">
        <v>5208</v>
      </c>
      <c r="C174" t="s">
        <v>5326</v>
      </c>
      <c r="D174" t="str">
        <f>_xlfn.IFNA(VLOOKUP(C174,[2]科目余额表!C:D,2,0),"")</f>
        <v/>
      </c>
      <c r="K174" s="290">
        <f>本期TB!H189</f>
        <v>0</v>
      </c>
    </row>
    <row r="175" spans="1:13">
      <c r="A175" t="s">
        <v>5661</v>
      </c>
      <c r="B175" t="s">
        <v>5208</v>
      </c>
      <c r="C175" t="s">
        <v>5327</v>
      </c>
      <c r="D175" t="str">
        <f>_xlfn.IFNA(VLOOKUP(C175,[2]科目余额表!C:D,2,0),"")</f>
        <v/>
      </c>
      <c r="K175" s="290">
        <f>-薪酬校验表!B3</f>
        <v>0</v>
      </c>
    </row>
    <row r="176" spans="1:13">
      <c r="A176" t="s">
        <v>5662</v>
      </c>
      <c r="B176" t="s">
        <v>5208</v>
      </c>
      <c r="D176" t="str">
        <f>_xlfn.IFNA(VLOOKUP(C176,[2]科目余额表!C:D,2,0),"")</f>
        <v/>
      </c>
      <c r="K176" s="290">
        <f>-折旧及摊销校验表!B5-折旧及摊销校验表!B29-折旧及摊销校验表!B43</f>
        <v>0</v>
      </c>
    </row>
    <row r="177" spans="1:11">
      <c r="C177" t="s">
        <v>5328</v>
      </c>
      <c r="D177" t="str">
        <f>_xlfn.IFNA(VLOOKUP(C177,[2]科目余额表!C:D,2,0),"")</f>
        <v/>
      </c>
    </row>
    <row r="178" spans="1:11">
      <c r="C178" t="s">
        <v>5329</v>
      </c>
      <c r="D178" t="str">
        <f>_xlfn.IFNA(VLOOKUP(C178,[2]科目余额表!C:D,2,0),"")</f>
        <v/>
      </c>
    </row>
    <row r="179" spans="1:11">
      <c r="D179" t="str">
        <f>_xlfn.IFNA(VLOOKUP(C179,[2]科目余额表!C:D,2,0),"")</f>
        <v/>
      </c>
    </row>
    <row r="180" spans="1:11">
      <c r="D180" t="str">
        <f>_xlfn.IFNA(VLOOKUP(C180,[2]科目余额表!C:D,2,0),"")</f>
        <v/>
      </c>
    </row>
    <row r="181" spans="1:11">
      <c r="D181" t="str">
        <f>_xlfn.IFNA(VLOOKUP(C181,[2]科目余额表!C:D,2,0),"")</f>
        <v/>
      </c>
    </row>
    <row r="182" spans="1:11">
      <c r="D182" t="str">
        <f>_xlfn.IFNA(VLOOKUP(C182,[2]科目余额表!C:D,2,0),"")</f>
        <v/>
      </c>
    </row>
    <row r="183" spans="1:11">
      <c r="D183" t="str">
        <f>_xlfn.IFNA(VLOOKUP(C183,[2]科目余额表!C:D,2,0),"")</f>
        <v/>
      </c>
    </row>
    <row r="184" spans="1:11">
      <c r="D184" t="str">
        <f>_xlfn.IFNA(VLOOKUP(C184,[2]科目余额表!C:D,2,0),"")</f>
        <v/>
      </c>
    </row>
    <row r="185" spans="1:11">
      <c r="D185" t="str">
        <f>_xlfn.IFNA(VLOOKUP(C185,[2]科目余额表!C:D,2,0),"")</f>
        <v/>
      </c>
    </row>
    <row r="186" spans="1:11">
      <c r="D186" t="str">
        <f>_xlfn.IFNA(VLOOKUP(C186,[2]科目余额表!C:D,2,0),"")</f>
        <v/>
      </c>
    </row>
    <row r="187" spans="1:11">
      <c r="A187" t="s">
        <v>810</v>
      </c>
      <c r="D187" t="str">
        <f>_xlfn.IFNA(VLOOKUP(C187,[2]科目余额表!C:D,2,0),"")</f>
        <v/>
      </c>
      <c r="K187" s="290">
        <f>本期TB!H190</f>
        <v>123240697.16</v>
      </c>
    </row>
    <row r="188" spans="1:11">
      <c r="A188" t="s">
        <v>5661</v>
      </c>
      <c r="B188" t="s">
        <v>5208</v>
      </c>
      <c r="C188" t="s">
        <v>5330</v>
      </c>
      <c r="D188" t="str">
        <f>_xlfn.IFNA(VLOOKUP(C188,[2]科目余额表!C:D,2,0),"")</f>
        <v/>
      </c>
      <c r="K188" s="290">
        <f>-薪酬校验表!B2</f>
        <v>0</v>
      </c>
    </row>
    <row r="189" spans="1:11">
      <c r="A189" t="s">
        <v>5662</v>
      </c>
      <c r="B189" t="s">
        <v>5208</v>
      </c>
      <c r="C189" t="s">
        <v>5331</v>
      </c>
      <c r="D189" t="str">
        <f>_xlfn.IFNA(VLOOKUP(C189,[2]科目余额表!C:D,2,0),"")</f>
        <v/>
      </c>
      <c r="K189" s="290">
        <f>-(折旧及摊销校验表!B4+折旧及摊销校验表!B28+折旧及摊销校验表!B42)</f>
        <v>0</v>
      </c>
    </row>
    <row r="190" spans="1:11">
      <c r="B190" t="s">
        <v>5208</v>
      </c>
      <c r="C190" t="s">
        <v>5332</v>
      </c>
      <c r="D190" t="str">
        <f>_xlfn.IFNA(VLOOKUP(C190,[2]科目余额表!C:D,2,0),"")</f>
        <v/>
      </c>
    </row>
    <row r="191" spans="1:11">
      <c r="B191" t="s">
        <v>5208</v>
      </c>
      <c r="C191" t="s">
        <v>5333</v>
      </c>
      <c r="D191" t="str">
        <f>_xlfn.IFNA(VLOOKUP(C191,[2]科目余额表!C:D,2,0),"")</f>
        <v/>
      </c>
    </row>
    <row r="192" spans="1:11">
      <c r="B192" t="s">
        <v>5208</v>
      </c>
      <c r="C192" t="s">
        <v>5334</v>
      </c>
      <c r="D192" t="str">
        <f>_xlfn.IFNA(VLOOKUP(C192,[2]科目余额表!C:D,2,0),"")</f>
        <v/>
      </c>
    </row>
    <row r="193" spans="1:11">
      <c r="B193" t="s">
        <v>5208</v>
      </c>
      <c r="C193" t="s">
        <v>5335</v>
      </c>
      <c r="D193" t="str">
        <f>_xlfn.IFNA(VLOOKUP(C193,[2]科目余额表!C:D,2,0),"")</f>
        <v/>
      </c>
    </row>
    <row r="194" spans="1:11">
      <c r="B194" t="s">
        <v>5208</v>
      </c>
      <c r="C194" t="s">
        <v>5336</v>
      </c>
      <c r="D194" t="str">
        <f>_xlfn.IFNA(VLOOKUP(C194,[2]科目余额表!C:D,2,0),"")</f>
        <v/>
      </c>
    </row>
    <row r="195" spans="1:11">
      <c r="B195" t="s">
        <v>5208</v>
      </c>
      <c r="C195" t="s">
        <v>5337</v>
      </c>
      <c r="D195" t="str">
        <f>_xlfn.IFNA(VLOOKUP(C195,[2]科目余额表!C:D,2,0),"")</f>
        <v/>
      </c>
    </row>
    <row r="196" spans="1:11">
      <c r="B196" t="s">
        <v>5208</v>
      </c>
      <c r="C196" t="s">
        <v>5338</v>
      </c>
      <c r="D196" t="str">
        <f>_xlfn.IFNA(VLOOKUP(C196,[2]科目余额表!C:D,2,0),"")</f>
        <v/>
      </c>
    </row>
    <row r="197" spans="1:11">
      <c r="A197" t="s">
        <v>5663</v>
      </c>
      <c r="B197" t="s">
        <v>5208</v>
      </c>
      <c r="C197" t="s">
        <v>5339</v>
      </c>
      <c r="D197" t="str">
        <f>_xlfn.IFNA(VLOOKUP(C197,[2]科目余额表!C:D,2,0),"")</f>
        <v/>
      </c>
      <c r="K197" s="290">
        <f>本期TB!H191</f>
        <v>0</v>
      </c>
    </row>
    <row r="198" spans="1:11">
      <c r="A198" t="s">
        <v>5661</v>
      </c>
      <c r="B198" t="s">
        <v>5208</v>
      </c>
      <c r="C198" t="s">
        <v>5340</v>
      </c>
      <c r="D198" t="str">
        <f>_xlfn.IFNA(VLOOKUP(C198,[2]科目余额表!C:D,2,0),"")</f>
        <v/>
      </c>
      <c r="K198" s="290">
        <f>-折旧及摊销校验表!B6-折旧及摊销校验表!B45-折旧及摊销校验表!B31</f>
        <v>0</v>
      </c>
    </row>
    <row r="199" spans="1:11">
      <c r="A199" t="s">
        <v>5662</v>
      </c>
      <c r="B199" t="s">
        <v>5208</v>
      </c>
      <c r="C199" t="s">
        <v>5341</v>
      </c>
      <c r="D199" t="str">
        <f>_xlfn.IFNA(VLOOKUP(C199,[2]科目余额表!C:D,2,0),"")</f>
        <v/>
      </c>
    </row>
    <row r="200" spans="1:11">
      <c r="B200" t="s">
        <v>5208</v>
      </c>
      <c r="D200" t="str">
        <f>_xlfn.IFNA(VLOOKUP(C200,[2]科目余额表!C:D,2,0),"")</f>
        <v/>
      </c>
    </row>
    <row r="201" spans="1:11">
      <c r="B201" t="s">
        <v>5208</v>
      </c>
      <c r="C201" t="s">
        <v>5342</v>
      </c>
      <c r="D201" t="str">
        <f>_xlfn.IFNA(VLOOKUP(C201,[2]科目余额表!C:D,2,0),"")</f>
        <v/>
      </c>
    </row>
    <row r="202" spans="1:11">
      <c r="B202" t="s">
        <v>5208</v>
      </c>
      <c r="C202" t="s">
        <v>5343</v>
      </c>
      <c r="D202" t="str">
        <f>_xlfn.IFNA(VLOOKUP(C202,[2]科目余额表!C:D,2,0),"")</f>
        <v/>
      </c>
    </row>
    <row r="203" spans="1:11">
      <c r="B203" t="s">
        <v>5208</v>
      </c>
      <c r="C203" t="s">
        <v>5344</v>
      </c>
      <c r="D203" t="str">
        <f>_xlfn.IFNA(VLOOKUP(C203,[2]科目余额表!C:D,2,0),"")</f>
        <v/>
      </c>
    </row>
    <row r="204" spans="1:11">
      <c r="B204" t="s">
        <v>5208</v>
      </c>
      <c r="D204" t="str">
        <f>_xlfn.IFNA(VLOOKUP(C204,[2]科目余额表!C:D,2,0),"")</f>
        <v/>
      </c>
    </row>
    <row r="205" spans="1:11">
      <c r="B205" t="s">
        <v>5208</v>
      </c>
      <c r="D205" t="str">
        <f>_xlfn.IFNA(VLOOKUP(C205,[2]科目余额表!C:D,2,0),"")</f>
        <v/>
      </c>
    </row>
    <row r="206" spans="1:11">
      <c r="B206" t="s">
        <v>5208</v>
      </c>
      <c r="D206" t="str">
        <f>_xlfn.IFNA(VLOOKUP(C206,[2]科目余额表!C:D,2,0),"")</f>
        <v/>
      </c>
    </row>
    <row r="207" spans="1:11">
      <c r="D207" t="str">
        <f>_xlfn.IFNA(VLOOKUP(C207,[2]科目余额表!C:D,2,0),"")</f>
        <v/>
      </c>
    </row>
    <row r="208" spans="1:11">
      <c r="D208" t="str">
        <f>_xlfn.IFNA(VLOOKUP(C208,[2]科目余额表!C:D,2,0),"")</f>
        <v/>
      </c>
    </row>
    <row r="209" spans="1:11">
      <c r="A209" t="s">
        <v>5345</v>
      </c>
      <c r="B209" t="s">
        <v>5208</v>
      </c>
      <c r="C209" t="s">
        <v>5346</v>
      </c>
      <c r="D209" t="str">
        <f>_xlfn.IFNA(VLOOKUP(C209,[2]科目余额表!C:D,2,0),"")</f>
        <v/>
      </c>
      <c r="K209" s="290">
        <f>财务费用!B9</f>
        <v>0</v>
      </c>
    </row>
    <row r="210" spans="1:11">
      <c r="A210" t="s">
        <v>5347</v>
      </c>
      <c r="B210" t="s">
        <v>5208</v>
      </c>
      <c r="C210" t="s">
        <v>3976</v>
      </c>
      <c r="D210" t="str">
        <f>_xlfn.IFNA(VLOOKUP(C210,[2]科目余额表!C:D,2,0),"")</f>
        <v/>
      </c>
    </row>
    <row r="211" spans="1:11">
      <c r="A211" t="s">
        <v>5348</v>
      </c>
      <c r="B211" t="s">
        <v>5208</v>
      </c>
      <c r="C211" t="s">
        <v>3977</v>
      </c>
      <c r="D211" t="str">
        <f>_xlfn.IFNA(VLOOKUP(C211,[2]科目余额表!C:D,2,0),"")</f>
        <v/>
      </c>
    </row>
    <row r="212" spans="1:11">
      <c r="A212" t="s">
        <v>5349</v>
      </c>
      <c r="B212" t="s">
        <v>5208</v>
      </c>
      <c r="C212" t="s">
        <v>5350</v>
      </c>
      <c r="D212" t="str">
        <f>_xlfn.IFNA(VLOOKUP(C212,[2]科目余额表!C:D,2,0),"")</f>
        <v/>
      </c>
    </row>
    <row r="213" spans="1:11">
      <c r="A213" t="s">
        <v>5351</v>
      </c>
      <c r="D213" t="str">
        <f>_xlfn.IFNA(VLOOKUP(C213,[2]科目余额表!C:D,2,0),"")</f>
        <v/>
      </c>
    </row>
    <row r="214" spans="1:11">
      <c r="A214" t="s">
        <v>2278</v>
      </c>
      <c r="D214" t="str">
        <f>_xlfn.IFNA(VLOOKUP(C214,[2]科目余额表!C:D,2,0),"")</f>
        <v/>
      </c>
    </row>
    <row r="215" spans="1:11">
      <c r="A215" t="s">
        <v>5254</v>
      </c>
      <c r="D215" t="str">
        <f>_xlfn.IFNA(VLOOKUP(C215,[2]科目余额表!C:D,2,0),"")</f>
        <v/>
      </c>
    </row>
    <row r="216" spans="1:11">
      <c r="A216" t="s">
        <v>5255</v>
      </c>
      <c r="D216" t="str">
        <f>_xlfn.IFNA(VLOOKUP(C216,[2]科目余额表!C:D,2,0),"")</f>
        <v/>
      </c>
    </row>
    <row r="217" spans="1:11">
      <c r="A217" t="s">
        <v>10</v>
      </c>
      <c r="D217" t="str">
        <f>_xlfn.IFNA(VLOOKUP(C217,[2]科目余额表!C:D,2,0),"")</f>
        <v/>
      </c>
    </row>
    <row r="218" spans="1:11">
      <c r="A218" t="s">
        <v>5664</v>
      </c>
      <c r="B218" t="s">
        <v>5191</v>
      </c>
      <c r="C218" t="s">
        <v>5352</v>
      </c>
      <c r="D218" t="str">
        <f>_xlfn.IFNA(VLOOKUP(C218,[3]科目余额表!C:D,2,0),"")</f>
        <v/>
      </c>
      <c r="K218" s="230">
        <f>本期TB!H29</f>
        <v>2082719395.77</v>
      </c>
    </row>
    <row r="219" spans="1:11">
      <c r="A219" t="s">
        <v>5665</v>
      </c>
      <c r="B219" t="s">
        <v>5193</v>
      </c>
      <c r="C219" t="s">
        <v>5352</v>
      </c>
      <c r="D219" t="str">
        <f>_xlfn.IFNA(VLOOKUP(C219,[3]科目余额表!C:D,2,0),"")</f>
        <v/>
      </c>
      <c r="K219" s="230">
        <f>-上期TB!H29</f>
        <v>-2082719395.77</v>
      </c>
    </row>
    <row r="220" spans="1:11">
      <c r="A220" t="s">
        <v>5666</v>
      </c>
      <c r="B220" t="s">
        <v>5193</v>
      </c>
      <c r="C220" t="s">
        <v>5353</v>
      </c>
      <c r="D220" t="str">
        <f>_xlfn.IFNA(VLOOKUP(C220,[3]科目余额表!C:D,2,0),"")</f>
        <v/>
      </c>
      <c r="K220" s="230">
        <f>上期TB!H126</f>
        <v>777699873.33000004</v>
      </c>
    </row>
    <row r="221" spans="1:11">
      <c r="A221" t="s">
        <v>5667</v>
      </c>
      <c r="B221" t="s">
        <v>5191</v>
      </c>
      <c r="C221" t="s">
        <v>5353</v>
      </c>
      <c r="D221" t="str">
        <f>_xlfn.IFNA(VLOOKUP(C221,[3]科目余额表!C:D,2,0),"")</f>
        <v/>
      </c>
      <c r="K221" s="230">
        <f>-本期TB!H128</f>
        <v>-777699873.33000004</v>
      </c>
    </row>
    <row r="222" spans="1:11">
      <c r="A222" t="s">
        <v>5354</v>
      </c>
    </row>
    <row r="223" spans="1:11">
      <c r="A223" t="s">
        <v>5355</v>
      </c>
    </row>
    <row r="224" spans="1:11">
      <c r="A224" s="627" t="s">
        <v>202</v>
      </c>
      <c r="B224" s="627"/>
      <c r="C224" s="627"/>
      <c r="D224" s="627" t="str">
        <f>_xlfn.IFNA(VLOOKUP(C224,[3]科目余额表!C:D,2,0),"")</f>
        <v/>
      </c>
      <c r="E224" s="627"/>
      <c r="F224" s="627"/>
      <c r="G224" s="627"/>
      <c r="H224" s="627"/>
      <c r="I224" s="627"/>
      <c r="J224" s="627"/>
      <c r="K224" s="628" t="e">
        <f>K31+K41+K83-K130-K150-K171+K238+K244+K259+K266+K273-K296-K311-K317-K325+K332+K340+K346-K357-K365-K373-SUM(K173:K223)-SUM(K225:K226)+K380-K386</f>
        <v>#N/A</v>
      </c>
    </row>
    <row r="225" spans="1:13">
      <c r="A225" t="s">
        <v>94</v>
      </c>
      <c r="B225" t="s">
        <v>5193</v>
      </c>
      <c r="C225" t="s">
        <v>5356</v>
      </c>
      <c r="D225" t="str">
        <f>_xlfn.IFNA(VLOOKUP(C225,[2]科目余额表!C:D,2,0),"")</f>
        <v/>
      </c>
    </row>
    <row r="226" spans="1:13">
      <c r="A226" t="s">
        <v>5357</v>
      </c>
      <c r="B226" t="s">
        <v>5191</v>
      </c>
      <c r="C226" t="s">
        <v>5356</v>
      </c>
      <c r="D226" t="str">
        <f>_xlfn.IFNA(VLOOKUP(C226,[2]科目余额表!C:D,2,0),"")</f>
        <v/>
      </c>
    </row>
    <row r="227" spans="1:13">
      <c r="D227" t="str">
        <f>_xlfn.IFNA(VLOOKUP(C227,[2]科目余额表!C:D,2,0),"")</f>
        <v/>
      </c>
    </row>
    <row r="228" spans="1:13">
      <c r="A228" s="262" t="s">
        <v>5358</v>
      </c>
      <c r="B228" s="262"/>
      <c r="C228" s="262"/>
      <c r="D228" s="262" t="str">
        <f>_xlfn.IFNA(VLOOKUP(C228,[2]科目余额表!C:D,2,0),"")</f>
        <v/>
      </c>
      <c r="E228" s="262">
        <f>SUM(E174:E227)</f>
        <v>0</v>
      </c>
      <c r="F228" s="262">
        <f t="shared" ref="F228:K228" si="11">SUM(F174:F227)</f>
        <v>0</v>
      </c>
      <c r="G228" s="262">
        <f t="shared" si="11"/>
        <v>0</v>
      </c>
      <c r="H228" s="262">
        <f t="shared" si="11"/>
        <v>0</v>
      </c>
      <c r="I228" s="262">
        <f t="shared" si="11"/>
        <v>0</v>
      </c>
      <c r="J228" s="262">
        <f t="shared" si="11"/>
        <v>0</v>
      </c>
      <c r="K228" s="264" t="e">
        <f t="shared" si="11"/>
        <v>#N/A</v>
      </c>
    </row>
    <row r="229" spans="1:13">
      <c r="D229" t="str">
        <f>_xlfn.IFNA(VLOOKUP(C229,[2]科目余额表!C:D,2,0),"")</f>
        <v/>
      </c>
    </row>
    <row r="230" spans="1:13">
      <c r="D230" t="str">
        <f>_xlfn.IFNA(VLOOKUP(C230,[2]科目余额表!C:D,2,0),"")</f>
        <v/>
      </c>
    </row>
    <row r="231" spans="1:13">
      <c r="A231" t="s">
        <v>5359</v>
      </c>
      <c r="D231" t="str">
        <f>_xlfn.IFNA(VLOOKUP(C231,[2]科目余额表!C:D,2,0),"")</f>
        <v/>
      </c>
      <c r="L231" s="262"/>
      <c r="M231" s="262"/>
    </row>
    <row r="232" spans="1:13">
      <c r="A232" t="s">
        <v>5360</v>
      </c>
      <c r="D232" t="str">
        <f>_xlfn.IFNA(VLOOKUP(C232,[2]科目余额表!C:D,2,0),"")</f>
        <v/>
      </c>
    </row>
    <row r="233" spans="1:13">
      <c r="A233" t="s">
        <v>5361</v>
      </c>
      <c r="D233" t="str">
        <f>_xlfn.IFNA(VLOOKUP(C233,[2]科目余额表!C:D,2,0),"")</f>
        <v/>
      </c>
    </row>
    <row r="234" spans="1:13">
      <c r="A234" t="s">
        <v>5362</v>
      </c>
      <c r="D234" t="str">
        <f>_xlfn.IFNA(VLOOKUP(C234,[2]科目余额表!C:D,2,0),"")</f>
        <v/>
      </c>
    </row>
    <row r="235" spans="1:13">
      <c r="A235" t="s">
        <v>5363</v>
      </c>
      <c r="D235" t="str">
        <f>_xlfn.IFNA(VLOOKUP(C235,[2]科目余额表!C:D,2,0),"")</f>
        <v/>
      </c>
    </row>
    <row r="236" spans="1:13">
      <c r="D236" t="str">
        <f>_xlfn.IFNA(VLOOKUP(C236,[2]科目余额表!C:D,2,0),"")</f>
        <v/>
      </c>
    </row>
    <row r="237" spans="1:13">
      <c r="D237" t="str">
        <f>_xlfn.IFNA(VLOOKUP(C237,[2]科目余额表!C:D,2,0),"")</f>
        <v/>
      </c>
    </row>
    <row r="238" spans="1:13">
      <c r="A238" s="262" t="s">
        <v>5364</v>
      </c>
      <c r="B238" s="262"/>
      <c r="C238" s="262"/>
      <c r="D238" s="262" t="str">
        <f>_xlfn.IFNA(VLOOKUP(C238,[2]科目余额表!C:D,2,0),"")</f>
        <v/>
      </c>
      <c r="E238" s="262">
        <f>SUM(E231:E237)</f>
        <v>0</v>
      </c>
      <c r="F238" s="262">
        <f t="shared" ref="F238:K238" si="12">SUM(F231:F237)</f>
        <v>0</v>
      </c>
      <c r="G238" s="262">
        <f t="shared" si="12"/>
        <v>0</v>
      </c>
      <c r="H238" s="262">
        <f t="shared" si="12"/>
        <v>0</v>
      </c>
      <c r="I238" s="262">
        <f t="shared" si="12"/>
        <v>0</v>
      </c>
      <c r="J238" s="262">
        <f t="shared" si="12"/>
        <v>0</v>
      </c>
      <c r="K238" s="264">
        <f t="shared" si="12"/>
        <v>0</v>
      </c>
    </row>
    <row r="239" spans="1:13">
      <c r="D239" t="str">
        <f>_xlfn.IFNA(VLOOKUP(C239,[2]科目余额表!C:D,2,0),"")</f>
        <v/>
      </c>
    </row>
    <row r="240" spans="1:13">
      <c r="A240" t="s">
        <v>5365</v>
      </c>
      <c r="D240" t="str">
        <f>_xlfn.IFNA(VLOOKUP(C240,[2]科目余额表!C:D,2,0),"")</f>
        <v/>
      </c>
    </row>
    <row r="241" spans="1:13">
      <c r="A241" t="s">
        <v>5366</v>
      </c>
      <c r="D241" t="str">
        <f>_xlfn.IFNA(VLOOKUP(C241,[2]科目余额表!C:D,2,0),"")</f>
        <v/>
      </c>
      <c r="L241" s="262"/>
      <c r="M241" s="262"/>
    </row>
    <row r="242" spans="1:13">
      <c r="A242" t="s">
        <v>5367</v>
      </c>
      <c r="D242" t="str">
        <f>_xlfn.IFNA(VLOOKUP(C242,[2]科目余额表!C:D,2,0),"")</f>
        <v/>
      </c>
    </row>
    <row r="243" spans="1:13">
      <c r="D243" t="str">
        <f>_xlfn.IFNA(VLOOKUP(C243,[2]科目余额表!C:D,2,0),"")</f>
        <v/>
      </c>
    </row>
    <row r="244" spans="1:13">
      <c r="A244" s="262" t="s">
        <v>5368</v>
      </c>
      <c r="B244" s="262"/>
      <c r="C244" s="262"/>
      <c r="D244" s="262" t="str">
        <f>_xlfn.IFNA(VLOOKUP(C244,[2]科目余额表!C:D,2,0),"")</f>
        <v/>
      </c>
      <c r="E244" s="262">
        <f>SUM(E240:E243)</f>
        <v>0</v>
      </c>
      <c r="F244" s="262">
        <f t="shared" ref="F244:K244" si="13">SUM(F240:F243)</f>
        <v>0</v>
      </c>
      <c r="G244" s="262">
        <f t="shared" si="13"/>
        <v>0</v>
      </c>
      <c r="H244" s="262">
        <f t="shared" si="13"/>
        <v>0</v>
      </c>
      <c r="I244" s="262">
        <f t="shared" si="13"/>
        <v>0</v>
      </c>
      <c r="J244" s="262">
        <f t="shared" si="13"/>
        <v>0</v>
      </c>
      <c r="K244" s="264">
        <f t="shared" si="13"/>
        <v>0</v>
      </c>
    </row>
    <row r="245" spans="1:13">
      <c r="D245" t="str">
        <f>_xlfn.IFNA(VLOOKUP(C245,[2]科目余额表!C:D,2,0),"")</f>
        <v/>
      </c>
    </row>
    <row r="246" spans="1:13">
      <c r="D246" t="str">
        <f>_xlfn.IFNA(VLOOKUP(C246,[2]科目余额表!C:D,2,0),"")</f>
        <v/>
      </c>
    </row>
    <row r="247" spans="1:13">
      <c r="A247" t="s">
        <v>813</v>
      </c>
      <c r="B247" t="s">
        <v>5184</v>
      </c>
      <c r="D247" t="str">
        <f>_xlfn.IFNA(VLOOKUP(C247,[2]科目余额表!C:D,2,0),"")</f>
        <v/>
      </c>
      <c r="K247" s="290">
        <f>本期TB!H201</f>
        <v>3131735.07</v>
      </c>
      <c r="L247" s="262"/>
      <c r="M247" s="262"/>
    </row>
    <row r="248" spans="1:13">
      <c r="A248" t="s">
        <v>5369</v>
      </c>
      <c r="B248" t="s">
        <v>5184</v>
      </c>
      <c r="C248" t="s">
        <v>5370</v>
      </c>
      <c r="D248" t="str">
        <f>_xlfn.IFNA(VLOOKUP(C248,[2]科目余额表!C:D,2,0),"")</f>
        <v/>
      </c>
      <c r="K248" s="290">
        <f>_xlfn.IFNA(VLOOKUP("非流动资产毁损报废利得",营业外收入!A:B,2,0),0)</f>
        <v>0</v>
      </c>
    </row>
    <row r="249" spans="1:13">
      <c r="A249" t="s">
        <v>5371</v>
      </c>
      <c r="B249" t="s">
        <v>5208</v>
      </c>
      <c r="C249" t="s">
        <v>5372</v>
      </c>
      <c r="D249" t="str">
        <f>_xlfn.IFNA(VLOOKUP(C249,[2]科目余额表!C:D,2,0),"")</f>
        <v/>
      </c>
      <c r="K249" s="290">
        <f>-_xlfn.IFNA(VLOOKUP("非流动资产毁损报废损失",营业外支出!A:C,2,0),0)</f>
        <v>0</v>
      </c>
    </row>
    <row r="250" spans="1:13">
      <c r="A250" t="s">
        <v>89</v>
      </c>
      <c r="B250" t="s">
        <v>5184</v>
      </c>
      <c r="C250" t="s">
        <v>5373</v>
      </c>
      <c r="D250" t="str">
        <f>_xlfn.IFNA(VLOOKUP(C250,[2]科目余额表!C:D,2,0),"")</f>
        <v/>
      </c>
      <c r="K250" s="290">
        <f>SUMIF(固定资产明细表!I:I,"原值本期减少处置",固定资产明细表!F:F)+SUMIF(固定资产明细表!I:I,"原值本期减少报废、毁损",固定资产明细表!F:F)</f>
        <v>0</v>
      </c>
    </row>
    <row r="251" spans="1:13">
      <c r="A251" t="s">
        <v>5374</v>
      </c>
      <c r="B251" t="s">
        <v>5208</v>
      </c>
      <c r="C251" t="s">
        <v>5375</v>
      </c>
      <c r="D251" t="str">
        <f>_xlfn.IFNA(VLOOKUP(C251,[2]科目余额表!C:D,2,0),"")</f>
        <v/>
      </c>
      <c r="K251" s="290">
        <f>-SUMIF(固定资产明细表!I:I,"累计折旧本期减少处置",固定资产明细表!F:F)-SUMIF(固定资产明细表!I:I,"累计折旧本期减少报废、毁损",固定资产明细表!F:F)</f>
        <v>0</v>
      </c>
    </row>
    <row r="252" spans="1:13">
      <c r="A252" t="s">
        <v>5376</v>
      </c>
      <c r="B252" t="s">
        <v>5208</v>
      </c>
      <c r="D252" t="str">
        <f>_xlfn.IFNA(VLOOKUP(C252,[2]科目余额表!C:D,2,0),"")</f>
        <v/>
      </c>
      <c r="K252" s="290">
        <f>-SUMIF(固定资产明细表!I:I,"减值准备本期减少处置",固定资产明细表!F:F)-SUMIF(固定资产明细表!I:I,"减值准备本期减少报废、毁损",固定资产明细表!F:F)</f>
        <v>0</v>
      </c>
    </row>
    <row r="253" spans="1:13">
      <c r="A253" t="s">
        <v>90</v>
      </c>
      <c r="B253" t="s">
        <v>5184</v>
      </c>
      <c r="D253" t="str">
        <f>_xlfn.IFNA(VLOOKUP(C253,[2]科目余额表!C:D,2,0),"")</f>
        <v/>
      </c>
      <c r="K253" s="290">
        <f>SUMIF(无形资产明细表!I:I,"原值本期减少出售",无形资产明细表!F:F)+SUMIF(无形资产明细表!I:I,"原值本期减少报废、毁损",无形资产明细表!F:F)</f>
        <v>0</v>
      </c>
    </row>
    <row r="254" spans="1:13">
      <c r="A254" t="s">
        <v>5377</v>
      </c>
      <c r="B254" t="s">
        <v>5208</v>
      </c>
      <c r="D254" t="str">
        <f>_xlfn.IFNA(VLOOKUP(C254,[2]科目余额表!C:D,2,0),"")</f>
        <v/>
      </c>
      <c r="K254" s="290">
        <f>-SUMIF(无形资产明细表!I:I,"累计折旧本期减少出售",无形资产明细表!F:F)-SUMIF(无形资产明细表!I:I,"累计折旧本期减少报废、毁损",无形资产明细表!F:F)</f>
        <v>0</v>
      </c>
    </row>
    <row r="255" spans="1:13">
      <c r="A255" t="s">
        <v>5378</v>
      </c>
      <c r="D255" t="str">
        <f>_xlfn.IFNA(VLOOKUP(C255,[2]科目余额表!C:D,2,0),"")</f>
        <v/>
      </c>
    </row>
    <row r="256" spans="1:13">
      <c r="A256" t="s">
        <v>5379</v>
      </c>
      <c r="D256" t="str">
        <f>_xlfn.IFNA(VLOOKUP(C256,[2]科目余额表!C:D,2,0),"")</f>
        <v/>
      </c>
    </row>
    <row r="257" spans="1:13">
      <c r="A257" t="s">
        <v>5668</v>
      </c>
      <c r="D257" t="str">
        <f>_xlfn.IFNA(VLOOKUP(C257,[2]科目余额表!C:D,2,0),"")</f>
        <v/>
      </c>
      <c r="K257" s="290">
        <f>应交增值税计提!B4</f>
        <v>0</v>
      </c>
    </row>
    <row r="258" spans="1:13">
      <c r="D258" t="str">
        <f>_xlfn.IFNA(VLOOKUP(C258,[2]科目余额表!C:D,2,0),"")</f>
        <v/>
      </c>
    </row>
    <row r="259" spans="1:13">
      <c r="A259" s="262" t="s">
        <v>5380</v>
      </c>
      <c r="B259" s="262"/>
      <c r="C259" s="262"/>
      <c r="D259" s="262" t="str">
        <f>_xlfn.IFNA(VLOOKUP(C259,[2]科目余额表!C:D,2,0),"")</f>
        <v/>
      </c>
      <c r="E259" s="262">
        <f>SUM(E247:E258)</f>
        <v>0</v>
      </c>
      <c r="F259" s="262">
        <f t="shared" ref="F259:J259" si="14">SUM(F247:F258)</f>
        <v>0</v>
      </c>
      <c r="G259" s="262">
        <f t="shared" si="14"/>
        <v>0</v>
      </c>
      <c r="H259" s="262">
        <f t="shared" si="14"/>
        <v>0</v>
      </c>
      <c r="I259" s="262">
        <f t="shared" si="14"/>
        <v>0</v>
      </c>
      <c r="J259" s="262">
        <f t="shared" si="14"/>
        <v>0</v>
      </c>
      <c r="K259" s="264">
        <f>SUM(K247:K258)</f>
        <v>3131735.07</v>
      </c>
    </row>
    <row r="260" spans="1:13">
      <c r="D260" t="str">
        <f>_xlfn.IFNA(VLOOKUP(C260,[2]科目余额表!C:D,2,0),"")</f>
        <v/>
      </c>
    </row>
    <row r="261" spans="1:13">
      <c r="D261" t="str">
        <f>_xlfn.IFNA(VLOOKUP(C261,[2]科目余额表!C:D,2,0),"")</f>
        <v/>
      </c>
    </row>
    <row r="262" spans="1:13">
      <c r="A262" t="s">
        <v>5381</v>
      </c>
      <c r="D262" t="str">
        <f>_xlfn.IFNA(VLOOKUP(C262,[2]科目余额表!C:D,2,0),"")</f>
        <v/>
      </c>
      <c r="L262" s="262"/>
      <c r="M262" s="262"/>
    </row>
    <row r="263" spans="1:13">
      <c r="A263" t="s">
        <v>5382</v>
      </c>
      <c r="D263" t="str">
        <f>_xlfn.IFNA(VLOOKUP(C263,[2]科目余额表!C:D,2,0),"")</f>
        <v/>
      </c>
    </row>
    <row r="264" spans="1:13">
      <c r="A264" t="s">
        <v>5383</v>
      </c>
      <c r="D264" t="str">
        <f>_xlfn.IFNA(VLOOKUP(C264,[2]科目余额表!C:D,2,0),"")</f>
        <v/>
      </c>
    </row>
    <row r="265" spans="1:13">
      <c r="D265" t="str">
        <f>_xlfn.IFNA(VLOOKUP(C265,[2]科目余额表!C:D,2,0),"")</f>
        <v/>
      </c>
    </row>
    <row r="266" spans="1:13">
      <c r="A266" s="262" t="s">
        <v>5384</v>
      </c>
      <c r="B266" s="262"/>
      <c r="C266" s="262"/>
      <c r="D266" s="262" t="str">
        <f>_xlfn.IFNA(VLOOKUP(C266,[2]科目余额表!C:D,2,0),"")</f>
        <v/>
      </c>
      <c r="E266" s="262">
        <f>SUM(E262:E265)</f>
        <v>0</v>
      </c>
      <c r="F266" s="262">
        <f t="shared" ref="F266:K266" si="15">SUM(F262:F265)</f>
        <v>0</v>
      </c>
      <c r="G266" s="262">
        <f t="shared" si="15"/>
        <v>0</v>
      </c>
      <c r="H266" s="262">
        <f t="shared" si="15"/>
        <v>0</v>
      </c>
      <c r="I266" s="262">
        <f t="shared" si="15"/>
        <v>0</v>
      </c>
      <c r="J266" s="262">
        <f t="shared" si="15"/>
        <v>0</v>
      </c>
      <c r="K266" s="264">
        <f t="shared" si="15"/>
        <v>0</v>
      </c>
    </row>
    <row r="267" spans="1:13">
      <c r="D267" t="str">
        <f>_xlfn.IFNA(VLOOKUP(C267,[2]科目余额表!C:D,2,0),"")</f>
        <v/>
      </c>
    </row>
    <row r="268" spans="1:13">
      <c r="A268" t="s">
        <v>5385</v>
      </c>
      <c r="D268" t="str">
        <f>_xlfn.IFNA(VLOOKUP(C268,[2]科目余额表!C:D,2,0),"")</f>
        <v/>
      </c>
    </row>
    <row r="269" spans="1:13">
      <c r="A269" t="s">
        <v>5386</v>
      </c>
      <c r="D269" t="str">
        <f>_xlfn.IFNA(VLOOKUP(C269,[2]科目余额表!C:D,2,0),"")</f>
        <v/>
      </c>
      <c r="L269" s="262"/>
      <c r="M269" s="262"/>
    </row>
    <row r="270" spans="1:13">
      <c r="A270" t="s">
        <v>5387</v>
      </c>
      <c r="D270" t="str">
        <f>_xlfn.IFNA(VLOOKUP(C270,[2]科目余额表!C:D,2,0),"")</f>
        <v/>
      </c>
    </row>
    <row r="271" spans="1:13">
      <c r="A271" t="s">
        <v>5669</v>
      </c>
      <c r="D271" t="str">
        <f>_xlfn.IFNA(VLOOKUP(C271,[2]科目余额表!C:D,2,0),"")</f>
        <v/>
      </c>
      <c r="K271" s="290">
        <f>财务费用分类表!B2</f>
        <v>0</v>
      </c>
    </row>
    <row r="272" spans="1:13">
      <c r="D272" t="str">
        <f>_xlfn.IFNA(VLOOKUP(C272,[2]科目余额表!C:D,2,0),"")</f>
        <v/>
      </c>
    </row>
    <row r="273" spans="1:13">
      <c r="A273" s="262" t="s">
        <v>5388</v>
      </c>
      <c r="B273" s="262"/>
      <c r="C273" s="262"/>
      <c r="D273" s="262" t="str">
        <f>_xlfn.IFNA(VLOOKUP(C273,[2]科目余额表!C:D,2,0),"")</f>
        <v/>
      </c>
      <c r="E273" s="262">
        <f>SUM(E268:E272)</f>
        <v>0</v>
      </c>
      <c r="F273" s="262">
        <f t="shared" ref="F273:K273" si="16">SUM(F268:F272)</f>
        <v>0</v>
      </c>
      <c r="G273" s="262">
        <f t="shared" si="16"/>
        <v>0</v>
      </c>
      <c r="H273" s="262">
        <f t="shared" si="16"/>
        <v>0</v>
      </c>
      <c r="I273" s="262">
        <f t="shared" si="16"/>
        <v>0</v>
      </c>
      <c r="J273" s="262">
        <f t="shared" si="16"/>
        <v>0</v>
      </c>
      <c r="K273" s="264">
        <f t="shared" si="16"/>
        <v>0</v>
      </c>
    </row>
    <row r="274" spans="1:13">
      <c r="D274" t="str">
        <f>_xlfn.IFNA(VLOOKUP(C274,[2]科目余额表!C:D,2,0),"")</f>
        <v/>
      </c>
    </row>
    <row r="275" spans="1:13">
      <c r="A275" t="s">
        <v>5389</v>
      </c>
      <c r="B275" t="s">
        <v>5208</v>
      </c>
      <c r="C275" t="s">
        <v>5373</v>
      </c>
      <c r="D275" t="str">
        <f>_xlfn.IFNA(VLOOKUP(C275,[2]科目余额表!C:D,2,0),"")</f>
        <v/>
      </c>
      <c r="K275" s="290">
        <f>SUMIF(固定资产明细表!I:I,"原值本期增加外购",固定资产明细表!F:F)</f>
        <v>0</v>
      </c>
    </row>
    <row r="276" spans="1:13">
      <c r="A276" t="s">
        <v>5390</v>
      </c>
      <c r="B276" t="s">
        <v>5208</v>
      </c>
      <c r="C276" t="s">
        <v>5391</v>
      </c>
      <c r="D276" t="str">
        <f>_xlfn.IFNA(VLOOKUP(C276,[2]科目余额表!C:D,2,0),"")</f>
        <v/>
      </c>
      <c r="K276" s="290">
        <f>SUM(在建工程明细表!F:F)</f>
        <v>0</v>
      </c>
      <c r="L276" s="262"/>
      <c r="M276" s="262"/>
    </row>
    <row r="277" spans="1:13">
      <c r="A277" t="s">
        <v>5392</v>
      </c>
      <c r="B277" t="s">
        <v>5208</v>
      </c>
      <c r="D277" t="str">
        <f>_xlfn.IFNA(VLOOKUP(C277,[2]科目余额表!C:D,2,0),"")</f>
        <v/>
      </c>
    </row>
    <row r="278" spans="1:13">
      <c r="A278" t="s">
        <v>5393</v>
      </c>
      <c r="B278" t="s">
        <v>5208</v>
      </c>
      <c r="C278" t="s">
        <v>5394</v>
      </c>
      <c r="D278" t="str">
        <f>_xlfn.IFNA(VLOOKUP(C278,[2]科目余额表!C:D,2,0),"")</f>
        <v/>
      </c>
      <c r="K278" s="290">
        <f>SUMIF(无形资产明细表!I:I,"原值本期增加外购",无形资产明细表!F:F)</f>
        <v>0</v>
      </c>
    </row>
    <row r="279" spans="1:13">
      <c r="A279" t="s">
        <v>5395</v>
      </c>
      <c r="B279" t="s">
        <v>5208</v>
      </c>
      <c r="D279" t="str">
        <f>_xlfn.IFNA(VLOOKUP(C279,[2]科目余额表!C:D,2,0),"")</f>
        <v/>
      </c>
      <c r="K279" s="290">
        <f>SUMIF(生产性生物资产明细表!I:I,"原值本期增加外购",生产性生物资产明细表!F:F)</f>
        <v>0</v>
      </c>
    </row>
    <row r="280" spans="1:13">
      <c r="A280" t="s">
        <v>5396</v>
      </c>
      <c r="B280" t="s">
        <v>5208</v>
      </c>
      <c r="D280" t="str">
        <f>_xlfn.IFNA(VLOOKUP(C280,[2]科目余额表!C:D,2,0),"")</f>
        <v/>
      </c>
    </row>
    <row r="281" spans="1:13">
      <c r="A281" t="s">
        <v>5397</v>
      </c>
      <c r="B281" t="s">
        <v>5208</v>
      </c>
      <c r="D281" t="str">
        <f>_xlfn.IFNA(VLOOKUP(C281,[2]科目余额表!C:D,2,0),"")</f>
        <v/>
      </c>
    </row>
    <row r="282" spans="1:13">
      <c r="A282" t="s">
        <v>5398</v>
      </c>
      <c r="B282" t="s">
        <v>5208</v>
      </c>
      <c r="D282" t="str">
        <f>_xlfn.IFNA(VLOOKUP(C282,[2]科目余额表!C:D,2,0),"")</f>
        <v/>
      </c>
      <c r="K282" s="290">
        <f>VLOOKUP("合计",长期待摊费用!A:G,3,0)</f>
        <v>0</v>
      </c>
    </row>
    <row r="283" spans="1:13">
      <c r="A283" t="s">
        <v>5399</v>
      </c>
      <c r="D283" t="str">
        <f>_xlfn.IFNA(VLOOKUP(C283,[2]科目余额表!C:D,2,0),"")</f>
        <v/>
      </c>
      <c r="K283" s="290" t="e">
        <f>-利息资本化校验!B4</f>
        <v>#N/A</v>
      </c>
    </row>
    <row r="284" spans="1:13">
      <c r="A284" t="s">
        <v>5670</v>
      </c>
      <c r="D284" t="str">
        <f>_xlfn.IFNA(VLOOKUP(C284,[2]科目余额表!C:D,2,0),"")</f>
        <v/>
      </c>
      <c r="K284" s="290">
        <f>应交增值税计提!B8</f>
        <v>0</v>
      </c>
    </row>
    <row r="285" spans="1:13">
      <c r="A285" t="s">
        <v>5400</v>
      </c>
      <c r="D285" t="str">
        <f>_xlfn.IFNA(VLOOKUP(C285,[2]科目余额表!C:D,2,0),"")</f>
        <v/>
      </c>
      <c r="K285" s="290">
        <f>-K117</f>
        <v>0</v>
      </c>
    </row>
    <row r="286" spans="1:13">
      <c r="A286" t="s">
        <v>5401</v>
      </c>
      <c r="D286" t="str">
        <f>_xlfn.IFNA(VLOOKUP(C286,[2]科目余额表!C:D,2,0),"")</f>
        <v/>
      </c>
      <c r="K286" s="290">
        <f>-K116</f>
        <v>0</v>
      </c>
    </row>
    <row r="287" spans="1:13">
      <c r="A287" t="s">
        <v>5402</v>
      </c>
      <c r="D287" t="str">
        <f>_xlfn.IFNA(VLOOKUP(C287,[2]科目余额表!C:D,2,0),"")</f>
        <v/>
      </c>
      <c r="K287" s="290">
        <f>-K119</f>
        <v>0</v>
      </c>
    </row>
    <row r="288" spans="1:13">
      <c r="A288" t="s">
        <v>5403</v>
      </c>
      <c r="D288" t="str">
        <f>_xlfn.IFNA(VLOOKUP(C288,[2]科目余额表!C:D,2,0),"")</f>
        <v/>
      </c>
      <c r="K288" s="290">
        <f>-K118</f>
        <v>0</v>
      </c>
    </row>
    <row r="289" spans="1:13">
      <c r="A289" t="s">
        <v>5404</v>
      </c>
      <c r="D289" t="str">
        <f>_xlfn.IFNA(VLOOKUP(C289,[2]科目余额表!C:D,2,0),"")</f>
        <v/>
      </c>
    </row>
    <row r="290" spans="1:13">
      <c r="A290" t="s">
        <v>5405</v>
      </c>
      <c r="D290" t="str">
        <f>_xlfn.IFNA(VLOOKUP(C290,[2]科目余额表!C:D,2,0),"")</f>
        <v/>
      </c>
    </row>
    <row r="291" spans="1:13">
      <c r="A291" t="s">
        <v>5406</v>
      </c>
      <c r="D291" t="str">
        <f>_xlfn.IFNA(VLOOKUP(C291,[2]科目余额表!C:D,2,0),"")</f>
        <v/>
      </c>
    </row>
    <row r="292" spans="1:13">
      <c r="A292" t="s">
        <v>5407</v>
      </c>
      <c r="D292" t="str">
        <f>_xlfn.IFNA(VLOOKUP(C292,[2]科目余额表!C:D,2,0),"")</f>
        <v/>
      </c>
      <c r="K292" s="290">
        <f>-薪酬校验表!B6</f>
        <v>0</v>
      </c>
    </row>
    <row r="293" spans="1:13">
      <c r="A293" t="s">
        <v>5408</v>
      </c>
      <c r="D293" t="str">
        <f>_xlfn.IFNA(VLOOKUP(C293,[2]科目余额表!C:D,2,0),"")</f>
        <v/>
      </c>
      <c r="K293" s="290">
        <f>-折旧及摊销校验表!B9</f>
        <v>0</v>
      </c>
    </row>
    <row r="294" spans="1:13">
      <c r="D294" t="str">
        <f>_xlfn.IFNA(VLOOKUP(C294,[2]科目余额表!C:D,2,0),"")</f>
        <v/>
      </c>
    </row>
    <row r="295" spans="1:13">
      <c r="D295" t="str">
        <f>_xlfn.IFNA(VLOOKUP(C295,[2]科目余额表!C:D,2,0),"")</f>
        <v/>
      </c>
    </row>
    <row r="296" spans="1:13">
      <c r="A296" s="262" t="s">
        <v>5409</v>
      </c>
      <c r="B296" s="262"/>
      <c r="C296" s="262"/>
      <c r="D296" s="262" t="str">
        <f>_xlfn.IFNA(VLOOKUP(C296,[2]科目余额表!C:D,2,0),"")</f>
        <v/>
      </c>
      <c r="E296" s="262">
        <f>SUM(E275:E295)</f>
        <v>0</v>
      </c>
      <c r="F296" s="262">
        <f t="shared" ref="F296:K296" si="17">SUM(F275:F295)</f>
        <v>0</v>
      </c>
      <c r="G296" s="262">
        <f t="shared" si="17"/>
        <v>0</v>
      </c>
      <c r="H296" s="262">
        <f t="shared" si="17"/>
        <v>0</v>
      </c>
      <c r="I296" s="262">
        <f t="shared" si="17"/>
        <v>0</v>
      </c>
      <c r="J296" s="262">
        <f t="shared" si="17"/>
        <v>0</v>
      </c>
      <c r="K296" s="264" t="e">
        <f t="shared" si="17"/>
        <v>#N/A</v>
      </c>
    </row>
    <row r="297" spans="1:13">
      <c r="D297" t="str">
        <f>_xlfn.IFNA(VLOOKUP(C297,[2]科目余额表!C:D,2,0),"")</f>
        <v/>
      </c>
    </row>
    <row r="298" spans="1:13">
      <c r="D298" t="str">
        <f>_xlfn.IFNA(VLOOKUP(C298,[2]科目余额表!C:D,2,0),"")</f>
        <v/>
      </c>
    </row>
    <row r="299" spans="1:13">
      <c r="A299" t="s">
        <v>5410</v>
      </c>
      <c r="B299" t="s">
        <v>5208</v>
      </c>
      <c r="D299" t="str">
        <f>_xlfn.IFNA(VLOOKUP(C299,[2]科目余额表!C:D,2,0),"")</f>
        <v/>
      </c>
      <c r="L299" s="262"/>
      <c r="M299" s="262"/>
    </row>
    <row r="300" spans="1:13">
      <c r="A300" t="s">
        <v>5411</v>
      </c>
      <c r="B300" t="s">
        <v>5208</v>
      </c>
      <c r="D300" t="str">
        <f>_xlfn.IFNA(VLOOKUP(C300,[2]科目余额表!C:D,2,0),"")</f>
        <v/>
      </c>
    </row>
    <row r="301" spans="1:13">
      <c r="A301" t="s">
        <v>5412</v>
      </c>
      <c r="B301" t="s">
        <v>5208</v>
      </c>
      <c r="C301" t="s">
        <v>3283</v>
      </c>
      <c r="D301" t="str">
        <f>_xlfn.IFNA(VLOOKUP(C301,[2]科目余额表!C:D,2,0),"")</f>
        <v/>
      </c>
    </row>
    <row r="302" spans="1:13">
      <c r="A302" t="s">
        <v>5413</v>
      </c>
      <c r="B302" t="s">
        <v>5208</v>
      </c>
      <c r="C302" t="s">
        <v>3291</v>
      </c>
      <c r="D302" t="str">
        <f>_xlfn.IFNA(VLOOKUP(C302,[2]科目余额表!C:D,2,0),"")</f>
        <v/>
      </c>
      <c r="K302" s="290">
        <f>SUM(长期股权投资明细表!H:H)</f>
        <v>0</v>
      </c>
    </row>
    <row r="303" spans="1:13">
      <c r="A303" t="s">
        <v>5413</v>
      </c>
      <c r="B303" t="s">
        <v>5208</v>
      </c>
      <c r="C303" t="s">
        <v>3293</v>
      </c>
      <c r="D303" t="str">
        <f>_xlfn.IFNA(VLOOKUP(C303,[2]科目余额表!C:D,2,0),"")</f>
        <v/>
      </c>
    </row>
    <row r="304" spans="1:13">
      <c r="A304" t="s">
        <v>5414</v>
      </c>
      <c r="B304" t="s">
        <v>5208</v>
      </c>
      <c r="C304" t="s">
        <v>3297</v>
      </c>
      <c r="D304" t="str">
        <f>_xlfn.IFNA(VLOOKUP(C304,[2]科目余额表!C:D,2,0),"")</f>
        <v/>
      </c>
    </row>
    <row r="305" spans="1:13">
      <c r="A305" t="s">
        <v>5415</v>
      </c>
      <c r="D305" t="str">
        <f>_xlfn.IFNA(VLOOKUP(C305,[2]科目余额表!C:D,2,0),"")</f>
        <v/>
      </c>
    </row>
    <row r="306" spans="1:13">
      <c r="A306" t="s">
        <v>5378</v>
      </c>
      <c r="D306" t="str">
        <f>_xlfn.IFNA(VLOOKUP(C306,[2]科目余额表!C:D,2,0),"")</f>
        <v/>
      </c>
    </row>
    <row r="307" spans="1:13">
      <c r="A307" t="s">
        <v>5379</v>
      </c>
      <c r="D307" t="str">
        <f>_xlfn.IFNA(VLOOKUP(C307,[2]科目余额表!C:D,2,0),"")</f>
        <v/>
      </c>
    </row>
    <row r="308" spans="1:13">
      <c r="A308" t="s">
        <v>5416</v>
      </c>
      <c r="D308" t="str">
        <f>_xlfn.IFNA(VLOOKUP(C308,[2]科目余额表!C:D,2,0),"")</f>
        <v/>
      </c>
    </row>
    <row r="309" spans="1:13">
      <c r="D309" t="str">
        <f>_xlfn.IFNA(VLOOKUP(C309,[2]科目余额表!C:D,2,0),"")</f>
        <v/>
      </c>
    </row>
    <row r="310" spans="1:13">
      <c r="D310" t="str">
        <f>_xlfn.IFNA(VLOOKUP(C310,[2]科目余额表!C:D,2,0),"")</f>
        <v/>
      </c>
    </row>
    <row r="311" spans="1:13">
      <c r="A311" s="262" t="s">
        <v>5417</v>
      </c>
      <c r="B311" s="262"/>
      <c r="C311" s="262"/>
      <c r="D311" s="262" t="str">
        <f>_xlfn.IFNA(VLOOKUP(C311,[2]科目余额表!C:D,2,0),"")</f>
        <v/>
      </c>
      <c r="E311" s="262">
        <f>SUM(E299:E310)</f>
        <v>0</v>
      </c>
      <c r="F311" s="262">
        <f t="shared" ref="F311:K311" si="18">SUM(F299:F310)</f>
        <v>0</v>
      </c>
      <c r="G311" s="262">
        <f t="shared" si="18"/>
        <v>0</v>
      </c>
      <c r="H311" s="262">
        <f t="shared" si="18"/>
        <v>0</v>
      </c>
      <c r="I311" s="262">
        <f t="shared" si="18"/>
        <v>0</v>
      </c>
      <c r="J311" s="262">
        <f t="shared" si="18"/>
        <v>0</v>
      </c>
      <c r="K311" s="264">
        <f t="shared" si="18"/>
        <v>0</v>
      </c>
    </row>
    <row r="312" spans="1:13">
      <c r="D312" t="str">
        <f>_xlfn.IFNA(VLOOKUP(C312,[2]科目余额表!C:D,2,0),"")</f>
        <v/>
      </c>
    </row>
    <row r="313" spans="1:13">
      <c r="D313" t="str">
        <f>_xlfn.IFNA(VLOOKUP(C313,[2]科目余额表!C:D,2,0),"")</f>
        <v/>
      </c>
    </row>
    <row r="314" spans="1:13">
      <c r="A314" t="s">
        <v>5418</v>
      </c>
      <c r="D314" t="str">
        <f>_xlfn.IFNA(VLOOKUP(C314,[2]科目余额表!C:D,2,0),"")</f>
        <v/>
      </c>
      <c r="K314" s="290">
        <f>SUM(长期股权投资明细表!G:G)</f>
        <v>0</v>
      </c>
      <c r="L314" s="262"/>
      <c r="M314" s="262"/>
    </row>
    <row r="315" spans="1:13">
      <c r="A315" t="s">
        <v>5383</v>
      </c>
      <c r="D315" t="str">
        <f>_xlfn.IFNA(VLOOKUP(C315,[2]科目余额表!C:D,2,0),"")</f>
        <v/>
      </c>
    </row>
    <row r="316" spans="1:13">
      <c r="D316" t="str">
        <f>_xlfn.IFNA(VLOOKUP(C316,[2]科目余额表!C:D,2,0),"")</f>
        <v/>
      </c>
    </row>
    <row r="317" spans="1:13">
      <c r="A317" s="262" t="s">
        <v>5419</v>
      </c>
      <c r="B317" s="262"/>
      <c r="C317" s="262"/>
      <c r="D317" s="262" t="str">
        <f>_xlfn.IFNA(VLOOKUP(C317,[2]科目余额表!C:D,2,0),"")</f>
        <v/>
      </c>
      <c r="E317" s="262">
        <f>SUM(E314:E316)</f>
        <v>0</v>
      </c>
      <c r="F317" s="262">
        <f t="shared" ref="F317:K317" si="19">SUM(F314:F316)</f>
        <v>0</v>
      </c>
      <c r="G317" s="262">
        <f t="shared" si="19"/>
        <v>0</v>
      </c>
      <c r="H317" s="262">
        <f t="shared" si="19"/>
        <v>0</v>
      </c>
      <c r="I317" s="262">
        <f t="shared" si="19"/>
        <v>0</v>
      </c>
      <c r="J317" s="262">
        <f t="shared" si="19"/>
        <v>0</v>
      </c>
      <c r="K317" s="264">
        <f t="shared" si="19"/>
        <v>0</v>
      </c>
    </row>
    <row r="318" spans="1:13">
      <c r="D318" t="str">
        <f>_xlfn.IFNA(VLOOKUP(C318,[2]科目余额表!C:D,2,0),"")</f>
        <v/>
      </c>
    </row>
    <row r="319" spans="1:13">
      <c r="D319" t="str">
        <f>_xlfn.IFNA(VLOOKUP(C319,[2]科目余额表!C:D,2,0),"")</f>
        <v/>
      </c>
    </row>
    <row r="320" spans="1:13">
      <c r="A320" t="s">
        <v>5420</v>
      </c>
      <c r="D320" t="str">
        <f>_xlfn.IFNA(VLOOKUP(C320,[2]科目余额表!C:D,2,0),"")</f>
        <v/>
      </c>
      <c r="L320" s="262"/>
      <c r="M320" s="262"/>
    </row>
    <row r="321" spans="1:13">
      <c r="A321" t="s">
        <v>5421</v>
      </c>
      <c r="D321" t="str">
        <f>_xlfn.IFNA(VLOOKUP(C321,[2]科目余额表!C:D,2,0),"")</f>
        <v/>
      </c>
    </row>
    <row r="322" spans="1:13">
      <c r="A322" t="s">
        <v>5422</v>
      </c>
      <c r="D322" t="str">
        <f>_xlfn.IFNA(VLOOKUP(C322,[2]科目余额表!C:D,2,0),"")</f>
        <v/>
      </c>
    </row>
    <row r="323" spans="1:13">
      <c r="D323" t="str">
        <f>_xlfn.IFNA(VLOOKUP(C323,[2]科目余额表!C:D,2,0),"")</f>
        <v/>
      </c>
    </row>
    <row r="324" spans="1:13">
      <c r="D324" t="str">
        <f>_xlfn.IFNA(VLOOKUP(C324,[2]科目余额表!C:D,2,0),"")</f>
        <v/>
      </c>
    </row>
    <row r="325" spans="1:13">
      <c r="A325" s="262" t="s">
        <v>5423</v>
      </c>
      <c r="B325" s="262"/>
      <c r="C325" s="262"/>
      <c r="D325" s="262" t="str">
        <f>_xlfn.IFNA(VLOOKUP(C325,[2]科目余额表!C:D,2,0),"")</f>
        <v/>
      </c>
      <c r="E325" s="262">
        <f>SUM(E320:E324)</f>
        <v>0</v>
      </c>
      <c r="F325" s="262">
        <f t="shared" ref="F325:K325" si="20">SUM(F320:F324)</f>
        <v>0</v>
      </c>
      <c r="G325" s="262">
        <f t="shared" si="20"/>
        <v>0</v>
      </c>
      <c r="H325" s="262">
        <f t="shared" si="20"/>
        <v>0</v>
      </c>
      <c r="I325" s="262">
        <f t="shared" si="20"/>
        <v>0</v>
      </c>
      <c r="J325" s="262">
        <f t="shared" si="20"/>
        <v>0</v>
      </c>
      <c r="K325" s="264">
        <f t="shared" si="20"/>
        <v>0</v>
      </c>
    </row>
    <row r="326" spans="1:13">
      <c r="D326" t="str">
        <f>_xlfn.IFNA(VLOOKUP(C326,[2]科目余额表!C:D,2,0),"")</f>
        <v/>
      </c>
    </row>
    <row r="327" spans="1:13">
      <c r="D327" t="str">
        <f>_xlfn.IFNA(VLOOKUP(C327,[2]科目余额表!C:D,2,0),"")</f>
        <v/>
      </c>
    </row>
    <row r="328" spans="1:13">
      <c r="A328" t="s">
        <v>791</v>
      </c>
      <c r="B328" t="s">
        <v>5184</v>
      </c>
      <c r="C328" t="s">
        <v>3613</v>
      </c>
      <c r="D328" t="str">
        <f>_xlfn.IFNA(VLOOKUP(C328,[2]科目余额表!C:D,2,0),"")</f>
        <v/>
      </c>
      <c r="K328" s="290">
        <f>VLOOKUP("合计",实收资本!A:G,4,0)</f>
        <v>0</v>
      </c>
      <c r="L328" s="262"/>
      <c r="M328" s="262"/>
    </row>
    <row r="329" spans="1:13">
      <c r="A329" t="s">
        <v>792</v>
      </c>
      <c r="B329" t="s">
        <v>5184</v>
      </c>
      <c r="D329" t="str">
        <f>_xlfn.IFNA(VLOOKUP(C329,[2]科目余额表!C:D,2,0),"")</f>
        <v/>
      </c>
    </row>
    <row r="331" spans="1:13">
      <c r="A331" t="s">
        <v>5424</v>
      </c>
      <c r="D331" t="str">
        <f>_xlfn.IFNA(VLOOKUP(C331,[2]科目余额表!C:D,2,0),"")</f>
        <v/>
      </c>
    </row>
    <row r="332" spans="1:13">
      <c r="A332" s="262" t="s">
        <v>5425</v>
      </c>
      <c r="B332" s="262"/>
      <c r="C332" s="262"/>
      <c r="D332" s="262" t="str">
        <f>_xlfn.IFNA(VLOOKUP(C332,[2]科目余额表!C:D,2,0),"")</f>
        <v/>
      </c>
      <c r="E332" s="262">
        <f t="shared" ref="E332:K332" si="21">SUM(E328:E331)</f>
        <v>0</v>
      </c>
      <c r="F332" s="262">
        <f t="shared" si="21"/>
        <v>0</v>
      </c>
      <c r="G332" s="262">
        <f t="shared" si="21"/>
        <v>0</v>
      </c>
      <c r="H332" s="262">
        <f t="shared" si="21"/>
        <v>0</v>
      </c>
      <c r="I332" s="262">
        <f t="shared" si="21"/>
        <v>0</v>
      </c>
      <c r="J332" s="262">
        <f t="shared" si="21"/>
        <v>0</v>
      </c>
      <c r="K332" s="626">
        <f t="shared" si="21"/>
        <v>0</v>
      </c>
    </row>
    <row r="333" spans="1:13">
      <c r="D333" t="str">
        <f>_xlfn.IFNA(VLOOKUP(C333,[2]科目余额表!C:D,2,0),"")</f>
        <v/>
      </c>
    </row>
    <row r="334" spans="1:13">
      <c r="A334" t="s">
        <v>5426</v>
      </c>
      <c r="B334" t="s">
        <v>5184</v>
      </c>
      <c r="C334" t="s">
        <v>5427</v>
      </c>
      <c r="D334" t="str">
        <f>_xlfn.IFNA(VLOOKUP(C334,[2]科目余额表!C:D,2,0),"")</f>
        <v/>
      </c>
      <c r="K334" s="290">
        <f>SUM(长期借款明细表!P:P)</f>
        <v>0</v>
      </c>
    </row>
    <row r="335" spans="1:13">
      <c r="A335" t="s">
        <v>5428</v>
      </c>
      <c r="B335" t="s">
        <v>5184</v>
      </c>
      <c r="C335" t="s">
        <v>5429</v>
      </c>
      <c r="D335" t="str">
        <f>_xlfn.IFNA(VLOOKUP(C335,[2]科目余额表!C:D,2,0),"")</f>
        <v/>
      </c>
      <c r="K335" s="290">
        <f>SUM(短期借款明细表!N:N)</f>
        <v>0</v>
      </c>
      <c r="L335" s="262"/>
      <c r="M335" s="262"/>
    </row>
    <row r="336" spans="1:13">
      <c r="A336" t="s">
        <v>789</v>
      </c>
      <c r="B336" t="s">
        <v>5184</v>
      </c>
      <c r="C336" t="s">
        <v>3590</v>
      </c>
      <c r="D336" t="str">
        <f>_xlfn.IFNA(VLOOKUP(C336,[2]科目余额表!C:D,2,0),"")</f>
        <v/>
      </c>
      <c r="K336" s="290">
        <f>SUM(应付债券明细表!P:P)-SUM(应付债券明细表!T:T)</f>
        <v>0</v>
      </c>
    </row>
    <row r="337" spans="1:13">
      <c r="A337" t="s">
        <v>94</v>
      </c>
      <c r="B337" t="s">
        <v>5184</v>
      </c>
      <c r="D337" t="str">
        <f>_xlfn.IFNA(VLOOKUP(C337,[2]科目余额表!C:D,2,0),"")</f>
        <v/>
      </c>
    </row>
    <row r="338" spans="1:13">
      <c r="D338" t="str">
        <f>_xlfn.IFNA(VLOOKUP(C338,[2]科目余额表!C:D,2,0),"")</f>
        <v/>
      </c>
    </row>
    <row r="339" spans="1:13">
      <c r="D339" t="str">
        <f>_xlfn.IFNA(VLOOKUP(C339,[2]科目余额表!C:D,2,0),"")</f>
        <v/>
      </c>
    </row>
    <row r="340" spans="1:13">
      <c r="A340" s="262" t="s">
        <v>5430</v>
      </c>
      <c r="B340" s="262"/>
      <c r="C340" s="262"/>
      <c r="D340" s="262" t="str">
        <f>_xlfn.IFNA(VLOOKUP(C340,[2]科目余额表!C:D,2,0),"")</f>
        <v/>
      </c>
      <c r="E340" s="262">
        <f>SUM(E334:E339)</f>
        <v>0</v>
      </c>
      <c r="F340" s="262">
        <f t="shared" ref="F340:K340" si="22">SUM(F334:F339)</f>
        <v>0</v>
      </c>
      <c r="G340" s="262">
        <f t="shared" si="22"/>
        <v>0</v>
      </c>
      <c r="H340" s="262">
        <f t="shared" si="22"/>
        <v>0</v>
      </c>
      <c r="I340" s="262">
        <f t="shared" si="22"/>
        <v>0</v>
      </c>
      <c r="J340" s="262">
        <f t="shared" si="22"/>
        <v>0</v>
      </c>
      <c r="K340" s="626">
        <f t="shared" si="22"/>
        <v>0</v>
      </c>
    </row>
    <row r="341" spans="1:13">
      <c r="D341" t="str">
        <f>_xlfn.IFNA(VLOOKUP(C341,[2]科目余额表!C:D,2,0),"")</f>
        <v/>
      </c>
    </row>
    <row r="342" spans="1:13">
      <c r="A342" t="s">
        <v>5431</v>
      </c>
      <c r="D342" t="str">
        <f>_xlfn.IFNA(VLOOKUP(C342,[2]科目余额表!C:D,2,0),"")</f>
        <v/>
      </c>
    </row>
    <row r="343" spans="1:13">
      <c r="A343" t="s">
        <v>5432</v>
      </c>
      <c r="D343" t="str">
        <f>_xlfn.IFNA(VLOOKUP(C343,[2]科目余额表!C:D,2,0),"")</f>
        <v/>
      </c>
      <c r="L343" s="262"/>
      <c r="M343" s="262"/>
    </row>
    <row r="344" spans="1:13">
      <c r="D344" t="str">
        <f>_xlfn.IFNA(VLOOKUP(C344,[2]科目余额表!C:D,2,0),"")</f>
        <v/>
      </c>
    </row>
    <row r="345" spans="1:13">
      <c r="D345" t="str">
        <f>_xlfn.IFNA(VLOOKUP(C345,[2]科目余额表!C:D,2,0),"")</f>
        <v/>
      </c>
    </row>
    <row r="346" spans="1:13">
      <c r="A346" s="262" t="s">
        <v>5433</v>
      </c>
      <c r="B346" s="262"/>
      <c r="C346" s="262"/>
      <c r="D346" s="262" t="str">
        <f>_xlfn.IFNA(VLOOKUP(C346,[2]科目余额表!C:D,2,0),"")</f>
        <v/>
      </c>
      <c r="E346" s="262">
        <f>SUM(E342:E345)</f>
        <v>0</v>
      </c>
      <c r="F346" s="262">
        <f t="shared" ref="F346:K346" si="23">SUM(F342:F345)</f>
        <v>0</v>
      </c>
      <c r="G346" s="262">
        <f t="shared" si="23"/>
        <v>0</v>
      </c>
      <c r="H346" s="262">
        <f t="shared" si="23"/>
        <v>0</v>
      </c>
      <c r="I346" s="262">
        <f t="shared" si="23"/>
        <v>0</v>
      </c>
      <c r="J346" s="262">
        <f t="shared" si="23"/>
        <v>0</v>
      </c>
      <c r="K346" s="264">
        <f t="shared" si="23"/>
        <v>0</v>
      </c>
    </row>
    <row r="347" spans="1:13">
      <c r="D347" t="str">
        <f>_xlfn.IFNA(VLOOKUP(C347,[2]科目余额表!C:D,2,0),"")</f>
        <v/>
      </c>
    </row>
    <row r="348" spans="1:13">
      <c r="A348" t="s">
        <v>5434</v>
      </c>
      <c r="B348" t="s">
        <v>5208</v>
      </c>
      <c r="C348" t="s">
        <v>5429</v>
      </c>
      <c r="D348" t="str">
        <f>_xlfn.IFNA(VLOOKUP(C348,[2]科目余额表!C:D,2,0),"")</f>
        <v/>
      </c>
      <c r="K348" s="290">
        <f>SUM(短期借款明细表!O:O)</f>
        <v>0</v>
      </c>
    </row>
    <row r="349" spans="1:13">
      <c r="A349" t="s">
        <v>5435</v>
      </c>
      <c r="B349" t="s">
        <v>5208</v>
      </c>
      <c r="C349" t="s">
        <v>5427</v>
      </c>
      <c r="D349" t="str">
        <f>_xlfn.IFNA(VLOOKUP(C349,[2]科目余额表!C:D,2,0),"")</f>
        <v/>
      </c>
      <c r="K349" s="290">
        <f>SUM(长期借款明细表!Q:Q)</f>
        <v>0</v>
      </c>
      <c r="L349" s="262"/>
      <c r="M349" s="262"/>
    </row>
    <row r="350" spans="1:13">
      <c r="A350" t="s">
        <v>5436</v>
      </c>
      <c r="B350" t="s">
        <v>5208</v>
      </c>
      <c r="C350" t="s">
        <v>3590</v>
      </c>
      <c r="D350" t="str">
        <f>_xlfn.IFNA(VLOOKUP(C350,[2]科目余额表!C:D,2,0),"")</f>
        <v/>
      </c>
      <c r="K350" s="290">
        <f>SUM(应付债券明细表!Q:Q)</f>
        <v>0</v>
      </c>
    </row>
    <row r="351" spans="1:13">
      <c r="A351" t="s">
        <v>5437</v>
      </c>
      <c r="B351" t="s">
        <v>5184</v>
      </c>
      <c r="D351" t="str">
        <f>_xlfn.IFNA(VLOOKUP(C351,[2]科目余额表!C:D,2,0),"")</f>
        <v/>
      </c>
    </row>
    <row r="352" spans="1:13">
      <c r="A352" t="s">
        <v>5438</v>
      </c>
      <c r="B352" t="s">
        <v>5184</v>
      </c>
      <c r="C352" t="s">
        <v>3587</v>
      </c>
      <c r="D352" t="str">
        <f>_xlfn.IFNA(VLOOKUP(C352,[2]科目余额表!C:D,2,0),"")</f>
        <v/>
      </c>
    </row>
    <row r="353" spans="1:13">
      <c r="A353" t="s">
        <v>5439</v>
      </c>
      <c r="B353" t="s">
        <v>5208</v>
      </c>
      <c r="D353" t="str">
        <f>_xlfn.IFNA(VLOOKUP(C353,[2]科目余额表!C:D,2,0),"")</f>
        <v/>
      </c>
    </row>
    <row r="354" spans="1:13">
      <c r="A354" t="s">
        <v>5440</v>
      </c>
      <c r="B354" t="s">
        <v>5208</v>
      </c>
      <c r="C354" t="s">
        <v>3587</v>
      </c>
      <c r="D354" t="str">
        <f>_xlfn.IFNA(VLOOKUP(C354,[2]科目余额表!C:D,2,0),"")</f>
        <v/>
      </c>
    </row>
    <row r="355" spans="1:13">
      <c r="D355" t="str">
        <f>_xlfn.IFNA(VLOOKUP(C355,[2]科目余额表!C:D,2,0),"")</f>
        <v/>
      </c>
    </row>
    <row r="356" spans="1:13">
      <c r="D356" t="str">
        <f>_xlfn.IFNA(VLOOKUP(C356,[2]科目余额表!C:D,2,0),"")</f>
        <v/>
      </c>
    </row>
    <row r="357" spans="1:13">
      <c r="A357" s="262" t="s">
        <v>5441</v>
      </c>
      <c r="B357" s="262"/>
      <c r="C357" s="262"/>
      <c r="D357" s="262" t="str">
        <f>_xlfn.IFNA(VLOOKUP(C357,[2]科目余额表!C:D,2,0),"")</f>
        <v/>
      </c>
      <c r="E357" s="262">
        <f>SUM(E348:E356)</f>
        <v>0</v>
      </c>
      <c r="F357" s="262">
        <f t="shared" ref="F357:K357" si="24">SUM(F348:F356)</f>
        <v>0</v>
      </c>
      <c r="G357" s="262">
        <f t="shared" si="24"/>
        <v>0</v>
      </c>
      <c r="H357" s="262">
        <f t="shared" si="24"/>
        <v>0</v>
      </c>
      <c r="I357" s="262">
        <f t="shared" si="24"/>
        <v>0</v>
      </c>
      <c r="J357" s="262">
        <f t="shared" si="24"/>
        <v>0</v>
      </c>
      <c r="K357" s="264">
        <f t="shared" si="24"/>
        <v>0</v>
      </c>
    </row>
    <row r="358" spans="1:13">
      <c r="D358" t="str">
        <f>_xlfn.IFNA(VLOOKUP(C358,[2]科目余额表!C:D,2,0),"")</f>
        <v/>
      </c>
    </row>
    <row r="359" spans="1:13">
      <c r="A359" t="s">
        <v>5671</v>
      </c>
      <c r="B359" t="s">
        <v>5208</v>
      </c>
      <c r="C359" t="s">
        <v>5442</v>
      </c>
      <c r="D359" t="str">
        <f>_xlfn.IFNA(VLOOKUP(C359,[2]科目余额表!C:D,2,0),"")</f>
        <v/>
      </c>
      <c r="K359" s="290">
        <f>上期TB!H125-本期TB!H127</f>
        <v>0</v>
      </c>
    </row>
    <row r="360" spans="1:13">
      <c r="A360" t="s">
        <v>5672</v>
      </c>
      <c r="B360" t="s">
        <v>5208</v>
      </c>
      <c r="C360" t="s">
        <v>5673</v>
      </c>
      <c r="D360" t="str">
        <f>_xlfn.IFNA(VLOOKUP(C360,[2]科目余额表!C:D,2,0),"")</f>
        <v/>
      </c>
      <c r="K360" s="290">
        <f>上期TB!H124-本期TB!H126</f>
        <v>0</v>
      </c>
      <c r="L360" s="262"/>
      <c r="M360" s="262"/>
    </row>
    <row r="361" spans="1:13">
      <c r="A361" t="s">
        <v>1957</v>
      </c>
      <c r="B361" t="s">
        <v>5208</v>
      </c>
      <c r="C361" t="s">
        <v>5443</v>
      </c>
      <c r="D361" t="str">
        <f>_xlfn.IFNA(VLOOKUP(C361,[2]科目余额表!C:D,2,0),"")</f>
        <v/>
      </c>
      <c r="K361" s="290">
        <f>财务费用分类表!B9</f>
        <v>0</v>
      </c>
    </row>
    <row r="362" spans="1:13">
      <c r="A362" t="s">
        <v>5674</v>
      </c>
      <c r="B362" t="s">
        <v>5208</v>
      </c>
      <c r="D362" t="str">
        <f>_xlfn.IFNA(VLOOKUP(C362,[2]科目余额表!C:D,2,0),"")</f>
        <v/>
      </c>
      <c r="K362" s="290">
        <f>本期TB!H253</f>
        <v>0</v>
      </c>
    </row>
    <row r="363" spans="1:13">
      <c r="A363" t="s">
        <v>5444</v>
      </c>
      <c r="D363" t="str">
        <f>_xlfn.IFNA(VLOOKUP(C363,[2]科目余额表!C:D,2,0),"")</f>
        <v/>
      </c>
    </row>
    <row r="364" spans="1:13">
      <c r="D364" t="str">
        <f>_xlfn.IFNA(VLOOKUP(C364,[2]科目余额表!C:D,2,0),"")</f>
        <v/>
      </c>
    </row>
    <row r="365" spans="1:13">
      <c r="A365" s="262" t="s">
        <v>5445</v>
      </c>
      <c r="B365" s="262"/>
      <c r="C365" s="262"/>
      <c r="D365" s="262" t="str">
        <f>_xlfn.IFNA(VLOOKUP(C365,[2]科目余额表!C:D,2,0),"")</f>
        <v/>
      </c>
      <c r="E365" s="262">
        <f>SUM(E359:E364)</f>
        <v>0</v>
      </c>
      <c r="F365" s="262">
        <f t="shared" ref="F365:K365" si="25">SUM(F359:F364)</f>
        <v>0</v>
      </c>
      <c r="G365" s="262">
        <f t="shared" si="25"/>
        <v>0</v>
      </c>
      <c r="H365" s="262">
        <f t="shared" si="25"/>
        <v>0</v>
      </c>
      <c r="I365" s="262">
        <f t="shared" si="25"/>
        <v>0</v>
      </c>
      <c r="J365" s="262">
        <f t="shared" si="25"/>
        <v>0</v>
      </c>
      <c r="K365" s="264">
        <f t="shared" si="25"/>
        <v>0</v>
      </c>
    </row>
    <row r="366" spans="1:13">
      <c r="D366" t="str">
        <f>_xlfn.IFNA(VLOOKUP(C366,[2]科目余额表!C:D,2,0),"")</f>
        <v/>
      </c>
    </row>
    <row r="367" spans="1:13">
      <c r="D367" t="str">
        <f>_xlfn.IFNA(VLOOKUP(C367,[2]科目余额表!C:D,2,0),"")</f>
        <v/>
      </c>
    </row>
    <row r="368" spans="1:13">
      <c r="A368" t="s">
        <v>5446</v>
      </c>
      <c r="D368" t="str">
        <f>_xlfn.IFNA(VLOOKUP(C368,[2]科目余额表!C:D,2,0),"")</f>
        <v/>
      </c>
      <c r="L368" s="262"/>
      <c r="M368" s="262"/>
    </row>
    <row r="369" spans="1:13">
      <c r="A369" t="s">
        <v>5447</v>
      </c>
      <c r="D369" t="str">
        <f>_xlfn.IFNA(VLOOKUP(C369,[2]科目余额表!C:D,2,0),"")</f>
        <v/>
      </c>
    </row>
    <row r="370" spans="1:13">
      <c r="A370" t="s">
        <v>5680</v>
      </c>
      <c r="D370" t="str">
        <f>_xlfn.IFNA(VLOOKUP(C370,[2]科目余额表!C:D,2,0),"")</f>
        <v/>
      </c>
      <c r="K370" s="230">
        <f>财务费用分类表!B7</f>
        <v>0</v>
      </c>
    </row>
    <row r="371" spans="1:13">
      <c r="A371" t="s">
        <v>5448</v>
      </c>
      <c r="D371" t="str">
        <f>_xlfn.IFNA(VLOOKUP(C371,[2]科目余额表!C:D,2,0),"")</f>
        <v/>
      </c>
    </row>
    <row r="372" spans="1:13">
      <c r="A372" t="s">
        <v>5679</v>
      </c>
      <c r="D372" t="str">
        <f>_xlfn.IFNA(VLOOKUP(C372,[2]科目余额表!C:D,2,0),"")</f>
        <v/>
      </c>
    </row>
    <row r="373" spans="1:13">
      <c r="A373" s="262" t="s">
        <v>5449</v>
      </c>
      <c r="B373" s="262"/>
      <c r="C373" s="262"/>
      <c r="D373" s="262" t="str">
        <f>_xlfn.IFNA(VLOOKUP(C373,[2]科目余额表!C:D,2,0),"")</f>
        <v/>
      </c>
      <c r="E373" s="262">
        <f>SUM(E368:E372)</f>
        <v>0</v>
      </c>
      <c r="F373" s="262">
        <f t="shared" ref="F373:K373" si="26">SUM(F368:F372)</f>
        <v>0</v>
      </c>
      <c r="G373" s="262">
        <f t="shared" si="26"/>
        <v>0</v>
      </c>
      <c r="H373" s="262">
        <f t="shared" si="26"/>
        <v>0</v>
      </c>
      <c r="I373" s="262">
        <f t="shared" si="26"/>
        <v>0</v>
      </c>
      <c r="J373" s="262">
        <f t="shared" si="26"/>
        <v>0</v>
      </c>
      <c r="K373" s="264">
        <f t="shared" si="26"/>
        <v>0</v>
      </c>
    </row>
    <row r="374" spans="1:13">
      <c r="D374" t="str">
        <f>_xlfn.IFNA(VLOOKUP(C374,[2]科目余额表!C:D,2,0),"")</f>
        <v/>
      </c>
    </row>
    <row r="375" spans="1:13">
      <c r="D375" t="str">
        <f>_xlfn.IFNA(VLOOKUP(C375,[2]科目余额表!C:D,2,0),"")</f>
        <v/>
      </c>
    </row>
    <row r="376" spans="1:13">
      <c r="A376" t="s">
        <v>191</v>
      </c>
      <c r="B376" t="s">
        <v>5193</v>
      </c>
      <c r="C376" t="s">
        <v>5450</v>
      </c>
      <c r="D376" t="str">
        <f>_xlfn.IFNA(VLOOKUP(C376,[2]科目余额表!C:D,2,0),"")</f>
        <v/>
      </c>
      <c r="K376" s="290">
        <f>货币资金!C2-受限货币资金情况!C2</f>
        <v>0</v>
      </c>
      <c r="L376" s="262"/>
      <c r="M376" s="262"/>
    </row>
    <row r="377" spans="1:13">
      <c r="A377" t="s">
        <v>192</v>
      </c>
      <c r="B377" t="s">
        <v>5193</v>
      </c>
      <c r="C377" t="s">
        <v>5451</v>
      </c>
      <c r="D377" t="str">
        <f>_xlfn.IFNA(VLOOKUP(C377,[2]科目余额表!C:D,2,0),"")</f>
        <v/>
      </c>
      <c r="K377" s="290">
        <f>货币资金!C3-受限货币资金情况!C3</f>
        <v>0</v>
      </c>
    </row>
    <row r="378" spans="1:13">
      <c r="A378" t="s">
        <v>193</v>
      </c>
      <c r="B378" t="s">
        <v>5193</v>
      </c>
      <c r="D378" t="str">
        <f>_xlfn.IFNA(VLOOKUP(C378,[2]科目余额表!C:D,2,0),"")</f>
        <v/>
      </c>
      <c r="K378" s="290">
        <f>货币资金!C4-受限货币资金情况!C4</f>
        <v>0</v>
      </c>
    </row>
    <row r="379" spans="1:13">
      <c r="D379" t="str">
        <f>_xlfn.IFNA(VLOOKUP(C379,[2]科目余额表!C:D,2,0),"")</f>
        <v/>
      </c>
    </row>
    <row r="380" spans="1:13">
      <c r="A380" s="262" t="s">
        <v>5452</v>
      </c>
      <c r="B380" s="262"/>
      <c r="C380" s="262"/>
      <c r="D380" s="262" t="str">
        <f>_xlfn.IFNA(VLOOKUP(C380,[2]科目余额表!C:D,2,0),"")</f>
        <v/>
      </c>
      <c r="E380" s="262">
        <f>SUM(E376:E379)</f>
        <v>0</v>
      </c>
      <c r="F380" s="262">
        <f t="shared" ref="F380:J380" si="27">SUM(F376:F379)</f>
        <v>0</v>
      </c>
      <c r="G380" s="262">
        <f t="shared" si="27"/>
        <v>0</v>
      </c>
      <c r="H380" s="262">
        <f t="shared" si="27"/>
        <v>0</v>
      </c>
      <c r="I380" s="262">
        <f t="shared" si="27"/>
        <v>0</v>
      </c>
      <c r="J380" s="262">
        <f t="shared" si="27"/>
        <v>0</v>
      </c>
      <c r="K380" s="264">
        <f>SUM(K376:K379)</f>
        <v>0</v>
      </c>
    </row>
    <row r="381" spans="1:13">
      <c r="D381" t="str">
        <f>_xlfn.IFNA(VLOOKUP(C381,[2]科目余额表!C:D,2,0),"")</f>
        <v/>
      </c>
    </row>
    <row r="382" spans="1:13">
      <c r="A382" t="s">
        <v>191</v>
      </c>
      <c r="B382" t="s">
        <v>5191</v>
      </c>
      <c r="C382" t="s">
        <v>5450</v>
      </c>
      <c r="D382" t="str">
        <f>_xlfn.IFNA(VLOOKUP(C382,[2]科目余额表!C:D,2,0),"")</f>
        <v/>
      </c>
      <c r="K382" s="290">
        <f>货币资金!B2-受限货币资金情况!B2</f>
        <v>0</v>
      </c>
    </row>
    <row r="383" spans="1:13">
      <c r="A383" t="s">
        <v>192</v>
      </c>
      <c r="B383" t="s">
        <v>5191</v>
      </c>
      <c r="C383" t="s">
        <v>5451</v>
      </c>
      <c r="D383" t="str">
        <f>_xlfn.IFNA(VLOOKUP(C383,[2]科目余额表!C:D,2,0),"")</f>
        <v/>
      </c>
      <c r="K383" s="290">
        <f>货币资金!B3-受限货币资金情况!B3</f>
        <v>0</v>
      </c>
      <c r="L383" s="262"/>
      <c r="M383" s="262"/>
    </row>
    <row r="384" spans="1:13">
      <c r="A384" t="s">
        <v>193</v>
      </c>
      <c r="B384" t="s">
        <v>5191</v>
      </c>
      <c r="D384" t="str">
        <f>_xlfn.IFNA(VLOOKUP(C384,[2]科目余额表!C:D,2,0),"")</f>
        <v/>
      </c>
      <c r="K384" s="290">
        <f>货币资金!B4-受限货币资金情况!B4</f>
        <v>0</v>
      </c>
    </row>
    <row r="385" spans="1:13">
      <c r="D385" t="str">
        <f>_xlfn.IFNA(VLOOKUP(C385,[2]科目余额表!C:D,2,0),"")</f>
        <v/>
      </c>
    </row>
    <row r="386" spans="1:13">
      <c r="A386" s="262" t="s">
        <v>5675</v>
      </c>
      <c r="B386" s="262"/>
      <c r="C386" s="262"/>
      <c r="D386" s="262" t="str">
        <f>_xlfn.IFNA(VLOOKUP(C386,[2]科目余额表!C:D,2,0),"")</f>
        <v/>
      </c>
      <c r="E386" s="262">
        <f>SUM(E382:E385)</f>
        <v>0</v>
      </c>
      <c r="F386" s="262">
        <f t="shared" ref="F386:J386" si="28">SUM(F382:F385)</f>
        <v>0</v>
      </c>
      <c r="G386" s="262">
        <f t="shared" si="28"/>
        <v>0</v>
      </c>
      <c r="H386" s="262">
        <f t="shared" si="28"/>
        <v>0</v>
      </c>
      <c r="I386" s="262">
        <f t="shared" si="28"/>
        <v>0</v>
      </c>
      <c r="J386" s="262">
        <f t="shared" si="28"/>
        <v>0</v>
      </c>
      <c r="K386" s="264">
        <f>SUM(K382:K385)</f>
        <v>0</v>
      </c>
    </row>
    <row r="387" spans="1:13">
      <c r="A387" t="s">
        <v>5676</v>
      </c>
      <c r="K387" s="231" t="e">
        <f>K386-现金流量表!B60</f>
        <v>#N/A</v>
      </c>
    </row>
    <row r="388" spans="1:13">
      <c r="A388" t="s">
        <v>5677</v>
      </c>
      <c r="K388" s="231">
        <f>K386-资产表!B3</f>
        <v>-820851019.66999996</v>
      </c>
    </row>
    <row r="389" spans="1:13">
      <c r="A389" s="262"/>
      <c r="B389" s="262"/>
      <c r="C389" s="262"/>
      <c r="D389" s="262"/>
      <c r="E389" s="262"/>
      <c r="F389" s="262"/>
      <c r="G389" s="262"/>
      <c r="H389" s="262"/>
      <c r="I389" s="262"/>
      <c r="J389" s="262"/>
      <c r="K389" s="264"/>
      <c r="L389" s="262"/>
      <c r="M389" s="262"/>
    </row>
    <row r="390" spans="1:13">
      <c r="A390" s="230"/>
      <c r="B390" s="230"/>
      <c r="C390" s="230"/>
      <c r="D390" s="230"/>
      <c r="E390" s="230"/>
      <c r="F390" s="230"/>
      <c r="G390" s="230"/>
      <c r="H390" s="230"/>
      <c r="I390" s="230"/>
      <c r="J390" s="230"/>
    </row>
  </sheetData>
  <autoFilter ref="A1:K390" xr:uid="{AD7C5746-8BD9-4791-BFD1-EDB1A1F33E9B}"/>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codeName="Sheet180">
    <tabColor rgb="FFFFC000"/>
  </sheetPr>
  <dimension ref="A1:E7"/>
  <sheetViews>
    <sheetView workbookViewId="0">
      <selection activeCell="H20" sqref="H20"/>
    </sheetView>
  </sheetViews>
  <sheetFormatPr defaultRowHeight="13.8"/>
  <cols>
    <col min="1" max="1" width="28.21875" style="18" bestFit="1" customWidth="1"/>
    <col min="2" max="16384" width="8.88671875" style="18"/>
  </cols>
  <sheetData>
    <row r="1" spans="1:5">
      <c r="A1" s="18" t="s">
        <v>28</v>
      </c>
      <c r="B1" s="18" t="s">
        <v>200</v>
      </c>
      <c r="C1" s="18" t="s">
        <v>373</v>
      </c>
      <c r="D1" s="18" t="s">
        <v>366</v>
      </c>
      <c r="E1" s="18" t="s">
        <v>199</v>
      </c>
    </row>
    <row r="2" spans="1:5">
      <c r="A2" s="18" t="s">
        <v>4187</v>
      </c>
      <c r="B2" s="137">
        <f>ROUND(SUMIF(长期股权投资明细表!B:B,A2,长期股权投资明细表!F:F),2)</f>
        <v>0</v>
      </c>
      <c r="C2" s="137">
        <f>ROUND(SUMIF(长期股权投资明细表!B:B,A2,长期股权投资明细表!O:O),2)</f>
        <v>0</v>
      </c>
      <c r="D2" s="137">
        <f>ROUND(SUMIF(长期股权投资明细表!B:B,A2,长期股权投资明细表!P:P),2)</f>
        <v>0</v>
      </c>
      <c r="E2" s="1">
        <f>ROUND(B2+C2-D2,2)</f>
        <v>0</v>
      </c>
    </row>
    <row r="3" spans="1:5">
      <c r="A3" s="18" t="s">
        <v>4188</v>
      </c>
      <c r="B3" s="137">
        <f>ROUND(SUMIF(长期股权投资明细表!B:B,A3,长期股权投资明细表!F:F),2)</f>
        <v>0</v>
      </c>
      <c r="C3" s="137">
        <f>ROUND(SUMIF(长期股权投资明细表!B:B,A3,长期股权投资明细表!O:O),2)</f>
        <v>0</v>
      </c>
      <c r="D3" s="137">
        <f>ROUND(SUMIF(长期股权投资明细表!B:B,A3,长期股权投资明细表!P:P),2)</f>
        <v>0</v>
      </c>
      <c r="E3" s="1">
        <f>ROUND(B3+C3-D3,2)</f>
        <v>0</v>
      </c>
    </row>
    <row r="4" spans="1:5">
      <c r="A4" s="18" t="s">
        <v>4189</v>
      </c>
      <c r="B4" s="137">
        <f>ROUND(SUMIF(长期股权投资明细表!B:B,A4,长期股权投资明细表!F:F),2)</f>
        <v>0</v>
      </c>
      <c r="C4" s="137">
        <f>ROUND(SUMIF(长期股权投资明细表!B:B,分类表!#REF!,长期股权投资明细表!O:O),2)</f>
        <v>0</v>
      </c>
      <c r="D4" s="137">
        <f>ROUND(SUMIF(长期股权投资明细表!B:B,分类表!#REF!,长期股权投资明细表!P:P),2)</f>
        <v>0</v>
      </c>
      <c r="E4" s="1">
        <f>ROUND(B4+C4-D4,2)</f>
        <v>0</v>
      </c>
    </row>
    <row r="5" spans="1:5">
      <c r="A5" s="18" t="s">
        <v>578</v>
      </c>
      <c r="B5" s="137">
        <f>ROUND(SUM(B2:B4),2)</f>
        <v>0</v>
      </c>
      <c r="C5" s="137">
        <f>ROUND(SUM(C2:C4),2)</f>
        <v>0</v>
      </c>
      <c r="D5" s="137">
        <f>ROUND(SUM(D2:D4),2)</f>
        <v>0</v>
      </c>
      <c r="E5" s="1">
        <f>ROUND(SUM(E2:E4),2)</f>
        <v>0</v>
      </c>
    </row>
    <row r="6" spans="1:5">
      <c r="A6" s="18" t="s">
        <v>4190</v>
      </c>
      <c r="B6" s="137">
        <f>ROUND(SUM(长期股权投资明细表!R:R),2)</f>
        <v>0</v>
      </c>
      <c r="C6" s="137">
        <f>ROUND(SUM(长期股权投资明细表!S:S),2)</f>
        <v>0</v>
      </c>
      <c r="D6" s="137">
        <f>ROUND(SUM(长期股权投资明细表!T:T),2)</f>
        <v>0</v>
      </c>
      <c r="E6" s="1">
        <f>ROUND(B6+C6-D6,2)</f>
        <v>0</v>
      </c>
    </row>
    <row r="7" spans="1:5">
      <c r="A7" s="18" t="s">
        <v>204</v>
      </c>
      <c r="B7" s="1">
        <f>ROUND(B5-B6,2)</f>
        <v>0</v>
      </c>
      <c r="C7" s="1">
        <f>ROUND(C5-C6,2)</f>
        <v>0</v>
      </c>
      <c r="D7" s="1">
        <f>ROUND(D5-D6,2)</f>
        <v>0</v>
      </c>
      <c r="E7" s="1">
        <f>ROUND(E5-E6,2)</f>
        <v>0</v>
      </c>
    </row>
  </sheetData>
  <phoneticPr fontId="1"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codeName="Sheet181">
    <tabColor rgb="FFFFC000"/>
  </sheetPr>
  <dimension ref="A1:G6"/>
  <sheetViews>
    <sheetView workbookViewId="0">
      <selection activeCell="G17" sqref="G17"/>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421</v>
      </c>
      <c r="B1" t="s">
        <v>285</v>
      </c>
      <c r="C1" t="s">
        <v>391</v>
      </c>
      <c r="D1" t="s">
        <v>509</v>
      </c>
      <c r="E1" t="s">
        <v>203</v>
      </c>
      <c r="F1" t="s">
        <v>4221</v>
      </c>
      <c r="G1" t="s">
        <v>4222</v>
      </c>
    </row>
    <row r="2" spans="1:7">
      <c r="A2" s="256"/>
      <c r="B2" s="256"/>
      <c r="C2" s="256"/>
      <c r="D2" s="256"/>
      <c r="E2" s="256"/>
      <c r="F2" s="256"/>
      <c r="G2" s="256"/>
    </row>
    <row r="3" spans="1:7">
      <c r="A3" s="256"/>
      <c r="B3" s="256"/>
      <c r="C3" s="256"/>
      <c r="D3" s="256"/>
      <c r="E3" s="256"/>
      <c r="F3" s="256"/>
      <c r="G3" s="256"/>
    </row>
    <row r="4" spans="1:7">
      <c r="A4" s="256"/>
      <c r="B4" s="256"/>
      <c r="C4" s="256"/>
      <c r="D4" s="256"/>
      <c r="E4" s="256"/>
      <c r="F4" s="256"/>
      <c r="G4" s="256"/>
    </row>
    <row r="5" spans="1:7">
      <c r="A5" s="256"/>
      <c r="B5" s="256"/>
      <c r="C5" s="256"/>
      <c r="D5" s="256"/>
      <c r="E5" s="256"/>
      <c r="F5" s="256"/>
      <c r="G5" s="256"/>
    </row>
    <row r="6" spans="1:7">
      <c r="A6" t="s">
        <v>282</v>
      </c>
      <c r="B6">
        <f>ROUND(SUM(B2:B5),2)</f>
        <v>0</v>
      </c>
      <c r="C6">
        <f>ROUND(SUM(C2:C5),2)</f>
        <v>0</v>
      </c>
      <c r="D6">
        <f>ROUND(SUM(D2:D5),2)</f>
        <v>0</v>
      </c>
      <c r="E6">
        <f>ROUND(SUM(E2:E5),2)</f>
        <v>0</v>
      </c>
      <c r="F6">
        <f>ROUND(SUM(F2:F5),2)</f>
        <v>0</v>
      </c>
      <c r="G6">
        <f>ROUND(SUM(G2:G5),2)</f>
        <v>0</v>
      </c>
    </row>
  </sheetData>
  <phoneticPr fontId="1"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codeName="Sheet182">
    <tabColor rgb="FFFFC000"/>
  </sheetPr>
  <dimension ref="A1:L4"/>
  <sheetViews>
    <sheetView workbookViewId="0">
      <selection activeCell="G17" sqref="G17"/>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421</v>
      </c>
      <c r="B1" s="32" t="s">
        <v>4211</v>
      </c>
      <c r="C1" s="20" t="s">
        <v>430</v>
      </c>
      <c r="D1" s="20" t="s">
        <v>431</v>
      </c>
      <c r="E1" s="35" t="s">
        <v>432</v>
      </c>
      <c r="F1" s="35" t="s">
        <v>433</v>
      </c>
      <c r="G1" s="35" t="s">
        <v>434</v>
      </c>
      <c r="H1" s="20" t="s">
        <v>438</v>
      </c>
      <c r="I1" s="35" t="s">
        <v>439</v>
      </c>
      <c r="J1" s="35" t="s">
        <v>202</v>
      </c>
      <c r="K1" s="32" t="s">
        <v>4216</v>
      </c>
      <c r="L1" s="32" t="s">
        <v>437</v>
      </c>
    </row>
    <row r="2" spans="1:12">
      <c r="A2" s="283"/>
      <c r="B2" s="265"/>
      <c r="C2" s="279"/>
      <c r="D2" s="279"/>
      <c r="E2" s="265"/>
      <c r="F2" s="265"/>
      <c r="G2" s="265"/>
      <c r="H2" s="279"/>
      <c r="I2" s="265"/>
      <c r="J2" s="265"/>
      <c r="K2" s="279">
        <f>ROUND(B2+C2-D2+E2+F2+G2-H2-I2+J2,2)</f>
        <v>0</v>
      </c>
      <c r="L2" s="276"/>
    </row>
    <row r="3" spans="1:12">
      <c r="A3" s="283"/>
      <c r="B3" s="265"/>
      <c r="C3" s="279"/>
      <c r="D3" s="279"/>
      <c r="E3" s="265"/>
      <c r="F3" s="265"/>
      <c r="G3" s="265"/>
      <c r="H3" s="279"/>
      <c r="I3" s="265"/>
      <c r="J3" s="265"/>
      <c r="K3" s="279">
        <f>ROUND(B3+C3-D3+E3+F3+G3-H3-I3+J3,2)</f>
        <v>0</v>
      </c>
      <c r="L3" s="276"/>
    </row>
    <row r="4" spans="1:12" ht="14.4">
      <c r="A4" s="20" t="s">
        <v>4220</v>
      </c>
      <c r="B4" s="157">
        <f>ROUND(SUM(B2:B3),2)</f>
        <v>0</v>
      </c>
      <c r="C4" s="157">
        <f>ROUND(SUM(C2:C3),2)</f>
        <v>0</v>
      </c>
      <c r="D4" s="157">
        <f>ROUND(SUM(D2:D3),2)</f>
        <v>0</v>
      </c>
      <c r="E4" s="157">
        <f>ROUND(SUM(E2:E3),2)</f>
        <v>0</v>
      </c>
      <c r="F4" s="157">
        <f>ROUND(SUM(F2:F3),2)</f>
        <v>0</v>
      </c>
      <c r="G4" s="157">
        <f>ROUND(SUM(G2:G3),2)</f>
        <v>0</v>
      </c>
      <c r="H4" s="157">
        <f>ROUND(SUM(H2:H3),2)</f>
        <v>0</v>
      </c>
      <c r="I4" s="157">
        <f>ROUND(SUM(I2:I3),2)</f>
        <v>0</v>
      </c>
      <c r="J4" s="157">
        <f>ROUND(SUM(J2:J3),2)</f>
        <v>0</v>
      </c>
      <c r="K4" s="157">
        <f>ROUND(SUM(K2:K3),2)</f>
        <v>0</v>
      </c>
      <c r="L4" s="157">
        <f>ROUND(SUM(L2:L3),2)</f>
        <v>0</v>
      </c>
    </row>
  </sheetData>
  <phoneticPr fontId="1" type="noConversion"/>
  <pageMargins left="0.7" right="0.7" top="0.75" bottom="0.75" header="0.3" footer="0.3"/>
  <pageSetup paperSize="9" orientation="portrait" verticalDpi="0" r:id="rId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codeName="Sheet183">
    <tabColor rgb="FFFFC000"/>
  </sheetPr>
  <dimension ref="A1:L4"/>
  <sheetViews>
    <sheetView workbookViewId="0">
      <selection activeCell="F15" sqref="F1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421</v>
      </c>
      <c r="B1" s="32" t="s">
        <v>4211</v>
      </c>
      <c r="C1" s="20" t="s">
        <v>430</v>
      </c>
      <c r="D1" s="20" t="s">
        <v>431</v>
      </c>
      <c r="E1" s="35" t="s">
        <v>432</v>
      </c>
      <c r="F1" s="35" t="s">
        <v>433</v>
      </c>
      <c r="G1" s="35" t="s">
        <v>434</v>
      </c>
      <c r="H1" s="20" t="s">
        <v>438</v>
      </c>
      <c r="I1" s="35" t="s">
        <v>439</v>
      </c>
      <c r="J1" s="35" t="s">
        <v>202</v>
      </c>
      <c r="K1" s="32" t="s">
        <v>4216</v>
      </c>
      <c r="L1" s="32" t="s">
        <v>437</v>
      </c>
    </row>
    <row r="2" spans="1:12">
      <c r="A2" s="283"/>
      <c r="B2" s="265"/>
      <c r="C2" s="279"/>
      <c r="D2" s="279"/>
      <c r="E2" s="265"/>
      <c r="F2" s="265"/>
      <c r="G2" s="265"/>
      <c r="H2" s="279"/>
      <c r="I2" s="265"/>
      <c r="J2" s="265"/>
      <c r="K2" s="279">
        <f>ROUND(B2+C2-D2+E2+F2+G2-H2-I2+J2,2)</f>
        <v>0</v>
      </c>
      <c r="L2" s="276"/>
    </row>
    <row r="3" spans="1:12">
      <c r="A3" s="283"/>
      <c r="B3" s="265"/>
      <c r="C3" s="279"/>
      <c r="D3" s="279"/>
      <c r="E3" s="265"/>
      <c r="F3" s="265"/>
      <c r="G3" s="265"/>
      <c r="H3" s="279"/>
      <c r="I3" s="265"/>
      <c r="J3" s="265"/>
      <c r="K3" s="279">
        <f>ROUND(B3+C3-D3+E3+F3+G3-H3-I3+J3,2)</f>
        <v>0</v>
      </c>
      <c r="L3" s="276"/>
    </row>
    <row r="4" spans="1:12" ht="14.4">
      <c r="A4" s="20" t="s">
        <v>282</v>
      </c>
      <c r="B4" s="157">
        <f>ROUND(SUM(B2:B3),2)</f>
        <v>0</v>
      </c>
      <c r="C4" s="157">
        <f>ROUND(SUM(C2:C3),2)</f>
        <v>0</v>
      </c>
      <c r="D4" s="157">
        <f>ROUND(SUM(D2:D3),2)</f>
        <v>0</v>
      </c>
      <c r="E4" s="157">
        <f>ROUND(SUM(E2:E3),2)</f>
        <v>0</v>
      </c>
      <c r="F4" s="157">
        <f>ROUND(SUM(F2:F3),2)</f>
        <v>0</v>
      </c>
      <c r="G4" s="157">
        <f>ROUND(SUM(G2:G3),2)</f>
        <v>0</v>
      </c>
      <c r="H4" s="157">
        <f>ROUND(SUM(H2:H3),2)</f>
        <v>0</v>
      </c>
      <c r="I4" s="157">
        <f>ROUND(SUM(I2:I3),2)</f>
        <v>0</v>
      </c>
      <c r="J4" s="157">
        <f>ROUND(SUM(J2:J3),2)</f>
        <v>0</v>
      </c>
      <c r="K4" s="157">
        <f>ROUND(SUM(K2:K3),2)</f>
        <v>0</v>
      </c>
      <c r="L4" s="50"/>
    </row>
  </sheetData>
  <phoneticPr fontId="1" type="noConversion"/>
  <pageMargins left="0.7" right="0.7" top="0.75" bottom="0.75" header="0.3" footer="0.3"/>
  <pageSetup paperSize="9" orientation="portrait" verticalDpi="0" r:id="rId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codeName="Sheet184">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40" t="s">
        <v>3151</v>
      </c>
      <c r="B1" s="540" t="s">
        <v>3152</v>
      </c>
      <c r="C1" s="32" t="s">
        <v>3154</v>
      </c>
      <c r="D1" s="32" t="s">
        <v>3155</v>
      </c>
      <c r="E1" s="32" t="s">
        <v>3156</v>
      </c>
      <c r="F1" s="32" t="s">
        <v>3157</v>
      </c>
      <c r="G1" s="20" t="s">
        <v>139</v>
      </c>
    </row>
    <row r="2" spans="1:7" ht="15">
      <c r="A2" s="278" t="s">
        <v>435</v>
      </c>
      <c r="B2" s="278"/>
      <c r="C2" s="278"/>
      <c r="D2" s="278"/>
      <c r="E2" s="278"/>
      <c r="F2" s="278"/>
      <c r="G2" s="278"/>
    </row>
    <row r="3" spans="1:7" ht="15">
      <c r="A3" s="278" t="s">
        <v>3153</v>
      </c>
      <c r="B3" s="278"/>
      <c r="C3" s="278"/>
      <c r="D3" s="278"/>
      <c r="E3" s="278"/>
      <c r="F3" s="278"/>
      <c r="G3" s="278"/>
    </row>
    <row r="4" spans="1:7" ht="15">
      <c r="A4" s="278"/>
      <c r="B4" s="278"/>
      <c r="C4" s="278"/>
      <c r="D4" s="278"/>
      <c r="E4" s="278"/>
      <c r="F4" s="278"/>
      <c r="G4" s="278"/>
    </row>
    <row r="5" spans="1:7" ht="15">
      <c r="A5" s="278" t="s">
        <v>436</v>
      </c>
      <c r="B5" s="278"/>
      <c r="C5" s="278"/>
      <c r="D5" s="278"/>
      <c r="E5" s="278"/>
      <c r="F5" s="278"/>
      <c r="G5" s="278"/>
    </row>
    <row r="6" spans="1:7" ht="15">
      <c r="A6" s="278" t="s">
        <v>3153</v>
      </c>
      <c r="B6" s="278"/>
      <c r="C6" s="278"/>
      <c r="D6" s="278"/>
      <c r="E6" s="278"/>
      <c r="F6" s="278"/>
      <c r="G6" s="278"/>
    </row>
    <row r="7" spans="1:7" ht="15">
      <c r="A7" s="278"/>
      <c r="B7" s="278"/>
      <c r="C7" s="278"/>
      <c r="D7" s="278"/>
      <c r="E7" s="278"/>
      <c r="F7" s="278"/>
      <c r="G7" s="278"/>
    </row>
    <row r="8" spans="1:7">
      <c r="A8" s="256"/>
      <c r="B8" s="256"/>
      <c r="C8" s="256"/>
      <c r="D8" s="256"/>
      <c r="E8" s="256"/>
      <c r="F8" s="256"/>
      <c r="G8" s="256"/>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codeName="Sheet185">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3" t="s">
        <v>3158</v>
      </c>
      <c r="B1" s="73" t="s">
        <v>3159</v>
      </c>
      <c r="C1" s="20" t="s">
        <v>4223</v>
      </c>
    </row>
    <row r="2" spans="1:3" ht="15">
      <c r="A2" s="278"/>
      <c r="B2" s="278"/>
      <c r="C2" s="278"/>
    </row>
    <row r="3" spans="1:3" ht="15">
      <c r="A3" s="278"/>
      <c r="B3" s="278"/>
      <c r="C3" s="278"/>
    </row>
    <row r="4" spans="1:3">
      <c r="A4" s="256"/>
      <c r="B4" s="256"/>
      <c r="C4" s="256"/>
    </row>
    <row r="5" spans="1:3">
      <c r="A5" s="256"/>
      <c r="B5" s="256"/>
      <c r="C5" s="256"/>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sheetPr codeName="Sheet186"/>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2483</v>
      </c>
      <c r="B1" t="s">
        <v>2403</v>
      </c>
      <c r="C1" t="s">
        <v>223</v>
      </c>
      <c r="D1" t="s">
        <v>413</v>
      </c>
      <c r="E1" t="s">
        <v>2484</v>
      </c>
      <c r="F1" t="s">
        <v>2485</v>
      </c>
      <c r="G1" t="s">
        <v>2473</v>
      </c>
      <c r="H1" t="s">
        <v>430</v>
      </c>
      <c r="I1" t="s">
        <v>431</v>
      </c>
      <c r="J1" t="s">
        <v>432</v>
      </c>
      <c r="K1" t="s">
        <v>433</v>
      </c>
      <c r="L1" t="s">
        <v>434</v>
      </c>
      <c r="M1" t="s">
        <v>438</v>
      </c>
      <c r="N1" t="s">
        <v>202</v>
      </c>
      <c r="O1" t="s">
        <v>391</v>
      </c>
      <c r="P1" t="s">
        <v>509</v>
      </c>
      <c r="Q1" t="s">
        <v>2486</v>
      </c>
      <c r="R1" t="s">
        <v>2477</v>
      </c>
      <c r="S1" t="s">
        <v>2481</v>
      </c>
      <c r="T1" t="s">
        <v>2482</v>
      </c>
      <c r="U1" t="s">
        <v>2478</v>
      </c>
      <c r="V1" t="s">
        <v>285</v>
      </c>
      <c r="W1" t="s">
        <v>203</v>
      </c>
    </row>
    <row r="2" spans="1:23">
      <c r="A2" t="str">
        <f>IF(D2&gt;0,基础信息!$B$1,"")</f>
        <v/>
      </c>
      <c r="B2" s="277"/>
      <c r="C2" s="256"/>
      <c r="D2" s="256"/>
      <c r="E2" s="256"/>
      <c r="F2" s="256"/>
      <c r="G2" s="256"/>
      <c r="H2" s="256"/>
      <c r="I2" s="256"/>
      <c r="J2" s="256"/>
      <c r="K2" s="256"/>
      <c r="L2" s="256"/>
      <c r="M2" s="256"/>
      <c r="N2" s="256"/>
      <c r="O2">
        <f t="shared" ref="O2:O9" si="0">G2+H2+J2+K2+L2+N2</f>
        <v>0</v>
      </c>
      <c r="P2">
        <f>I2+M2</f>
        <v>0</v>
      </c>
      <c r="Q2">
        <f t="shared" ref="Q2:Q9" si="1">F2+G2+H2-I2+J2+K2+L2-M2+N2</f>
        <v>0</v>
      </c>
      <c r="R2" s="256"/>
      <c r="S2" s="256"/>
      <c r="T2" s="256"/>
      <c r="U2">
        <f>R2+S2-T2</f>
        <v>0</v>
      </c>
      <c r="V2">
        <f>F2-R2</f>
        <v>0</v>
      </c>
      <c r="W2">
        <f>Q2-U2</f>
        <v>0</v>
      </c>
    </row>
    <row r="3" spans="1:23">
      <c r="A3" t="str">
        <f>IF(D3&gt;0,基础信息!$B$1,"")</f>
        <v/>
      </c>
      <c r="B3" s="277"/>
      <c r="C3" s="256"/>
      <c r="D3" s="256"/>
      <c r="E3" s="256"/>
      <c r="F3" s="256"/>
      <c r="G3" s="256"/>
      <c r="H3" s="256"/>
      <c r="I3" s="256"/>
      <c r="J3" s="256"/>
      <c r="K3" s="256"/>
      <c r="L3" s="256"/>
      <c r="M3" s="256"/>
      <c r="N3" s="256"/>
      <c r="O3">
        <f t="shared" si="0"/>
        <v>0</v>
      </c>
      <c r="P3">
        <v>0</v>
      </c>
      <c r="Q3">
        <f t="shared" si="1"/>
        <v>0</v>
      </c>
      <c r="R3" s="256"/>
      <c r="S3" s="256"/>
      <c r="T3" s="256"/>
      <c r="U3">
        <f t="shared" ref="U3:U13" si="2">R3+S3-T3</f>
        <v>0</v>
      </c>
      <c r="V3">
        <f t="shared" ref="V3:V13" si="3">F3-R3</f>
        <v>0</v>
      </c>
      <c r="W3">
        <f t="shared" ref="W3:W13" si="4">Q3-U3</f>
        <v>0</v>
      </c>
    </row>
    <row r="4" spans="1:23">
      <c r="A4" t="str">
        <f>IF(D4&gt;0,基础信息!$B$1,"")</f>
        <v/>
      </c>
      <c r="B4" s="277"/>
      <c r="C4" s="256"/>
      <c r="D4" s="256"/>
      <c r="E4" s="256"/>
      <c r="F4" s="256"/>
      <c r="G4" s="256"/>
      <c r="H4" s="256"/>
      <c r="I4" s="256"/>
      <c r="J4" s="256"/>
      <c r="K4" s="256"/>
      <c r="L4" s="256"/>
      <c r="M4" s="256"/>
      <c r="N4" s="256"/>
      <c r="O4">
        <f t="shared" si="0"/>
        <v>0</v>
      </c>
      <c r="P4">
        <f t="shared" ref="P4:P9" si="5">I4+M4</f>
        <v>0</v>
      </c>
      <c r="Q4">
        <f t="shared" si="1"/>
        <v>0</v>
      </c>
      <c r="R4" s="256"/>
      <c r="S4" s="256"/>
      <c r="T4" s="256"/>
      <c r="U4">
        <f t="shared" si="2"/>
        <v>0</v>
      </c>
      <c r="V4">
        <f t="shared" si="3"/>
        <v>0</v>
      </c>
      <c r="W4">
        <f t="shared" si="4"/>
        <v>0</v>
      </c>
    </row>
    <row r="5" spans="1:23">
      <c r="A5" t="str">
        <f>IF(D5&gt;0,基础信息!$B$1,"")</f>
        <v/>
      </c>
      <c r="B5" s="277"/>
      <c r="C5" s="256"/>
      <c r="D5" s="256"/>
      <c r="E5" s="256"/>
      <c r="F5" s="256"/>
      <c r="G5" s="256"/>
      <c r="H5" s="256"/>
      <c r="I5" s="256"/>
      <c r="J5" s="256"/>
      <c r="K5" s="256"/>
      <c r="L5" s="256"/>
      <c r="M5" s="256"/>
      <c r="N5" s="256"/>
      <c r="O5">
        <f t="shared" si="0"/>
        <v>0</v>
      </c>
      <c r="P5">
        <f t="shared" si="5"/>
        <v>0</v>
      </c>
      <c r="Q5">
        <f t="shared" si="1"/>
        <v>0</v>
      </c>
      <c r="R5" s="256"/>
      <c r="S5" s="256"/>
      <c r="T5" s="256"/>
      <c r="U5">
        <f t="shared" si="2"/>
        <v>0</v>
      </c>
      <c r="V5">
        <f t="shared" si="3"/>
        <v>0</v>
      </c>
      <c r="W5">
        <f t="shared" si="4"/>
        <v>0</v>
      </c>
    </row>
    <row r="6" spans="1:23">
      <c r="A6" t="str">
        <f>IF(D6&gt;0,基础信息!$B$1,"")</f>
        <v/>
      </c>
      <c r="B6" s="277"/>
      <c r="C6" s="256"/>
      <c r="D6" s="256"/>
      <c r="E6" s="256"/>
      <c r="F6" s="256"/>
      <c r="G6" s="256"/>
      <c r="H6" s="256"/>
      <c r="I6" s="256"/>
      <c r="J6" s="256"/>
      <c r="K6" s="256"/>
      <c r="L6" s="256"/>
      <c r="M6" s="256"/>
      <c r="N6" s="256"/>
      <c r="O6">
        <f t="shared" si="0"/>
        <v>0</v>
      </c>
      <c r="P6">
        <f t="shared" si="5"/>
        <v>0</v>
      </c>
      <c r="Q6">
        <f t="shared" si="1"/>
        <v>0</v>
      </c>
      <c r="R6" s="256"/>
      <c r="S6" s="256"/>
      <c r="T6" s="256"/>
      <c r="U6">
        <f t="shared" si="2"/>
        <v>0</v>
      </c>
      <c r="V6">
        <f t="shared" si="3"/>
        <v>0</v>
      </c>
      <c r="W6">
        <f t="shared" si="4"/>
        <v>0</v>
      </c>
    </row>
    <row r="7" spans="1:23">
      <c r="A7" t="str">
        <f>IF(D7&gt;0,基础信息!$B$1,"")</f>
        <v/>
      </c>
      <c r="B7" s="277"/>
      <c r="C7" s="256"/>
      <c r="D7" s="256"/>
      <c r="E7" s="256"/>
      <c r="F7" s="256"/>
      <c r="G7" s="256"/>
      <c r="H7" s="256"/>
      <c r="I7" s="256"/>
      <c r="J7" s="256"/>
      <c r="K7" s="256"/>
      <c r="L7" s="256"/>
      <c r="M7" s="256"/>
      <c r="N7" s="256"/>
      <c r="O7">
        <f t="shared" si="0"/>
        <v>0</v>
      </c>
      <c r="P7">
        <v>0</v>
      </c>
      <c r="Q7">
        <f t="shared" si="1"/>
        <v>0</v>
      </c>
      <c r="R7" s="256"/>
      <c r="S7" s="256"/>
      <c r="T7" s="256"/>
      <c r="U7">
        <f t="shared" si="2"/>
        <v>0</v>
      </c>
      <c r="V7">
        <f t="shared" si="3"/>
        <v>0</v>
      </c>
      <c r="W7">
        <f t="shared" si="4"/>
        <v>0</v>
      </c>
    </row>
    <row r="8" spans="1:23">
      <c r="A8" t="str">
        <f>IF(D8&gt;0,基础信息!$B$1,"")</f>
        <v/>
      </c>
      <c r="B8" s="277"/>
      <c r="C8" s="256"/>
      <c r="D8" s="256"/>
      <c r="E8" s="256"/>
      <c r="F8" s="256"/>
      <c r="G8" s="256"/>
      <c r="H8" s="256"/>
      <c r="I8" s="256"/>
      <c r="J8" s="256"/>
      <c r="K8" s="256"/>
      <c r="L8" s="256"/>
      <c r="M8" s="256"/>
      <c r="N8" s="256"/>
      <c r="O8">
        <f t="shared" si="0"/>
        <v>0</v>
      </c>
      <c r="P8">
        <f t="shared" si="5"/>
        <v>0</v>
      </c>
      <c r="Q8">
        <f t="shared" si="1"/>
        <v>0</v>
      </c>
      <c r="R8" s="256"/>
      <c r="S8" s="256"/>
      <c r="T8" s="256"/>
      <c r="U8">
        <f t="shared" si="2"/>
        <v>0</v>
      </c>
      <c r="V8">
        <f t="shared" si="3"/>
        <v>0</v>
      </c>
      <c r="W8">
        <f t="shared" si="4"/>
        <v>0</v>
      </c>
    </row>
    <row r="9" spans="1:23">
      <c r="A9" t="str">
        <f>IF(D9&gt;0,基础信息!$B$1,"")</f>
        <v/>
      </c>
      <c r="B9" s="277"/>
      <c r="C9" s="256"/>
      <c r="D9" s="256"/>
      <c r="E9" s="256"/>
      <c r="F9" s="256"/>
      <c r="G9" s="256"/>
      <c r="H9" s="256"/>
      <c r="I9" s="256"/>
      <c r="J9" s="256"/>
      <c r="K9" s="256"/>
      <c r="L9" s="256"/>
      <c r="M9" s="256"/>
      <c r="N9" s="256"/>
      <c r="O9">
        <f t="shared" si="0"/>
        <v>0</v>
      </c>
      <c r="P9">
        <f t="shared" si="5"/>
        <v>0</v>
      </c>
      <c r="Q9">
        <f t="shared" si="1"/>
        <v>0</v>
      </c>
      <c r="R9" s="256"/>
      <c r="S9" s="256"/>
      <c r="T9" s="256"/>
      <c r="U9">
        <f t="shared" si="2"/>
        <v>0</v>
      </c>
      <c r="V9">
        <f t="shared" si="3"/>
        <v>0</v>
      </c>
      <c r="W9">
        <f t="shared" si="4"/>
        <v>0</v>
      </c>
    </row>
    <row r="10" spans="1:23">
      <c r="A10" t="str">
        <f>IF(D10&gt;0,基础信息!$B$1,"")</f>
        <v/>
      </c>
      <c r="B10" s="277"/>
      <c r="C10" s="256"/>
      <c r="D10" s="256"/>
      <c r="E10" s="256"/>
      <c r="F10" s="256"/>
      <c r="G10" s="256"/>
      <c r="H10" s="256"/>
      <c r="I10" s="256"/>
      <c r="J10" s="256"/>
      <c r="K10" s="256"/>
      <c r="L10" s="256"/>
      <c r="M10" s="256"/>
      <c r="N10" s="256"/>
      <c r="O10">
        <f t="shared" ref="O10:O13" si="6">G10+H10+J10+K10+L10+N10</f>
        <v>0</v>
      </c>
      <c r="P10">
        <f t="shared" ref="P10:P13" si="7">I10+M10</f>
        <v>0</v>
      </c>
      <c r="Q10">
        <f t="shared" ref="Q10:Q13" si="8">F10+G10+H10-I10+J10+K10+L10-M10+N10</f>
        <v>0</v>
      </c>
      <c r="R10" s="256"/>
      <c r="S10" s="256"/>
      <c r="T10" s="256"/>
      <c r="U10">
        <f t="shared" si="2"/>
        <v>0</v>
      </c>
      <c r="V10">
        <f t="shared" si="3"/>
        <v>0</v>
      </c>
      <c r="W10">
        <f t="shared" si="4"/>
        <v>0</v>
      </c>
    </row>
    <row r="11" spans="1:23">
      <c r="A11" t="str">
        <f>IF(D11&gt;0,基础信息!$B$1,"")</f>
        <v/>
      </c>
      <c r="B11" s="277"/>
      <c r="C11" s="256"/>
      <c r="D11" s="256"/>
      <c r="E11" s="256"/>
      <c r="F11" s="256"/>
      <c r="G11" s="256"/>
      <c r="H11" s="256"/>
      <c r="I11" s="256"/>
      <c r="J11" s="256"/>
      <c r="K11" s="256"/>
      <c r="L11" s="256"/>
      <c r="M11" s="256"/>
      <c r="N11" s="256"/>
      <c r="O11">
        <f t="shared" si="6"/>
        <v>0</v>
      </c>
      <c r="P11">
        <f t="shared" si="7"/>
        <v>0</v>
      </c>
      <c r="Q11">
        <f t="shared" si="8"/>
        <v>0</v>
      </c>
      <c r="R11" s="256"/>
      <c r="S11" s="256"/>
      <c r="T11" s="256"/>
      <c r="U11">
        <f t="shared" si="2"/>
        <v>0</v>
      </c>
      <c r="V11">
        <f t="shared" si="3"/>
        <v>0</v>
      </c>
      <c r="W11">
        <f t="shared" si="4"/>
        <v>0</v>
      </c>
    </row>
    <row r="12" spans="1:23">
      <c r="A12" t="str">
        <f>IF(D12&gt;0,基础信息!$B$1,"")</f>
        <v/>
      </c>
      <c r="B12" s="277"/>
      <c r="C12" s="256"/>
      <c r="D12" s="256"/>
      <c r="E12" s="256"/>
      <c r="F12" s="256"/>
      <c r="G12" s="256"/>
      <c r="H12" s="256"/>
      <c r="I12" s="256"/>
      <c r="J12" s="256"/>
      <c r="K12" s="256"/>
      <c r="L12" s="256"/>
      <c r="M12" s="256"/>
      <c r="N12" s="256"/>
      <c r="O12">
        <f t="shared" si="6"/>
        <v>0</v>
      </c>
      <c r="P12">
        <f t="shared" si="7"/>
        <v>0</v>
      </c>
      <c r="Q12">
        <f t="shared" si="8"/>
        <v>0</v>
      </c>
      <c r="R12" s="256"/>
      <c r="S12" s="256"/>
      <c r="T12" s="256"/>
      <c r="U12">
        <f t="shared" si="2"/>
        <v>0</v>
      </c>
      <c r="V12">
        <f t="shared" si="3"/>
        <v>0</v>
      </c>
      <c r="W12">
        <f t="shared" si="4"/>
        <v>0</v>
      </c>
    </row>
    <row r="13" spans="1:23">
      <c r="A13" t="str">
        <f>IF(D13&gt;0,基础信息!$B$1,"")</f>
        <v/>
      </c>
      <c r="B13" s="277"/>
      <c r="C13" s="256"/>
      <c r="D13" s="256"/>
      <c r="E13" s="256"/>
      <c r="F13" s="256"/>
      <c r="G13" s="256"/>
      <c r="H13" s="256"/>
      <c r="I13" s="256"/>
      <c r="J13" s="256"/>
      <c r="K13" s="256"/>
      <c r="L13" s="256"/>
      <c r="M13" s="256"/>
      <c r="N13" s="256"/>
      <c r="O13">
        <f t="shared" si="6"/>
        <v>0</v>
      </c>
      <c r="P13">
        <f t="shared" si="7"/>
        <v>0</v>
      </c>
      <c r="Q13">
        <f t="shared" si="8"/>
        <v>0</v>
      </c>
      <c r="R13" s="256"/>
      <c r="S13" s="256"/>
      <c r="T13" s="256"/>
      <c r="U13">
        <f t="shared" si="2"/>
        <v>0</v>
      </c>
      <c r="V13">
        <f t="shared" si="3"/>
        <v>0</v>
      </c>
      <c r="W13">
        <f t="shared" si="4"/>
        <v>0</v>
      </c>
    </row>
    <row r="14" spans="1:23">
      <c r="A14" t="str">
        <f>IF(D14&gt;0,基础信息!$B$1,"")</f>
        <v/>
      </c>
      <c r="B14" s="277"/>
    </row>
    <row r="15" spans="1:23">
      <c r="A15" t="str">
        <f>IF(D15&gt;0,基础信息!$B$1,"")</f>
        <v/>
      </c>
      <c r="B15" s="277"/>
    </row>
    <row r="16" spans="1:23">
      <c r="A16" t="str">
        <f>IF(D16&gt;0,基础信息!$B$1,"")</f>
        <v/>
      </c>
      <c r="B16" s="277"/>
    </row>
    <row r="17" spans="1:2">
      <c r="A17" t="str">
        <f>IF(D17&gt;0,基础信息!$B$1,"")</f>
        <v/>
      </c>
      <c r="B17" s="277"/>
    </row>
    <row r="18" spans="1:2">
      <c r="A18" t="str">
        <f>IF(D18&gt;0,基础信息!$B$1,"")</f>
        <v/>
      </c>
      <c r="B18" s="277"/>
    </row>
    <row r="19" spans="1:2">
      <c r="A19" t="str">
        <f>IF(D19&gt;0,基础信息!$B$1,"")</f>
        <v/>
      </c>
      <c r="B19" s="277"/>
    </row>
    <row r="20" spans="1:2">
      <c r="A20" t="str">
        <f>IF(D20&gt;0,基础信息!$B$1,"")</f>
        <v/>
      </c>
      <c r="B20" s="277"/>
    </row>
    <row r="21" spans="1:2">
      <c r="A21" t="str">
        <f>IF(D21&gt;0,基础信息!$B$1,"")</f>
        <v/>
      </c>
      <c r="B21" s="277"/>
    </row>
    <row r="22" spans="1:2">
      <c r="A22" t="str">
        <f>IF(D22&gt;0,基础信息!$B$1,"")</f>
        <v/>
      </c>
      <c r="B22" s="277"/>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sheetPr codeName="Sheet187"/>
  <dimension ref="A1:V39"/>
  <sheetViews>
    <sheetView workbookViewId="0">
      <selection activeCell="A4" sqref="A4"/>
    </sheetView>
  </sheetViews>
  <sheetFormatPr defaultRowHeight="13.8"/>
  <sheetData>
    <row r="1" spans="1:22" ht="55.2">
      <c r="A1" s="313" t="s">
        <v>2015</v>
      </c>
      <c r="B1" s="264" t="s">
        <v>2016</v>
      </c>
      <c r="C1" s="271" t="s">
        <v>125</v>
      </c>
      <c r="D1" s="271" t="s">
        <v>1782</v>
      </c>
      <c r="E1" s="271" t="s">
        <v>1784</v>
      </c>
      <c r="F1" s="314" t="s">
        <v>1785</v>
      </c>
      <c r="G1" s="314" t="s">
        <v>1786</v>
      </c>
      <c r="H1" s="314" t="s">
        <v>1787</v>
      </c>
      <c r="I1" s="314" t="s">
        <v>1788</v>
      </c>
      <c r="J1" s="314" t="s">
        <v>1739</v>
      </c>
      <c r="K1" s="271" t="s">
        <v>1790</v>
      </c>
      <c r="L1" s="271" t="s">
        <v>1791</v>
      </c>
      <c r="M1" s="271" t="s">
        <v>1792</v>
      </c>
      <c r="N1" s="271" t="s">
        <v>4186</v>
      </c>
      <c r="O1" s="271" t="s">
        <v>1138</v>
      </c>
      <c r="P1" s="271" t="s">
        <v>811</v>
      </c>
      <c r="Q1" s="271" t="s">
        <v>731</v>
      </c>
      <c r="R1" s="271" t="s">
        <v>732</v>
      </c>
      <c r="S1" s="271" t="s">
        <v>793</v>
      </c>
      <c r="T1" s="271" t="s">
        <v>1795</v>
      </c>
      <c r="U1" s="271" t="s">
        <v>442</v>
      </c>
      <c r="V1" s="271" t="s">
        <v>2487</v>
      </c>
    </row>
    <row r="2" spans="1:22">
      <c r="A2" s="230" t="str">
        <f>IF(F2&gt;0,基础信息!$B$1,"")</f>
        <v/>
      </c>
      <c r="B2" s="277"/>
      <c r="C2" s="256"/>
      <c r="D2" s="256"/>
      <c r="E2" s="256"/>
      <c r="F2" s="230">
        <f>D2+E2</f>
        <v>0</v>
      </c>
      <c r="G2" s="290"/>
      <c r="H2" s="290"/>
      <c r="I2" s="230">
        <f>G2+H2</f>
        <v>0</v>
      </c>
      <c r="J2" s="230">
        <f>F2-I2</f>
        <v>0</v>
      </c>
      <c r="K2" s="256"/>
      <c r="L2" s="256"/>
      <c r="M2" s="256"/>
      <c r="N2" s="256"/>
      <c r="O2" s="256"/>
      <c r="P2" s="256"/>
      <c r="Q2" s="256"/>
      <c r="R2" s="256"/>
      <c r="S2" s="256"/>
      <c r="T2" s="256"/>
      <c r="U2" s="256"/>
      <c r="V2" s="256"/>
    </row>
    <row r="3" spans="1:22">
      <c r="A3" s="230" t="str">
        <f>IF(F3&gt;0,基础信息!$B$1,"")</f>
        <v/>
      </c>
      <c r="B3" s="277"/>
      <c r="C3" s="256"/>
      <c r="D3" s="256"/>
      <c r="E3" s="256"/>
      <c r="F3" s="230">
        <f t="shared" ref="F3:F16" si="0">D3+E3</f>
        <v>0</v>
      </c>
      <c r="G3" s="290"/>
      <c r="H3" s="290"/>
      <c r="I3" s="230">
        <f t="shared" ref="I3:I16" si="1">G3+H3</f>
        <v>0</v>
      </c>
      <c r="J3" s="230">
        <f t="shared" ref="J3:J16" si="2">F3-I3</f>
        <v>0</v>
      </c>
      <c r="K3" s="256"/>
      <c r="L3" s="256"/>
      <c r="M3" s="256"/>
      <c r="N3" s="256"/>
      <c r="O3" s="256"/>
      <c r="P3" s="256"/>
      <c r="Q3" s="256"/>
      <c r="R3" s="256"/>
      <c r="S3" s="256"/>
      <c r="T3" s="256"/>
      <c r="U3" s="256"/>
      <c r="V3" s="256"/>
    </row>
    <row r="4" spans="1:22">
      <c r="A4" s="230" t="str">
        <f>IF(F4&gt;0,基础信息!$B$1,"")</f>
        <v/>
      </c>
      <c r="B4" s="277"/>
      <c r="C4" s="256"/>
      <c r="D4" s="256"/>
      <c r="E4" s="256"/>
      <c r="F4" s="230">
        <f t="shared" si="0"/>
        <v>0</v>
      </c>
      <c r="G4" s="290"/>
      <c r="H4" s="290"/>
      <c r="I4" s="230">
        <f t="shared" si="1"/>
        <v>0</v>
      </c>
      <c r="J4" s="230">
        <f t="shared" si="2"/>
        <v>0</v>
      </c>
      <c r="K4" s="256"/>
      <c r="L4" s="256"/>
      <c r="M4" s="256"/>
      <c r="N4" s="256"/>
      <c r="O4" s="256"/>
      <c r="P4" s="256"/>
      <c r="Q4" s="256"/>
      <c r="R4" s="256"/>
      <c r="S4" s="256"/>
      <c r="T4" s="256"/>
      <c r="U4" s="256"/>
      <c r="V4" s="256"/>
    </row>
    <row r="5" spans="1:22">
      <c r="A5" s="230" t="str">
        <f>IF(F5&gt;0,基础信息!$B$1,"")</f>
        <v/>
      </c>
      <c r="B5" s="277"/>
      <c r="C5" s="256"/>
      <c r="D5" s="256"/>
      <c r="E5" s="256"/>
      <c r="F5" s="230">
        <f t="shared" si="0"/>
        <v>0</v>
      </c>
      <c r="G5" s="290"/>
      <c r="H5" s="290"/>
      <c r="I5" s="230">
        <f t="shared" si="1"/>
        <v>0</v>
      </c>
      <c r="J5" s="230">
        <f t="shared" si="2"/>
        <v>0</v>
      </c>
      <c r="K5" s="256"/>
      <c r="L5" s="256"/>
      <c r="M5" s="256"/>
      <c r="N5" s="256"/>
      <c r="O5" s="256"/>
      <c r="P5" s="256"/>
      <c r="Q5" s="256"/>
      <c r="R5" s="256"/>
      <c r="S5" s="256"/>
      <c r="T5" s="256"/>
      <c r="U5" s="256"/>
      <c r="V5" s="256"/>
    </row>
    <row r="6" spans="1:22">
      <c r="A6" s="230" t="str">
        <f>IF(F6&gt;0,基础信息!$B$1,"")</f>
        <v/>
      </c>
      <c r="B6" s="277"/>
      <c r="C6" s="256"/>
      <c r="D6" s="256"/>
      <c r="E6" s="256"/>
      <c r="F6" s="230">
        <f t="shared" si="0"/>
        <v>0</v>
      </c>
      <c r="G6" s="290"/>
      <c r="H6" s="290"/>
      <c r="I6" s="230">
        <f t="shared" si="1"/>
        <v>0</v>
      </c>
      <c r="J6" s="230">
        <f t="shared" si="2"/>
        <v>0</v>
      </c>
      <c r="K6" s="256"/>
      <c r="L6" s="256"/>
      <c r="M6" s="256"/>
      <c r="N6" s="256"/>
      <c r="O6" s="256"/>
      <c r="P6" s="256"/>
      <c r="Q6" s="256"/>
      <c r="R6" s="256"/>
      <c r="S6" s="256"/>
      <c r="T6" s="256"/>
      <c r="U6" s="256"/>
      <c r="V6" s="256"/>
    </row>
    <row r="7" spans="1:22">
      <c r="A7" s="230" t="str">
        <f>IF(F7&gt;0,基础信息!$B$1,"")</f>
        <v/>
      </c>
      <c r="B7" s="277"/>
      <c r="C7" s="256"/>
      <c r="D7" s="256"/>
      <c r="E7" s="256"/>
      <c r="F7" s="230">
        <f t="shared" si="0"/>
        <v>0</v>
      </c>
      <c r="G7" s="290"/>
      <c r="H7" s="290"/>
      <c r="I7" s="230">
        <f t="shared" si="1"/>
        <v>0</v>
      </c>
      <c r="J7" s="230">
        <f t="shared" si="2"/>
        <v>0</v>
      </c>
      <c r="K7" s="256"/>
      <c r="L7" s="256"/>
      <c r="M7" s="256"/>
      <c r="N7" s="256"/>
      <c r="O7" s="256"/>
      <c r="P7" s="256"/>
      <c r="Q7" s="256"/>
      <c r="R7" s="256"/>
      <c r="S7" s="256"/>
      <c r="T7" s="256"/>
      <c r="U7" s="256"/>
      <c r="V7" s="256"/>
    </row>
    <row r="8" spans="1:22">
      <c r="A8" s="230" t="str">
        <f>IF(F8&gt;0,基础信息!$B$1,"")</f>
        <v/>
      </c>
      <c r="B8" s="277"/>
      <c r="C8" s="256"/>
      <c r="D8" s="256"/>
      <c r="E8" s="256"/>
      <c r="F8" s="230">
        <f t="shared" si="0"/>
        <v>0</v>
      </c>
      <c r="G8" s="290"/>
      <c r="H8" s="290"/>
      <c r="I8" s="230">
        <f t="shared" si="1"/>
        <v>0</v>
      </c>
      <c r="J8" s="230">
        <f t="shared" si="2"/>
        <v>0</v>
      </c>
      <c r="K8" s="256"/>
      <c r="L8" s="256"/>
      <c r="M8" s="256"/>
      <c r="N8" s="256"/>
      <c r="O8" s="256"/>
      <c r="P8" s="256"/>
      <c r="Q8" s="256"/>
      <c r="R8" s="256"/>
      <c r="S8" s="256"/>
      <c r="T8" s="256"/>
      <c r="U8" s="256"/>
      <c r="V8" s="256"/>
    </row>
    <row r="9" spans="1:22">
      <c r="A9" s="230" t="str">
        <f>IF(F9&gt;0,基础信息!$B$1,"")</f>
        <v/>
      </c>
      <c r="B9" s="277"/>
      <c r="C9" s="256"/>
      <c r="D9" s="256"/>
      <c r="E9" s="256"/>
      <c r="F9" s="230">
        <f t="shared" si="0"/>
        <v>0</v>
      </c>
      <c r="G9" s="290"/>
      <c r="H9" s="290"/>
      <c r="I9" s="230">
        <f t="shared" si="1"/>
        <v>0</v>
      </c>
      <c r="J9" s="230">
        <f t="shared" si="2"/>
        <v>0</v>
      </c>
      <c r="K9" s="256"/>
      <c r="L9" s="256"/>
      <c r="M9" s="256"/>
      <c r="N9" s="256"/>
      <c r="O9" s="256"/>
      <c r="P9" s="256"/>
      <c r="Q9" s="256"/>
      <c r="R9" s="256"/>
      <c r="S9" s="256"/>
      <c r="T9" s="256"/>
      <c r="U9" s="256"/>
      <c r="V9" s="256"/>
    </row>
    <row r="10" spans="1:22">
      <c r="A10" s="230" t="str">
        <f>IF(F10&gt;0,基础信息!$B$1,"")</f>
        <v/>
      </c>
      <c r="B10" s="277"/>
      <c r="C10" s="256"/>
      <c r="D10" s="256"/>
      <c r="E10" s="256"/>
      <c r="F10" s="230">
        <f t="shared" si="0"/>
        <v>0</v>
      </c>
      <c r="G10" s="290"/>
      <c r="H10" s="290"/>
      <c r="I10" s="230">
        <f t="shared" si="1"/>
        <v>0</v>
      </c>
      <c r="J10" s="230">
        <f t="shared" si="2"/>
        <v>0</v>
      </c>
      <c r="K10" s="256"/>
      <c r="L10" s="256"/>
      <c r="M10" s="256"/>
      <c r="N10" s="256"/>
      <c r="O10" s="256"/>
      <c r="P10" s="256"/>
      <c r="Q10" s="256"/>
      <c r="R10" s="256"/>
      <c r="S10" s="256"/>
      <c r="T10" s="256"/>
      <c r="U10" s="256"/>
      <c r="V10" s="256"/>
    </row>
    <row r="11" spans="1:22">
      <c r="A11" s="230" t="str">
        <f>IF(F11&gt;0,基础信息!$B$1,"")</f>
        <v/>
      </c>
      <c r="B11" s="277"/>
      <c r="C11" s="256"/>
      <c r="D11" s="256"/>
      <c r="E11" s="256"/>
      <c r="F11" s="230">
        <f t="shared" si="0"/>
        <v>0</v>
      </c>
      <c r="G11" s="290"/>
      <c r="H11" s="290"/>
      <c r="I11" s="230">
        <f t="shared" si="1"/>
        <v>0</v>
      </c>
      <c r="J11" s="230">
        <f t="shared" si="2"/>
        <v>0</v>
      </c>
      <c r="K11" s="256"/>
      <c r="L11" s="256"/>
      <c r="M11" s="256"/>
      <c r="N11" s="256"/>
      <c r="O11" s="256"/>
      <c r="P11" s="256"/>
      <c r="Q11" s="256"/>
      <c r="R11" s="256"/>
      <c r="S11" s="256"/>
      <c r="T11" s="256"/>
      <c r="U11" s="256"/>
      <c r="V11" s="256"/>
    </row>
    <row r="12" spans="1:22">
      <c r="A12" s="230" t="str">
        <f>IF(F12&gt;0,基础信息!$B$1,"")</f>
        <v/>
      </c>
      <c r="B12" s="277"/>
      <c r="C12" s="256"/>
      <c r="D12" s="256"/>
      <c r="E12" s="256"/>
      <c r="F12" s="230">
        <f t="shared" si="0"/>
        <v>0</v>
      </c>
      <c r="G12" s="290"/>
      <c r="H12" s="290"/>
      <c r="I12" s="230">
        <f t="shared" si="1"/>
        <v>0</v>
      </c>
      <c r="J12" s="230">
        <f t="shared" si="2"/>
        <v>0</v>
      </c>
      <c r="K12" s="256"/>
      <c r="L12" s="256"/>
      <c r="M12" s="256"/>
      <c r="N12" s="256"/>
      <c r="O12" s="256"/>
      <c r="P12" s="256"/>
      <c r="Q12" s="256"/>
      <c r="R12" s="256"/>
      <c r="S12" s="256"/>
      <c r="T12" s="256"/>
      <c r="U12" s="256"/>
      <c r="V12" s="256"/>
    </row>
    <row r="13" spans="1:22">
      <c r="A13" s="230" t="str">
        <f>IF(F13&gt;0,基础信息!$B$1,"")</f>
        <v/>
      </c>
      <c r="B13" s="277"/>
      <c r="C13" s="256"/>
      <c r="D13" s="256"/>
      <c r="E13" s="256"/>
      <c r="F13" s="230">
        <f t="shared" si="0"/>
        <v>0</v>
      </c>
      <c r="G13" s="290"/>
      <c r="H13" s="290"/>
      <c r="I13" s="230">
        <f t="shared" si="1"/>
        <v>0</v>
      </c>
      <c r="J13" s="230">
        <f t="shared" si="2"/>
        <v>0</v>
      </c>
      <c r="K13" s="256"/>
      <c r="L13" s="256"/>
      <c r="M13" s="256"/>
      <c r="N13" s="256"/>
      <c r="O13" s="256"/>
      <c r="P13" s="256"/>
      <c r="Q13" s="256"/>
      <c r="R13" s="256"/>
      <c r="S13" s="256"/>
      <c r="T13" s="256"/>
      <c r="U13" s="256"/>
      <c r="V13" s="256"/>
    </row>
    <row r="14" spans="1:22">
      <c r="A14" s="230" t="str">
        <f>IF(F14&gt;0,基础信息!$B$1,"")</f>
        <v/>
      </c>
      <c r="B14" s="277"/>
      <c r="C14" s="256"/>
      <c r="D14" s="256"/>
      <c r="E14" s="256"/>
      <c r="F14" s="230">
        <f t="shared" si="0"/>
        <v>0</v>
      </c>
      <c r="G14" s="290"/>
      <c r="H14" s="290"/>
      <c r="I14" s="230">
        <f t="shared" si="1"/>
        <v>0</v>
      </c>
      <c r="J14" s="230">
        <f t="shared" si="2"/>
        <v>0</v>
      </c>
      <c r="K14" s="256"/>
      <c r="L14" s="256"/>
      <c r="M14" s="256"/>
      <c r="N14" s="256"/>
      <c r="O14" s="256"/>
      <c r="P14" s="256"/>
      <c r="Q14" s="256"/>
      <c r="R14" s="256"/>
      <c r="S14" s="256"/>
      <c r="T14" s="256"/>
      <c r="U14" s="256"/>
      <c r="V14" s="256"/>
    </row>
    <row r="15" spans="1:22">
      <c r="A15" s="230" t="str">
        <f>IF(F15&gt;0,基础信息!$B$1,"")</f>
        <v/>
      </c>
      <c r="B15" s="277"/>
      <c r="C15" s="256"/>
      <c r="D15" s="256"/>
      <c r="E15" s="256"/>
      <c r="F15" s="230">
        <f t="shared" si="0"/>
        <v>0</v>
      </c>
      <c r="G15" s="290"/>
      <c r="H15" s="290"/>
      <c r="I15" s="230">
        <f t="shared" si="1"/>
        <v>0</v>
      </c>
      <c r="J15" s="230">
        <f t="shared" si="2"/>
        <v>0</v>
      </c>
      <c r="K15" s="256"/>
      <c r="L15" s="256"/>
      <c r="M15" s="256"/>
      <c r="N15" s="256"/>
      <c r="O15" s="256"/>
      <c r="P15" s="256"/>
      <c r="Q15" s="256"/>
      <c r="R15" s="256"/>
      <c r="S15" s="256"/>
      <c r="T15" s="256"/>
      <c r="U15" s="256"/>
      <c r="V15" s="256"/>
    </row>
    <row r="16" spans="1:22">
      <c r="A16" s="230" t="str">
        <f>IF(F16&gt;0,基础信息!$B$1,"")</f>
        <v/>
      </c>
      <c r="B16" s="277"/>
      <c r="C16" s="256"/>
      <c r="D16" s="256"/>
      <c r="E16" s="256"/>
      <c r="F16" s="230">
        <f t="shared" si="0"/>
        <v>0</v>
      </c>
      <c r="G16" s="290"/>
      <c r="H16" s="290"/>
      <c r="I16" s="230">
        <f t="shared" si="1"/>
        <v>0</v>
      </c>
      <c r="J16" s="230">
        <f t="shared" si="2"/>
        <v>0</v>
      </c>
      <c r="K16" s="256"/>
      <c r="L16" s="256"/>
      <c r="M16" s="256"/>
      <c r="N16" s="256"/>
      <c r="O16" s="256"/>
      <c r="P16" s="256"/>
      <c r="Q16" s="256"/>
      <c r="R16" s="256"/>
      <c r="S16" s="256"/>
      <c r="T16" s="256"/>
      <c r="U16" s="256"/>
      <c r="V16" s="256"/>
    </row>
    <row r="17" spans="1:2">
      <c r="A17" s="230" t="str">
        <f>IF(F17&gt;0,基础信息!$B$1,"")</f>
        <v/>
      </c>
      <c r="B17" s="277"/>
    </row>
    <row r="18" spans="1:2">
      <c r="A18" s="230" t="str">
        <f>IF(F18&gt;0,基础信息!$B$1,"")</f>
        <v/>
      </c>
      <c r="B18" s="277"/>
    </row>
    <row r="19" spans="1:2">
      <c r="A19" s="230" t="str">
        <f>IF(F19&gt;0,基础信息!$B$1,"")</f>
        <v/>
      </c>
      <c r="B19" s="277"/>
    </row>
    <row r="20" spans="1:2">
      <c r="A20" s="230" t="str">
        <f>IF(F20&gt;0,基础信息!$B$1,"")</f>
        <v/>
      </c>
      <c r="B20" s="277"/>
    </row>
    <row r="21" spans="1:2">
      <c r="A21" s="230" t="str">
        <f>IF(F21&gt;0,基础信息!$B$1,"")</f>
        <v/>
      </c>
      <c r="B21" s="277"/>
    </row>
    <row r="22" spans="1:2">
      <c r="A22" s="230" t="str">
        <f>IF(F22&gt;0,基础信息!$B$1,"")</f>
        <v/>
      </c>
      <c r="B22" s="277"/>
    </row>
    <row r="23" spans="1:2">
      <c r="A23" s="230" t="str">
        <f>IF(F23&gt;0,基础信息!$B$1,"")</f>
        <v/>
      </c>
      <c r="B23" s="277"/>
    </row>
    <row r="24" spans="1:2">
      <c r="A24" s="230" t="str">
        <f>IF(F24&gt;0,基础信息!$B$1,"")</f>
        <v/>
      </c>
      <c r="B24" s="277"/>
    </row>
    <row r="25" spans="1:2">
      <c r="A25" s="230" t="str">
        <f>IF(F25&gt;0,基础信息!$B$1,"")</f>
        <v/>
      </c>
      <c r="B25" s="277"/>
    </row>
    <row r="26" spans="1:2">
      <c r="A26" s="230" t="str">
        <f>IF(F26&gt;0,基础信息!$B$1,"")</f>
        <v/>
      </c>
      <c r="B26" s="277"/>
    </row>
    <row r="27" spans="1:2">
      <c r="A27" s="230" t="str">
        <f>IF(F27&gt;0,基础信息!$B$1,"")</f>
        <v/>
      </c>
      <c r="B27" s="277"/>
    </row>
    <row r="28" spans="1:2">
      <c r="A28" s="230" t="str">
        <f>IF(F28&gt;0,基础信息!$B$1,"")</f>
        <v/>
      </c>
      <c r="B28" s="277"/>
    </row>
    <row r="29" spans="1:2">
      <c r="A29" s="230" t="str">
        <f>IF(F29&gt;0,基础信息!$B$1,"")</f>
        <v/>
      </c>
      <c r="B29" s="277"/>
    </row>
    <row r="30" spans="1:2">
      <c r="A30" s="230" t="str">
        <f>IF(F30&gt;0,基础信息!$B$1,"")</f>
        <v/>
      </c>
      <c r="B30" s="277"/>
    </row>
    <row r="31" spans="1:2">
      <c r="A31" s="230" t="str">
        <f>IF(F31&gt;0,基础信息!$B$1,"")</f>
        <v/>
      </c>
      <c r="B31" s="277"/>
    </row>
    <row r="32" spans="1:2">
      <c r="A32" s="230" t="str">
        <f>IF(F32&gt;0,基础信息!$B$1,"")</f>
        <v/>
      </c>
    </row>
    <row r="33" spans="1:1">
      <c r="A33" s="230" t="str">
        <f>IF(F33&gt;0,基础信息!$B$1,"")</f>
        <v/>
      </c>
    </row>
    <row r="34" spans="1:1">
      <c r="A34" s="230" t="str">
        <f>IF(F34&gt;0,基础信息!$B$1,"")</f>
        <v/>
      </c>
    </row>
    <row r="35" spans="1:1">
      <c r="A35" s="230" t="str">
        <f>IF(F35&gt;0,基础信息!$B$1,"")</f>
        <v/>
      </c>
    </row>
    <row r="36" spans="1:1">
      <c r="A36" s="230" t="str">
        <f>IF(F36&gt;0,基础信息!$B$1,"")</f>
        <v/>
      </c>
    </row>
    <row r="37" spans="1:1">
      <c r="A37" s="230" t="str">
        <f>IF(F37&gt;0,基础信息!$B$1,"")</f>
        <v/>
      </c>
    </row>
    <row r="38" spans="1:1">
      <c r="A38" s="230" t="str">
        <f>IF(F38&gt;0,基础信息!$B$1,"")</f>
        <v/>
      </c>
    </row>
    <row r="39" spans="1:1">
      <c r="A39" s="230"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codeName="Sheet188">
    <tabColor rgb="FFFFC000"/>
  </sheetPr>
  <dimension ref="A1:C4"/>
  <sheetViews>
    <sheetView workbookViewId="0">
      <selection activeCell="B2" sqref="B2:C4"/>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4" t="s">
        <v>4405</v>
      </c>
      <c r="B2" s="555">
        <f>ROUND(SUMIF(其他权益工具投资明细表!D:D,A2,其他权益工具投资明细表!O:O),2)</f>
        <v>0</v>
      </c>
      <c r="C2" s="151">
        <f>ROUND(SUMIF(其他权益工具投资明细表!D:D,A2,其他权益工具投资明细表!G:G),2)</f>
        <v>0</v>
      </c>
    </row>
    <row r="3" spans="1:3" ht="14.4">
      <c r="A3" s="554" t="s">
        <v>4406</v>
      </c>
      <c r="B3" s="555">
        <f>ROUND(SUMIF(其他权益工具投资明细表!D:D,A3,其他权益工具投资明细表!O:O),2)</f>
        <v>0</v>
      </c>
      <c r="C3" s="151">
        <f>ROUND(SUMIF(其他权益工具投资明细表!D:D,A3,其他权益工具投资明细表!G:G),2)</f>
        <v>0</v>
      </c>
    </row>
    <row r="4" spans="1:3" ht="14.4">
      <c r="A4" s="35" t="s">
        <v>204</v>
      </c>
      <c r="B4" s="45">
        <f>ROUND(SUM(B2:B3),2)</f>
        <v>0</v>
      </c>
      <c r="C4" s="45">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codeName="Sheet189">
    <tabColor rgb="FFFFC000"/>
  </sheetPr>
  <dimension ref="A1:D4"/>
  <sheetViews>
    <sheetView workbookViewId="0">
      <selection activeCell="H14" sqref="H14"/>
    </sheetView>
  </sheetViews>
  <sheetFormatPr defaultRowHeight="13.8"/>
  <cols>
    <col min="1" max="1" width="20.44140625" bestFit="1" customWidth="1"/>
    <col min="3" max="3" width="13" customWidth="1"/>
  </cols>
  <sheetData>
    <row r="1" spans="1:4" ht="60">
      <c r="A1" s="73" t="s">
        <v>28</v>
      </c>
      <c r="B1" s="20" t="s">
        <v>4217</v>
      </c>
      <c r="C1" s="73" t="s">
        <v>409</v>
      </c>
      <c r="D1" s="73" t="s">
        <v>2409</v>
      </c>
    </row>
    <row r="2" spans="1:4" ht="15">
      <c r="A2" s="256"/>
      <c r="B2" s="608"/>
      <c r="C2" s="608"/>
      <c r="D2" s="608"/>
    </row>
    <row r="3" spans="1:4" ht="15">
      <c r="A3" s="256"/>
      <c r="B3" s="608"/>
      <c r="C3" s="608"/>
      <c r="D3" s="608"/>
    </row>
    <row r="4" spans="1:4" ht="15">
      <c r="A4" s="73" t="s">
        <v>204</v>
      </c>
      <c r="B4" s="320">
        <f>ROUND(SUM(B2:B3),2)</f>
        <v>0</v>
      </c>
      <c r="C4" s="320">
        <f>ROUND(SUM(C2:C3),2)</f>
        <v>0</v>
      </c>
      <c r="D4" s="320">
        <f>ROUND(SUM(D2:D3),2)</f>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codeName="Sheet19">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F24" sqref="F24"/>
    </sheetView>
  </sheetViews>
  <sheetFormatPr defaultRowHeight="13.8"/>
  <cols>
    <col min="1" max="1" width="71.5546875" bestFit="1" customWidth="1"/>
    <col min="2" max="2" width="6.109375" bestFit="1" customWidth="1"/>
    <col min="3" max="4" width="17.109375" bestFit="1" customWidth="1"/>
  </cols>
  <sheetData>
    <row r="1" spans="1:4" ht="14.4">
      <c r="A1" s="252" t="s">
        <v>1969</v>
      </c>
      <c r="B1" t="s">
        <v>1970</v>
      </c>
      <c r="C1" s="230" t="s">
        <v>444</v>
      </c>
      <c r="D1" s="253" t="s">
        <v>445</v>
      </c>
    </row>
    <row r="2" spans="1:4">
      <c r="A2" t="s">
        <v>1971</v>
      </c>
      <c r="B2">
        <v>1</v>
      </c>
      <c r="C2" s="230">
        <f>本期所有者权益变动表!M6</f>
        <v>286220514.49000001</v>
      </c>
      <c r="D2" s="253">
        <f>上期所有者权益变动表!M6</f>
        <v>0</v>
      </c>
    </row>
    <row r="3" spans="1:4">
      <c r="A3" t="s">
        <v>1972</v>
      </c>
      <c r="B3">
        <v>2</v>
      </c>
      <c r="C3" s="230">
        <f>本期所有者权益变动表!M34</f>
        <v>532350892.72000003</v>
      </c>
      <c r="D3" s="253">
        <f>上期所有者权益变动表!M34</f>
        <v>286220514.49000001</v>
      </c>
    </row>
    <row r="4" spans="1:4">
      <c r="A4" t="s">
        <v>1973</v>
      </c>
      <c r="B4">
        <v>3</v>
      </c>
      <c r="C4" s="230">
        <f>SUM(C5:C14)</f>
        <v>0</v>
      </c>
      <c r="D4" s="230">
        <f>SUM(D5:D14)</f>
        <v>0</v>
      </c>
    </row>
    <row r="5" spans="1:4">
      <c r="A5" t="s">
        <v>1974</v>
      </c>
      <c r="B5">
        <v>4</v>
      </c>
      <c r="C5" s="230">
        <f>本期所有者权益变动表!B10</f>
        <v>0</v>
      </c>
      <c r="D5" s="253">
        <f>上期所有者权益变动表!B10</f>
        <v>0</v>
      </c>
    </row>
    <row r="6" spans="1:4">
      <c r="A6" t="s">
        <v>1975</v>
      </c>
      <c r="B6">
        <v>5</v>
      </c>
      <c r="C6" s="290" t="s">
        <v>1976</v>
      </c>
      <c r="D6" s="389" t="s">
        <v>1976</v>
      </c>
    </row>
    <row r="7" spans="1:4">
      <c r="A7" t="s">
        <v>1977</v>
      </c>
      <c r="B7">
        <v>6</v>
      </c>
      <c r="C7" s="290" t="s">
        <v>1976</v>
      </c>
      <c r="D7" s="389" t="s">
        <v>1976</v>
      </c>
    </row>
    <row r="8" spans="1:4">
      <c r="A8" t="s">
        <v>1978</v>
      </c>
      <c r="B8">
        <v>7</v>
      </c>
      <c r="C8" s="290" t="s">
        <v>1976</v>
      </c>
      <c r="D8" s="389" t="s">
        <v>1976</v>
      </c>
    </row>
    <row r="9" spans="1:4">
      <c r="A9" t="s">
        <v>1979</v>
      </c>
      <c r="B9">
        <v>8</v>
      </c>
      <c r="C9" s="290" t="s">
        <v>1976</v>
      </c>
      <c r="D9" s="389" t="s">
        <v>1976</v>
      </c>
    </row>
    <row r="10" spans="1:4">
      <c r="A10" t="s">
        <v>1980</v>
      </c>
      <c r="B10">
        <v>9</v>
      </c>
      <c r="C10" s="290" t="s">
        <v>1976</v>
      </c>
      <c r="D10" s="389" t="s">
        <v>1976</v>
      </c>
    </row>
    <row r="11" spans="1:4">
      <c r="A11" t="s">
        <v>1981</v>
      </c>
      <c r="B11">
        <v>10</v>
      </c>
      <c r="C11" s="290" t="s">
        <v>1976</v>
      </c>
      <c r="D11" s="389" t="s">
        <v>1976</v>
      </c>
    </row>
    <row r="12" spans="1:4">
      <c r="A12" t="s">
        <v>1982</v>
      </c>
      <c r="B12">
        <v>11</v>
      </c>
      <c r="C12" s="290" t="s">
        <v>1976</v>
      </c>
      <c r="D12" s="389" t="s">
        <v>1976</v>
      </c>
    </row>
    <row r="13" spans="1:4">
      <c r="A13" t="s">
        <v>1983</v>
      </c>
      <c r="B13">
        <v>12</v>
      </c>
      <c r="C13" s="290" t="s">
        <v>1976</v>
      </c>
      <c r="D13" s="389" t="s">
        <v>1976</v>
      </c>
    </row>
    <row r="14" spans="1:4">
      <c r="A14" t="s">
        <v>1984</v>
      </c>
      <c r="B14">
        <v>13</v>
      </c>
      <c r="C14" s="290" t="s">
        <v>1976</v>
      </c>
      <c r="D14" s="389" t="s">
        <v>1976</v>
      </c>
    </row>
    <row r="15" spans="1:4">
      <c r="A15" t="s">
        <v>1985</v>
      </c>
      <c r="B15">
        <v>14</v>
      </c>
      <c r="C15" s="230">
        <f>SUM(C16:C20)</f>
        <v>0</v>
      </c>
      <c r="D15" s="253">
        <f>D19</f>
        <v>0</v>
      </c>
    </row>
    <row r="16" spans="1:4">
      <c r="A16" t="s">
        <v>1986</v>
      </c>
      <c r="B16">
        <v>15</v>
      </c>
      <c r="C16" s="290" t="s">
        <v>1976</v>
      </c>
      <c r="D16" s="389" t="s">
        <v>1976</v>
      </c>
    </row>
    <row r="17" spans="1:4">
      <c r="A17" t="s">
        <v>1987</v>
      </c>
      <c r="B17">
        <v>16</v>
      </c>
      <c r="C17" s="290" t="s">
        <v>1976</v>
      </c>
      <c r="D17" s="389" t="s">
        <v>1976</v>
      </c>
    </row>
    <row r="18" spans="1:4">
      <c r="A18" t="s">
        <v>1988</v>
      </c>
      <c r="B18">
        <v>17</v>
      </c>
      <c r="C18" s="290" t="s">
        <v>1976</v>
      </c>
      <c r="D18" s="389" t="s">
        <v>1976</v>
      </c>
    </row>
    <row r="19" spans="1:4">
      <c r="A19" t="s">
        <v>1989</v>
      </c>
      <c r="B19">
        <v>18</v>
      </c>
      <c r="C19" s="230">
        <f>本期所有者权益变动表!L25</f>
        <v>0</v>
      </c>
      <c r="D19" s="253">
        <f>上期所有者权益变动表!L25</f>
        <v>0</v>
      </c>
    </row>
    <row r="20" spans="1:4">
      <c r="A20" s="159" t="s">
        <v>1990</v>
      </c>
      <c r="B20">
        <v>19</v>
      </c>
      <c r="C20" s="290" t="s">
        <v>1976</v>
      </c>
      <c r="D20" s="389" t="s">
        <v>1976</v>
      </c>
    </row>
    <row r="21" spans="1:4">
      <c r="A21" t="s">
        <v>1991</v>
      </c>
      <c r="B21">
        <v>20</v>
      </c>
      <c r="C21" s="230">
        <f>C3-C4+C15</f>
        <v>532350892.72000003</v>
      </c>
      <c r="D21" s="230">
        <f>D3-D4+D15</f>
        <v>286220514.49000001</v>
      </c>
    </row>
    <row r="22" spans="1:4">
      <c r="A22" t="s">
        <v>1992</v>
      </c>
      <c r="B22">
        <v>21</v>
      </c>
      <c r="C22" s="230">
        <f>C21/C2</f>
        <v>1.8599326944421355</v>
      </c>
      <c r="D22" s="230"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codeName="Sheet190">
    <tabColor rgb="FFFFC000"/>
  </sheetPr>
  <dimension ref="A1:G5"/>
  <sheetViews>
    <sheetView workbookViewId="0">
      <selection activeCell="B3" sqref="B3"/>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450</v>
      </c>
      <c r="C1" s="20" t="s">
        <v>4225</v>
      </c>
      <c r="D1" s="20" t="s">
        <v>4226</v>
      </c>
      <c r="E1" s="20" t="s">
        <v>4403</v>
      </c>
      <c r="F1" s="20" t="s">
        <v>4224</v>
      </c>
      <c r="G1" s="20" t="s">
        <v>451</v>
      </c>
    </row>
    <row r="2" spans="1:7" ht="14.4">
      <c r="A2" s="556">
        <f>ROUND(其他权益工具投资明细表!B2,2)</f>
        <v>0</v>
      </c>
      <c r="B2" s="557">
        <f>ROUND(其他权益工具投资明细表!P2,2)</f>
        <v>0</v>
      </c>
      <c r="C2" s="557">
        <f>ROUND(IF(其他权益工具投资明细表!N2&gt;0,其他权益工具投资明细表!N2,0),2)</f>
        <v>0</v>
      </c>
      <c r="D2" s="557">
        <f>ROUND(IF(其他权益工具投资明细表!N2&lt;0,-其他权益工具投资明细表!N2,0),2)</f>
        <v>0</v>
      </c>
      <c r="E2" s="557">
        <f>ROUND(其他权益工具投资明细表!L2,2)</f>
        <v>0</v>
      </c>
      <c r="F2" s="557">
        <f>ROUND(其他权益工具投资明细表!R2,2)</f>
        <v>0</v>
      </c>
      <c r="G2" s="557">
        <f>ROUND(其他权益工具投资明细表!S2,2)</f>
        <v>0</v>
      </c>
    </row>
    <row r="3" spans="1:7" ht="14.4">
      <c r="A3" s="556">
        <f>ROUND(其他权益工具投资明细表!B3,2)</f>
        <v>0</v>
      </c>
      <c r="B3" s="557">
        <f>ROUND(其他权益工具投资明细表!P3,2)</f>
        <v>0</v>
      </c>
      <c r="C3" s="557">
        <f>ROUND(IF(其他权益工具投资明细表!N3&gt;0,其他权益工具投资明细表!N3,0),2)</f>
        <v>0</v>
      </c>
      <c r="D3" s="557">
        <f>ROUND(IF(其他权益工具投资明细表!N3&lt;0,-其他权益工具投资明细表!N3,0),2)</f>
        <v>0</v>
      </c>
      <c r="E3" s="557">
        <f>ROUND(其他权益工具投资明细表!L3,2)</f>
        <v>0</v>
      </c>
      <c r="F3" s="557">
        <f>ROUND(其他权益工具投资明细表!R3,2)</f>
        <v>0</v>
      </c>
      <c r="G3" s="557">
        <f>ROUND(其他权益工具投资明细表!S3,2)</f>
        <v>0</v>
      </c>
    </row>
    <row r="4" spans="1:7" ht="14.4">
      <c r="A4" s="556">
        <f>ROUND(其他权益工具投资明细表!B4,2)</f>
        <v>0</v>
      </c>
      <c r="B4" s="557">
        <f>ROUND(其他权益工具投资明细表!P4,2)</f>
        <v>0</v>
      </c>
      <c r="C4" s="557">
        <f>ROUND(IF(其他权益工具投资明细表!N4&gt;0,其他权益工具投资明细表!N4,0),2)</f>
        <v>0</v>
      </c>
      <c r="D4" s="557">
        <f>ROUND(IF(其他权益工具投资明细表!N4&lt;0,-其他权益工具投资明细表!N4,0),2)</f>
        <v>0</v>
      </c>
      <c r="E4" s="557">
        <f>ROUND(其他权益工具投资明细表!L4,2)</f>
        <v>0</v>
      </c>
      <c r="F4" s="557">
        <f>ROUND(其他权益工具投资明细表!R4,2)</f>
        <v>0</v>
      </c>
      <c r="G4" s="557">
        <f>ROUND(其他权益工具投资明细表!S4,2)</f>
        <v>0</v>
      </c>
    </row>
    <row r="5" spans="1:7" ht="14.4">
      <c r="A5" s="20" t="s">
        <v>204</v>
      </c>
      <c r="B5" s="317">
        <f>ROUND(SUM(B2:B4),2)</f>
        <v>0</v>
      </c>
      <c r="C5" s="317">
        <f>ROUND(SUM(C2:C4),2)</f>
        <v>0</v>
      </c>
      <c r="D5" s="317">
        <f>ROUND(SUM(D2:D4),2)</f>
        <v>0</v>
      </c>
      <c r="E5" s="317">
        <f>ROUND(SUM(E2:E4),2)</f>
        <v>0</v>
      </c>
      <c r="F5" s="317">
        <f>ROUND(SUM(F2:F4),2)</f>
        <v>0</v>
      </c>
      <c r="G5" s="317">
        <f>ROUND(SUM(G2:G4),2)</f>
        <v>0</v>
      </c>
    </row>
  </sheetData>
  <phoneticPr fontId="1" type="noConversion"/>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sheetPr codeName="Sheet191"/>
  <dimension ref="A1:S23"/>
  <sheetViews>
    <sheetView workbookViewId="0">
      <selection activeCell="A3" sqref="A3"/>
    </sheetView>
  </sheetViews>
  <sheetFormatPr defaultRowHeight="13.8"/>
  <cols>
    <col min="2" max="2" width="13.109375" customWidth="1"/>
    <col min="6" max="6" width="17.109375" customWidth="1"/>
  </cols>
  <sheetData>
    <row r="1" spans="1:19" s="237" customFormat="1" ht="100.8">
      <c r="A1" s="237" t="s">
        <v>2427</v>
      </c>
      <c r="B1" s="237" t="s">
        <v>421</v>
      </c>
      <c r="C1" s="237" t="s">
        <v>2487</v>
      </c>
      <c r="D1" s="237" t="s">
        <v>4407</v>
      </c>
      <c r="E1" s="237" t="s">
        <v>4400</v>
      </c>
      <c r="F1" s="237" t="s">
        <v>4401</v>
      </c>
      <c r="G1" s="237" t="s">
        <v>610</v>
      </c>
      <c r="H1" s="237" t="s">
        <v>2473</v>
      </c>
      <c r="I1" s="237" t="s">
        <v>2462</v>
      </c>
      <c r="J1" s="237" t="s">
        <v>2464</v>
      </c>
      <c r="K1" s="237" t="s">
        <v>2465</v>
      </c>
      <c r="L1" s="237" t="s">
        <v>4404</v>
      </c>
      <c r="M1" s="237" t="s">
        <v>4402</v>
      </c>
      <c r="N1" s="237" t="s">
        <v>4376</v>
      </c>
      <c r="O1" s="237" t="s">
        <v>422</v>
      </c>
      <c r="P1" s="237" t="s">
        <v>2475</v>
      </c>
      <c r="Q1" s="237" t="s">
        <v>2476</v>
      </c>
      <c r="R1" s="20" t="s">
        <v>4224</v>
      </c>
      <c r="S1" s="20" t="s">
        <v>451</v>
      </c>
    </row>
    <row r="2" spans="1:19">
      <c r="A2" s="230" t="str">
        <f>IF(OR(G2&gt;0,O2&gt;0),基础信息!$B$1,"")</f>
        <v/>
      </c>
      <c r="B2" s="290"/>
      <c r="C2" s="290"/>
      <c r="D2" s="550"/>
      <c r="E2" s="290"/>
      <c r="F2" s="290"/>
      <c r="G2" s="230">
        <f>E2+F2</f>
        <v>0</v>
      </c>
      <c r="H2" s="290"/>
      <c r="I2" s="290"/>
      <c r="J2" s="290"/>
      <c r="K2" s="290"/>
      <c r="L2" s="290"/>
      <c r="M2" s="230">
        <f>E2+H2+I2-J2</f>
        <v>0</v>
      </c>
      <c r="N2" s="230">
        <f>F2+K2-L2</f>
        <v>0</v>
      </c>
      <c r="O2" s="230">
        <f>M2+N2</f>
        <v>0</v>
      </c>
      <c r="P2" s="290"/>
      <c r="Q2" s="290"/>
      <c r="R2" s="256"/>
      <c r="S2" s="256"/>
    </row>
    <row r="3" spans="1:19">
      <c r="A3" s="230" t="str">
        <f>IF(OR(G3&gt;0,O3&gt;0),基础信息!$B$1,"")</f>
        <v/>
      </c>
      <c r="B3" s="290"/>
      <c r="C3" s="290"/>
      <c r="D3" s="550"/>
      <c r="E3" s="290"/>
      <c r="F3" s="290"/>
      <c r="G3" s="230">
        <f t="shared" ref="G3:G23" si="0">E3+F3</f>
        <v>0</v>
      </c>
      <c r="H3" s="290"/>
      <c r="I3" s="290"/>
      <c r="J3" s="290"/>
      <c r="K3" s="290"/>
      <c r="L3" s="290"/>
      <c r="M3" s="230">
        <f t="shared" ref="M3:M23" si="1">E3+H3+I3-J3</f>
        <v>0</v>
      </c>
      <c r="N3" s="230">
        <f t="shared" ref="N3:N23" si="2">F3+K3-L3</f>
        <v>0</v>
      </c>
      <c r="O3" s="230">
        <f t="shared" ref="O3:O23" si="3">M3+N3</f>
        <v>0</v>
      </c>
      <c r="P3" s="290"/>
      <c r="Q3" s="290"/>
      <c r="R3" s="256"/>
      <c r="S3" s="256"/>
    </row>
    <row r="4" spans="1:19">
      <c r="A4" s="230" t="str">
        <f>IF(OR(G4&gt;0,O4&gt;0),基础信息!$B$1,"")</f>
        <v/>
      </c>
      <c r="B4" s="290"/>
      <c r="C4" s="290"/>
      <c r="D4" s="550"/>
      <c r="E4" s="290"/>
      <c r="F4" s="290"/>
      <c r="G4" s="230">
        <f t="shared" si="0"/>
        <v>0</v>
      </c>
      <c r="H4" s="290"/>
      <c r="I4" s="290"/>
      <c r="J4" s="290"/>
      <c r="K4" s="290"/>
      <c r="L4" s="290"/>
      <c r="M4" s="230">
        <f t="shared" si="1"/>
        <v>0</v>
      </c>
      <c r="N4" s="230">
        <f t="shared" si="2"/>
        <v>0</v>
      </c>
      <c r="O4" s="230">
        <f t="shared" si="3"/>
        <v>0</v>
      </c>
      <c r="P4" s="290"/>
      <c r="Q4" s="290"/>
      <c r="R4" s="256"/>
      <c r="S4" s="256"/>
    </row>
    <row r="5" spans="1:19">
      <c r="A5" s="230" t="str">
        <f>IF(OR(G5&gt;0,O5&gt;0),基础信息!$B$1,"")</f>
        <v/>
      </c>
      <c r="B5" s="290"/>
      <c r="C5" s="290"/>
      <c r="D5" s="550"/>
      <c r="E5" s="290"/>
      <c r="F5" s="290"/>
      <c r="G5" s="230">
        <f t="shared" si="0"/>
        <v>0</v>
      </c>
      <c r="H5" s="290"/>
      <c r="I5" s="290"/>
      <c r="J5" s="290"/>
      <c r="K5" s="290"/>
      <c r="L5" s="290"/>
      <c r="M5" s="230">
        <f t="shared" si="1"/>
        <v>0</v>
      </c>
      <c r="N5" s="230">
        <f t="shared" si="2"/>
        <v>0</v>
      </c>
      <c r="O5" s="230">
        <f t="shared" si="3"/>
        <v>0</v>
      </c>
      <c r="P5" s="290"/>
      <c r="Q5" s="290"/>
      <c r="R5" s="256"/>
      <c r="S5" s="256"/>
    </row>
    <row r="6" spans="1:19">
      <c r="A6" s="230" t="str">
        <f>IF(OR(G6&gt;0,O6&gt;0),基础信息!$B$1,"")</f>
        <v/>
      </c>
      <c r="B6" s="290"/>
      <c r="C6" s="290"/>
      <c r="D6" s="550"/>
      <c r="E6" s="290"/>
      <c r="F6" s="290"/>
      <c r="G6" s="230">
        <f t="shared" si="0"/>
        <v>0</v>
      </c>
      <c r="H6" s="290"/>
      <c r="I6" s="290"/>
      <c r="J6" s="290"/>
      <c r="K6" s="290"/>
      <c r="L6" s="290"/>
      <c r="M6" s="230">
        <f t="shared" si="1"/>
        <v>0</v>
      </c>
      <c r="N6" s="230">
        <f t="shared" si="2"/>
        <v>0</v>
      </c>
      <c r="O6" s="230">
        <f t="shared" si="3"/>
        <v>0</v>
      </c>
      <c r="P6" s="290"/>
      <c r="Q6" s="290"/>
      <c r="R6" s="256"/>
      <c r="S6" s="256"/>
    </row>
    <row r="7" spans="1:19">
      <c r="A7" s="230" t="str">
        <f>IF(OR(G7&gt;0,O7&gt;0),基础信息!$B$1,"")</f>
        <v/>
      </c>
      <c r="B7" s="290"/>
      <c r="C7" s="290"/>
      <c r="D7" s="550"/>
      <c r="E7" s="290"/>
      <c r="F7" s="290"/>
      <c r="G7" s="230">
        <f t="shared" si="0"/>
        <v>0</v>
      </c>
      <c r="H7" s="290"/>
      <c r="I7" s="290"/>
      <c r="J7" s="290"/>
      <c r="K7" s="290"/>
      <c r="L7" s="290"/>
      <c r="M7" s="230">
        <f t="shared" si="1"/>
        <v>0</v>
      </c>
      <c r="N7" s="230">
        <f t="shared" si="2"/>
        <v>0</v>
      </c>
      <c r="O7" s="230">
        <f t="shared" si="3"/>
        <v>0</v>
      </c>
      <c r="P7" s="290"/>
      <c r="Q7" s="290"/>
      <c r="R7" s="256"/>
      <c r="S7" s="256"/>
    </row>
    <row r="8" spans="1:19">
      <c r="A8" s="230" t="str">
        <f>IF(OR(G8&gt;0,O8&gt;0),基础信息!$B$1,"")</f>
        <v/>
      </c>
      <c r="B8" s="290"/>
      <c r="C8" s="290"/>
      <c r="D8" s="550"/>
      <c r="E8" s="290"/>
      <c r="F8" s="290"/>
      <c r="G8" s="230">
        <f t="shared" si="0"/>
        <v>0</v>
      </c>
      <c r="H8" s="290"/>
      <c r="I8" s="290"/>
      <c r="J8" s="290"/>
      <c r="K8" s="290"/>
      <c r="L8" s="290"/>
      <c r="M8" s="230">
        <f t="shared" si="1"/>
        <v>0</v>
      </c>
      <c r="N8" s="230">
        <f t="shared" si="2"/>
        <v>0</v>
      </c>
      <c r="O8" s="230">
        <f t="shared" si="3"/>
        <v>0</v>
      </c>
      <c r="P8" s="290"/>
      <c r="Q8" s="290"/>
      <c r="R8" s="256"/>
      <c r="S8" s="256"/>
    </row>
    <row r="9" spans="1:19">
      <c r="A9" s="230" t="str">
        <f>IF(OR(G9&gt;0,O9&gt;0),基础信息!$B$1,"")</f>
        <v/>
      </c>
      <c r="B9" s="290"/>
      <c r="C9" s="290"/>
      <c r="D9" s="550"/>
      <c r="E9" s="290"/>
      <c r="F9" s="290"/>
      <c r="G9" s="230">
        <f t="shared" si="0"/>
        <v>0</v>
      </c>
      <c r="H9" s="290"/>
      <c r="I9" s="290"/>
      <c r="J9" s="290"/>
      <c r="K9" s="290"/>
      <c r="L9" s="290"/>
      <c r="M9" s="230">
        <f t="shared" si="1"/>
        <v>0</v>
      </c>
      <c r="N9" s="230">
        <f t="shared" si="2"/>
        <v>0</v>
      </c>
      <c r="O9" s="230">
        <f t="shared" si="3"/>
        <v>0</v>
      </c>
      <c r="P9" s="290"/>
      <c r="Q9" s="290"/>
      <c r="R9" s="256"/>
      <c r="S9" s="256"/>
    </row>
    <row r="10" spans="1:19">
      <c r="A10" s="230" t="str">
        <f>IF(OR(G10&gt;0,O10&gt;0),基础信息!$B$1,"")</f>
        <v/>
      </c>
      <c r="B10" s="290"/>
      <c r="C10" s="290"/>
      <c r="D10" s="550"/>
      <c r="E10" s="290"/>
      <c r="F10" s="290"/>
      <c r="G10" s="230">
        <f t="shared" si="0"/>
        <v>0</v>
      </c>
      <c r="H10" s="290"/>
      <c r="I10" s="290"/>
      <c r="J10" s="290"/>
      <c r="K10" s="290"/>
      <c r="L10" s="290"/>
      <c r="M10" s="230">
        <f t="shared" si="1"/>
        <v>0</v>
      </c>
      <c r="N10" s="230">
        <f t="shared" si="2"/>
        <v>0</v>
      </c>
      <c r="O10" s="230">
        <f t="shared" si="3"/>
        <v>0</v>
      </c>
      <c r="P10" s="290"/>
      <c r="Q10" s="290"/>
      <c r="R10" s="256"/>
      <c r="S10" s="256"/>
    </row>
    <row r="11" spans="1:19">
      <c r="A11" s="230" t="str">
        <f>IF(OR(G11&gt;0,O11&gt;0),基础信息!$B$1,"")</f>
        <v/>
      </c>
      <c r="B11" s="290"/>
      <c r="C11" s="290"/>
      <c r="D11" s="550"/>
      <c r="E11" s="290"/>
      <c r="F11" s="290"/>
      <c r="G11" s="230">
        <f t="shared" si="0"/>
        <v>0</v>
      </c>
      <c r="H11" s="290"/>
      <c r="I11" s="290"/>
      <c r="J11" s="290"/>
      <c r="K11" s="290"/>
      <c r="L11" s="290"/>
      <c r="M11" s="230">
        <f t="shared" si="1"/>
        <v>0</v>
      </c>
      <c r="N11" s="230">
        <f t="shared" si="2"/>
        <v>0</v>
      </c>
      <c r="O11" s="230">
        <f t="shared" si="3"/>
        <v>0</v>
      </c>
      <c r="P11" s="290"/>
      <c r="Q11" s="290"/>
      <c r="R11" s="256"/>
      <c r="S11" s="256"/>
    </row>
    <row r="12" spans="1:19">
      <c r="A12" s="230" t="str">
        <f>IF(OR(G12&gt;0,O12&gt;0),基础信息!$B$1,"")</f>
        <v/>
      </c>
      <c r="B12" s="290"/>
      <c r="C12" s="290"/>
      <c r="D12" s="550"/>
      <c r="E12" s="290"/>
      <c r="F12" s="290"/>
      <c r="G12" s="230">
        <f t="shared" si="0"/>
        <v>0</v>
      </c>
      <c r="H12" s="290"/>
      <c r="I12" s="290"/>
      <c r="J12" s="290"/>
      <c r="K12" s="290"/>
      <c r="L12" s="290"/>
      <c r="M12" s="230">
        <f t="shared" si="1"/>
        <v>0</v>
      </c>
      <c r="N12" s="230">
        <f t="shared" si="2"/>
        <v>0</v>
      </c>
      <c r="O12" s="230">
        <f t="shared" si="3"/>
        <v>0</v>
      </c>
      <c r="P12" s="290"/>
      <c r="Q12" s="290"/>
      <c r="R12" s="256"/>
      <c r="S12" s="256"/>
    </row>
    <row r="13" spans="1:19">
      <c r="A13" s="230" t="str">
        <f>IF(OR(G13&gt;0,O13&gt;0),基础信息!$B$1,"")</f>
        <v/>
      </c>
      <c r="B13" s="290"/>
      <c r="C13" s="290"/>
      <c r="D13" s="550"/>
      <c r="E13" s="290"/>
      <c r="F13" s="290"/>
      <c r="G13" s="230">
        <f t="shared" si="0"/>
        <v>0</v>
      </c>
      <c r="H13" s="290"/>
      <c r="I13" s="290"/>
      <c r="J13" s="290"/>
      <c r="K13" s="290"/>
      <c r="L13" s="290"/>
      <c r="M13" s="230">
        <f t="shared" si="1"/>
        <v>0</v>
      </c>
      <c r="N13" s="230">
        <f t="shared" si="2"/>
        <v>0</v>
      </c>
      <c r="O13" s="230">
        <f t="shared" si="3"/>
        <v>0</v>
      </c>
      <c r="P13" s="290"/>
      <c r="Q13" s="290"/>
      <c r="R13" s="256"/>
      <c r="S13" s="256"/>
    </row>
    <row r="14" spans="1:19">
      <c r="A14" s="230" t="str">
        <f>IF(OR(G14&gt;0,O14&gt;0),基础信息!$B$1,"")</f>
        <v/>
      </c>
      <c r="B14" s="290"/>
      <c r="C14" s="290"/>
      <c r="D14" s="550"/>
      <c r="E14" s="290"/>
      <c r="F14" s="290"/>
      <c r="G14" s="230">
        <f t="shared" si="0"/>
        <v>0</v>
      </c>
      <c r="H14" s="290"/>
      <c r="I14" s="290"/>
      <c r="J14" s="290"/>
      <c r="K14" s="290"/>
      <c r="L14" s="290"/>
      <c r="M14" s="230">
        <f t="shared" si="1"/>
        <v>0</v>
      </c>
      <c r="N14" s="230">
        <f t="shared" si="2"/>
        <v>0</v>
      </c>
      <c r="O14" s="230">
        <f t="shared" si="3"/>
        <v>0</v>
      </c>
      <c r="P14" s="290"/>
      <c r="Q14" s="290"/>
      <c r="R14" s="256"/>
      <c r="S14" s="256"/>
    </row>
    <row r="15" spans="1:19">
      <c r="A15" s="230" t="str">
        <f>IF(OR(G15&gt;0,O15&gt;0),基础信息!$B$1,"")</f>
        <v/>
      </c>
      <c r="B15" s="290"/>
      <c r="C15" s="290"/>
      <c r="D15" s="550"/>
      <c r="E15" s="290"/>
      <c r="F15" s="290"/>
      <c r="G15" s="230">
        <f t="shared" si="0"/>
        <v>0</v>
      </c>
      <c r="H15" s="290"/>
      <c r="I15" s="290"/>
      <c r="J15" s="290"/>
      <c r="K15" s="290"/>
      <c r="L15" s="290"/>
      <c r="M15" s="230">
        <f t="shared" si="1"/>
        <v>0</v>
      </c>
      <c r="N15" s="230">
        <f t="shared" si="2"/>
        <v>0</v>
      </c>
      <c r="O15" s="230">
        <f t="shared" si="3"/>
        <v>0</v>
      </c>
      <c r="P15" s="290"/>
      <c r="Q15" s="290"/>
      <c r="R15" s="256"/>
      <c r="S15" s="256"/>
    </row>
    <row r="16" spans="1:19">
      <c r="A16" s="230" t="str">
        <f>IF(OR(G16&gt;0,O16&gt;0),基础信息!$B$1,"")</f>
        <v/>
      </c>
      <c r="B16" s="290"/>
      <c r="C16" s="290"/>
      <c r="D16" s="550"/>
      <c r="E16" s="290"/>
      <c r="F16" s="290"/>
      <c r="G16" s="230">
        <f t="shared" si="0"/>
        <v>0</v>
      </c>
      <c r="H16" s="290"/>
      <c r="I16" s="290"/>
      <c r="J16" s="290"/>
      <c r="K16" s="290"/>
      <c r="L16" s="290"/>
      <c r="M16" s="230">
        <f t="shared" si="1"/>
        <v>0</v>
      </c>
      <c r="N16" s="230">
        <f t="shared" si="2"/>
        <v>0</v>
      </c>
      <c r="O16" s="230">
        <f t="shared" si="3"/>
        <v>0</v>
      </c>
      <c r="P16" s="290"/>
      <c r="Q16" s="290"/>
      <c r="R16" s="256"/>
      <c r="S16" s="256"/>
    </row>
    <row r="17" spans="1:19">
      <c r="A17" s="230" t="str">
        <f>IF(OR(G17&gt;0,O17&gt;0),基础信息!$B$1,"")</f>
        <v/>
      </c>
      <c r="B17" s="290"/>
      <c r="C17" s="290"/>
      <c r="D17" s="550"/>
      <c r="E17" s="290"/>
      <c r="F17" s="290"/>
      <c r="G17" s="230">
        <f t="shared" si="0"/>
        <v>0</v>
      </c>
      <c r="H17" s="290"/>
      <c r="I17" s="290"/>
      <c r="J17" s="290"/>
      <c r="K17" s="290"/>
      <c r="L17" s="290"/>
      <c r="M17" s="230">
        <f t="shared" si="1"/>
        <v>0</v>
      </c>
      <c r="N17" s="230">
        <f t="shared" si="2"/>
        <v>0</v>
      </c>
      <c r="O17" s="230">
        <f t="shared" si="3"/>
        <v>0</v>
      </c>
      <c r="P17" s="290"/>
      <c r="Q17" s="290"/>
      <c r="R17" s="256"/>
      <c r="S17" s="256"/>
    </row>
    <row r="18" spans="1:19">
      <c r="A18" s="230" t="str">
        <f>IF(OR(G18&gt;0,O18&gt;0),基础信息!$B$1,"")</f>
        <v/>
      </c>
      <c r="B18" s="290"/>
      <c r="C18" s="290"/>
      <c r="D18" s="550"/>
      <c r="E18" s="290"/>
      <c r="F18" s="290"/>
      <c r="G18" s="230">
        <f t="shared" si="0"/>
        <v>0</v>
      </c>
      <c r="H18" s="290"/>
      <c r="I18" s="290"/>
      <c r="J18" s="290"/>
      <c r="K18" s="290"/>
      <c r="L18" s="290"/>
      <c r="M18" s="230">
        <f t="shared" si="1"/>
        <v>0</v>
      </c>
      <c r="N18" s="230">
        <f t="shared" si="2"/>
        <v>0</v>
      </c>
      <c r="O18" s="230">
        <f t="shared" si="3"/>
        <v>0</v>
      </c>
      <c r="P18" s="290"/>
      <c r="Q18" s="290"/>
      <c r="R18" s="256"/>
      <c r="S18" s="256"/>
    </row>
    <row r="19" spans="1:19">
      <c r="A19" s="230" t="str">
        <f>IF(OR(G19&gt;0,O19&gt;0),基础信息!$B$1,"")</f>
        <v/>
      </c>
      <c r="B19" s="290"/>
      <c r="C19" s="290"/>
      <c r="D19" s="550"/>
      <c r="E19" s="290"/>
      <c r="F19" s="290"/>
      <c r="G19" s="230">
        <f t="shared" si="0"/>
        <v>0</v>
      </c>
      <c r="H19" s="290"/>
      <c r="I19" s="290"/>
      <c r="J19" s="290"/>
      <c r="K19" s="290"/>
      <c r="L19" s="290"/>
      <c r="M19" s="230">
        <f t="shared" si="1"/>
        <v>0</v>
      </c>
      <c r="N19" s="230">
        <f t="shared" si="2"/>
        <v>0</v>
      </c>
      <c r="O19" s="230">
        <f t="shared" si="3"/>
        <v>0</v>
      </c>
      <c r="P19" s="290"/>
      <c r="Q19" s="290"/>
      <c r="R19" s="256"/>
      <c r="S19" s="256"/>
    </row>
    <row r="20" spans="1:19">
      <c r="A20" s="230" t="str">
        <f>IF(OR(G20&gt;0,O20&gt;0),基础信息!$B$1,"")</f>
        <v/>
      </c>
      <c r="B20" s="290"/>
      <c r="C20" s="290"/>
      <c r="D20" s="550"/>
      <c r="E20" s="290"/>
      <c r="F20" s="290"/>
      <c r="G20" s="230">
        <f t="shared" si="0"/>
        <v>0</v>
      </c>
      <c r="H20" s="290"/>
      <c r="I20" s="290"/>
      <c r="J20" s="290"/>
      <c r="K20" s="290"/>
      <c r="L20" s="290"/>
      <c r="M20" s="230">
        <f t="shared" si="1"/>
        <v>0</v>
      </c>
      <c r="N20" s="230">
        <f t="shared" si="2"/>
        <v>0</v>
      </c>
      <c r="O20" s="230">
        <f t="shared" si="3"/>
        <v>0</v>
      </c>
      <c r="P20" s="290"/>
      <c r="Q20" s="290"/>
      <c r="R20" s="256"/>
      <c r="S20" s="256"/>
    </row>
    <row r="21" spans="1:19">
      <c r="A21" s="230" t="str">
        <f>IF(OR(G21&gt;0,O21&gt;0),基础信息!$B$1,"")</f>
        <v/>
      </c>
      <c r="B21" s="290"/>
      <c r="C21" s="290"/>
      <c r="D21" s="550"/>
      <c r="E21" s="290"/>
      <c r="F21" s="290"/>
      <c r="G21" s="230">
        <f t="shared" si="0"/>
        <v>0</v>
      </c>
      <c r="H21" s="290"/>
      <c r="I21" s="290"/>
      <c r="J21" s="290"/>
      <c r="K21" s="290"/>
      <c r="L21" s="290"/>
      <c r="M21" s="230">
        <f t="shared" si="1"/>
        <v>0</v>
      </c>
      <c r="N21" s="230">
        <f t="shared" si="2"/>
        <v>0</v>
      </c>
      <c r="O21" s="230">
        <f t="shared" si="3"/>
        <v>0</v>
      </c>
      <c r="P21" s="290"/>
      <c r="Q21" s="290"/>
      <c r="R21" s="256"/>
      <c r="S21" s="256"/>
    </row>
    <row r="22" spans="1:19">
      <c r="A22" s="230" t="str">
        <f>IF(OR(G22&gt;0,O22&gt;0),基础信息!$B$1,"")</f>
        <v/>
      </c>
      <c r="B22" s="290"/>
      <c r="C22" s="290"/>
      <c r="D22" s="550"/>
      <c r="E22" s="290"/>
      <c r="F22" s="290"/>
      <c r="G22" s="230">
        <f t="shared" si="0"/>
        <v>0</v>
      </c>
      <c r="H22" s="290"/>
      <c r="I22" s="290"/>
      <c r="J22" s="290"/>
      <c r="K22" s="290"/>
      <c r="L22" s="290"/>
      <c r="M22" s="230">
        <f t="shared" si="1"/>
        <v>0</v>
      </c>
      <c r="N22" s="230">
        <f t="shared" si="2"/>
        <v>0</v>
      </c>
      <c r="O22" s="230">
        <f t="shared" si="3"/>
        <v>0</v>
      </c>
      <c r="P22" s="290"/>
      <c r="Q22" s="290"/>
      <c r="R22" s="256"/>
      <c r="S22" s="256"/>
    </row>
    <row r="23" spans="1:19">
      <c r="A23" s="230" t="str">
        <f>IF(OR(G23&gt;0,O23&gt;0),基础信息!$B$1,"")</f>
        <v/>
      </c>
      <c r="B23" s="290"/>
      <c r="C23" s="290"/>
      <c r="D23" s="550"/>
      <c r="E23" s="290"/>
      <c r="F23" s="290"/>
      <c r="G23" s="230">
        <f t="shared" si="0"/>
        <v>0</v>
      </c>
      <c r="H23" s="290"/>
      <c r="I23" s="290"/>
      <c r="J23" s="290"/>
      <c r="K23" s="290"/>
      <c r="L23" s="290"/>
      <c r="M23" s="230">
        <f t="shared" si="1"/>
        <v>0</v>
      </c>
      <c r="N23" s="230">
        <f t="shared" si="2"/>
        <v>0</v>
      </c>
      <c r="O23" s="230">
        <f t="shared" si="3"/>
        <v>0</v>
      </c>
      <c r="P23" s="290"/>
      <c r="Q23" s="290"/>
      <c r="R23" s="256"/>
      <c r="S23"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codeName="Sheet192">
    <tabColor rgb="FFFFC000"/>
  </sheetPr>
  <dimension ref="A1:C12"/>
  <sheetViews>
    <sheetView workbookViewId="0">
      <selection activeCell="F18" sqref="F18"/>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7" t="s">
        <v>2416</v>
      </c>
      <c r="B2" s="294">
        <f>ROUND(SUMIF(其他非流动金融资产明细表!C:C,A2,其他非流动金融资产明细表!J:J),2)</f>
        <v>0</v>
      </c>
      <c r="C2" s="294">
        <f>ROUND(SUMIF(其他非流动金融资产明细表!C:C,其他非流动金融资产!A2,其他非流动金融资产明细表!E:E),2)</f>
        <v>0</v>
      </c>
    </row>
    <row r="3" spans="1:3" ht="14.4">
      <c r="A3" s="277" t="s">
        <v>2415</v>
      </c>
      <c r="B3" s="294">
        <f>ROUND(SUMIF(其他非流动金融资产明细表!C:C,A3,其他非流动金融资产明细表!J:J),2)</f>
        <v>0</v>
      </c>
      <c r="C3" s="294">
        <f>ROUND(SUMIF(其他非流动金融资产明细表!C:C,其他非流动金融资产!A3,其他非流动金融资产明细表!E:E),2)</f>
        <v>0</v>
      </c>
    </row>
    <row r="4" spans="1:3" ht="14.4">
      <c r="A4" s="277" t="s">
        <v>2418</v>
      </c>
      <c r="B4" s="294">
        <f>ROUND(SUMIF(其他非流动金融资产明细表!C:C,A4,其他非流动金融资产明细表!J:J),2)</f>
        <v>0</v>
      </c>
      <c r="C4" s="294">
        <f>ROUND(SUMIF(其他非流动金融资产明细表!C:C,其他非流动金融资产!A4,其他非流动金融资产明细表!E:E),2)</f>
        <v>0</v>
      </c>
    </row>
    <row r="5" spans="1:3" ht="14.4">
      <c r="A5" s="277"/>
      <c r="B5" s="294">
        <f>ROUND(SUMIF(其他非流动金融资产明细表!C:C,A5,其他非流动金融资产明细表!J:J),2)</f>
        <v>0</v>
      </c>
      <c r="C5" s="294">
        <f>ROUND(SUMIF(其他非流动金融资产明细表!C:C,其他非流动金融资产!A5,其他非流动金融资产明细表!E:E),2)</f>
        <v>0</v>
      </c>
    </row>
    <row r="6" spans="1:3" ht="14.4">
      <c r="A6" s="277"/>
      <c r="B6" s="294">
        <f>ROUND(SUMIF(其他非流动金融资产明细表!C:C,A6,其他非流动金融资产明细表!J:J),2)</f>
        <v>0</v>
      </c>
      <c r="C6" s="294">
        <f>ROUND(SUMIF(其他非流动金融资产明细表!C:C,其他非流动金融资产!A6,其他非流动金融资产明细表!E:E),2)</f>
        <v>0</v>
      </c>
    </row>
    <row r="7" spans="1:3" ht="14.4">
      <c r="A7" s="277"/>
      <c r="B7" s="294">
        <f>ROUND(SUMIF(其他非流动金融资产明细表!C:C,A7,其他非流动金融资产明细表!J:J),2)</f>
        <v>0</v>
      </c>
      <c r="C7" s="294">
        <f>ROUND(SUMIF(其他非流动金融资产明细表!C:C,其他非流动金融资产!A7,其他非流动金融资产明细表!E:E),2)</f>
        <v>0</v>
      </c>
    </row>
    <row r="8" spans="1:3" ht="14.4">
      <c r="A8" s="277"/>
      <c r="B8" s="294">
        <f>ROUND(SUMIF(其他非流动金融资产明细表!C:C,A8,其他非流动金融资产明细表!J:J),2)</f>
        <v>0</v>
      </c>
      <c r="C8" s="294">
        <f>ROUND(SUMIF(其他非流动金融资产明细表!C:C,其他非流动金融资产!A8,其他非流动金融资产明细表!E:E),2)</f>
        <v>0</v>
      </c>
    </row>
    <row r="9" spans="1:3" ht="14.4">
      <c r="A9" s="277"/>
      <c r="B9" s="294">
        <f>ROUND(SUMIF(其他非流动金融资产明细表!C:C,A9,其他非流动金融资产明细表!J:J),2)</f>
        <v>0</v>
      </c>
      <c r="C9" s="294">
        <f>ROUND(SUMIF(其他非流动金融资产明细表!C:C,其他非流动金融资产!A9,其他非流动金融资产明细表!E:E),2)</f>
        <v>0</v>
      </c>
    </row>
    <row r="10" spans="1:3" ht="14.4">
      <c r="A10" s="277"/>
      <c r="B10" s="294">
        <f>ROUND(SUMIF(其他非流动金融资产明细表!C:C,A10,其他非流动金融资产明细表!J:J),2)</f>
        <v>0</v>
      </c>
      <c r="C10" s="294">
        <f>ROUND(SUMIF(其他非流动金融资产明细表!C:C,其他非流动金融资产!A10,其他非流动金融资产明细表!E:E),2)</f>
        <v>0</v>
      </c>
    </row>
    <row r="11" spans="1:3" ht="14.4">
      <c r="A11" s="277"/>
      <c r="B11" s="294">
        <f>ROUND(SUMIF(其他非流动金融资产明细表!C:C,A11,其他非流动金融资产明细表!J:J),2)</f>
        <v>0</v>
      </c>
      <c r="C11" s="294">
        <f>ROUND(SUMIF(其他非流动金融资产明细表!C:C,其他非流动金融资产!A11,其他非流动金融资产明细表!E:E),2)</f>
        <v>0</v>
      </c>
    </row>
    <row r="12" spans="1:3" ht="14.4">
      <c r="A12" s="35" t="s">
        <v>204</v>
      </c>
      <c r="B12" s="708">
        <f>ROUND(SUM(B2:B11),2)</f>
        <v>0</v>
      </c>
      <c r="C12" s="708">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sheetPr codeName="Sheet193"/>
  <dimension ref="A1:O27"/>
  <sheetViews>
    <sheetView workbookViewId="0">
      <selection activeCell="A6" sqref="A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2" customFormat="1">
      <c r="A1" s="262" t="s">
        <v>2015</v>
      </c>
      <c r="B1" s="262" t="s">
        <v>2402</v>
      </c>
      <c r="C1" s="262" t="s">
        <v>2403</v>
      </c>
      <c r="D1" s="262" t="s">
        <v>413</v>
      </c>
      <c r="E1" s="262" t="s">
        <v>2404</v>
      </c>
      <c r="F1" s="262" t="s">
        <v>2405</v>
      </c>
      <c r="G1" s="262" t="s">
        <v>2406</v>
      </c>
      <c r="H1" s="262" t="s">
        <v>2407</v>
      </c>
      <c r="I1" s="262" t="s">
        <v>2408</v>
      </c>
      <c r="J1" s="264" t="s">
        <v>2409</v>
      </c>
      <c r="K1" s="262" t="s">
        <v>2410</v>
      </c>
      <c r="L1" s="262" t="s">
        <v>2411</v>
      </c>
      <c r="M1" s="262" t="s">
        <v>2412</v>
      </c>
      <c r="N1" s="262" t="s">
        <v>2413</v>
      </c>
      <c r="O1" s="262" t="s">
        <v>2414</v>
      </c>
    </row>
    <row r="2" spans="1:15">
      <c r="A2" t="str">
        <f>IF(ABS(J2+E2)&gt;0,基础信息!$B$1,"")</f>
        <v/>
      </c>
      <c r="B2" s="256"/>
      <c r="C2" s="277"/>
      <c r="D2" s="256"/>
      <c r="E2" s="256"/>
      <c r="F2" s="256"/>
      <c r="G2" s="256"/>
      <c r="H2" s="256"/>
      <c r="I2" s="256"/>
      <c r="J2" s="230">
        <f t="shared" ref="J2:J23" si="0">E2+F2-G2-H2+I2</f>
        <v>0</v>
      </c>
      <c r="K2" s="256"/>
      <c r="L2" s="256"/>
      <c r="M2" s="256"/>
      <c r="N2">
        <f>K2+L2-M2</f>
        <v>0</v>
      </c>
      <c r="O2" s="256"/>
    </row>
    <row r="3" spans="1:15">
      <c r="A3" t="str">
        <f>IF(ABS(J3+E3)&gt;0,基础信息!$B$1,"")</f>
        <v/>
      </c>
      <c r="B3" s="256"/>
      <c r="C3" s="277"/>
      <c r="D3" s="256"/>
      <c r="E3" s="256"/>
      <c r="F3" s="256"/>
      <c r="G3" s="256"/>
      <c r="H3" s="256"/>
      <c r="I3" s="256"/>
      <c r="J3" s="230">
        <f t="shared" si="0"/>
        <v>0</v>
      </c>
      <c r="K3" s="256"/>
      <c r="L3" s="256"/>
      <c r="M3" s="256"/>
      <c r="N3">
        <f>K3+L3-M3</f>
        <v>0</v>
      </c>
      <c r="O3" s="256"/>
    </row>
    <row r="4" spans="1:15">
      <c r="A4" t="str">
        <f>IF(ABS(J4+E4)&gt;0,基础信息!$B$1,"")</f>
        <v/>
      </c>
      <c r="B4" s="256"/>
      <c r="C4" s="277"/>
      <c r="D4" s="256"/>
      <c r="E4" s="256"/>
      <c r="F4" s="256"/>
      <c r="G4" s="256"/>
      <c r="H4" s="256"/>
      <c r="I4" s="256"/>
      <c r="J4" s="230">
        <f t="shared" si="0"/>
        <v>0</v>
      </c>
      <c r="K4" s="256"/>
      <c r="L4" s="256"/>
      <c r="M4" s="256"/>
      <c r="N4">
        <f>K4+L4-M4</f>
        <v>0</v>
      </c>
      <c r="O4" s="256"/>
    </row>
    <row r="5" spans="1:15">
      <c r="A5" t="str">
        <f>IF(ABS(J5+E5)&gt;0,基础信息!$B$1,"")</f>
        <v/>
      </c>
      <c r="B5" s="256"/>
      <c r="C5" s="277"/>
      <c r="D5" s="256"/>
      <c r="E5" s="256"/>
      <c r="F5" s="256"/>
      <c r="G5" s="256"/>
      <c r="H5" s="256"/>
      <c r="I5" s="256"/>
      <c r="J5" s="230">
        <f t="shared" si="0"/>
        <v>0</v>
      </c>
      <c r="K5" s="256"/>
      <c r="L5" s="256"/>
      <c r="M5" s="256"/>
      <c r="N5">
        <f>K5+L5-M5</f>
        <v>0</v>
      </c>
      <c r="O5" s="256"/>
    </row>
    <row r="6" spans="1:15">
      <c r="A6" t="str">
        <f>IF(ABS(J6+E6)&gt;0,基础信息!$B$1,"")</f>
        <v/>
      </c>
      <c r="B6" s="256"/>
      <c r="C6" s="277"/>
      <c r="D6" s="256"/>
      <c r="E6" s="256"/>
      <c r="F6" s="256"/>
      <c r="G6" s="256"/>
      <c r="H6" s="256"/>
      <c r="I6" s="256"/>
      <c r="J6" s="230">
        <f t="shared" si="0"/>
        <v>0</v>
      </c>
      <c r="K6" s="256"/>
      <c r="L6" s="256"/>
      <c r="M6" s="256"/>
      <c r="N6">
        <f>K6+L6-M6</f>
        <v>0</v>
      </c>
      <c r="O6" s="256"/>
    </row>
    <row r="7" spans="1:15">
      <c r="A7" t="str">
        <f>IF(ABS(J7+E7)&gt;0,基础信息!$B$1,"")</f>
        <v/>
      </c>
      <c r="B7" s="256"/>
      <c r="C7" s="277"/>
      <c r="D7" s="256"/>
      <c r="E7" s="256"/>
      <c r="F7" s="256"/>
      <c r="G7" s="256"/>
      <c r="H7" s="256"/>
      <c r="I7" s="256"/>
      <c r="J7" s="230">
        <f t="shared" si="0"/>
        <v>0</v>
      </c>
      <c r="K7" s="256"/>
      <c r="L7" s="256"/>
      <c r="M7" s="256"/>
      <c r="N7">
        <f t="shared" ref="N7:N22" si="1">K7+L7-M7</f>
        <v>0</v>
      </c>
      <c r="O7" s="256"/>
    </row>
    <row r="8" spans="1:15">
      <c r="A8" t="str">
        <f>IF(ABS(J8+E8)&gt;0,基础信息!$B$1,"")</f>
        <v/>
      </c>
      <c r="B8" s="256"/>
      <c r="C8" s="277"/>
      <c r="D8" s="256"/>
      <c r="E8" s="256"/>
      <c r="F8" s="256"/>
      <c r="G8" s="256"/>
      <c r="H8" s="256"/>
      <c r="I8" s="256"/>
      <c r="J8" s="230">
        <f t="shared" si="0"/>
        <v>0</v>
      </c>
      <c r="K8" s="256"/>
      <c r="L8" s="256"/>
      <c r="M8" s="256"/>
      <c r="N8">
        <f t="shared" si="1"/>
        <v>0</v>
      </c>
      <c r="O8" s="256"/>
    </row>
    <row r="9" spans="1:15">
      <c r="A9" t="str">
        <f>IF(ABS(J9+E9)&gt;0,基础信息!$B$1,"")</f>
        <v/>
      </c>
      <c r="B9" s="256"/>
      <c r="C9" s="277"/>
      <c r="D9" s="256"/>
      <c r="E9" s="256"/>
      <c r="F9" s="256"/>
      <c r="G9" s="256"/>
      <c r="H9" s="256"/>
      <c r="I9" s="256"/>
      <c r="J9" s="230">
        <f t="shared" si="0"/>
        <v>0</v>
      </c>
      <c r="K9" s="256"/>
      <c r="L9" s="256"/>
      <c r="M9" s="256"/>
      <c r="N9">
        <f t="shared" si="1"/>
        <v>0</v>
      </c>
      <c r="O9" s="256"/>
    </row>
    <row r="10" spans="1:15">
      <c r="A10" t="str">
        <f>IF(ABS(J10+E10)&gt;0,基础信息!$B$1,"")</f>
        <v/>
      </c>
      <c r="B10" s="256"/>
      <c r="C10" s="277"/>
      <c r="D10" s="256"/>
      <c r="E10" s="256"/>
      <c r="F10" s="256"/>
      <c r="G10" s="256"/>
      <c r="H10" s="256"/>
      <c r="I10" s="256"/>
      <c r="J10" s="230">
        <f t="shared" si="0"/>
        <v>0</v>
      </c>
      <c r="K10" s="256"/>
      <c r="L10" s="256"/>
      <c r="M10" s="256"/>
      <c r="N10">
        <f t="shared" si="1"/>
        <v>0</v>
      </c>
      <c r="O10" s="256"/>
    </row>
    <row r="11" spans="1:15">
      <c r="A11" t="str">
        <f>IF(ABS(J11+E11)&gt;0,基础信息!$B$1,"")</f>
        <v/>
      </c>
      <c r="B11" s="256"/>
      <c r="C11" s="277"/>
      <c r="D11" s="256"/>
      <c r="E11" s="256"/>
      <c r="F11" s="256"/>
      <c r="G11" s="256"/>
      <c r="H11" s="256"/>
      <c r="I11" s="256"/>
      <c r="J11" s="230">
        <f t="shared" si="0"/>
        <v>0</v>
      </c>
      <c r="K11" s="256"/>
      <c r="L11" s="256"/>
      <c r="M11" s="256"/>
      <c r="N11">
        <f t="shared" si="1"/>
        <v>0</v>
      </c>
      <c r="O11" s="256"/>
    </row>
    <row r="12" spans="1:15">
      <c r="A12" t="str">
        <f>IF(ABS(J12+E12)&gt;0,基础信息!$B$1,"")</f>
        <v/>
      </c>
      <c r="B12" s="256"/>
      <c r="C12" s="277"/>
      <c r="D12" s="256"/>
      <c r="E12" s="256"/>
      <c r="F12" s="256"/>
      <c r="G12" s="256"/>
      <c r="H12" s="256"/>
      <c r="I12" s="256"/>
      <c r="J12" s="230">
        <f t="shared" si="0"/>
        <v>0</v>
      </c>
      <c r="K12" s="256"/>
      <c r="L12" s="256"/>
      <c r="M12" s="256"/>
      <c r="N12">
        <f t="shared" si="1"/>
        <v>0</v>
      </c>
      <c r="O12" s="256"/>
    </row>
    <row r="13" spans="1:15">
      <c r="A13" t="str">
        <f>IF(ABS(J13+E13)&gt;0,基础信息!$B$1,"")</f>
        <v/>
      </c>
      <c r="B13" s="256"/>
      <c r="C13" s="277"/>
      <c r="D13" s="256"/>
      <c r="E13" s="256"/>
      <c r="F13" s="256"/>
      <c r="G13" s="256"/>
      <c r="H13" s="256"/>
      <c r="I13" s="256"/>
      <c r="J13" s="230">
        <f t="shared" si="0"/>
        <v>0</v>
      </c>
      <c r="K13" s="256"/>
      <c r="L13" s="256"/>
      <c r="M13" s="256"/>
      <c r="N13">
        <f t="shared" si="1"/>
        <v>0</v>
      </c>
      <c r="O13" s="256"/>
    </row>
    <row r="14" spans="1:15">
      <c r="A14" t="str">
        <f>IF(ABS(J14+E14)&gt;0,基础信息!$B$1,"")</f>
        <v/>
      </c>
      <c r="B14" s="256"/>
      <c r="C14" s="277"/>
      <c r="D14" s="256"/>
      <c r="E14" s="256"/>
      <c r="F14" s="256"/>
      <c r="G14" s="256"/>
      <c r="H14" s="256"/>
      <c r="I14" s="256"/>
      <c r="J14" s="230">
        <f t="shared" si="0"/>
        <v>0</v>
      </c>
      <c r="K14" s="256"/>
      <c r="L14" s="256"/>
      <c r="M14" s="256"/>
      <c r="N14">
        <f t="shared" si="1"/>
        <v>0</v>
      </c>
      <c r="O14" s="256"/>
    </row>
    <row r="15" spans="1:15">
      <c r="A15" t="str">
        <f>IF(ABS(J15+E15)&gt;0,基础信息!$B$1,"")</f>
        <v/>
      </c>
      <c r="B15" s="256"/>
      <c r="C15" s="277"/>
      <c r="D15" s="256"/>
      <c r="E15" s="256"/>
      <c r="F15" s="256"/>
      <c r="G15" s="256"/>
      <c r="H15" s="256"/>
      <c r="I15" s="256"/>
      <c r="J15" s="230">
        <f t="shared" si="0"/>
        <v>0</v>
      </c>
      <c r="K15" s="256"/>
      <c r="L15" s="256"/>
      <c r="M15" s="256"/>
      <c r="N15">
        <f t="shared" si="1"/>
        <v>0</v>
      </c>
      <c r="O15" s="256"/>
    </row>
    <row r="16" spans="1:15">
      <c r="A16" t="str">
        <f>IF(ABS(J16+E16)&gt;0,基础信息!$B$1,"")</f>
        <v/>
      </c>
      <c r="B16" s="256"/>
      <c r="C16" s="277"/>
      <c r="D16" s="256"/>
      <c r="E16" s="256"/>
      <c r="F16" s="256"/>
      <c r="G16" s="256"/>
      <c r="H16" s="256"/>
      <c r="I16" s="256"/>
      <c r="J16" s="230">
        <f t="shared" si="0"/>
        <v>0</v>
      </c>
      <c r="K16" s="256"/>
      <c r="L16" s="256"/>
      <c r="M16" s="256"/>
      <c r="N16">
        <f t="shared" si="1"/>
        <v>0</v>
      </c>
      <c r="O16" s="256"/>
    </row>
    <row r="17" spans="1:15">
      <c r="A17" t="str">
        <f>IF(ABS(J17+E17)&gt;0,基础信息!$B$1,"")</f>
        <v/>
      </c>
      <c r="B17" s="256"/>
      <c r="C17" s="277"/>
      <c r="D17" s="256"/>
      <c r="E17" s="256"/>
      <c r="F17" s="256"/>
      <c r="G17" s="256"/>
      <c r="H17" s="256"/>
      <c r="I17" s="256"/>
      <c r="J17" s="230">
        <f t="shared" si="0"/>
        <v>0</v>
      </c>
      <c r="K17" s="256"/>
      <c r="L17" s="256"/>
      <c r="M17" s="256"/>
      <c r="N17">
        <f t="shared" si="1"/>
        <v>0</v>
      </c>
      <c r="O17" s="256"/>
    </row>
    <row r="18" spans="1:15">
      <c r="A18" t="str">
        <f>IF(ABS(J18+E18)&gt;0,基础信息!$B$1,"")</f>
        <v/>
      </c>
      <c r="B18" s="256"/>
      <c r="C18" s="277"/>
      <c r="D18" s="256"/>
      <c r="E18" s="256"/>
      <c r="F18" s="256"/>
      <c r="G18" s="256"/>
      <c r="H18" s="256"/>
      <c r="I18" s="256"/>
      <c r="J18" s="230">
        <f t="shared" si="0"/>
        <v>0</v>
      </c>
      <c r="K18" s="256"/>
      <c r="L18" s="256"/>
      <c r="M18" s="256"/>
      <c r="N18">
        <f t="shared" si="1"/>
        <v>0</v>
      </c>
      <c r="O18" s="256"/>
    </row>
    <row r="19" spans="1:15">
      <c r="A19" t="str">
        <f>IF(ABS(J19+E19)&gt;0,基础信息!$B$1,"")</f>
        <v/>
      </c>
      <c r="B19" s="256"/>
      <c r="C19" s="277"/>
      <c r="D19" s="256"/>
      <c r="E19" s="256"/>
      <c r="F19" s="256"/>
      <c r="G19" s="256"/>
      <c r="H19" s="256"/>
      <c r="I19" s="256"/>
      <c r="J19" s="230">
        <f t="shared" si="0"/>
        <v>0</v>
      </c>
      <c r="K19" s="256"/>
      <c r="L19" s="256"/>
      <c r="M19" s="256"/>
      <c r="N19">
        <f t="shared" si="1"/>
        <v>0</v>
      </c>
      <c r="O19" s="256"/>
    </row>
    <row r="20" spans="1:15">
      <c r="A20" t="str">
        <f>IF(ABS(J20+E20)&gt;0,基础信息!$B$1,"")</f>
        <v/>
      </c>
      <c r="B20" s="256"/>
      <c r="C20" s="277"/>
      <c r="D20" s="256"/>
      <c r="E20" s="256"/>
      <c r="F20" s="256"/>
      <c r="G20" s="256"/>
      <c r="H20" s="256"/>
      <c r="I20" s="256"/>
      <c r="J20" s="230">
        <f t="shared" si="0"/>
        <v>0</v>
      </c>
      <c r="K20" s="256"/>
      <c r="L20" s="256"/>
      <c r="M20" s="256"/>
      <c r="N20">
        <f t="shared" si="1"/>
        <v>0</v>
      </c>
      <c r="O20" s="256"/>
    </row>
    <row r="21" spans="1:15">
      <c r="A21" t="str">
        <f>IF(ABS(J21+E21)&gt;0,基础信息!$B$1,"")</f>
        <v/>
      </c>
      <c r="B21" s="256"/>
      <c r="C21" s="277"/>
      <c r="D21" s="256"/>
      <c r="E21" s="256"/>
      <c r="F21" s="256"/>
      <c r="G21" s="256"/>
      <c r="H21" s="256"/>
      <c r="I21" s="256"/>
      <c r="J21" s="230">
        <f t="shared" si="0"/>
        <v>0</v>
      </c>
      <c r="K21" s="256"/>
      <c r="L21" s="256"/>
      <c r="M21" s="256"/>
      <c r="N21">
        <f t="shared" si="1"/>
        <v>0</v>
      </c>
      <c r="O21" s="256"/>
    </row>
    <row r="22" spans="1:15">
      <c r="A22" t="str">
        <f>IF(ABS(J22+E22)&gt;0,基础信息!$B$1,"")</f>
        <v/>
      </c>
      <c r="B22" s="256"/>
      <c r="C22" s="277"/>
      <c r="D22" s="256"/>
      <c r="E22" s="256"/>
      <c r="F22" s="256"/>
      <c r="G22" s="256"/>
      <c r="H22" s="256"/>
      <c r="I22" s="256"/>
      <c r="J22" s="230">
        <f t="shared" si="0"/>
        <v>0</v>
      </c>
      <c r="K22" s="256"/>
      <c r="L22" s="256"/>
      <c r="M22" s="256"/>
      <c r="N22">
        <f t="shared" si="1"/>
        <v>0</v>
      </c>
      <c r="O22" s="256"/>
    </row>
    <row r="23" spans="1:15">
      <c r="A23" t="str">
        <f>IF(ABS(J23+E23)&gt;0,基础信息!$B$1,"")</f>
        <v/>
      </c>
      <c r="B23" s="256"/>
      <c r="C23" s="277"/>
      <c r="D23" s="256"/>
      <c r="E23" s="256"/>
      <c r="F23" s="256"/>
      <c r="G23" s="256"/>
      <c r="H23" s="256"/>
      <c r="I23" s="256"/>
      <c r="J23" s="230">
        <f t="shared" si="0"/>
        <v>0</v>
      </c>
      <c r="K23" s="256"/>
      <c r="L23" s="256"/>
      <c r="M23" s="256"/>
      <c r="O23" s="256"/>
    </row>
    <row r="24" spans="1:15">
      <c r="A24" t="str">
        <f>IF(ABS(J24+E24)&gt;0,基础信息!$B$1,"")</f>
        <v/>
      </c>
      <c r="B24" s="256"/>
      <c r="C24" s="277"/>
    </row>
    <row r="25" spans="1:15">
      <c r="B25" s="256"/>
      <c r="C25" s="277"/>
    </row>
    <row r="26" spans="1:15">
      <c r="B26" s="256"/>
      <c r="C26" s="277"/>
    </row>
    <row r="27" spans="1:15">
      <c r="B27" s="256"/>
      <c r="C27"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codeName="Sheet194">
    <tabColor rgb="FFFFC000"/>
  </sheetPr>
  <dimension ref="A1:E16"/>
  <sheetViews>
    <sheetView workbookViewId="0">
      <selection activeCell="G16" sqref="G16"/>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3" t="s">
        <v>28</v>
      </c>
      <c r="B1" s="20" t="s">
        <v>200</v>
      </c>
      <c r="C1" s="20" t="s">
        <v>373</v>
      </c>
      <c r="D1" s="20" t="s">
        <v>366</v>
      </c>
      <c r="E1" s="20" t="s">
        <v>199</v>
      </c>
    </row>
    <row r="2" spans="1:5" ht="15">
      <c r="A2" s="19" t="s">
        <v>5478</v>
      </c>
      <c r="B2" s="153">
        <f>ROUND(SUM(B3:B4),2)</f>
        <v>0</v>
      </c>
      <c r="C2" s="153">
        <f>ROUND(SUM(C3:C4),2)</f>
        <v>0</v>
      </c>
      <c r="D2" s="153">
        <f>ROUND(SUM(D3:D4),2)</f>
        <v>0</v>
      </c>
      <c r="E2" s="153">
        <f>ROUND(B2+C2-D2,2)</f>
        <v>0</v>
      </c>
    </row>
    <row r="3" spans="1:5" ht="15">
      <c r="A3" s="609" t="s">
        <v>4634</v>
      </c>
      <c r="B3" s="153">
        <f>ROUND(SUMIF(成本法核算投资性房地产明细表!$G:$G,SUBSTITUTE(REPLACE($A3,1,3,""),"","")&amp;"原值"&amp;B$1,成本法核算投资性房地产明细表!$F:$F),2)</f>
        <v>0</v>
      </c>
      <c r="C3" s="153">
        <f>ROUND(SUMIF(成本法核算投资性房地产明细表!$G:$G,SUBSTITUTE(REPLACE($A3,1,3,""),"","")&amp;"原值"&amp;C$1,成本法核算投资性房地产明细表!$F:$F),2)</f>
        <v>0</v>
      </c>
      <c r="D3" s="153">
        <f>ROUND(SUMIF(成本法核算投资性房地产明细表!$G:$G,SUBSTITUTE(REPLACE($A3,1,3,""),"","")&amp;"原值"&amp;D$1,成本法核算投资性房地产明细表!$F:$F),2)</f>
        <v>0</v>
      </c>
      <c r="E3" s="153">
        <f>ROUND(B3+C3-D3,2)</f>
        <v>0</v>
      </c>
    </row>
    <row r="4" spans="1:5" ht="15">
      <c r="A4" s="347" t="s">
        <v>4633</v>
      </c>
      <c r="B4" s="153">
        <f>ROUND(SUMIF(成本法核算投资性房地产明细表!$G:$G,SUBSTITUTE(REPLACE($A4,1,3,""),"","")&amp;"原值"&amp;B$1,成本法核算投资性房地产明细表!$F:$F),2)</f>
        <v>0</v>
      </c>
      <c r="C4" s="153">
        <f>ROUND(SUMIF(成本法核算投资性房地产明细表!$G:$G,SUBSTITUTE(REPLACE($A4,1,3,""),"","")&amp;"原值"&amp;C$1,成本法核算投资性房地产明细表!$F:$F),2)</f>
        <v>0</v>
      </c>
      <c r="D4" s="153">
        <f>ROUND(SUMIF(成本法核算投资性房地产明细表!$G:$G,SUBSTITUTE(REPLACE($A4,1,3,""),"","")&amp;"原值"&amp;D$1,成本法核算投资性房地产明细表!$F:$F),2)</f>
        <v>0</v>
      </c>
      <c r="E4" s="153">
        <f>ROUND(B4+C4-D4,2)</f>
        <v>0</v>
      </c>
    </row>
    <row r="5" spans="1:5" ht="15">
      <c r="A5" s="19" t="s">
        <v>5479</v>
      </c>
      <c r="B5" s="153">
        <f>ROUND(SUM(B6:B7),2)</f>
        <v>0</v>
      </c>
      <c r="C5" s="153">
        <f>ROUND(SUM(C6:C7),2)</f>
        <v>0</v>
      </c>
      <c r="D5" s="153">
        <f>ROUND(SUM(D6:D7),2)</f>
        <v>0</v>
      </c>
      <c r="E5" s="153">
        <f>ROUND(B5+C5-D5,2)</f>
        <v>0</v>
      </c>
    </row>
    <row r="6" spans="1:5" ht="15">
      <c r="A6" s="347" t="s">
        <v>4634</v>
      </c>
      <c r="B6" s="153">
        <f>ROUND(SUMIF(成本法核算投资性房地产明细表!$G:$G,SUBSTITUTE(REPLACE($A6,1,3,""),"","")&amp;"累计折旧"&amp;B$1,成本法核算投资性房地产明细表!$F:$F),2)</f>
        <v>0</v>
      </c>
      <c r="C6" s="153">
        <f>ROUND(SUMIF(成本法核算投资性房地产明细表!$G:$G,SUBSTITUTE(REPLACE($A6,1,3,""),"","")&amp;"累计折旧"&amp;C$1,成本法核算投资性房地产明细表!$F:$F),2)</f>
        <v>0</v>
      </c>
      <c r="D6" s="153">
        <f>ROUND(SUMIF(成本法核算投资性房地产明细表!$G:$G,SUBSTITUTE(REPLACE($A6,1,3,""),"","")&amp;"累计折旧"&amp;D$1,成本法核算投资性房地产明细表!$F:$F),2)</f>
        <v>0</v>
      </c>
      <c r="E6" s="153">
        <f>ROUND(B6+C6-D6,2)</f>
        <v>0</v>
      </c>
    </row>
    <row r="7" spans="1:5" ht="15">
      <c r="A7" s="347" t="s">
        <v>4633</v>
      </c>
      <c r="B7" s="153">
        <f>ROUND(SUMIF(成本法核算投资性房地产明细表!$G:$G,SUBSTITUTE(REPLACE($A7,1,3,""),"","")&amp;"累计折旧"&amp;B$1,成本法核算投资性房地产明细表!$F:$F),2)</f>
        <v>0</v>
      </c>
      <c r="C7" s="153">
        <f>ROUND(SUMIF(成本法核算投资性房地产明细表!$G:$G,SUBSTITUTE(REPLACE($A7,1,3,""),"","")&amp;"累计折旧"&amp;C$1,成本法核算投资性房地产明细表!$F:$F),2)</f>
        <v>0</v>
      </c>
      <c r="D7" s="153">
        <f>ROUND(SUMIF(成本法核算投资性房地产明细表!$G:$G,SUBSTITUTE(REPLACE($A7,1,3,""),"","")&amp;"累计折旧"&amp;D$1,成本法核算投资性房地产明细表!$F:$F),2)</f>
        <v>0</v>
      </c>
      <c r="E7" s="153">
        <f>ROUND(B7+C7-D7,2)</f>
        <v>0</v>
      </c>
    </row>
    <row r="8" spans="1:5" ht="15">
      <c r="A8" s="19" t="s">
        <v>5480</v>
      </c>
      <c r="B8" s="153">
        <f>ROUND(SUM(B9:B10),2)</f>
        <v>0</v>
      </c>
      <c r="C8" s="153"/>
      <c r="D8" s="153"/>
      <c r="E8" s="153">
        <f>ROUND(SUM(E9:E10),2)</f>
        <v>0</v>
      </c>
    </row>
    <row r="9" spans="1:5" ht="15">
      <c r="A9" s="347" t="s">
        <v>4634</v>
      </c>
      <c r="B9" s="153">
        <f>ROUND(B3-B6,2)</f>
        <v>0</v>
      </c>
      <c r="C9" s="153"/>
      <c r="D9" s="153"/>
      <c r="E9" s="153">
        <f>ROUND(E3-E6,2)</f>
        <v>0</v>
      </c>
    </row>
    <row r="10" spans="1:5" ht="15">
      <c r="A10" s="347" t="s">
        <v>4633</v>
      </c>
      <c r="B10" s="153">
        <f>ROUND(B4-B7,2)</f>
        <v>0</v>
      </c>
      <c r="C10" s="153"/>
      <c r="D10" s="153"/>
      <c r="E10" s="153">
        <f>ROUND(E4-E7,2)</f>
        <v>0</v>
      </c>
    </row>
    <row r="11" spans="1:5" ht="15">
      <c r="A11" s="19" t="s">
        <v>5481</v>
      </c>
      <c r="B11" s="153">
        <f>ROUND(SUM(B12:B13),2)</f>
        <v>0</v>
      </c>
      <c r="C11" s="153">
        <f>ROUND(SUM(C12:C13),2)</f>
        <v>0</v>
      </c>
      <c r="D11" s="153">
        <f>ROUND(SUM(D12:D13),2)</f>
        <v>0</v>
      </c>
      <c r="E11" s="153">
        <f>ROUND(B11+C11-D11,2)</f>
        <v>0</v>
      </c>
    </row>
    <row r="12" spans="1:5" ht="15">
      <c r="A12" s="347" t="s">
        <v>4634</v>
      </c>
      <c r="B12" s="153">
        <f>ROUND(SUMIF(成本法核算投资性房地产明细表!$G:$G,SUBSTITUTE(REPLACE($A12,1,3,""),"","")&amp;"减值准备"&amp;B$1,成本法核算投资性房地产明细表!$F:$F),2)</f>
        <v>0</v>
      </c>
      <c r="C12" s="153">
        <f>ROUND(SUMIF(成本法核算投资性房地产明细表!$G:$G,SUBSTITUTE(REPLACE($A12,1,3,""),"","")&amp;"减值准备"&amp;C$1,成本法核算投资性房地产明细表!$F:$F),2)</f>
        <v>0</v>
      </c>
      <c r="D12" s="153">
        <f>ROUND(SUMIF(成本法核算投资性房地产明细表!$G:$G,SUBSTITUTE(REPLACE($A12,1,3,""),"","")&amp;"减值准备"&amp;D$1,成本法核算投资性房地产明细表!$F:$F),2)</f>
        <v>0</v>
      </c>
      <c r="E12" s="153">
        <f>ROUND(B12+C12-D12,2)</f>
        <v>0</v>
      </c>
    </row>
    <row r="13" spans="1:5" ht="15">
      <c r="A13" s="347" t="s">
        <v>4633</v>
      </c>
      <c r="B13" s="153">
        <f>ROUND(SUMIF(成本法核算投资性房地产明细表!$G:$G,SUBSTITUTE(REPLACE($A13,1,3,""),"","")&amp;"减值准备"&amp;B$1,成本法核算投资性房地产明细表!$F:$F),2)</f>
        <v>0</v>
      </c>
      <c r="C13" s="153">
        <f>ROUND(SUMIF(成本法核算投资性房地产明细表!$G:$G,SUBSTITUTE(REPLACE($A13,1,3,""),"","")&amp;"减值准备"&amp;C$1,成本法核算投资性房地产明细表!$F:$F),2)</f>
        <v>0</v>
      </c>
      <c r="D13" s="153">
        <f>ROUND(SUMIF(成本法核算投资性房地产明细表!$G:$G,SUBSTITUTE(REPLACE($A13,1,3,""),"","")&amp;"减值准备"&amp;D$1,成本法核算投资性房地产明细表!$F:$F),2)</f>
        <v>0</v>
      </c>
      <c r="E13" s="153">
        <f>ROUND(B13+C13-D13,2)</f>
        <v>0</v>
      </c>
    </row>
    <row r="14" spans="1:5" ht="15">
      <c r="A14" s="19" t="s">
        <v>5482</v>
      </c>
      <c r="B14" s="153">
        <f>ROUND(B8-B11,2)</f>
        <v>0</v>
      </c>
      <c r="C14" s="153">
        <f>ROUND(C8-C11,2)</f>
        <v>0</v>
      </c>
      <c r="D14" s="153">
        <f>ROUND(D8-D11,2)</f>
        <v>0</v>
      </c>
      <c r="E14" s="153">
        <f>ROUND(B14+C14-D14,2)</f>
        <v>0</v>
      </c>
    </row>
    <row r="15" spans="1:5" ht="15">
      <c r="A15" s="347" t="s">
        <v>4634</v>
      </c>
      <c r="B15" s="153">
        <f>ROUND(B9-B12,2)</f>
        <v>0</v>
      </c>
      <c r="C15" s="153"/>
      <c r="D15" s="153"/>
      <c r="E15" s="153">
        <f>ROUND(B15+C15-D15,2)</f>
        <v>0</v>
      </c>
    </row>
    <row r="16" spans="1:5" ht="15">
      <c r="A16" s="347" t="s">
        <v>4633</v>
      </c>
      <c r="B16" s="153">
        <f>ROUND(B10-B13,2)</f>
        <v>0</v>
      </c>
      <c r="C16" s="153"/>
      <c r="D16" s="153"/>
      <c r="E16" s="153">
        <f>ROUND(B16+C16-D16,2)</f>
        <v>0</v>
      </c>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codeName="Sheet195">
    <tabColor rgb="FFFFC000"/>
  </sheetPr>
  <dimension ref="A1:D34"/>
  <sheetViews>
    <sheetView workbookViewId="0">
      <pane xSplit="1" ySplit="1" topLeftCell="B14" activePane="bottomRight" state="frozen"/>
      <selection activeCell="D22" sqref="D22"/>
      <selection pane="topRight" activeCell="D22" sqref="D22"/>
      <selection pane="bottomLeft" activeCell="D22" sqref="D22"/>
      <selection pane="bottomRight" activeCell="E28" sqref="E28"/>
    </sheetView>
  </sheetViews>
  <sheetFormatPr defaultRowHeight="13.8"/>
  <cols>
    <col min="1" max="1" width="24.88671875" style="151" bestFit="1" customWidth="1"/>
    <col min="2" max="3" width="11.6640625" style="151" bestFit="1" customWidth="1"/>
    <col min="4" max="4" width="9.44140625" style="151" bestFit="1" customWidth="1"/>
    <col min="5" max="5" width="28.77734375" style="151" bestFit="1" customWidth="1"/>
    <col min="6" max="16384" width="8.88671875" style="151"/>
  </cols>
  <sheetData>
    <row r="1" spans="1:4" ht="14.4">
      <c r="A1" s="526" t="s">
        <v>28</v>
      </c>
      <c r="B1" s="531" t="s">
        <v>3122</v>
      </c>
      <c r="C1" s="531" t="s">
        <v>454</v>
      </c>
      <c r="D1" s="526" t="s">
        <v>204</v>
      </c>
    </row>
    <row r="2" spans="1:4" ht="14.4">
      <c r="A2" s="527" t="s">
        <v>456</v>
      </c>
      <c r="B2" s="528"/>
      <c r="C2" s="528"/>
      <c r="D2" s="528"/>
    </row>
    <row r="3" spans="1:4" ht="14.4">
      <c r="A3" s="529" t="s">
        <v>3127</v>
      </c>
      <c r="B3" s="291">
        <f>ROUND(SUMIF(成本法核算投资性房地产明细表!$H:$H,B$1&amp;"原值期初数",成本法核算投资性房地产明细表!$F:$F),2)</f>
        <v>0</v>
      </c>
      <c r="C3" s="291">
        <f>ROUND(SUMIF(成本法核算投资性房地产明细表!$H:$H,C$1&amp;"原值期初数",成本法核算投资性房地产明细表!$F:$F),2)</f>
        <v>0</v>
      </c>
      <c r="D3" s="291">
        <f>ROUND(SUM(B3:C3),2)</f>
        <v>0</v>
      </c>
    </row>
    <row r="4" spans="1:4" ht="14.4">
      <c r="A4" s="529" t="s">
        <v>457</v>
      </c>
      <c r="B4" s="291">
        <f>ROUND(SUM(B5:B8),2)</f>
        <v>0</v>
      </c>
      <c r="C4" s="291">
        <f>ROUND(SUM(C5:C8),2)</f>
        <v>0</v>
      </c>
      <c r="D4" s="291">
        <f>ROUND(SUM(B4:C4),2)</f>
        <v>0</v>
      </c>
    </row>
    <row r="5" spans="1:4" ht="14.4">
      <c r="A5" s="530" t="s">
        <v>4635</v>
      </c>
      <c r="B5" s="291">
        <f>ROUND(SUMIF(成本法核算投资性房地产明细表!$H:$H,B$1&amp;"原值本期增加"&amp;REPLACE($A5,1,3,""),成本法核算投资性房地产明细表!$F:$F),2)</f>
        <v>0</v>
      </c>
      <c r="C5" s="291">
        <f>ROUND(SUMIF(成本法核算投资性房地产明细表!$H:$H,C$1&amp;"原值本期增加"&amp;REPLACE($A5,1,3,""),成本法核算投资性房地产明细表!$F:$F),2)</f>
        <v>0</v>
      </c>
      <c r="D5" s="291">
        <f>ROUND(SUM(B5:C5),2)</f>
        <v>0</v>
      </c>
    </row>
    <row r="6" spans="1:4" ht="14.4">
      <c r="A6" s="530" t="s">
        <v>4636</v>
      </c>
      <c r="B6" s="291">
        <f>ROUND(SUMIF(成本法核算投资性房地产明细表!$H:$H,B$1&amp;"原值本期增加"&amp;REPLACE($A6,1,3,""),成本法核算投资性房地产明细表!$F:$F),2)</f>
        <v>0</v>
      </c>
      <c r="C6" s="291">
        <f>ROUND(SUMIF(成本法核算投资性房地产明细表!$H:$H,C$1&amp;"原值本期增加"&amp;REPLACE($A6,1,3,""),成本法核算投资性房地产明细表!$F:$F),2)</f>
        <v>0</v>
      </c>
      <c r="D6" s="291">
        <f>ROUND(SUM(B6:C6),2)</f>
        <v>0</v>
      </c>
    </row>
    <row r="7" spans="1:4" ht="14.4">
      <c r="A7" s="530" t="s">
        <v>4637</v>
      </c>
      <c r="B7" s="291">
        <f>ROUND(SUMIF(成本法核算投资性房地产明细表!$H:$H,B$1&amp;"原值本期增加"&amp;REPLACE($A7,1,3,""),成本法核算投资性房地产明细表!$F:$F),2)</f>
        <v>0</v>
      </c>
      <c r="C7" s="291">
        <f>ROUND(SUMIF(成本法核算投资性房地产明细表!$H:$H,C$1&amp;"原值本期增加"&amp;REPLACE($A7,1,3,""),成本法核算投资性房地产明细表!$F:$F),2)</f>
        <v>0</v>
      </c>
      <c r="D7" s="291">
        <f>ROUND(SUM(B7:C7),2)</f>
        <v>0</v>
      </c>
    </row>
    <row r="8" spans="1:4" ht="14.4">
      <c r="A8" s="530" t="s">
        <v>4638</v>
      </c>
      <c r="B8" s="291">
        <f>ROUND(SUMIF(成本法核算投资性房地产明细表!$H:$H,B$1&amp;"原值本期增加"&amp;REPLACE($A8,1,3,""),成本法核算投资性房地产明细表!$F:$F),2)</f>
        <v>0</v>
      </c>
      <c r="C8" s="291">
        <f>ROUND(SUMIF(成本法核算投资性房地产明细表!$H:$H,C$1&amp;"原值本期增加"&amp;REPLACE($A8,1,3,""),成本法核算投资性房地产明细表!$F:$F),2)</f>
        <v>0</v>
      </c>
      <c r="D8" s="291">
        <f>ROUND(SUM(B8:C8),2)</f>
        <v>0</v>
      </c>
    </row>
    <row r="9" spans="1:4" ht="14.4">
      <c r="A9" s="529" t="s">
        <v>458</v>
      </c>
      <c r="B9" s="291">
        <f>ROUND(SUM(B10:B11),2)</f>
        <v>0</v>
      </c>
      <c r="C9" s="291">
        <f>ROUND(SUM(C10:C11),2)</f>
        <v>0</v>
      </c>
      <c r="D9" s="291">
        <f>ROUND(SUM(B9:C9),2)</f>
        <v>0</v>
      </c>
    </row>
    <row r="10" spans="1:4" ht="14.4">
      <c r="A10" s="530" t="s">
        <v>4639</v>
      </c>
      <c r="B10" s="291">
        <f>ROUND(SUMIF(成本法核算投资性房地产明细表!$H:$H,B$1&amp;"原值本期减少"&amp;REPLACE($A10,1,3,""),成本法核算投资性房地产明细表!$F:$F),2)</f>
        <v>0</v>
      </c>
      <c r="C10" s="291">
        <f>ROUND(SUMIF(成本法核算投资性房地产明细表!$H:$H,C$1&amp;"原值本期减少"&amp;REPLACE($A10,1,3,""),成本法核算投资性房地产明细表!$F:$F),2)</f>
        <v>0</v>
      </c>
      <c r="D10" s="291">
        <f>ROUND(SUM(B10:C10),2)</f>
        <v>0</v>
      </c>
    </row>
    <row r="11" spans="1:4" ht="14.4">
      <c r="A11" s="530" t="s">
        <v>4638</v>
      </c>
      <c r="B11" s="291">
        <f>ROUND(SUMIF(成本法核算投资性房地产明细表!$H:$H,B$1&amp;"原值本期减少"&amp;REPLACE($A11,1,3,""),成本法核算投资性房地产明细表!$F:$F),2)</f>
        <v>0</v>
      </c>
      <c r="C11" s="291">
        <f>ROUND(SUMIF(成本法核算投资性房地产明细表!$H:$H,C$1&amp;"原值本期减少"&amp;REPLACE($A11,1,3,""),成本法核算投资性房地产明细表!$F:$F),2)</f>
        <v>0</v>
      </c>
      <c r="D11" s="291">
        <f>ROUND(SUM(B11:C11),2)</f>
        <v>0</v>
      </c>
    </row>
    <row r="12" spans="1:4" ht="14.4">
      <c r="A12" s="529" t="s">
        <v>459</v>
      </c>
      <c r="B12" s="291">
        <f>ROUND(B3+B4-B9,2)</f>
        <v>0</v>
      </c>
      <c r="C12" s="291">
        <f>ROUND(C3+C4-C9,2)</f>
        <v>0</v>
      </c>
      <c r="D12" s="291">
        <f>ROUND(SUM(B12:C12),2)</f>
        <v>0</v>
      </c>
    </row>
    <row r="13" spans="1:4" ht="14.4">
      <c r="A13" s="527" t="s">
        <v>460</v>
      </c>
      <c r="B13" s="291"/>
      <c r="C13" s="291"/>
      <c r="D13" s="291"/>
    </row>
    <row r="14" spans="1:4" ht="14.4">
      <c r="A14" s="529" t="s">
        <v>3127</v>
      </c>
      <c r="B14" s="291">
        <f>ROUND(SUMIF(成本法核算投资性房地产明细表!$H:$H,B$1&amp;"累计折旧期初数",成本法核算投资性房地产明细表!$F:$F),2)</f>
        <v>0</v>
      </c>
      <c r="C14" s="291">
        <f>ROUND(SUMIF(成本法核算投资性房地产明细表!$H:$H,C$1&amp;"累计折旧期初数",成本法核算投资性房地产明细表!$F:$F),2)</f>
        <v>0</v>
      </c>
      <c r="D14" s="291">
        <f>ROUND(SUM(B14:C14),2)</f>
        <v>0</v>
      </c>
    </row>
    <row r="15" spans="1:4" ht="14.4">
      <c r="A15" s="529" t="s">
        <v>457</v>
      </c>
      <c r="B15" s="291">
        <f>ROUND(SUM(B16:B17),2)</f>
        <v>0</v>
      </c>
      <c r="C15" s="291">
        <f>ROUND(SUM(C16:C17),2)</f>
        <v>0</v>
      </c>
      <c r="D15" s="291">
        <f>ROUND(SUM(B15:C15),2)</f>
        <v>0</v>
      </c>
    </row>
    <row r="16" spans="1:4" ht="14.4">
      <c r="A16" s="530" t="s">
        <v>4640</v>
      </c>
      <c r="B16" s="291">
        <f>ROUND(SUMIF(成本法核算投资性房地产明细表!$H:$H,B$1&amp;"累计折旧本期增加"&amp;REPLACE($A16,1,3,""),成本法核算投资性房地产明细表!$F:$F),2)</f>
        <v>0</v>
      </c>
      <c r="C16" s="291">
        <f>ROUND(SUMIF(成本法核算投资性房地产明细表!$H:$H,C$1&amp;"累计折旧本期增加"&amp;REPLACE($A16,1,3,""),成本法核算投资性房地产明细表!$F:$F),2)</f>
        <v>0</v>
      </c>
      <c r="D16" s="291">
        <f>ROUND(SUM(B16:C16),2)</f>
        <v>0</v>
      </c>
    </row>
    <row r="17" spans="1:4" ht="14.4">
      <c r="A17" s="530" t="s">
        <v>4641</v>
      </c>
      <c r="B17" s="291">
        <f>ROUND(SUMIF(成本法核算投资性房地产明细表!$H:$H,B$1&amp;"累计折旧本期增加"&amp;REPLACE($A17,1,3,""),成本法核算投资性房地产明细表!$F:$F),2)</f>
        <v>0</v>
      </c>
      <c r="C17" s="291">
        <f>ROUND(SUMIF(成本法核算投资性房地产明细表!$H:$H,C$1&amp;"累计折旧本期增加"&amp;REPLACE($A17,1,3,""),成本法核算投资性房地产明细表!$F:$F),2)</f>
        <v>0</v>
      </c>
      <c r="D17" s="291">
        <f>ROUND(SUM(B17:C17),2)</f>
        <v>0</v>
      </c>
    </row>
    <row r="18" spans="1:4" ht="14.4">
      <c r="A18" s="529" t="s">
        <v>458</v>
      </c>
      <c r="B18" s="291">
        <f>ROUND(SUM(B19:B20),2)</f>
        <v>0</v>
      </c>
      <c r="C18" s="291">
        <f>ROUND(SUM(C19:C20),2)</f>
        <v>0</v>
      </c>
      <c r="D18" s="291">
        <f>ROUND(SUM(B18:C18),2)</f>
        <v>0</v>
      </c>
    </row>
    <row r="19" spans="1:4" ht="14.4">
      <c r="A19" s="530" t="s">
        <v>4639</v>
      </c>
      <c r="B19" s="291">
        <f>ROUND(SUMIF(成本法核算投资性房地产明细表!$H:$H,B$1&amp;"累计折旧本期减少"&amp;REPLACE($A19,1,3,""),成本法核算投资性房地产明细表!$F:$F),2)</f>
        <v>0</v>
      </c>
      <c r="C19" s="291">
        <f>ROUND(SUMIF(成本法核算投资性房地产明细表!$H:$H,C$1&amp;"累计折旧本期减少"&amp;REPLACE($A19,1,3,""),成本法核算投资性房地产明细表!$F:$F),2)</f>
        <v>0</v>
      </c>
      <c r="D19" s="291">
        <f>ROUND(SUM(B19:C19),2)</f>
        <v>0</v>
      </c>
    </row>
    <row r="20" spans="1:4" ht="14.4">
      <c r="A20" s="530" t="s">
        <v>4642</v>
      </c>
      <c r="B20" s="291">
        <f>ROUND(SUMIF(成本法核算投资性房地产明细表!$H:$H,B$1&amp;"累计折旧本期减少"&amp;REPLACE($A20,1,3,""),成本法核算投资性房地产明细表!$F:$F),2)</f>
        <v>0</v>
      </c>
      <c r="C20" s="291">
        <f>ROUND(SUMIF(成本法核算投资性房地产明细表!$H:$H,C$1&amp;"累计折旧本期减少"&amp;REPLACE($A20,1,3,""),成本法核算投资性房地产明细表!$F:$F),2)</f>
        <v>0</v>
      </c>
      <c r="D20" s="291">
        <f>ROUND(SUM(B20:C20),2)</f>
        <v>0</v>
      </c>
    </row>
    <row r="21" spans="1:4" ht="14.4">
      <c r="A21" s="529" t="s">
        <v>459</v>
      </c>
      <c r="B21" s="291">
        <f>ROUND(B14+B15-B18,2)</f>
        <v>0</v>
      </c>
      <c r="C21" s="291">
        <f>ROUND(C14+C15-C18,2)</f>
        <v>0</v>
      </c>
      <c r="D21" s="291">
        <f>ROUND(SUM(B21:C21),2)</f>
        <v>0</v>
      </c>
    </row>
    <row r="22" spans="1:4" ht="14.4">
      <c r="A22" s="527" t="s">
        <v>461</v>
      </c>
      <c r="B22" s="291"/>
      <c r="C22" s="291"/>
      <c r="D22" s="291"/>
    </row>
    <row r="23" spans="1:4" ht="14.4">
      <c r="A23" s="529" t="s">
        <v>3127</v>
      </c>
      <c r="B23" s="291">
        <f>ROUND(SUMIF(成本法核算投资性房地产明细表!H:H,B$1&amp;"减值准备期初数",成本法核算投资性房地产明细表!F:F),2)</f>
        <v>0</v>
      </c>
      <c r="C23" s="291">
        <f>ROUND(SUMIF(成本法核算投资性房地产明细表!I:I,C$1&amp;"减值准备期初数",成本法核算投资性房地产明细表!G:G),2)</f>
        <v>0</v>
      </c>
      <c r="D23" s="291">
        <f>ROUND(SUM(B23:C23),2)</f>
        <v>0</v>
      </c>
    </row>
    <row r="24" spans="1:4" ht="14.4">
      <c r="A24" s="529" t="s">
        <v>457</v>
      </c>
      <c r="B24" s="291">
        <f>ROUND(SUM(B25:B26),2)</f>
        <v>0</v>
      </c>
      <c r="C24" s="291">
        <f>ROUND(SUM(C25:C26),2)</f>
        <v>0</v>
      </c>
      <c r="D24" s="291">
        <f>ROUND(SUM(B24:C24),2)</f>
        <v>0</v>
      </c>
    </row>
    <row r="25" spans="1:4" ht="14.4">
      <c r="A25" s="530" t="s">
        <v>4643</v>
      </c>
      <c r="B25" s="291">
        <f>ROUND(SUMIF(成本法核算投资性房地产明细表!$H:$H,B$1&amp;"减值准备本期增加"&amp;REPLACE($A25,1,3,""),成本法核算投资性房地产明细表!$F:$F),2)</f>
        <v>0</v>
      </c>
      <c r="C25" s="291">
        <f>ROUND(SUMIF(成本法核算投资性房地产明细表!$H:$H,C$1&amp;"减值准备本期增加"&amp;REPLACE($A25,1,3,""),成本法核算投资性房地产明细表!$F:$F),2)</f>
        <v>0</v>
      </c>
      <c r="D25" s="291">
        <f>ROUND(SUM(B25:C25),2)</f>
        <v>0</v>
      </c>
    </row>
    <row r="26" spans="1:4" ht="14.4">
      <c r="A26" s="530" t="s">
        <v>4638</v>
      </c>
      <c r="B26" s="291">
        <f>ROUND(SUMIF(成本法核算投资性房地产明细表!$H:$H,B$1&amp;"减值准备本期增加"&amp;REPLACE($A26,1,3,""),成本法核算投资性房地产明细表!$F:$F),2)</f>
        <v>0</v>
      </c>
      <c r="C26" s="291">
        <f>ROUND(SUMIF(成本法核算投资性房地产明细表!$H:$H,C$1&amp;"减值准备本期增加"&amp;REPLACE($A26,1,3,""),成本法核算投资性房地产明细表!$F:$F),2)</f>
        <v>0</v>
      </c>
      <c r="D26" s="291">
        <f>ROUND(SUM(B26:C26),2)</f>
        <v>0</v>
      </c>
    </row>
    <row r="27" spans="1:4" ht="14.4">
      <c r="A27" s="529" t="s">
        <v>458</v>
      </c>
      <c r="B27" s="291">
        <f>ROUND(SUM(B28:B29),2)</f>
        <v>0</v>
      </c>
      <c r="C27" s="291">
        <f>ROUND(SUM(C28:C29),2)</f>
        <v>0</v>
      </c>
      <c r="D27" s="291">
        <f>ROUND(SUM(B27:C27),2)</f>
        <v>0</v>
      </c>
    </row>
    <row r="28" spans="1:4" ht="14.4">
      <c r="A28" s="530" t="s">
        <v>4639</v>
      </c>
      <c r="B28" s="291">
        <f>ROUND(SUMIF(成本法核算投资性房地产明细表!$H:$H,B$1&amp;"减值准备本期减少"&amp;REPLACE($A28,1,3,""),成本法核算投资性房地产明细表!$F:$F),2)</f>
        <v>0</v>
      </c>
      <c r="C28" s="291">
        <f>ROUND(SUMIF(成本法核算投资性房地产明细表!$H:$H,C$1&amp;"减值准备本期减少"&amp;REPLACE($A28,1,3,""),成本法核算投资性房地产明细表!$F:$F),2)</f>
        <v>0</v>
      </c>
      <c r="D28" s="291">
        <f>ROUND(SUM(B28:C28),2)</f>
        <v>0</v>
      </c>
    </row>
    <row r="29" spans="1:4" ht="14.4">
      <c r="A29" s="530" t="s">
        <v>4642</v>
      </c>
      <c r="B29" s="291">
        <f>ROUND(SUMIF(成本法核算投资性房地产明细表!$H:$H,B$1&amp;"减值准备本期减少"&amp;REPLACE($A29,1,3,""),成本法核算投资性房地产明细表!$F:$F),2)</f>
        <v>0</v>
      </c>
      <c r="C29" s="291">
        <f>ROUND(SUMIF(成本法核算投资性房地产明细表!$H:$H,C$1&amp;"减值准备本期减少"&amp;REPLACE($A29,1,3,""),成本法核算投资性房地产明细表!$F:$F),2)</f>
        <v>0</v>
      </c>
      <c r="D29" s="291">
        <f>ROUND(SUM(B29:C29),2)</f>
        <v>0</v>
      </c>
    </row>
    <row r="30" spans="1:4" ht="14.4">
      <c r="A30" s="529" t="s">
        <v>459</v>
      </c>
      <c r="B30" s="291">
        <f>ROUND(B23+B24-B27,2)</f>
        <v>0</v>
      </c>
      <c r="C30" s="291">
        <f>ROUND(C23+C24-C27,2)</f>
        <v>0</v>
      </c>
      <c r="D30" s="291">
        <f>ROUND(SUM(B30:C30),2)</f>
        <v>0</v>
      </c>
    </row>
    <row r="31" spans="1:4" ht="14.4">
      <c r="A31" s="527" t="s">
        <v>462</v>
      </c>
      <c r="B31" s="291"/>
      <c r="C31" s="291"/>
      <c r="D31" s="291"/>
    </row>
    <row r="32" spans="1:4" ht="14.4">
      <c r="A32" s="529" t="s">
        <v>463</v>
      </c>
      <c r="B32" s="291">
        <f>ROUND(B12-B21-B30,2)</f>
        <v>0</v>
      </c>
      <c r="C32" s="291">
        <f>ROUND(C12-C21-C30,2)</f>
        <v>0</v>
      </c>
      <c r="D32" s="291">
        <f>ROUND(SUM(B32:C32),2)</f>
        <v>0</v>
      </c>
    </row>
    <row r="33" spans="1:4" ht="14.4">
      <c r="A33" s="529" t="s">
        <v>3128</v>
      </c>
      <c r="B33" s="291">
        <f>ROUND(B3-B14-B23,2)</f>
        <v>0</v>
      </c>
      <c r="C33" s="291">
        <f>ROUND(C3-C14-C23,2)</f>
        <v>0</v>
      </c>
      <c r="D33" s="291">
        <f>ROUND(SUM(B33:C33),2)</f>
        <v>0</v>
      </c>
    </row>
    <row r="34" spans="1:4" ht="14.4">
      <c r="A34" s="296"/>
      <c r="B34" s="300"/>
      <c r="C34" s="300"/>
      <c r="D34" s="30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sheetPr codeName="Sheet196"/>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5" sqref="A5"/>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E44" s="277"/>
      <c r="G44" t="str">
        <f t="shared" si="0"/>
        <v/>
      </c>
      <c r="I44" t="str">
        <f t="shared" si="2"/>
        <v/>
      </c>
    </row>
    <row r="45" spans="1:9">
      <c r="A45" s="230" t="str">
        <f>IF(F45&gt;0,基础信息!$B$1,"")</f>
        <v/>
      </c>
      <c r="E45" s="277"/>
      <c r="G45" t="str">
        <f t="shared" si="0"/>
        <v/>
      </c>
      <c r="I45" t="str">
        <f t="shared" si="2"/>
        <v/>
      </c>
    </row>
    <row r="46" spans="1:9">
      <c r="A46" s="230" t="str">
        <f>IF(F46&gt;0,基础信息!$B$1,"")</f>
        <v/>
      </c>
      <c r="E46" s="277"/>
      <c r="G46" t="str">
        <f t="shared" si="0"/>
        <v/>
      </c>
      <c r="I46" t="str">
        <f t="shared" si="2"/>
        <v/>
      </c>
    </row>
    <row r="47" spans="1:9">
      <c r="A47" s="230" t="str">
        <f>IF(F47&gt;0,基础信息!$B$1,"")</f>
        <v/>
      </c>
      <c r="E47" s="277"/>
      <c r="G47" t="str">
        <f t="shared" si="0"/>
        <v/>
      </c>
      <c r="I47" t="str">
        <f t="shared" si="2"/>
        <v/>
      </c>
    </row>
    <row r="48" spans="1:9">
      <c r="A48" s="230" t="str">
        <f>IF(F48&gt;0,基础信息!$B$1,"")</f>
        <v/>
      </c>
      <c r="E48" s="277"/>
      <c r="G48" t="str">
        <f t="shared" si="0"/>
        <v/>
      </c>
      <c r="I48" t="str">
        <f t="shared" si="2"/>
        <v/>
      </c>
    </row>
    <row r="49" spans="1:9">
      <c r="A49" s="230" t="str">
        <f>IF(F49&gt;0,基础信息!$B$1,"")</f>
        <v/>
      </c>
      <c r="E49" s="277"/>
      <c r="G49" t="str">
        <f t="shared" si="0"/>
        <v/>
      </c>
      <c r="I49" t="str">
        <f t="shared" si="2"/>
        <v/>
      </c>
    </row>
    <row r="50" spans="1:9">
      <c r="A50" s="230" t="str">
        <f>IF(F50&gt;0,基础信息!$B$1,"")</f>
        <v/>
      </c>
      <c r="E50" s="277"/>
      <c r="G50" t="str">
        <f t="shared" si="0"/>
        <v/>
      </c>
      <c r="I50" t="str">
        <f t="shared" si="2"/>
        <v/>
      </c>
    </row>
    <row r="51" spans="1:9">
      <c r="A51" s="230" t="str">
        <f>IF(F51&gt;0,基础信息!$B$1,"")</f>
        <v/>
      </c>
      <c r="E51" s="277"/>
      <c r="G51" t="str">
        <f t="shared" si="0"/>
        <v/>
      </c>
      <c r="I51" t="str">
        <f t="shared" si="2"/>
        <v/>
      </c>
    </row>
    <row r="52" spans="1:9">
      <c r="A52" s="230" t="str">
        <f>IF(F52&gt;0,基础信息!$B$1,"")</f>
        <v/>
      </c>
      <c r="E52" s="277"/>
      <c r="G52" t="str">
        <f t="shared" si="0"/>
        <v/>
      </c>
      <c r="I52" t="str">
        <f t="shared" si="2"/>
        <v/>
      </c>
    </row>
    <row r="53" spans="1:9">
      <c r="A53" s="230" t="str">
        <f>IF(F53&gt;0,基础信息!$B$1,"")</f>
        <v/>
      </c>
      <c r="E53" s="277"/>
      <c r="G53" t="str">
        <f t="shared" si="0"/>
        <v/>
      </c>
      <c r="I53" t="str">
        <f t="shared" si="2"/>
        <v/>
      </c>
    </row>
    <row r="54" spans="1:9">
      <c r="A54" s="230" t="str">
        <f>IF(F54&gt;0,基础信息!$B$1,"")</f>
        <v/>
      </c>
      <c r="E54" s="277"/>
      <c r="G54" t="str">
        <f t="shared" si="0"/>
        <v/>
      </c>
      <c r="I54" t="str">
        <f t="shared" si="2"/>
        <v/>
      </c>
    </row>
    <row r="55" spans="1:9">
      <c r="A55" s="230" t="str">
        <f>IF(F55&gt;0,基础信息!$B$1,"")</f>
        <v/>
      </c>
      <c r="E55" s="277"/>
      <c r="G55" t="str">
        <f t="shared" si="0"/>
        <v/>
      </c>
      <c r="I55" t="str">
        <f t="shared" si="2"/>
        <v/>
      </c>
    </row>
    <row r="56" spans="1:9">
      <c r="A56" s="230" t="str">
        <f>IF(F56&gt;0,基础信息!$B$1,"")</f>
        <v/>
      </c>
      <c r="E56" s="277"/>
      <c r="G56" t="str">
        <f t="shared" si="0"/>
        <v/>
      </c>
      <c r="I56" t="str">
        <f t="shared" si="2"/>
        <v/>
      </c>
    </row>
    <row r="57" spans="1:9">
      <c r="A57" s="230" t="str">
        <f>IF(F57&gt;0,基础信息!$B$1,"")</f>
        <v/>
      </c>
      <c r="E57" s="277"/>
      <c r="G57" t="str">
        <f t="shared" si="0"/>
        <v/>
      </c>
      <c r="I57" t="str">
        <f t="shared" si="2"/>
        <v/>
      </c>
    </row>
    <row r="58" spans="1:9">
      <c r="A58" s="230" t="str">
        <f>IF(F58&gt;0,基础信息!$B$1,"")</f>
        <v/>
      </c>
      <c r="E58" s="277"/>
      <c r="G58" t="str">
        <f t="shared" si="0"/>
        <v/>
      </c>
      <c r="I58" t="str">
        <f t="shared" si="2"/>
        <v/>
      </c>
    </row>
    <row r="59" spans="1:9">
      <c r="A59" s="230" t="str">
        <f>IF(F59&gt;0,基础信息!$B$1,"")</f>
        <v/>
      </c>
      <c r="E59" s="277"/>
      <c r="G59" t="str">
        <f t="shared" si="0"/>
        <v/>
      </c>
      <c r="I59" t="str">
        <f t="shared" si="2"/>
        <v/>
      </c>
    </row>
    <row r="60" spans="1:9">
      <c r="A60" s="230" t="str">
        <f>IF(F60&gt;0,基础信息!$B$1,"")</f>
        <v/>
      </c>
      <c r="E60" s="277"/>
      <c r="G60" t="str">
        <f t="shared" si="0"/>
        <v/>
      </c>
      <c r="I60" t="str">
        <f t="shared" si="2"/>
        <v/>
      </c>
    </row>
    <row r="61" spans="1:9">
      <c r="A61" s="230" t="str">
        <f>IF(F61&gt;0,基础信息!$B$1,"")</f>
        <v/>
      </c>
      <c r="E61" s="277"/>
      <c r="G61" t="str">
        <f t="shared" si="0"/>
        <v/>
      </c>
      <c r="I61" t="str">
        <f t="shared" si="2"/>
        <v/>
      </c>
    </row>
    <row r="62" spans="1:9">
      <c r="A62" s="230" t="str">
        <f>IF(F62&gt;0,基础信息!$B$1,"")</f>
        <v/>
      </c>
      <c r="E62" s="277"/>
      <c r="G62" t="str">
        <f t="shared" si="0"/>
        <v/>
      </c>
      <c r="I62" t="str">
        <f t="shared" si="2"/>
        <v/>
      </c>
    </row>
    <row r="63" spans="1:9">
      <c r="A63" s="230" t="str">
        <f>IF(F63&gt;0,基础信息!$B$1,"")</f>
        <v/>
      </c>
      <c r="E63" s="277"/>
      <c r="G63" t="str">
        <f t="shared" si="0"/>
        <v/>
      </c>
      <c r="I63" t="str">
        <f t="shared" si="2"/>
        <v/>
      </c>
    </row>
    <row r="64" spans="1:9">
      <c r="A64" s="230" t="str">
        <f>IF(F64&gt;0,基础信息!$B$1,"")</f>
        <v/>
      </c>
      <c r="E64" s="277"/>
      <c r="G64" t="str">
        <f t="shared" si="0"/>
        <v/>
      </c>
      <c r="I64" t="str">
        <f t="shared" si="2"/>
        <v/>
      </c>
    </row>
    <row r="65" spans="1:9">
      <c r="A65" s="230" t="str">
        <f>IF(F65&gt;0,基础信息!$B$1,"")</f>
        <v/>
      </c>
      <c r="E65" s="277"/>
      <c r="G65" t="str">
        <f t="shared" si="0"/>
        <v/>
      </c>
      <c r="I65" t="str">
        <f t="shared" si="2"/>
        <v/>
      </c>
    </row>
    <row r="66" spans="1:9">
      <c r="A66" s="230" t="str">
        <f>IF(F66&gt;0,基础信息!$B$1,"")</f>
        <v/>
      </c>
      <c r="E66" s="277"/>
      <c r="G66" t="str">
        <f t="shared" si="0"/>
        <v/>
      </c>
      <c r="I66" t="str">
        <f t="shared" si="2"/>
        <v/>
      </c>
    </row>
    <row r="67" spans="1:9">
      <c r="A67" s="230" t="str">
        <f>IF(F67&gt;0,基础信息!$B$1,"")</f>
        <v/>
      </c>
      <c r="E67" s="277"/>
      <c r="G67" t="str">
        <f t="shared" ref="G67:G88" si="3">B67&amp;C67&amp;D67</f>
        <v/>
      </c>
      <c r="I67" t="str">
        <f t="shared" ref="I67:I119" si="4">C67&amp;D67&amp;E67</f>
        <v/>
      </c>
    </row>
    <row r="68" spans="1:9">
      <c r="A68" s="230" t="str">
        <f>IF(F68&gt;0,基础信息!$B$1,"")</f>
        <v/>
      </c>
      <c r="E68" s="277"/>
      <c r="G68" t="str">
        <f t="shared" si="3"/>
        <v/>
      </c>
      <c r="I68" t="str">
        <f t="shared" si="4"/>
        <v/>
      </c>
    </row>
    <row r="69" spans="1:9">
      <c r="A69" s="230" t="str">
        <f>IF(F69&gt;0,基础信息!$B$1,"")</f>
        <v/>
      </c>
      <c r="E69" s="277"/>
      <c r="G69" t="str">
        <f t="shared" si="3"/>
        <v/>
      </c>
      <c r="I69" t="str">
        <f t="shared" si="4"/>
        <v/>
      </c>
    </row>
    <row r="70" spans="1:9">
      <c r="A70" s="230" t="str">
        <f>IF(F70&gt;0,基础信息!$B$1,"")</f>
        <v/>
      </c>
      <c r="E70" s="277"/>
      <c r="G70" t="str">
        <f t="shared" si="3"/>
        <v/>
      </c>
      <c r="I70" t="str">
        <f t="shared" si="4"/>
        <v/>
      </c>
    </row>
    <row r="71" spans="1:9">
      <c r="A71" s="230" t="str">
        <f>IF(F71&gt;0,基础信息!$B$1,"")</f>
        <v/>
      </c>
      <c r="E71" s="277"/>
      <c r="G71" t="str">
        <f t="shared" si="3"/>
        <v/>
      </c>
      <c r="I71" t="str">
        <f t="shared" si="4"/>
        <v/>
      </c>
    </row>
    <row r="72" spans="1:9">
      <c r="A72" s="230" t="str">
        <f>IF(F72&gt;0,基础信息!$B$1,"")</f>
        <v/>
      </c>
      <c r="E72" s="277"/>
      <c r="G72" t="str">
        <f t="shared" si="3"/>
        <v/>
      </c>
      <c r="I72" t="str">
        <f t="shared" si="4"/>
        <v/>
      </c>
    </row>
    <row r="73" spans="1:9">
      <c r="A73" s="230" t="str">
        <f>IF(F73&gt;0,基础信息!$B$1,"")</f>
        <v/>
      </c>
      <c r="E73" s="277"/>
      <c r="G73" t="str">
        <f t="shared" si="3"/>
        <v/>
      </c>
      <c r="I73" t="str">
        <f t="shared" si="4"/>
        <v/>
      </c>
    </row>
    <row r="74" spans="1:9">
      <c r="A74" s="230" t="str">
        <f>IF(F74&gt;0,基础信息!$B$1,"")</f>
        <v/>
      </c>
      <c r="E74" s="277"/>
      <c r="G74" t="str">
        <f t="shared" si="3"/>
        <v/>
      </c>
      <c r="I74" t="str">
        <f t="shared" si="4"/>
        <v/>
      </c>
    </row>
    <row r="75" spans="1:9">
      <c r="A75" s="230" t="str">
        <f>IF(F75&gt;0,基础信息!$B$1,"")</f>
        <v/>
      </c>
      <c r="E75" s="277"/>
      <c r="G75" t="str">
        <f t="shared" si="3"/>
        <v/>
      </c>
      <c r="I75" t="str">
        <f t="shared" si="4"/>
        <v/>
      </c>
    </row>
    <row r="76" spans="1:9">
      <c r="A76" s="230" t="str">
        <f>IF(F76&gt;0,基础信息!$B$1,"")</f>
        <v/>
      </c>
      <c r="E76" s="277"/>
      <c r="G76" t="str">
        <f t="shared" si="3"/>
        <v/>
      </c>
      <c r="I76" t="str">
        <f t="shared" si="4"/>
        <v/>
      </c>
    </row>
    <row r="77" spans="1:9">
      <c r="A77" s="230" t="str">
        <f>IF(F77&gt;0,基础信息!$B$1,"")</f>
        <v/>
      </c>
      <c r="E77" s="277"/>
      <c r="G77" t="str">
        <f t="shared" si="3"/>
        <v/>
      </c>
      <c r="I77" t="str">
        <f t="shared" si="4"/>
        <v/>
      </c>
    </row>
    <row r="78" spans="1:9">
      <c r="A78" s="230" t="str">
        <f>IF(F78&gt;0,基础信息!$B$1,"")</f>
        <v/>
      </c>
      <c r="E78" s="277"/>
      <c r="G78" t="str">
        <f t="shared" si="3"/>
        <v/>
      </c>
      <c r="I78" t="str">
        <f t="shared" si="4"/>
        <v/>
      </c>
    </row>
    <row r="79" spans="1:9">
      <c r="A79" s="230" t="str">
        <f>IF(F79&gt;0,基础信息!$B$1,"")</f>
        <v/>
      </c>
      <c r="E79" s="277"/>
      <c r="G79" t="str">
        <f t="shared" si="3"/>
        <v/>
      </c>
      <c r="I79" t="str">
        <f t="shared" si="4"/>
        <v/>
      </c>
    </row>
    <row r="80" spans="1:9">
      <c r="A80" s="230" t="str">
        <f>IF(F80&gt;0,基础信息!$B$1,"")</f>
        <v/>
      </c>
      <c r="E80" s="277"/>
      <c r="G80" t="str">
        <f t="shared" si="3"/>
        <v/>
      </c>
      <c r="I80" t="str">
        <f t="shared" si="4"/>
        <v/>
      </c>
    </row>
    <row r="81" spans="1:9">
      <c r="A81" s="230" t="str">
        <f>IF(F81&gt;0,基础信息!$B$1,"")</f>
        <v/>
      </c>
      <c r="E81" s="277"/>
      <c r="G81" t="str">
        <f t="shared" si="3"/>
        <v/>
      </c>
      <c r="I81" t="str">
        <f t="shared" si="4"/>
        <v/>
      </c>
    </row>
    <row r="82" spans="1:9">
      <c r="A82" s="230" t="str">
        <f>IF(F82&gt;0,基础信息!$B$1,"")</f>
        <v/>
      </c>
      <c r="E82" s="277"/>
      <c r="G82" t="str">
        <f t="shared" si="3"/>
        <v/>
      </c>
      <c r="I82" t="str">
        <f t="shared" si="4"/>
        <v/>
      </c>
    </row>
    <row r="83" spans="1:9">
      <c r="A83" s="230" t="str">
        <f>IF(F83&gt;0,基础信息!$B$1,"")</f>
        <v/>
      </c>
      <c r="E83" s="277"/>
      <c r="G83" t="str">
        <f t="shared" si="3"/>
        <v/>
      </c>
      <c r="I83" t="str">
        <f t="shared" si="4"/>
        <v/>
      </c>
    </row>
    <row r="84" spans="1:9">
      <c r="A84" s="230" t="str">
        <f>IF(F84&gt;0,基础信息!$B$1,"")</f>
        <v/>
      </c>
      <c r="E84" s="277"/>
      <c r="G84" t="str">
        <f t="shared" si="3"/>
        <v/>
      </c>
      <c r="I84" t="str">
        <f t="shared" si="4"/>
        <v/>
      </c>
    </row>
    <row r="85" spans="1:9">
      <c r="A85" s="230" t="str">
        <f>IF(F85&gt;0,基础信息!$B$1,"")</f>
        <v/>
      </c>
      <c r="E85" s="277"/>
      <c r="G85" t="str">
        <f t="shared" si="3"/>
        <v/>
      </c>
      <c r="I85" t="str">
        <f t="shared" si="4"/>
        <v/>
      </c>
    </row>
    <row r="86" spans="1:9">
      <c r="A86" s="230" t="str">
        <f>IF(F86&gt;0,基础信息!$B$1,"")</f>
        <v/>
      </c>
      <c r="E86" s="277"/>
      <c r="G86" t="str">
        <f t="shared" si="3"/>
        <v/>
      </c>
      <c r="I86" t="str">
        <f t="shared" si="4"/>
        <v/>
      </c>
    </row>
    <row r="87" spans="1:9">
      <c r="A87" s="230" t="str">
        <f>IF(F87&gt;0,基础信息!$B$1,"")</f>
        <v/>
      </c>
      <c r="E87" s="277"/>
      <c r="G87" t="str">
        <f t="shared" si="3"/>
        <v/>
      </c>
      <c r="I87" t="str">
        <f t="shared" si="4"/>
        <v/>
      </c>
    </row>
    <row r="88" spans="1:9">
      <c r="A88" s="230" t="str">
        <f>IF(F88&gt;0,基础信息!$B$1,"")</f>
        <v/>
      </c>
      <c r="E88" s="277"/>
      <c r="G88" t="str">
        <f t="shared" si="3"/>
        <v/>
      </c>
      <c r="I88" t="str">
        <f t="shared" si="4"/>
        <v/>
      </c>
    </row>
    <row r="89" spans="1:9">
      <c r="A89" s="230" t="str">
        <f>IF(F89&gt;0,基础信息!$B$1,"")</f>
        <v/>
      </c>
      <c r="E89" s="277"/>
      <c r="I89" t="str">
        <f t="shared" si="4"/>
        <v/>
      </c>
    </row>
    <row r="90" spans="1:9">
      <c r="A90" s="230" t="str">
        <f>IF(F90&gt;0,基础信息!$B$1,"")</f>
        <v/>
      </c>
      <c r="E90" s="277"/>
      <c r="I90" t="str">
        <f t="shared" si="4"/>
        <v/>
      </c>
    </row>
    <row r="91" spans="1:9">
      <c r="A91" s="230" t="str">
        <f>IF(F91&gt;0,基础信息!$B$1,"")</f>
        <v/>
      </c>
      <c r="E91" s="277"/>
      <c r="I91" t="str">
        <f t="shared" si="4"/>
        <v/>
      </c>
    </row>
    <row r="92" spans="1:9">
      <c r="A92" s="230" t="str">
        <f>IF(F92&gt;0,基础信息!$B$1,"")</f>
        <v/>
      </c>
      <c r="E92" s="277"/>
      <c r="I92" t="str">
        <f t="shared" si="4"/>
        <v/>
      </c>
    </row>
    <row r="93" spans="1:9">
      <c r="A93" s="230" t="str">
        <f>IF(F93&gt;0,基础信息!$B$1,"")</f>
        <v/>
      </c>
      <c r="E93" s="277"/>
      <c r="I93" t="str">
        <f t="shared" si="4"/>
        <v/>
      </c>
    </row>
    <row r="94" spans="1:9">
      <c r="A94" s="230" t="str">
        <f>IF(F94&gt;0,基础信息!$B$1,"")</f>
        <v/>
      </c>
      <c r="E94" s="277"/>
      <c r="I94" t="str">
        <f t="shared" si="4"/>
        <v/>
      </c>
    </row>
    <row r="95" spans="1:9">
      <c r="A95" s="230" t="str">
        <f>IF(F95&gt;0,基础信息!$B$1,"")</f>
        <v/>
      </c>
      <c r="E95" s="277"/>
      <c r="I95" t="str">
        <f t="shared" si="4"/>
        <v/>
      </c>
    </row>
    <row r="96" spans="1:9">
      <c r="A96" s="230" t="str">
        <f>IF(F96&gt;0,基础信息!$B$1,"")</f>
        <v/>
      </c>
      <c r="E96" s="277"/>
      <c r="I96" t="str">
        <f t="shared" si="4"/>
        <v/>
      </c>
    </row>
    <row r="97" spans="1:9">
      <c r="A97" s="230" t="str">
        <f>IF(F97&gt;0,基础信息!$B$1,"")</f>
        <v/>
      </c>
      <c r="E97" s="277"/>
      <c r="I97" t="str">
        <f t="shared" si="4"/>
        <v/>
      </c>
    </row>
    <row r="98" spans="1:9">
      <c r="A98" s="230" t="str">
        <f>IF(F98&gt;0,基础信息!$B$1,"")</f>
        <v/>
      </c>
      <c r="E98" s="277"/>
      <c r="I98" t="str">
        <f t="shared" si="4"/>
        <v/>
      </c>
    </row>
    <row r="99" spans="1:9">
      <c r="A99" s="230" t="str">
        <f>IF(F99&gt;0,基础信息!$B$1,"")</f>
        <v/>
      </c>
      <c r="E99" s="277"/>
      <c r="I99" t="str">
        <f t="shared" si="4"/>
        <v/>
      </c>
    </row>
    <row r="100" spans="1:9">
      <c r="A100" s="230" t="str">
        <f>IF(F100&gt;0,基础信息!$B$1,"")</f>
        <v/>
      </c>
      <c r="E100" s="277"/>
      <c r="I100" t="str">
        <f t="shared" si="4"/>
        <v/>
      </c>
    </row>
    <row r="101" spans="1:9">
      <c r="A101" s="230" t="str">
        <f>IF(F101&gt;0,基础信息!$B$1,"")</f>
        <v/>
      </c>
      <c r="E101" s="277"/>
      <c r="I101" t="str">
        <f t="shared" si="4"/>
        <v/>
      </c>
    </row>
    <row r="102" spans="1:9">
      <c r="A102" s="230" t="str">
        <f>IF(F102&gt;0,基础信息!$B$1,"")</f>
        <v/>
      </c>
      <c r="E102" s="277"/>
      <c r="I102" t="str">
        <f t="shared" si="4"/>
        <v/>
      </c>
    </row>
    <row r="103" spans="1:9">
      <c r="A103" s="230" t="str">
        <f>IF(F103&gt;0,基础信息!$B$1,"")</f>
        <v/>
      </c>
      <c r="E103" s="277"/>
      <c r="I103" t="str">
        <f t="shared" si="4"/>
        <v/>
      </c>
    </row>
    <row r="104" spans="1:9">
      <c r="A104" s="230" t="str">
        <f>IF(F104&gt;0,基础信息!$B$1,"")</f>
        <v/>
      </c>
      <c r="E104" s="277"/>
      <c r="I104" t="str">
        <f t="shared" si="4"/>
        <v/>
      </c>
    </row>
    <row r="105" spans="1:9">
      <c r="A105" s="230" t="str">
        <f>IF(F105&gt;0,基础信息!$B$1,"")</f>
        <v/>
      </c>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codeName="Sheet197">
    <tabColor rgb="FFFFC000"/>
  </sheetPr>
  <dimension ref="A1:D10"/>
  <sheetViews>
    <sheetView workbookViewId="0">
      <selection activeCell="E23" sqref="E23"/>
    </sheetView>
  </sheetViews>
  <sheetFormatPr defaultRowHeight="13.8"/>
  <cols>
    <col min="1" max="1" width="38.6640625" style="18" customWidth="1"/>
    <col min="2" max="4" width="18.6640625" style="18" customWidth="1"/>
    <col min="5" max="16384" width="8.88671875" style="18"/>
  </cols>
  <sheetData>
    <row r="1" spans="1:4" ht="14.4">
      <c r="A1" s="20" t="s">
        <v>28</v>
      </c>
      <c r="B1" s="20" t="s">
        <v>2524</v>
      </c>
      <c r="C1" s="20" t="s">
        <v>454</v>
      </c>
      <c r="D1" s="20" t="s">
        <v>204</v>
      </c>
    </row>
    <row r="2" spans="1:4" ht="14.4">
      <c r="A2" s="34" t="s">
        <v>4644</v>
      </c>
      <c r="B2" s="291">
        <f>ROUND(SUMIF(采用公允价值计量模式的投资性房地产明细表!$B:$B,采用公允价值计量模式的投资性房地产!B$1,采用公允价值计量模式的投资性房地产明细表!$C:$C),2)</f>
        <v>0</v>
      </c>
      <c r="C2" s="291">
        <f>ROUND(SUMIF(采用公允价值计量模式的投资性房地产明细表!$B:$B,采用公允价值计量模式的投资性房地产!C$1,采用公允价值计量模式的投资性房地产明细表!$C:$C),2)</f>
        <v>0</v>
      </c>
      <c r="D2" s="152">
        <f>ROUND(SUM(B2:C2),2)</f>
        <v>0</v>
      </c>
    </row>
    <row r="3" spans="1:4" ht="14.4">
      <c r="A3" s="34" t="s">
        <v>4645</v>
      </c>
      <c r="B3" s="291">
        <f>ROUND(SUM(B4:B6),2)</f>
        <v>0</v>
      </c>
      <c r="C3" s="291">
        <f>ROUND(SUM(C4:C6),2)</f>
        <v>0</v>
      </c>
      <c r="D3" s="291">
        <f>ROUND(SUM(D4:D6),2)</f>
        <v>0</v>
      </c>
    </row>
    <row r="4" spans="1:4" ht="14.4">
      <c r="A4" s="530" t="s">
        <v>4647</v>
      </c>
      <c r="B4" s="291">
        <f>ROUND(SUMIF(采用公允价值计量模式的投资性房地产明细表!$B:$B,采用公允价值计量模式的投资性房地产!B$1,采用公允价值计量模式的投资性房地产明细表!$D:$D),2)</f>
        <v>0</v>
      </c>
      <c r="C4" s="291">
        <f>ROUND(SUMIF(采用公允价值计量模式的投资性房地产明细表!$B:$B,采用公允价值计量模式的投资性房地产!C$1,采用公允价值计量模式的投资性房地产明细表!$D:$D),2)</f>
        <v>0</v>
      </c>
      <c r="D4" s="152">
        <f>ROUND(SUM(B4:C4),2)</f>
        <v>0</v>
      </c>
    </row>
    <row r="5" spans="1:4" ht="14.4">
      <c r="A5" s="612" t="s">
        <v>4648</v>
      </c>
      <c r="B5" s="291">
        <f>ROUND(SUMIF(采用公允价值计量模式的投资性房地产明细表!$B:$B,采用公允价值计量模式的投资性房地产!B$1,采用公允价值计量模式的投资性房地产明细表!$E:$E),2)</f>
        <v>0</v>
      </c>
      <c r="C5" s="291">
        <f>ROUND(SUMIF(采用公允价值计量模式的投资性房地产明细表!$B:$B,采用公允价值计量模式的投资性房地产!C$1,采用公允价值计量模式的投资性房地产明细表!$E:$E),2)</f>
        <v>0</v>
      </c>
      <c r="D5" s="152">
        <f>ROUND(SUM(B5:C5),2)</f>
        <v>0</v>
      </c>
    </row>
    <row r="6" spans="1:4" ht="15.6">
      <c r="A6" s="613" t="s">
        <v>4649</v>
      </c>
      <c r="B6" s="291"/>
      <c r="C6" s="291"/>
      <c r="D6" s="152">
        <f>ROUND(SUM(B6:C6),2)</f>
        <v>0</v>
      </c>
    </row>
    <row r="7" spans="1:4" ht="15.6">
      <c r="A7" s="611" t="s">
        <v>4646</v>
      </c>
      <c r="B7" s="291">
        <f>ROUND(SUM(B8:B9),2)</f>
        <v>0</v>
      </c>
      <c r="C7" s="291">
        <f>ROUND(SUM(C8:C9),2)</f>
        <v>0</v>
      </c>
      <c r="D7" s="291">
        <f>ROUND(SUM(D8:D9),2)</f>
        <v>0</v>
      </c>
    </row>
    <row r="8" spans="1:4" ht="14.4">
      <c r="A8" s="530" t="s">
        <v>4650</v>
      </c>
      <c r="B8" s="291">
        <f>ROUND(SUMIF(采用公允价值计量模式的投资性房地产明细表!$B:$B,采用公允价值计量模式的投资性房地产!B$1,采用公允价值计量模式的投资性房地产明细表!$G:$G),2)</f>
        <v>0</v>
      </c>
      <c r="C8" s="291">
        <f>ROUND(SUMIF(采用公允价值计量模式的投资性房地产明细表!$B:$B,采用公允价值计量模式的投资性房地产!C$1,采用公允价值计量模式的投资性房地产明细表!$G:$G),2)</f>
        <v>0</v>
      </c>
      <c r="D8" s="152">
        <f>ROUND(SUM(B8:C8),2)</f>
        <v>0</v>
      </c>
    </row>
    <row r="9" spans="1:4" ht="15.6">
      <c r="A9" s="614" t="s">
        <v>4651</v>
      </c>
      <c r="B9" s="291">
        <f>ROUND(SUMIF(采用公允价值计量模式的投资性房地产明细表!$B:$B,采用公允价值计量模式的投资性房地产!B$1,采用公允价值计量模式的投资性房地产明细表!$H:$H),2)</f>
        <v>0</v>
      </c>
      <c r="C9" s="291">
        <f>ROUND(SUMIF(采用公允价值计量模式的投资性房地产明细表!$B:$B,采用公允价值计量模式的投资性房地产!C$1,采用公允价值计量模式的投资性房地产明细表!$H:$H),2)</f>
        <v>0</v>
      </c>
      <c r="D9" s="152">
        <f>ROUND(SUM(B9:C9),2)</f>
        <v>0</v>
      </c>
    </row>
    <row r="10" spans="1:4" ht="14.4">
      <c r="A10" s="34" t="s">
        <v>4652</v>
      </c>
      <c r="B10" s="291">
        <f>ROUND(B2+B3-B7,2)</f>
        <v>0</v>
      </c>
      <c r="C10" s="291">
        <f>ROUND(C2+C3-C7,2)</f>
        <v>0</v>
      </c>
      <c r="D10" s="291">
        <f>ROUND(D2+D3-D7,2)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sheetPr codeName="Sheet198"/>
  <dimension ref="A1:I19"/>
  <sheetViews>
    <sheetView workbookViewId="0">
      <selection activeCell="I13" sqref="I13"/>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30" bestFit="1" customWidth="1"/>
  </cols>
  <sheetData>
    <row r="1" spans="1:9">
      <c r="A1" t="s">
        <v>2427</v>
      </c>
      <c r="B1" t="s">
        <v>368</v>
      </c>
      <c r="C1" t="s">
        <v>2404</v>
      </c>
      <c r="D1" t="s">
        <v>3148</v>
      </c>
      <c r="E1" t="s">
        <v>4408</v>
      </c>
      <c r="F1" t="s">
        <v>4161</v>
      </c>
      <c r="G1" t="s">
        <v>3125</v>
      </c>
      <c r="H1" t="s">
        <v>4409</v>
      </c>
      <c r="I1" s="230" t="s">
        <v>2409</v>
      </c>
    </row>
    <row r="2" spans="1:9">
      <c r="A2" t="str">
        <f>IF(OR(C2&gt;0,I2&gt;0),基础信息!$B$1,"")</f>
        <v/>
      </c>
      <c r="B2" s="277"/>
      <c r="C2" s="256"/>
      <c r="D2" s="256"/>
      <c r="E2" s="256"/>
      <c r="F2" s="256"/>
      <c r="G2" s="256"/>
      <c r="H2" s="256"/>
      <c r="I2" s="230">
        <f>C2+D2+E2+F2-G2-H2</f>
        <v>0</v>
      </c>
    </row>
    <row r="3" spans="1:9">
      <c r="A3" t="str">
        <f>IF(OR(C3&gt;0,I3&gt;0),基础信息!$B$1,"")</f>
        <v/>
      </c>
      <c r="B3" s="277"/>
      <c r="C3" s="256"/>
      <c r="D3" s="256"/>
      <c r="E3" s="256"/>
      <c r="F3" s="256"/>
      <c r="G3" s="256"/>
      <c r="H3" s="256"/>
      <c r="I3" s="230">
        <f t="shared" ref="I3:I19" si="0">C3+D3+E3+F3-G3-H3</f>
        <v>0</v>
      </c>
    </row>
    <row r="4" spans="1:9">
      <c r="A4" t="str">
        <f>IF(OR(C4&gt;0,I4&gt;0),基础信息!$B$1,"")</f>
        <v/>
      </c>
      <c r="B4" s="277"/>
      <c r="C4" s="256"/>
      <c r="D4" s="256"/>
      <c r="E4" s="256"/>
      <c r="F4" s="256"/>
      <c r="G4" s="256"/>
      <c r="H4" s="256"/>
      <c r="I4" s="230">
        <f t="shared" si="0"/>
        <v>0</v>
      </c>
    </row>
    <row r="5" spans="1:9">
      <c r="A5" t="str">
        <f>IF(OR(C5&gt;0,I5&gt;0),基础信息!$B$1,"")</f>
        <v/>
      </c>
      <c r="B5" s="277"/>
      <c r="C5" s="256"/>
      <c r="D5" s="256"/>
      <c r="E5" s="256"/>
      <c r="F5" s="256"/>
      <c r="G5" s="256"/>
      <c r="H5" s="256"/>
      <c r="I5" s="230">
        <f t="shared" si="0"/>
        <v>0</v>
      </c>
    </row>
    <row r="6" spans="1:9">
      <c r="A6" t="str">
        <f>IF(OR(C6&gt;0,I6&gt;0),基础信息!$B$1,"")</f>
        <v/>
      </c>
      <c r="B6" s="277"/>
      <c r="C6" s="256"/>
      <c r="D6" s="256"/>
      <c r="E6" s="256"/>
      <c r="F6" s="256"/>
      <c r="G6" s="256"/>
      <c r="H6" s="256"/>
      <c r="I6" s="230">
        <f t="shared" si="0"/>
        <v>0</v>
      </c>
    </row>
    <row r="7" spans="1:9">
      <c r="A7" t="str">
        <f>IF(OR(C7&gt;0,I7&gt;0),基础信息!$B$1,"")</f>
        <v/>
      </c>
      <c r="B7" s="277"/>
      <c r="C7" s="256"/>
      <c r="D7" s="256"/>
      <c r="E7" s="256"/>
      <c r="F7" s="256"/>
      <c r="G7" s="256"/>
      <c r="H7" s="256"/>
      <c r="I7" s="230">
        <f t="shared" si="0"/>
        <v>0</v>
      </c>
    </row>
    <row r="8" spans="1:9">
      <c r="A8" t="str">
        <f>IF(OR(C8&gt;0,I8&gt;0),基础信息!$B$1,"")</f>
        <v/>
      </c>
      <c r="B8" s="277"/>
      <c r="C8" s="256"/>
      <c r="D8" s="256"/>
      <c r="E8" s="256"/>
      <c r="F8" s="256"/>
      <c r="G8" s="256"/>
      <c r="H8" s="256"/>
      <c r="I8" s="230">
        <f t="shared" si="0"/>
        <v>0</v>
      </c>
    </row>
    <row r="9" spans="1:9">
      <c r="A9" t="str">
        <f>IF(OR(C9&gt;0,I9&gt;0),基础信息!$B$1,"")</f>
        <v/>
      </c>
      <c r="B9" s="277"/>
      <c r="C9" s="256"/>
      <c r="D9" s="256"/>
      <c r="E9" s="256"/>
      <c r="F9" s="256"/>
      <c r="G9" s="256"/>
      <c r="H9" s="256"/>
      <c r="I9" s="230">
        <f t="shared" si="0"/>
        <v>0</v>
      </c>
    </row>
    <row r="10" spans="1:9">
      <c r="A10" t="str">
        <f>IF(OR(C10&gt;0,I10&gt;0),基础信息!$B$1,"")</f>
        <v/>
      </c>
      <c r="B10" s="277"/>
      <c r="C10" s="256"/>
      <c r="D10" s="256"/>
      <c r="E10" s="256"/>
      <c r="F10" s="256"/>
      <c r="G10" s="256"/>
      <c r="H10" s="256"/>
      <c r="I10" s="230">
        <f t="shared" si="0"/>
        <v>0</v>
      </c>
    </row>
    <row r="11" spans="1:9">
      <c r="A11" t="str">
        <f>IF(OR(C11&gt;0,I11&gt;0),基础信息!$B$1,"")</f>
        <v/>
      </c>
      <c r="B11" s="277"/>
      <c r="C11" s="256"/>
      <c r="D11" s="256"/>
      <c r="E11" s="256"/>
      <c r="F11" s="256"/>
      <c r="G11" s="256"/>
      <c r="H11" s="256"/>
      <c r="I11" s="230">
        <f t="shared" si="0"/>
        <v>0</v>
      </c>
    </row>
    <row r="12" spans="1:9">
      <c r="A12" t="str">
        <f>IF(OR(C12&gt;0,I12&gt;0),基础信息!$B$1,"")</f>
        <v/>
      </c>
      <c r="B12" s="277"/>
      <c r="C12" s="256"/>
      <c r="D12" s="256"/>
      <c r="E12" s="256"/>
      <c r="F12" s="256"/>
      <c r="G12" s="256"/>
      <c r="H12" s="256"/>
      <c r="I12" s="230">
        <f t="shared" si="0"/>
        <v>0</v>
      </c>
    </row>
    <row r="13" spans="1:9">
      <c r="A13" t="str">
        <f>IF(OR(C13&gt;0,I13&gt;0),基础信息!$B$1,"")</f>
        <v/>
      </c>
      <c r="B13" s="277"/>
      <c r="C13" s="256"/>
      <c r="D13" s="256"/>
      <c r="E13" s="256"/>
      <c r="F13" s="256"/>
      <c r="G13" s="256"/>
      <c r="H13" s="256"/>
      <c r="I13" s="230">
        <f t="shared" si="0"/>
        <v>0</v>
      </c>
    </row>
    <row r="14" spans="1:9">
      <c r="A14" t="str">
        <f>IF(OR(C14&gt;0,I14&gt;0),基础信息!$B$1,"")</f>
        <v/>
      </c>
      <c r="B14" s="277"/>
      <c r="C14" s="256"/>
      <c r="D14" s="256"/>
      <c r="E14" s="256"/>
      <c r="F14" s="256"/>
      <c r="G14" s="256"/>
      <c r="H14" s="256"/>
      <c r="I14" s="230">
        <f t="shared" si="0"/>
        <v>0</v>
      </c>
    </row>
    <row r="15" spans="1:9">
      <c r="A15" t="str">
        <f>IF(OR(C15&gt;0,I15&gt;0),基础信息!$B$1,"")</f>
        <v/>
      </c>
      <c r="B15" s="277"/>
      <c r="C15" s="256"/>
      <c r="D15" s="256"/>
      <c r="E15" s="256"/>
      <c r="F15" s="256"/>
      <c r="G15" s="256"/>
      <c r="H15" s="256"/>
      <c r="I15" s="230">
        <f t="shared" si="0"/>
        <v>0</v>
      </c>
    </row>
    <row r="16" spans="1:9">
      <c r="A16" t="str">
        <f>IF(OR(C16&gt;0,I16&gt;0),基础信息!$B$1,"")</f>
        <v/>
      </c>
      <c r="B16" s="277"/>
      <c r="C16" s="256"/>
      <c r="D16" s="256"/>
      <c r="E16" s="256"/>
      <c r="F16" s="256"/>
      <c r="G16" s="256"/>
      <c r="H16" s="256"/>
      <c r="I16" s="230">
        <f t="shared" si="0"/>
        <v>0</v>
      </c>
    </row>
    <row r="17" spans="1:9">
      <c r="A17" t="str">
        <f>IF(OR(C17&gt;0,I17&gt;0),基础信息!$B$1,"")</f>
        <v/>
      </c>
      <c r="B17" s="277"/>
      <c r="C17" s="256"/>
      <c r="D17" s="256"/>
      <c r="E17" s="256"/>
      <c r="F17" s="256"/>
      <c r="G17" s="256"/>
      <c r="H17" s="256"/>
      <c r="I17" s="230">
        <f t="shared" si="0"/>
        <v>0</v>
      </c>
    </row>
    <row r="18" spans="1:9">
      <c r="A18" t="str">
        <f>IF(OR(C18&gt;0,I18&gt;0),基础信息!$B$1,"")</f>
        <v/>
      </c>
      <c r="B18" s="277"/>
      <c r="C18" s="256"/>
      <c r="D18" s="256"/>
      <c r="E18" s="256"/>
      <c r="F18" s="256"/>
      <c r="G18" s="256"/>
      <c r="H18" s="256"/>
      <c r="I18" s="230">
        <f t="shared" si="0"/>
        <v>0</v>
      </c>
    </row>
    <row r="19" spans="1:9">
      <c r="A19" t="str">
        <f>IF(OR(C19&gt;0,I19&gt;0),基础信息!$B$1,"")</f>
        <v/>
      </c>
      <c r="I19"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codeName="Sheet199">
    <tabColor rgb="FFFFC000"/>
  </sheetPr>
  <dimension ref="A1:C3"/>
  <sheetViews>
    <sheetView workbookViewId="0">
      <selection activeCell="E14" sqref="E14"/>
    </sheetView>
  </sheetViews>
  <sheetFormatPr defaultRowHeight="13.8"/>
  <cols>
    <col min="1" max="3" width="21.6640625" style="18" customWidth="1"/>
    <col min="4" max="16384" width="8.88671875" style="18"/>
  </cols>
  <sheetData>
    <row r="1" spans="1:3" ht="14.4">
      <c r="A1" s="20" t="s">
        <v>28</v>
      </c>
      <c r="B1" s="20" t="s">
        <v>4227</v>
      </c>
      <c r="C1" s="20" t="s">
        <v>464</v>
      </c>
    </row>
    <row r="2" spans="1:3">
      <c r="A2" s="610" t="s">
        <v>2524</v>
      </c>
      <c r="B2" s="558">
        <f>ROUND(SUMIF(未办妥权证的投资性房地产明细表!C:C,未办妥产权证书的投资性房地产金额及原因!A2,未办妥权证的投资性房地产明细表!I:I),2)</f>
        <v>0</v>
      </c>
      <c r="C2" s="276"/>
    </row>
    <row r="3" spans="1:3">
      <c r="A3" s="610" t="s">
        <v>454</v>
      </c>
      <c r="B3" s="558">
        <f>ROUND(SUMIF(未办妥权证的投资性房地产明细表!C:C,未办妥产权证书的投资性房地产金额及原因!A3,未办妥权证的投资性房地产明细表!I:I),2)</f>
        <v>0</v>
      </c>
      <c r="C3"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sheetPr codeName="Sheet2"/>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0"/>
    <col min="4" max="16384" width="8.88671875" style="18"/>
  </cols>
  <sheetData>
    <row r="1" spans="1:2">
      <c r="A1" s="18" t="s">
        <v>770</v>
      </c>
      <c r="B1" s="18" t="s">
        <v>771</v>
      </c>
    </row>
    <row r="2" spans="1:2">
      <c r="A2" s="141">
        <v>1001</v>
      </c>
      <c r="B2" s="18" t="s">
        <v>191</v>
      </c>
    </row>
    <row r="3" spans="1:2">
      <c r="A3" s="141">
        <v>1002</v>
      </c>
      <c r="B3" s="18" t="s">
        <v>192</v>
      </c>
    </row>
    <row r="4" spans="1:2">
      <c r="A4" s="141">
        <v>1012</v>
      </c>
      <c r="B4" s="18" t="s">
        <v>193</v>
      </c>
    </row>
    <row r="5" spans="1:2">
      <c r="A5" s="141">
        <v>1121</v>
      </c>
      <c r="B5" s="18" t="s">
        <v>6</v>
      </c>
    </row>
    <row r="6" spans="1:2">
      <c r="A6" s="141">
        <v>1122</v>
      </c>
      <c r="B6" s="18" t="s">
        <v>9</v>
      </c>
    </row>
    <row r="7" spans="1:2">
      <c r="A7" s="141">
        <v>1123</v>
      </c>
      <c r="B7" s="18" t="s">
        <v>772</v>
      </c>
    </row>
    <row r="8" spans="1:2">
      <c r="A8" s="141">
        <v>1124</v>
      </c>
      <c r="B8" s="18" t="s">
        <v>773</v>
      </c>
    </row>
    <row r="9" spans="1:2">
      <c r="A9" s="141">
        <v>1132</v>
      </c>
      <c r="B9" s="18" t="s">
        <v>302</v>
      </c>
    </row>
    <row r="10" spans="1:2">
      <c r="A10" s="141">
        <v>1221</v>
      </c>
      <c r="B10" s="18" t="s">
        <v>10</v>
      </c>
    </row>
    <row r="11" spans="1:2">
      <c r="A11" s="141">
        <v>1231</v>
      </c>
      <c r="B11" s="18" t="s">
        <v>213</v>
      </c>
    </row>
    <row r="12" spans="1:2">
      <c r="A12" s="141">
        <v>1303</v>
      </c>
      <c r="B12" s="18" t="s">
        <v>306</v>
      </c>
    </row>
    <row r="13" spans="1:2">
      <c r="A13" s="141">
        <v>1403</v>
      </c>
      <c r="B13" s="18" t="s">
        <v>345</v>
      </c>
    </row>
    <row r="14" spans="1:2">
      <c r="A14" s="141">
        <v>1405</v>
      </c>
      <c r="B14" s="18" t="s">
        <v>356</v>
      </c>
    </row>
    <row r="15" spans="1:2">
      <c r="A15" s="141">
        <v>1406</v>
      </c>
      <c r="B15" s="18" t="s">
        <v>359</v>
      </c>
    </row>
    <row r="16" spans="1:2">
      <c r="A16" s="141">
        <v>1409</v>
      </c>
      <c r="B16" s="18" t="s">
        <v>357</v>
      </c>
    </row>
    <row r="17" spans="1:2">
      <c r="A17" s="141">
        <v>1461</v>
      </c>
      <c r="B17" s="18" t="s">
        <v>774</v>
      </c>
    </row>
    <row r="18" spans="1:2">
      <c r="A18" s="141">
        <v>1491</v>
      </c>
      <c r="B18" s="18" t="s">
        <v>775</v>
      </c>
    </row>
    <row r="19" spans="1:2">
      <c r="A19" s="141">
        <v>1501</v>
      </c>
      <c r="B19" s="18" t="s">
        <v>11</v>
      </c>
    </row>
    <row r="20" spans="1:2">
      <c r="A20" s="141">
        <v>1503</v>
      </c>
      <c r="B20" s="18" t="s">
        <v>14</v>
      </c>
    </row>
    <row r="21" spans="1:2">
      <c r="A21" s="141">
        <v>1511</v>
      </c>
      <c r="B21" s="18" t="s">
        <v>776</v>
      </c>
    </row>
    <row r="22" spans="1:2">
      <c r="A22" s="141">
        <v>1512</v>
      </c>
      <c r="B22" s="18" t="s">
        <v>777</v>
      </c>
    </row>
    <row r="23" spans="1:2">
      <c r="A23" s="141">
        <v>1521</v>
      </c>
      <c r="B23" s="18" t="s">
        <v>778</v>
      </c>
    </row>
    <row r="24" spans="1:2">
      <c r="A24" s="141">
        <v>1531</v>
      </c>
      <c r="B24" s="18" t="s">
        <v>20</v>
      </c>
    </row>
    <row r="25" spans="1:2">
      <c r="A25" s="141">
        <v>1532</v>
      </c>
      <c r="B25" s="18" t="s">
        <v>779</v>
      </c>
    </row>
    <row r="26" spans="1:2">
      <c r="A26" s="141">
        <v>1601</v>
      </c>
      <c r="B26" s="18" t="s">
        <v>89</v>
      </c>
    </row>
    <row r="27" spans="1:2">
      <c r="A27" s="141">
        <v>1602</v>
      </c>
      <c r="B27" s="18" t="s">
        <v>469</v>
      </c>
    </row>
    <row r="28" spans="1:2">
      <c r="A28" s="141">
        <v>1603</v>
      </c>
      <c r="B28" s="18" t="s">
        <v>780</v>
      </c>
    </row>
    <row r="29" spans="1:2">
      <c r="A29" s="141">
        <v>1604</v>
      </c>
      <c r="B29" s="18" t="s">
        <v>455</v>
      </c>
    </row>
    <row r="30" spans="1:2">
      <c r="A30" s="141">
        <v>1606</v>
      </c>
      <c r="B30" s="18" t="s">
        <v>465</v>
      </c>
    </row>
    <row r="31" spans="1:2">
      <c r="A31" s="141">
        <v>1607</v>
      </c>
      <c r="B31" s="18" t="s">
        <v>781</v>
      </c>
    </row>
    <row r="32" spans="1:2">
      <c r="A32" s="141">
        <v>1701</v>
      </c>
      <c r="B32" s="18" t="s">
        <v>90</v>
      </c>
    </row>
    <row r="33" spans="1:2">
      <c r="A33" s="141">
        <v>1702</v>
      </c>
      <c r="B33" s="18" t="s">
        <v>782</v>
      </c>
    </row>
    <row r="34" spans="1:2">
      <c r="A34" s="141">
        <v>1801</v>
      </c>
      <c r="B34" s="18" t="s">
        <v>783</v>
      </c>
    </row>
    <row r="35" spans="1:2">
      <c r="A35" s="141">
        <v>1811</v>
      </c>
      <c r="B35" s="18" t="s">
        <v>784</v>
      </c>
    </row>
    <row r="36" spans="1:2">
      <c r="A36" s="141">
        <v>2001</v>
      </c>
      <c r="B36" s="18" t="s">
        <v>768</v>
      </c>
    </row>
    <row r="37" spans="1:2">
      <c r="A37" s="141">
        <v>2201</v>
      </c>
      <c r="B37" s="18" t="s">
        <v>785</v>
      </c>
    </row>
    <row r="38" spans="1:2">
      <c r="A38" s="141">
        <v>2202</v>
      </c>
      <c r="B38" s="18" t="s">
        <v>93</v>
      </c>
    </row>
    <row r="39" spans="1:2">
      <c r="A39" s="141">
        <v>2203</v>
      </c>
      <c r="B39" s="18" t="s">
        <v>81</v>
      </c>
    </row>
    <row r="40" spans="1:2">
      <c r="A40" s="141">
        <v>2211</v>
      </c>
      <c r="B40" s="18" t="s">
        <v>786</v>
      </c>
    </row>
    <row r="41" spans="1:2">
      <c r="A41" s="141">
        <v>2221</v>
      </c>
      <c r="B41" s="18" t="s">
        <v>787</v>
      </c>
    </row>
    <row r="42" spans="1:2">
      <c r="A42" s="141">
        <v>2231</v>
      </c>
      <c r="B42" s="18" t="s">
        <v>558</v>
      </c>
    </row>
    <row r="43" spans="1:2">
      <c r="A43" s="141">
        <v>2232</v>
      </c>
      <c r="B43" s="18" t="s">
        <v>559</v>
      </c>
    </row>
    <row r="44" spans="1:2">
      <c r="A44" s="141">
        <v>2241</v>
      </c>
      <c r="B44" s="18" t="s">
        <v>560</v>
      </c>
    </row>
    <row r="45" spans="1:2">
      <c r="A45" s="141">
        <v>2401</v>
      </c>
      <c r="B45" s="18" t="s">
        <v>788</v>
      </c>
    </row>
    <row r="46" spans="1:2">
      <c r="A46" s="141">
        <v>2501</v>
      </c>
      <c r="B46" s="18" t="s">
        <v>769</v>
      </c>
    </row>
    <row r="47" spans="1:2">
      <c r="A47" s="141">
        <v>2502</v>
      </c>
      <c r="B47" s="18" t="s">
        <v>789</v>
      </c>
    </row>
    <row r="48" spans="1:2">
      <c r="A48" s="141">
        <v>2701</v>
      </c>
      <c r="B48" s="18" t="s">
        <v>94</v>
      </c>
    </row>
    <row r="49" spans="1:2">
      <c r="A49" s="141">
        <v>2711</v>
      </c>
      <c r="B49" s="18" t="s">
        <v>602</v>
      </c>
    </row>
    <row r="50" spans="1:2">
      <c r="A50" s="141">
        <v>2901</v>
      </c>
      <c r="B50" s="18" t="s">
        <v>790</v>
      </c>
    </row>
    <row r="51" spans="1:2">
      <c r="A51" s="141">
        <v>4001</v>
      </c>
      <c r="B51" s="18" t="s">
        <v>791</v>
      </c>
    </row>
    <row r="52" spans="1:2">
      <c r="A52" s="141">
        <v>4002</v>
      </c>
      <c r="B52" s="18" t="s">
        <v>792</v>
      </c>
    </row>
    <row r="53" spans="1:2">
      <c r="A53" s="141">
        <v>4003</v>
      </c>
      <c r="B53" s="18" t="s">
        <v>793</v>
      </c>
    </row>
    <row r="54" spans="1:2">
      <c r="A54" s="141">
        <v>4101</v>
      </c>
      <c r="B54" s="18" t="s">
        <v>70</v>
      </c>
    </row>
    <row r="55" spans="1:2">
      <c r="A55" s="141">
        <v>4103</v>
      </c>
      <c r="B55" s="18" t="s">
        <v>794</v>
      </c>
    </row>
    <row r="56" spans="1:2">
      <c r="A56" s="141">
        <v>4104</v>
      </c>
      <c r="B56" s="18" t="s">
        <v>795</v>
      </c>
    </row>
    <row r="57" spans="1:2">
      <c r="A57" s="141">
        <v>5001</v>
      </c>
      <c r="B57" s="18" t="s">
        <v>796</v>
      </c>
    </row>
    <row r="58" spans="1:2">
      <c r="A58" s="141">
        <v>5002</v>
      </c>
      <c r="B58" s="18" t="s">
        <v>354</v>
      </c>
    </row>
    <row r="59" spans="1:2">
      <c r="A59" s="141">
        <v>5102</v>
      </c>
      <c r="B59" s="18" t="s">
        <v>797</v>
      </c>
    </row>
    <row r="60" spans="1:2">
      <c r="A60" s="141">
        <v>5201</v>
      </c>
      <c r="B60" s="18" t="s">
        <v>798</v>
      </c>
    </row>
    <row r="61" spans="1:2">
      <c r="A61" s="141">
        <v>5401</v>
      </c>
      <c r="B61" s="18" t="s">
        <v>799</v>
      </c>
    </row>
    <row r="62" spans="1:2">
      <c r="A62" s="141">
        <v>5402</v>
      </c>
      <c r="B62" s="18" t="s">
        <v>800</v>
      </c>
    </row>
    <row r="63" spans="1:2">
      <c r="A63" s="141">
        <v>6001</v>
      </c>
      <c r="B63" s="18" t="s">
        <v>801</v>
      </c>
    </row>
    <row r="64" spans="1:2">
      <c r="A64" s="141">
        <v>6002</v>
      </c>
      <c r="B64" s="18" t="s">
        <v>802</v>
      </c>
    </row>
    <row r="65" spans="1:2">
      <c r="A65" s="141">
        <v>6102</v>
      </c>
      <c r="B65" s="18" t="s">
        <v>803</v>
      </c>
    </row>
    <row r="66" spans="1:2">
      <c r="A66" s="141">
        <v>6111</v>
      </c>
      <c r="B66" s="18" t="s">
        <v>804</v>
      </c>
    </row>
    <row r="67" spans="1:2">
      <c r="A67" s="141">
        <v>6301</v>
      </c>
      <c r="B67" s="18" t="s">
        <v>805</v>
      </c>
    </row>
    <row r="68" spans="1:2">
      <c r="A68" s="141">
        <v>6401</v>
      </c>
      <c r="B68" s="18" t="s">
        <v>806</v>
      </c>
    </row>
    <row r="69" spans="1:2">
      <c r="A69" s="141">
        <v>6402</v>
      </c>
      <c r="B69" s="18" t="s">
        <v>807</v>
      </c>
    </row>
    <row r="70" spans="1:2">
      <c r="A70" s="141">
        <v>6403</v>
      </c>
      <c r="B70" s="18" t="s">
        <v>808</v>
      </c>
    </row>
    <row r="71" spans="1:2">
      <c r="A71" s="141">
        <v>6601</v>
      </c>
      <c r="B71" s="18" t="s">
        <v>809</v>
      </c>
    </row>
    <row r="72" spans="1:2">
      <c r="A72" s="141">
        <v>6602</v>
      </c>
      <c r="B72" s="18" t="s">
        <v>810</v>
      </c>
    </row>
    <row r="73" spans="1:2">
      <c r="A73" s="141">
        <v>6603</v>
      </c>
      <c r="B73" s="18" t="s">
        <v>811</v>
      </c>
    </row>
    <row r="74" spans="1:2">
      <c r="A74" s="141">
        <v>6701</v>
      </c>
      <c r="B74" s="18" t="s">
        <v>812</v>
      </c>
    </row>
    <row r="75" spans="1:2">
      <c r="A75" s="141">
        <v>6702</v>
      </c>
      <c r="B75" s="18" t="s">
        <v>813</v>
      </c>
    </row>
    <row r="76" spans="1:2">
      <c r="A76" s="141">
        <v>6711</v>
      </c>
      <c r="B76" s="18" t="s">
        <v>814</v>
      </c>
    </row>
    <row r="77" spans="1:2">
      <c r="A77" s="141">
        <v>6801</v>
      </c>
      <c r="B77" s="18" t="s">
        <v>731</v>
      </c>
    </row>
    <row r="78" spans="1:2">
      <c r="A78" s="141">
        <v>6901</v>
      </c>
      <c r="B78" s="18" t="s">
        <v>815</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codeName="Sheet20">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8" sqref="K28"/>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4" t="s">
        <v>28</v>
      </c>
      <c r="B1" s="254" t="s">
        <v>380</v>
      </c>
      <c r="C1" s="244" t="s">
        <v>1666</v>
      </c>
      <c r="D1" s="255" t="s">
        <v>1993</v>
      </c>
    </row>
    <row r="2" spans="1:4">
      <c r="A2" s="257" t="s">
        <v>1994</v>
      </c>
      <c r="B2" s="258">
        <f>利润表!B42/((负债表!B74+负债表!C74)/2)</f>
        <v>3.0054893998069904E-2</v>
      </c>
      <c r="C2" s="386"/>
      <c r="D2" s="255">
        <f t="shared" ref="D2:D21" si="0">IFERROR((B2-C2)/C2,0)</f>
        <v>0</v>
      </c>
    </row>
    <row r="3" spans="1:4">
      <c r="A3" s="257" t="s">
        <v>1995</v>
      </c>
      <c r="B3" s="258">
        <f>(利润表!B40+利润表!B22)/((资产表!B54+资产表!C54)/2)</f>
        <v>1.6123913802908309E-2</v>
      </c>
      <c r="C3" s="386"/>
      <c r="D3" s="255">
        <f t="shared" si="0"/>
        <v>0</v>
      </c>
    </row>
    <row r="4" spans="1:4">
      <c r="A4" s="257" t="s">
        <v>1996</v>
      </c>
      <c r="B4" s="258">
        <f>利润表!B36/利润表!B2</f>
        <v>0.1403280521908174</v>
      </c>
      <c r="C4" s="387"/>
      <c r="D4" s="255">
        <f t="shared" si="0"/>
        <v>0</v>
      </c>
    </row>
    <row r="5" spans="1:4">
      <c r="A5" s="257" t="s">
        <v>1997</v>
      </c>
      <c r="B5" s="259" t="e">
        <f>现金流量表!B29/利润表!B42</f>
        <v>#N/A</v>
      </c>
      <c r="C5" s="290"/>
      <c r="D5" s="255">
        <f t="shared" si="0"/>
        <v>0</v>
      </c>
    </row>
    <row r="6" spans="1:4">
      <c r="A6" s="257" t="s">
        <v>1998</v>
      </c>
      <c r="B6" s="258">
        <f>利润表!B40/(利润表!B8+利润表!B16+利润表!B17+利润表!B18+利润表!B21)</f>
        <v>0.15499603284020763</v>
      </c>
      <c r="C6" s="387"/>
      <c r="D6" s="255">
        <f t="shared" si="0"/>
        <v>0</v>
      </c>
    </row>
    <row r="7" spans="1:4">
      <c r="A7" s="257" t="s">
        <v>1999</v>
      </c>
      <c r="B7" s="258">
        <f>利润表!B42/((负债表!B48+负债表!B59+负债表!C48+负债表!C59)/2)</f>
        <v>3.586945895031201E-2</v>
      </c>
      <c r="C7" s="386"/>
      <c r="D7" s="255">
        <f t="shared" si="0"/>
        <v>0</v>
      </c>
    </row>
    <row r="8" spans="1:4">
      <c r="A8" s="257" t="s">
        <v>2000</v>
      </c>
      <c r="B8" s="258">
        <f>利润表!B2/((资产表!B54+资产表!C54)/2)</f>
        <v>9.8620049024425713E-2</v>
      </c>
      <c r="C8" s="256"/>
      <c r="D8" s="255">
        <f t="shared" si="0"/>
        <v>0</v>
      </c>
    </row>
    <row r="9" spans="1:4">
      <c r="A9" s="257" t="s">
        <v>2001</v>
      </c>
      <c r="B9" s="259">
        <f>利润表!B3/((资产表!B10+资产表!C10)/2)</f>
        <v>17.668607795010033</v>
      </c>
      <c r="C9" s="256"/>
      <c r="D9" s="255">
        <f t="shared" si="0"/>
        <v>0</v>
      </c>
    </row>
    <row r="10" spans="1:4">
      <c r="A10" s="257" t="s">
        <v>2002</v>
      </c>
      <c r="B10" s="259">
        <f>利润表!B8/((本期TB!H50+本期TB!H49+上期TB!H50+上期TB!H49)/2)</f>
        <v>14.398167659100741</v>
      </c>
      <c r="C10" s="256"/>
      <c r="D10" s="255">
        <f t="shared" si="0"/>
        <v>0</v>
      </c>
    </row>
    <row r="11" spans="1:4">
      <c r="A11" s="257" t="s">
        <v>2003</v>
      </c>
      <c r="B11" s="259">
        <f>利润表!B3/((资产表!B26+资产表!C26)/2)</f>
        <v>0.4888087462907697</v>
      </c>
      <c r="C11" s="256"/>
      <c r="D11" s="255">
        <f t="shared" si="0"/>
        <v>0</v>
      </c>
    </row>
    <row r="12" spans="1:4">
      <c r="A12" s="257" t="s">
        <v>2004</v>
      </c>
      <c r="B12" s="258" t="e">
        <f>现金流量表!B29/((资产表!B54+资产表!C54)/2)</f>
        <v>#N/A</v>
      </c>
      <c r="C12" s="386"/>
      <c r="D12" s="255">
        <f t="shared" si="0"/>
        <v>0</v>
      </c>
    </row>
    <row r="13" spans="1:4">
      <c r="A13" s="257" t="s">
        <v>2005</v>
      </c>
      <c r="B13" s="258">
        <f>负债表!B46/资产表!B54</f>
        <v>0.55188336673359684</v>
      </c>
      <c r="C13" s="387"/>
      <c r="D13" s="255">
        <f t="shared" si="0"/>
        <v>0</v>
      </c>
    </row>
    <row r="14" spans="1:4">
      <c r="A14" s="257" t="s">
        <v>2006</v>
      </c>
      <c r="B14" s="259" t="e">
        <f>(利润表!B40+利润表!B22)/利润表!B22</f>
        <v>#DIV/0!</v>
      </c>
      <c r="C14" s="290"/>
      <c r="D14" s="255">
        <f t="shared" si="0"/>
        <v>0</v>
      </c>
    </row>
    <row r="15" spans="1:4">
      <c r="A15" s="257" t="s">
        <v>2007</v>
      </c>
      <c r="B15" s="259">
        <f>(资产表!B26-资产表!B19)/负债表!B30</f>
        <v>1.3501330816818475</v>
      </c>
      <c r="C15" s="290"/>
      <c r="D15" s="255">
        <f t="shared" si="0"/>
        <v>0</v>
      </c>
    </row>
    <row r="16" spans="1:4">
      <c r="A16" s="257" t="s">
        <v>2008</v>
      </c>
      <c r="B16" s="259" t="e">
        <f>现金流量表!B29/负债表!B30</f>
        <v>#N/A</v>
      </c>
      <c r="C16" s="388"/>
      <c r="D16" s="255">
        <f t="shared" si="0"/>
        <v>0</v>
      </c>
    </row>
    <row r="17" spans="1:4">
      <c r="A17" s="257" t="s">
        <v>2009</v>
      </c>
      <c r="B17" s="258">
        <f>(负债表!B3+负债表!B28+负债表!B33+负债表!B34+本期TB!H126)/负债表!B46</f>
        <v>0.48841399063998286</v>
      </c>
      <c r="C17" s="387"/>
      <c r="D17" s="255">
        <f t="shared" si="0"/>
        <v>0</v>
      </c>
    </row>
    <row r="18" spans="1:4">
      <c r="A18" s="257" t="s">
        <v>2010</v>
      </c>
      <c r="B18" s="258">
        <f>(利润表!B3-利润表!C3)/利润表!C3</f>
        <v>0</v>
      </c>
      <c r="C18" s="386"/>
      <c r="D18" s="255">
        <f t="shared" si="0"/>
        <v>0</v>
      </c>
    </row>
    <row r="19" spans="1:4">
      <c r="A19" s="257" t="s">
        <v>2011</v>
      </c>
      <c r="B19" s="261">
        <f>国有资本保值增值计算表!C22</f>
        <v>1.8599326944421355</v>
      </c>
      <c r="C19" s="386"/>
      <c r="D19" s="255">
        <f t="shared" si="0"/>
        <v>0</v>
      </c>
    </row>
    <row r="20" spans="1:4">
      <c r="A20" s="257" t="s">
        <v>2012</v>
      </c>
      <c r="B20" s="258">
        <f>(利润表!B36-利润表!C36)/利润表!C36</f>
        <v>-0.15501365385066856</v>
      </c>
      <c r="C20" s="386"/>
      <c r="D20" s="255">
        <f t="shared" si="0"/>
        <v>0</v>
      </c>
    </row>
    <row r="21" spans="1:4">
      <c r="A21" s="257" t="s">
        <v>2013</v>
      </c>
      <c r="B21" s="258">
        <f>(资产表!B54-资产表!C54)/资产表!C54</f>
        <v>0</v>
      </c>
      <c r="C21" s="386"/>
      <c r="D21" s="255">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sheetPr codeName="Sheet200"/>
  <dimension ref="A1:I28"/>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0" bestFit="1" customWidth="1"/>
  </cols>
  <sheetData>
    <row r="1" spans="1:9">
      <c r="A1" t="s">
        <v>2427</v>
      </c>
      <c r="B1" t="s">
        <v>4410</v>
      </c>
      <c r="C1" t="s">
        <v>4411</v>
      </c>
      <c r="D1" t="s">
        <v>464</v>
      </c>
      <c r="E1" t="s">
        <v>4412</v>
      </c>
      <c r="F1" t="s">
        <v>2522</v>
      </c>
      <c r="G1" t="s">
        <v>469</v>
      </c>
      <c r="H1" t="s">
        <v>4413</v>
      </c>
      <c r="I1" s="230" t="s">
        <v>4414</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8"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C25" s="277"/>
      <c r="D25" s="256"/>
      <c r="E25" s="256"/>
      <c r="F25" s="256"/>
      <c r="G25" s="256"/>
      <c r="H25" s="256"/>
      <c r="I25" s="230">
        <f t="shared" si="0"/>
        <v>0</v>
      </c>
    </row>
    <row r="26" spans="1:9">
      <c r="A26" t="str">
        <f>IF(F26&gt;0,基础信息!$B$1,"")</f>
        <v/>
      </c>
      <c r="B26" s="256"/>
      <c r="C26" s="277"/>
      <c r="D26" s="256"/>
      <c r="E26" s="256"/>
      <c r="F26" s="256"/>
      <c r="G26" s="256"/>
      <c r="H26" s="256"/>
      <c r="I26" s="230">
        <f t="shared" si="0"/>
        <v>0</v>
      </c>
    </row>
    <row r="27" spans="1:9">
      <c r="A27" t="str">
        <f>IF(F27&gt;0,基础信息!$B$1,"")</f>
        <v/>
      </c>
      <c r="B27" s="256"/>
      <c r="C27" s="277"/>
      <c r="D27" s="256"/>
      <c r="E27" s="256"/>
      <c r="F27" s="256"/>
      <c r="G27" s="256"/>
      <c r="H27" s="256"/>
      <c r="I27" s="230">
        <f t="shared" si="0"/>
        <v>0</v>
      </c>
    </row>
    <row r="28" spans="1:9">
      <c r="A28" t="str">
        <f>IF(F28&gt;0,基础信息!$B$1,"")</f>
        <v/>
      </c>
      <c r="B28" s="256"/>
      <c r="C28" s="277"/>
      <c r="D28" s="256"/>
      <c r="E28" s="256"/>
      <c r="F28" s="256"/>
      <c r="G28" s="256"/>
      <c r="H28" s="256"/>
      <c r="I28"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codeName="Sheet201">
    <tabColor rgb="FFFFC000"/>
  </sheetPr>
  <dimension ref="A1:C4"/>
  <sheetViews>
    <sheetView workbookViewId="0">
      <selection activeCell="G14" sqref="G14"/>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52">
        <f>ROUND(固定资产情况!F32,2)</f>
        <v>0</v>
      </c>
      <c r="C2" s="152">
        <f>ROUND(固定资产情况!F33,2)</f>
        <v>0</v>
      </c>
    </row>
    <row r="3" spans="1:3" ht="14.4">
      <c r="A3" s="34" t="s">
        <v>465</v>
      </c>
      <c r="B3" s="152">
        <f>ROUND(固定资产清理!B4,2)</f>
        <v>0</v>
      </c>
      <c r="C3" s="152">
        <f>ROUND(固定资产清理!C4,2)</f>
        <v>0</v>
      </c>
    </row>
    <row r="4" spans="1:3" ht="14.4">
      <c r="A4" s="20" t="s">
        <v>204</v>
      </c>
      <c r="B4" s="152">
        <f>ROUND(SUM(B2:B3),2)</f>
        <v>0</v>
      </c>
      <c r="C4" s="152">
        <f>ROUND(SUM(C2:C3),2)</f>
        <v>0</v>
      </c>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codeName="Sheet202">
    <tabColor rgb="FFFFC000"/>
  </sheetPr>
  <dimension ref="A1:F34"/>
  <sheetViews>
    <sheetView workbookViewId="0">
      <pane xSplit="1" ySplit="1" topLeftCell="B17" activePane="bottomRight" state="frozen"/>
      <selection activeCell="D22" sqref="D22"/>
      <selection pane="topRight" activeCell="D22" sqref="D22"/>
      <selection pane="bottomLeft" activeCell="D22" sqref="D22"/>
      <selection pane="bottomRight" activeCell="G34" sqref="G34"/>
    </sheetView>
  </sheetViews>
  <sheetFormatPr defaultRowHeight="13.8"/>
  <cols>
    <col min="1" max="1" width="33.88671875" style="151" bestFit="1" customWidth="1"/>
    <col min="2" max="2" width="13.88671875" style="151" bestFit="1" customWidth="1"/>
    <col min="3" max="3" width="13.88671875" style="151" customWidth="1"/>
    <col min="4" max="4" width="9.5546875" style="151" bestFit="1" customWidth="1"/>
    <col min="5" max="5" width="22.6640625" style="151" bestFit="1" customWidth="1"/>
    <col min="6" max="6" width="8.77734375" style="151" bestFit="1" customWidth="1"/>
    <col min="7" max="7" width="28.77734375" style="151" bestFit="1" customWidth="1"/>
    <col min="8" max="16384" width="8.88671875" style="151"/>
  </cols>
  <sheetData>
    <row r="1" spans="1:6" ht="14.4">
      <c r="A1" s="526" t="s">
        <v>28</v>
      </c>
      <c r="B1" s="531" t="s">
        <v>3122</v>
      </c>
      <c r="C1" s="531" t="s">
        <v>3137</v>
      </c>
      <c r="D1" s="531" t="s">
        <v>473</v>
      </c>
      <c r="E1" s="531" t="s">
        <v>3134</v>
      </c>
      <c r="F1" s="526" t="s">
        <v>204</v>
      </c>
    </row>
    <row r="2" spans="1:6" ht="14.4">
      <c r="A2" s="527" t="s">
        <v>456</v>
      </c>
      <c r="B2" s="528"/>
      <c r="C2" s="528"/>
      <c r="D2" s="528"/>
      <c r="E2" s="528"/>
      <c r="F2" s="528"/>
    </row>
    <row r="3" spans="1:6" ht="14.4">
      <c r="A3" s="529" t="s">
        <v>3127</v>
      </c>
      <c r="B3" s="291">
        <f>ROUND(SUMIF(固定资产明细表!$H:$H,B$1&amp;"原值期初数",固定资产明细表!$F:$F),2)</f>
        <v>0</v>
      </c>
      <c r="C3" s="291">
        <f>ROUND(SUMIF(固定资产明细表!$H:$H,C$1&amp;"原值期初数",固定资产明细表!$F:$F),2)</f>
        <v>0</v>
      </c>
      <c r="D3" s="291">
        <f>ROUND(SUMIF(固定资产明细表!$H:$H,D$1&amp;"原值期初数",固定资产明细表!$F:$F),2)</f>
        <v>0</v>
      </c>
      <c r="E3" s="291">
        <f>ROUND(SUMIF(固定资产明细表!$H:$H,E$1&amp;"原值期初数",固定资产明细表!$F:$F),2)</f>
        <v>0</v>
      </c>
      <c r="F3" s="291">
        <f>ROUND(SUM(B3:E3),2)</f>
        <v>0</v>
      </c>
    </row>
    <row r="4" spans="1:6" ht="14.4">
      <c r="A4" s="529" t="s">
        <v>457</v>
      </c>
      <c r="B4" s="291">
        <f>ROUND(SUM(B5:B8),2)</f>
        <v>0</v>
      </c>
      <c r="C4" s="291">
        <f>ROUND(SUM(C5:C8),2)</f>
        <v>0</v>
      </c>
      <c r="D4" s="291">
        <f>ROUND(SUM(D5:D8),2)</f>
        <v>0</v>
      </c>
      <c r="E4" s="291">
        <f>ROUND(SUM(E5:E8),2)</f>
        <v>0</v>
      </c>
      <c r="F4" s="291">
        <f>ROUND(SUM(B4:E4),2)</f>
        <v>0</v>
      </c>
    </row>
    <row r="5" spans="1:6" ht="14.4">
      <c r="A5" s="530" t="s">
        <v>4653</v>
      </c>
      <c r="B5" s="291">
        <f>ROUND(SUMIF(固定资产明细表!$H:$H,B$1&amp;"原值本期增加"&amp;REPLACE($A5,1,3,""),固定资产明细表!$F:$F),2)</f>
        <v>0</v>
      </c>
      <c r="C5" s="291">
        <f>ROUND(SUMIF(固定资产明细表!$H:$H,C$1&amp;"原值本期增加"&amp;REPLACE($A5,1,3,""),固定资产明细表!$F:$F),2)</f>
        <v>0</v>
      </c>
      <c r="D5" s="291">
        <f>ROUND(SUMIF(固定资产明细表!$H:$H,D$1&amp;"原值本期增加"&amp;REPLACE($A5,1,3,""),固定资产明细表!$F:$F),2)</f>
        <v>0</v>
      </c>
      <c r="E5" s="291">
        <f>ROUND(SUMIF(固定资产明细表!$H:$H,E$1&amp;"原值本期增加"&amp;REPLACE($A5,1,3,""),固定资产明细表!$F:$F),2)</f>
        <v>0</v>
      </c>
      <c r="F5" s="291">
        <f>ROUND(SUM(B5:E5),2)</f>
        <v>0</v>
      </c>
    </row>
    <row r="6" spans="1:6" ht="14.4">
      <c r="A6" s="530" t="s">
        <v>4636</v>
      </c>
      <c r="B6" s="291">
        <f>ROUND(SUMIF(固定资产明细表!$H:$H,B$1&amp;"原值本期增加"&amp;REPLACE($A6,1,3,""),固定资产明细表!$F:$F),2)</f>
        <v>0</v>
      </c>
      <c r="C6" s="291">
        <f>ROUND(SUMIF(固定资产明细表!$H:$H,C$1&amp;"原值本期增加"&amp;REPLACE($A6,1,3,""),固定资产明细表!$F:$F),2)</f>
        <v>0</v>
      </c>
      <c r="D6" s="291">
        <f>ROUND(SUMIF(固定资产明细表!$H:$H,D$1&amp;"原值本期增加"&amp;REPLACE($A6,1,3,""),固定资产明细表!$F:$F),2)</f>
        <v>0</v>
      </c>
      <c r="E6" s="291">
        <f>ROUND(SUMIF(固定资产明细表!$H:$H,E$1&amp;"原值本期增加"&amp;REPLACE($A6,1,3,""),固定资产明细表!$F:$F),2)</f>
        <v>0</v>
      </c>
      <c r="F6" s="291">
        <f>ROUND(SUM(B6:E6),2)</f>
        <v>0</v>
      </c>
    </row>
    <row r="7" spans="1:6" ht="14.4">
      <c r="A7" s="530" t="s">
        <v>4654</v>
      </c>
      <c r="B7" s="291">
        <f>ROUND(SUMIF(固定资产明细表!$H:$H,B$1&amp;"原值本期增加"&amp;REPLACE($A7,1,3,""),固定资产明细表!$F:$F),2)</f>
        <v>0</v>
      </c>
      <c r="C7" s="291">
        <f>ROUND(SUMIF(固定资产明细表!$H:$H,C$1&amp;"原值本期增加"&amp;REPLACE($A7,1,3,""),固定资产明细表!$F:$F),2)</f>
        <v>0</v>
      </c>
      <c r="D7" s="291">
        <f>ROUND(SUMIF(固定资产明细表!$H:$H,D$1&amp;"原值本期增加"&amp;REPLACE($A7,1,3,""),固定资产明细表!$F:$F),2)</f>
        <v>0</v>
      </c>
      <c r="E7" s="291">
        <f>ROUND(SUMIF(固定资产明细表!$H:$H,E$1&amp;"原值本期增加"&amp;REPLACE($A7,1,3,""),固定资产明细表!$F:$F),2)</f>
        <v>0</v>
      </c>
      <c r="F7" s="291">
        <f>ROUND(SUM(B7:E7),2)</f>
        <v>0</v>
      </c>
    </row>
    <row r="8" spans="1:6" ht="14.4">
      <c r="A8" s="530" t="s">
        <v>4638</v>
      </c>
      <c r="B8" s="291">
        <f>ROUND(SUMIF(固定资产明细表!$H:$H,B$1&amp;"原值本期增加"&amp;REPLACE($A8,1,3,""),固定资产明细表!$F:$F),2)</f>
        <v>0</v>
      </c>
      <c r="C8" s="291">
        <f>ROUND(SUMIF(固定资产明细表!$H:$H,C$1&amp;"原值本期增加"&amp;REPLACE($A8,1,3,""),固定资产明细表!$F:$F),2)</f>
        <v>0</v>
      </c>
      <c r="D8" s="291">
        <f>ROUND(SUMIF(固定资产明细表!$H:$H,D$1&amp;"原值本期增加"&amp;REPLACE($A8,1,3,""),固定资产明细表!$F:$F),2)</f>
        <v>0</v>
      </c>
      <c r="E8" s="291">
        <f>ROUND(SUMIF(固定资产明细表!$H:$H,E$1&amp;"原值本期增加"&amp;REPLACE($A8,1,3,""),固定资产明细表!$F:$F),2)</f>
        <v>0</v>
      </c>
      <c r="F8" s="291">
        <f>ROUND(SUM(B8:E8),2)</f>
        <v>0</v>
      </c>
    </row>
    <row r="9" spans="1:6" ht="14.4">
      <c r="A9" s="529" t="s">
        <v>458</v>
      </c>
      <c r="B9" s="291">
        <f>ROUND(SUM(B10:B11),2)</f>
        <v>0</v>
      </c>
      <c r="C9" s="291">
        <f>ROUND(SUM(C10:C11),2)</f>
        <v>0</v>
      </c>
      <c r="D9" s="291">
        <f>ROUND(SUM(D10:D11),2)</f>
        <v>0</v>
      </c>
      <c r="E9" s="291">
        <f>ROUND(SUM(E10:E11),2)</f>
        <v>0</v>
      </c>
      <c r="F9" s="291">
        <f>ROUND(SUM(B9:E9),2)</f>
        <v>0</v>
      </c>
    </row>
    <row r="10" spans="1:6" ht="14.4">
      <c r="A10" s="530" t="s">
        <v>4650</v>
      </c>
      <c r="B10" s="291">
        <f>ROUND(SUMIF(固定资产明细表!$H:$H,B$1&amp;"原值本期减少"&amp;REPLACE($A10,1,3,""),固定资产明细表!$F:$F),2)</f>
        <v>0</v>
      </c>
      <c r="C10" s="291">
        <f>ROUND(SUMIF(固定资产明细表!$H:$H,C$1&amp;"原值本期减少"&amp;REPLACE($A10,1,3,""),固定资产明细表!$F:$F),2)</f>
        <v>0</v>
      </c>
      <c r="D10" s="291">
        <f>ROUND(SUMIF(固定资产明细表!$H:$H,D$1&amp;"原值本期减少"&amp;REPLACE($A10,1,3,""),固定资产明细表!$F:$F),2)</f>
        <v>0</v>
      </c>
      <c r="E10" s="291">
        <f>ROUND(SUMIF(固定资产明细表!$H:$H,E$1&amp;"原值本期减少"&amp;REPLACE($A10,1,3,""),固定资产明细表!$F:$F),2)</f>
        <v>0</v>
      </c>
      <c r="F10" s="291">
        <f>ROUND(SUM(B10:E10),2)</f>
        <v>0</v>
      </c>
    </row>
    <row r="11" spans="1:6" ht="14.4">
      <c r="A11" s="530" t="s">
        <v>4638</v>
      </c>
      <c r="B11" s="291">
        <f>ROUND(SUMIF(固定资产明细表!$H:$H,B$1&amp;"原值本期减少"&amp;REPLACE($A11,1,3,""),固定资产明细表!$F:$F),2)</f>
        <v>0</v>
      </c>
      <c r="C11" s="291">
        <f>ROUND(SUMIF(固定资产明细表!$H:$H,C$1&amp;"原值本期减少"&amp;REPLACE($A11,1,3,""),固定资产明细表!$F:$F),2)</f>
        <v>0</v>
      </c>
      <c r="D11" s="291">
        <f>ROUND(SUMIF(固定资产明细表!$H:$H,D$1&amp;"原值本期减少"&amp;REPLACE($A11,1,3,""),固定资产明细表!$F:$F),2)</f>
        <v>0</v>
      </c>
      <c r="E11" s="291">
        <f>ROUND(SUMIF(固定资产明细表!$H:$H,E$1&amp;"原值本期减少"&amp;REPLACE($A11,1,3,""),固定资产明细表!$F:$F),2)</f>
        <v>0</v>
      </c>
      <c r="F11" s="291">
        <f>ROUND(SUM(B11:E11),2)</f>
        <v>0</v>
      </c>
    </row>
    <row r="12" spans="1:6" ht="14.4">
      <c r="A12" s="529" t="s">
        <v>459</v>
      </c>
      <c r="B12" s="291">
        <f>ROUND(B3+B4-B9,2)</f>
        <v>0</v>
      </c>
      <c r="C12" s="291">
        <f>ROUND(C3+C4-C9,2)</f>
        <v>0</v>
      </c>
      <c r="D12" s="291">
        <f>ROUND(D3+D4-D9,2)</f>
        <v>0</v>
      </c>
      <c r="E12" s="291">
        <f>ROUND(E3+E4-E9,2)</f>
        <v>0</v>
      </c>
      <c r="F12" s="291">
        <f>ROUND(SUM(B12:E12),2)</f>
        <v>0</v>
      </c>
    </row>
    <row r="13" spans="1:6" ht="14.4">
      <c r="A13" s="527" t="s">
        <v>492</v>
      </c>
      <c r="B13" s="291"/>
      <c r="C13" s="291"/>
      <c r="D13" s="291"/>
      <c r="E13" s="291"/>
      <c r="F13" s="291"/>
    </row>
    <row r="14" spans="1:6" ht="14.4">
      <c r="A14" s="529" t="s">
        <v>3127</v>
      </c>
      <c r="B14" s="291">
        <f>ROUND(SUMIF(固定资产明细表!$H:$H,B$1&amp;"累计折旧期初数",固定资产明细表!$F:$F),2)</f>
        <v>0</v>
      </c>
      <c r="C14" s="291">
        <f>ROUND(SUMIF(固定资产明细表!$H:$H,C$1&amp;"累计折旧期初数",固定资产明细表!$F:$F),2)</f>
        <v>0</v>
      </c>
      <c r="D14" s="291">
        <f>ROUND(SUMIF(固定资产明细表!$H:$H,D$1&amp;"累计折旧期初数",固定资产明细表!$F:$F),2)</f>
        <v>0</v>
      </c>
      <c r="E14" s="291">
        <f>ROUND(SUMIF(固定资产明细表!$H:$H,E$1&amp;"累计折旧期初数",固定资产明细表!$F:$F),2)</f>
        <v>0</v>
      </c>
      <c r="F14" s="291">
        <f>ROUND(SUM(B14:E14),2)</f>
        <v>0</v>
      </c>
    </row>
    <row r="15" spans="1:6" ht="14.4">
      <c r="A15" s="529" t="s">
        <v>457</v>
      </c>
      <c r="B15" s="291">
        <f>ROUND(SUM(B16:B17),2)</f>
        <v>0</v>
      </c>
      <c r="C15" s="291">
        <f>ROUND(SUM(C16:C17),2)</f>
        <v>0</v>
      </c>
      <c r="D15" s="291">
        <f>ROUND(SUM(D16:D17),2)</f>
        <v>0</v>
      </c>
      <c r="E15" s="291">
        <f>ROUND(SUM(E16:E17),2)</f>
        <v>0</v>
      </c>
      <c r="F15" s="291">
        <f>ROUND(SUM(B15:E15),2)</f>
        <v>0</v>
      </c>
    </row>
    <row r="16" spans="1:6" ht="14.4">
      <c r="A16" s="530" t="s">
        <v>4643</v>
      </c>
      <c r="B16" s="291">
        <f>ROUND(SUMIF(固定资产明细表!$H:$H,B$1&amp;"累计折旧本期增加"&amp;REPLACE($A16,1,3,""),固定资产明细表!$F:$F),2)</f>
        <v>0</v>
      </c>
      <c r="C16" s="291">
        <f>ROUND(SUMIF(固定资产明细表!$H:$H,C$1&amp;"累计折旧本期增加"&amp;REPLACE($A16,1,3,""),固定资产明细表!$F:$F),2)</f>
        <v>0</v>
      </c>
      <c r="D16" s="291">
        <f>ROUND(SUMIF(固定资产明细表!$H:$H,D$1&amp;"累计折旧本期增加"&amp;REPLACE($A16,1,3,""),固定资产明细表!$F:$F),2)</f>
        <v>0</v>
      </c>
      <c r="E16" s="291">
        <f>ROUND(SUMIF(固定资产明细表!$H:$H,E$1&amp;"累计折旧本期增加"&amp;REPLACE($A16,1,3,""),固定资产明细表!$F:$F),2)</f>
        <v>0</v>
      </c>
      <c r="F16" s="291">
        <f>ROUND(SUM(B16:E16),2)</f>
        <v>0</v>
      </c>
    </row>
    <row r="17" spans="1:6" ht="14.4">
      <c r="A17" s="530" t="s">
        <v>4638</v>
      </c>
      <c r="B17" s="291">
        <f>ROUND(SUMIF(固定资产明细表!$H:$H,B$1&amp;"累计折旧本期增加"&amp;REPLACE($A17,1,3,""),固定资产明细表!$F:$F),2)</f>
        <v>0</v>
      </c>
      <c r="C17" s="291">
        <f>ROUND(SUMIF(固定资产明细表!$H:$H,C$1&amp;"累计折旧本期增加"&amp;REPLACE($A17,1,3,""),固定资产明细表!$F:$F),2)</f>
        <v>0</v>
      </c>
      <c r="D17" s="291">
        <f>ROUND(SUMIF(固定资产明细表!$H:$H,D$1&amp;"累计折旧本期增加"&amp;REPLACE($A17,1,3,""),固定资产明细表!$F:$F),2)</f>
        <v>0</v>
      </c>
      <c r="E17" s="291">
        <f>ROUND(SUMIF(固定资产明细表!$H:$H,E$1&amp;"累计折旧本期增加"&amp;REPLACE($A17,1,3,""),固定资产明细表!$F:$F),2)</f>
        <v>0</v>
      </c>
      <c r="F17" s="291">
        <f>ROUND(SUM(B17:E17),2)</f>
        <v>0</v>
      </c>
    </row>
    <row r="18" spans="1:6" ht="14.4">
      <c r="A18" s="529" t="s">
        <v>458</v>
      </c>
      <c r="B18" s="291">
        <f>ROUND(SUM(B19:B20),2)</f>
        <v>0</v>
      </c>
      <c r="C18" s="291">
        <f>ROUND(SUM(C19:C20),2)</f>
        <v>0</v>
      </c>
      <c r="D18" s="291">
        <f>ROUND(SUM(D19:D20),2)</f>
        <v>0</v>
      </c>
      <c r="E18" s="291">
        <f>ROUND(SUM(E19:E20),2)</f>
        <v>0</v>
      </c>
      <c r="F18" s="291">
        <f>ROUND(SUM(B18:E18),2)</f>
        <v>0</v>
      </c>
    </row>
    <row r="19" spans="1:6" ht="14.4">
      <c r="A19" s="530" t="s">
        <v>4650</v>
      </c>
      <c r="B19" s="291">
        <f>ROUND(SUMIF(固定资产明细表!$H:$H,B$1&amp;"累计折旧本期减少"&amp;REPLACE($A19,1,3,""),固定资产明细表!$F:$F),2)</f>
        <v>0</v>
      </c>
      <c r="C19" s="291">
        <f>ROUND(SUMIF(固定资产明细表!$H:$H,C$1&amp;"累计折旧本期减少"&amp;REPLACE($A19,1,3,""),固定资产明细表!$F:$F),2)</f>
        <v>0</v>
      </c>
      <c r="D19" s="291">
        <f>ROUND(SUMIF(固定资产明细表!$H:$H,D$1&amp;"累计折旧本期减少"&amp;REPLACE($A19,1,3,""),固定资产明细表!$F:$F),2)</f>
        <v>0</v>
      </c>
      <c r="E19" s="291">
        <f>ROUND(SUMIF(固定资产明细表!$H:$H,E$1&amp;"累计折旧本期减少"&amp;REPLACE($A19,1,3,""),固定资产明细表!$F:$F),2)</f>
        <v>0</v>
      </c>
      <c r="F19" s="291">
        <f>ROUND(SUM(B19:E19),2)</f>
        <v>0</v>
      </c>
    </row>
    <row r="20" spans="1:6" ht="14.4">
      <c r="A20" s="530" t="s">
        <v>4638</v>
      </c>
      <c r="B20" s="291">
        <f>ROUND(SUMIF(固定资产明细表!$H:$H,B$1&amp;"累计折旧本期减少"&amp;REPLACE($A20,1,3,""),固定资产明细表!$F:$F),2)</f>
        <v>0</v>
      </c>
      <c r="C20" s="291">
        <f>ROUND(SUMIF(固定资产明细表!$H:$H,C$1&amp;"累计折旧本期减少"&amp;REPLACE($A20,1,3,""),固定资产明细表!$F:$F),2)</f>
        <v>0</v>
      </c>
      <c r="D20" s="291">
        <f>ROUND(SUMIF(固定资产明细表!$H:$H,D$1&amp;"累计折旧本期减少"&amp;REPLACE($A20,1,3,""),固定资产明细表!$F:$F),2)</f>
        <v>0</v>
      </c>
      <c r="E20" s="291">
        <f>ROUND(SUMIF(固定资产明细表!$H:$H,E$1&amp;"累计折旧本期减少"&amp;REPLACE($A20,1,3,""),固定资产明细表!$F:$F),2)</f>
        <v>0</v>
      </c>
      <c r="F20" s="291">
        <f>ROUND(SUM(B20:E20),2)</f>
        <v>0</v>
      </c>
    </row>
    <row r="21" spans="1:6" ht="14.4">
      <c r="A21" s="529" t="s">
        <v>459</v>
      </c>
      <c r="B21" s="291">
        <f>ROUND(B14+B15-B18,2)</f>
        <v>0</v>
      </c>
      <c r="C21" s="291">
        <f>ROUND(C14+C15-C18,2)</f>
        <v>0</v>
      </c>
      <c r="D21" s="291">
        <f>ROUND(D14+D15-D18,2)</f>
        <v>0</v>
      </c>
      <c r="E21" s="291">
        <f>ROUND(E14+E15-E18,2)</f>
        <v>0</v>
      </c>
      <c r="F21" s="291">
        <f>ROUND(SUM(B21:E21),2)</f>
        <v>0</v>
      </c>
    </row>
    <row r="22" spans="1:6" ht="14.4">
      <c r="A22" s="527" t="s">
        <v>461</v>
      </c>
      <c r="B22" s="291"/>
      <c r="C22" s="291"/>
      <c r="D22" s="291"/>
      <c r="E22" s="291"/>
      <c r="F22" s="291"/>
    </row>
    <row r="23" spans="1:6" ht="14.4">
      <c r="A23" s="529" t="s">
        <v>3127</v>
      </c>
      <c r="B23" s="291">
        <f>ROUND(SUMIF(固定资产明细表!$H:$H,B$1&amp;"减值准备期初数",固定资产明细表!$F:$F),2)</f>
        <v>0</v>
      </c>
      <c r="C23" s="291">
        <f>ROUND(SUMIF(固定资产明细表!$H:$H,C$1&amp;"减值准备期初数",固定资产明细表!$F:$F),2)</f>
        <v>0</v>
      </c>
      <c r="D23" s="291">
        <f>ROUND(SUMIF(固定资产明细表!$H:$H,D$1&amp;"减值准备期初数",固定资产明细表!$F:$F),2)</f>
        <v>0</v>
      </c>
      <c r="E23" s="291">
        <f>ROUND(SUMIF(固定资产明细表!$H:$H,E$1&amp;"减值准备期初数",固定资产明细表!$F:$F),2)</f>
        <v>0</v>
      </c>
      <c r="F23" s="291">
        <f>ROUND(SUM(B23:E23),2)</f>
        <v>0</v>
      </c>
    </row>
    <row r="24" spans="1:6" ht="14.4">
      <c r="A24" s="529" t="s">
        <v>457</v>
      </c>
      <c r="B24" s="291">
        <f>ROUND(SUM(B25:B26),2)</f>
        <v>0</v>
      </c>
      <c r="C24" s="291">
        <f>ROUND(SUM(C25:C26),2)</f>
        <v>0</v>
      </c>
      <c r="D24" s="291">
        <f>ROUND(SUM(D25:D26),2)</f>
        <v>0</v>
      </c>
      <c r="E24" s="291">
        <f>ROUND(SUM(E25:E26),2)</f>
        <v>0</v>
      </c>
      <c r="F24" s="291">
        <f>ROUND(SUM(B24:E24),2)</f>
        <v>0</v>
      </c>
    </row>
    <row r="25" spans="1:6" ht="14.4">
      <c r="A25" s="530" t="s">
        <v>4655</v>
      </c>
      <c r="B25" s="291">
        <f>ROUND(SUMIF(固定资产明细表!$H:$H,B$1&amp;"减值准备本期增加"&amp;REPLACE($A25,1,3,""),固定资产明细表!$F:$F),2)</f>
        <v>0</v>
      </c>
      <c r="C25" s="291">
        <f>ROUND(SUMIF(固定资产明细表!$H:$H,C$1&amp;"减值准备本期增加"&amp;REPLACE($A25,1,3,""),固定资产明细表!$F:$F),2)</f>
        <v>0</v>
      </c>
      <c r="D25" s="291">
        <f>ROUND(SUMIF(固定资产明细表!$H:$H,D$1&amp;"减值准备本期增加"&amp;REPLACE($A25,1,3,""),固定资产明细表!$F:$F),2)</f>
        <v>0</v>
      </c>
      <c r="E25" s="291">
        <f>ROUND(SUMIF(固定资产明细表!$H:$H,E$1&amp;"减值准备本期增加"&amp;REPLACE($A25,1,3,""),固定资产明细表!$F:$F),2)</f>
        <v>0</v>
      </c>
      <c r="F25" s="291">
        <f>ROUND(SUM(B25:E25),2)</f>
        <v>0</v>
      </c>
    </row>
    <row r="26" spans="1:6" ht="14.4">
      <c r="A26" s="530" t="s">
        <v>4638</v>
      </c>
      <c r="B26" s="291">
        <f>ROUND(SUMIF(固定资产明细表!$H:$H,B$1&amp;"减值准备本期增加"&amp;REPLACE($A26,1,3,""),固定资产明细表!$F:$F),2)</f>
        <v>0</v>
      </c>
      <c r="C26" s="291">
        <f>ROUND(SUMIF(固定资产明细表!$H:$H,C$1&amp;"减值准备本期增加"&amp;REPLACE($A26,1,3,""),固定资产明细表!$F:$F),2)</f>
        <v>0</v>
      </c>
      <c r="D26" s="291">
        <f>ROUND(SUMIF(固定资产明细表!$H:$H,D$1&amp;"减值准备本期增加"&amp;REPLACE($A26,1,3,""),固定资产明细表!$F:$F),2)</f>
        <v>0</v>
      </c>
      <c r="E26" s="291">
        <f>ROUND(SUMIF(固定资产明细表!$H:$H,E$1&amp;"减值准备本期增加"&amp;REPLACE($A26,1,3,""),固定资产明细表!$F:$F),2)</f>
        <v>0</v>
      </c>
      <c r="F26" s="291">
        <f>ROUND(SUM(B26:E26),2)</f>
        <v>0</v>
      </c>
    </row>
    <row r="27" spans="1:6" ht="14.4">
      <c r="A27" s="529" t="s">
        <v>458</v>
      </c>
      <c r="B27" s="291">
        <f>ROUND(SUM(B28:B29),2)</f>
        <v>0</v>
      </c>
      <c r="C27" s="291">
        <f>ROUND(SUM(C28:C29),2)</f>
        <v>0</v>
      </c>
      <c r="D27" s="291">
        <f>ROUND(SUM(D28:D29),2)</f>
        <v>0</v>
      </c>
      <c r="E27" s="291">
        <f>ROUND(SUM(E28:E29),2)</f>
        <v>0</v>
      </c>
      <c r="F27" s="291">
        <f>ROUND(SUM(B27:E27),2)</f>
        <v>0</v>
      </c>
    </row>
    <row r="28" spans="1:6" ht="14.4">
      <c r="A28" s="530" t="s">
        <v>4650</v>
      </c>
      <c r="B28" s="291">
        <f>ROUND(SUMIF(固定资产明细表!$H:$H,B$1&amp;"减值准备本期减少"&amp;REPLACE($A28,1,3,""),固定资产明细表!$F:$F),2)</f>
        <v>0</v>
      </c>
      <c r="C28" s="291">
        <f>ROUND(SUMIF(固定资产明细表!$H:$H,C$1&amp;"减值准备本期减少"&amp;REPLACE($A28,1,3,""),固定资产明细表!$F:$F),2)</f>
        <v>0</v>
      </c>
      <c r="D28" s="291">
        <f>ROUND(SUMIF(固定资产明细表!$H:$H,D$1&amp;"减值准备本期减少"&amp;REPLACE($A28,1,3,""),固定资产明细表!$F:$F),2)</f>
        <v>0</v>
      </c>
      <c r="E28" s="291">
        <f>ROUND(SUMIF(固定资产明细表!$H:$H,E$1&amp;"减值准备本期减少"&amp;REPLACE($A28,1,3,""),固定资产明细表!$F:$F),2)</f>
        <v>0</v>
      </c>
      <c r="F28" s="291">
        <f>ROUND(SUM(B28:E28),2)</f>
        <v>0</v>
      </c>
    </row>
    <row r="29" spans="1:6" ht="14.4">
      <c r="A29" s="530" t="s">
        <v>4638</v>
      </c>
      <c r="B29" s="291">
        <f>ROUND(SUMIF(固定资产明细表!$H:$H,B$1&amp;"减值准备本期减少"&amp;REPLACE($A29,1,3,""),固定资产明细表!$F:$F),2)</f>
        <v>0</v>
      </c>
      <c r="C29" s="291">
        <f>ROUND(SUMIF(固定资产明细表!$H:$H,C$1&amp;"减值准备本期减少"&amp;REPLACE($A29,1,3,""),固定资产明细表!$F:$F),2)</f>
        <v>0</v>
      </c>
      <c r="D29" s="291">
        <f>ROUND(SUMIF(固定资产明细表!$H:$H,D$1&amp;"减值准备本期减少"&amp;REPLACE($A29,1,3,""),固定资产明细表!$F:$F),2)</f>
        <v>0</v>
      </c>
      <c r="E29" s="291">
        <f>ROUND(SUMIF(固定资产明细表!$H:$H,E$1&amp;"减值准备本期减少"&amp;REPLACE($A29,1,3,""),固定资产明细表!$F:$F),2)</f>
        <v>0</v>
      </c>
      <c r="F29" s="291">
        <f>ROUND(SUM(B29:E29),2)</f>
        <v>0</v>
      </c>
    </row>
    <row r="30" spans="1:6" ht="14.4">
      <c r="A30" s="529" t="s">
        <v>459</v>
      </c>
      <c r="B30" s="291">
        <f>ROUND(B23+B24-B27,2)</f>
        <v>0</v>
      </c>
      <c r="C30" s="291">
        <f>ROUND(C23+C24-C27,2)</f>
        <v>0</v>
      </c>
      <c r="D30" s="291">
        <f>ROUND(D23+D24-D27,2)</f>
        <v>0</v>
      </c>
      <c r="E30" s="291">
        <f>ROUND(E23+E24-E27,2)</f>
        <v>0</v>
      </c>
      <c r="F30" s="291">
        <f>ROUND(SUM(B30:E30),2)</f>
        <v>0</v>
      </c>
    </row>
    <row r="31" spans="1:6" ht="14.4">
      <c r="A31" s="527" t="s">
        <v>462</v>
      </c>
      <c r="B31" s="291"/>
      <c r="C31" s="291"/>
      <c r="D31" s="291"/>
      <c r="E31" s="291"/>
      <c r="F31" s="291"/>
    </row>
    <row r="32" spans="1:6" ht="14.4">
      <c r="A32" s="529" t="s">
        <v>463</v>
      </c>
      <c r="B32" s="291">
        <f>ROUND(B12-B21-B30,2)</f>
        <v>0</v>
      </c>
      <c r="C32" s="291">
        <f>ROUND(C12-C21-C30,2)</f>
        <v>0</v>
      </c>
      <c r="D32" s="291">
        <f>ROUND(D12-D21-D30,2)</f>
        <v>0</v>
      </c>
      <c r="E32" s="291">
        <f>ROUND(E12-E21-E30,2)</f>
        <v>0</v>
      </c>
      <c r="F32" s="291">
        <f>ROUND(SUM(B32:E32),2)</f>
        <v>0</v>
      </c>
    </row>
    <row r="33" spans="1:6" ht="14.4">
      <c r="A33" s="529" t="s">
        <v>3128</v>
      </c>
      <c r="B33" s="291">
        <f>ROUND(B3-B14-B23,2)</f>
        <v>0</v>
      </c>
      <c r="C33" s="291">
        <f>ROUND(C3-C14-C23,2)</f>
        <v>0</v>
      </c>
      <c r="D33" s="291">
        <f>ROUND(D3-D14-D23,2)</f>
        <v>0</v>
      </c>
      <c r="E33" s="291">
        <f>ROUND(E3-E14-E23,2)</f>
        <v>0</v>
      </c>
      <c r="F33" s="291">
        <f>ROUND(SUM(B33:E33),2)</f>
        <v>0</v>
      </c>
    </row>
    <row r="34" spans="1:6" ht="14.4">
      <c r="A34" s="296"/>
      <c r="B34" s="300"/>
      <c r="C34" s="300"/>
      <c r="D34" s="300"/>
      <c r="E34" s="300"/>
      <c r="F34" s="30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sheetPr codeName="Sheet203"/>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G29" sqref="G29"/>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E44" s="277"/>
      <c r="G44" t="str">
        <f t="shared" si="0"/>
        <v/>
      </c>
      <c r="I44" t="str">
        <f t="shared" si="2"/>
        <v/>
      </c>
    </row>
    <row r="45" spans="1:9">
      <c r="A45" s="230" t="str">
        <f>IF(F45&gt;0,基础信息!$B$1,"")</f>
        <v/>
      </c>
      <c r="E45" s="277"/>
      <c r="G45" t="str">
        <f t="shared" si="0"/>
        <v/>
      </c>
      <c r="I45" t="str">
        <f t="shared" si="2"/>
        <v/>
      </c>
    </row>
    <row r="46" spans="1:9">
      <c r="A46" s="230" t="str">
        <f>IF(F46&gt;0,基础信息!$B$1,"")</f>
        <v/>
      </c>
      <c r="E46" s="277"/>
      <c r="G46" t="str">
        <f t="shared" si="0"/>
        <v/>
      </c>
      <c r="I46" t="str">
        <f t="shared" si="2"/>
        <v/>
      </c>
    </row>
    <row r="47" spans="1:9">
      <c r="A47" s="230" t="str">
        <f>IF(F47&gt;0,基础信息!$B$1,"")</f>
        <v/>
      </c>
      <c r="E47" s="277"/>
      <c r="G47" t="str">
        <f t="shared" si="0"/>
        <v/>
      </c>
      <c r="I47" t="str">
        <f t="shared" si="2"/>
        <v/>
      </c>
    </row>
    <row r="48" spans="1:9">
      <c r="A48" s="230" t="str">
        <f>IF(F48&gt;0,基础信息!$B$1,"")</f>
        <v/>
      </c>
      <c r="E48" s="277"/>
      <c r="G48" t="str">
        <f t="shared" si="0"/>
        <v/>
      </c>
      <c r="I48" t="str">
        <f t="shared" si="2"/>
        <v/>
      </c>
    </row>
    <row r="49" spans="1:9">
      <c r="A49" s="230" t="str">
        <f>IF(F49&gt;0,基础信息!$B$1,"")</f>
        <v/>
      </c>
      <c r="E49" s="277"/>
      <c r="G49" t="str">
        <f t="shared" si="0"/>
        <v/>
      </c>
      <c r="I49" t="str">
        <f t="shared" si="2"/>
        <v/>
      </c>
    </row>
    <row r="50" spans="1:9">
      <c r="A50" s="230" t="str">
        <f>IF(F50&gt;0,基础信息!$B$1,"")</f>
        <v/>
      </c>
      <c r="E50" s="277"/>
      <c r="G50" t="str">
        <f t="shared" si="0"/>
        <v/>
      </c>
      <c r="I50" t="str">
        <f t="shared" si="2"/>
        <v/>
      </c>
    </row>
    <row r="51" spans="1:9">
      <c r="A51" s="230" t="str">
        <f>IF(F51&gt;0,基础信息!$B$1,"")</f>
        <v/>
      </c>
      <c r="E51" s="277"/>
      <c r="G51" t="str">
        <f t="shared" si="0"/>
        <v/>
      </c>
      <c r="I51" t="str">
        <f t="shared" si="2"/>
        <v/>
      </c>
    </row>
    <row r="52" spans="1:9">
      <c r="A52" s="230" t="str">
        <f>IF(F52&gt;0,基础信息!$B$1,"")</f>
        <v/>
      </c>
      <c r="E52" s="277"/>
      <c r="G52" t="str">
        <f t="shared" si="0"/>
        <v/>
      </c>
      <c r="I52" t="str">
        <f t="shared" si="2"/>
        <v/>
      </c>
    </row>
    <row r="53" spans="1:9">
      <c r="A53" s="230" t="str">
        <f>IF(F53&gt;0,基础信息!$B$1,"")</f>
        <v/>
      </c>
      <c r="E53" s="277"/>
      <c r="G53" t="str">
        <f t="shared" si="0"/>
        <v/>
      </c>
      <c r="I53" t="str">
        <f t="shared" si="2"/>
        <v/>
      </c>
    </row>
    <row r="54" spans="1:9">
      <c r="A54" s="230" t="str">
        <f>IF(F54&gt;0,基础信息!$B$1,"")</f>
        <v/>
      </c>
      <c r="E54" s="277"/>
      <c r="G54" t="str">
        <f t="shared" si="0"/>
        <v/>
      </c>
      <c r="I54" t="str">
        <f t="shared" si="2"/>
        <v/>
      </c>
    </row>
    <row r="55" spans="1:9">
      <c r="A55" s="230" t="str">
        <f>IF(F55&gt;0,基础信息!$B$1,"")</f>
        <v/>
      </c>
      <c r="E55" s="277"/>
      <c r="G55" t="str">
        <f t="shared" si="0"/>
        <v/>
      </c>
      <c r="I55" t="str">
        <f t="shared" si="2"/>
        <v/>
      </c>
    </row>
    <row r="56" spans="1:9">
      <c r="A56" s="230" t="str">
        <f>IF(F56&gt;0,基础信息!$B$1,"")</f>
        <v/>
      </c>
      <c r="E56" s="277"/>
      <c r="G56" t="str">
        <f t="shared" si="0"/>
        <v/>
      </c>
      <c r="I56" t="str">
        <f t="shared" si="2"/>
        <v/>
      </c>
    </row>
    <row r="57" spans="1:9">
      <c r="A57" s="230" t="str">
        <f>IF(F57&gt;0,基础信息!$B$1,"")</f>
        <v/>
      </c>
      <c r="E57" s="277"/>
      <c r="G57" t="str">
        <f t="shared" si="0"/>
        <v/>
      </c>
      <c r="I57" t="str">
        <f t="shared" si="2"/>
        <v/>
      </c>
    </row>
    <row r="58" spans="1:9">
      <c r="A58" s="230" t="str">
        <f>IF(F58&gt;0,基础信息!$B$1,"")</f>
        <v/>
      </c>
      <c r="E58" s="277"/>
      <c r="G58" t="str">
        <f t="shared" si="0"/>
        <v/>
      </c>
      <c r="I58" t="str">
        <f t="shared" si="2"/>
        <v/>
      </c>
    </row>
    <row r="59" spans="1:9">
      <c r="A59" s="230" t="str">
        <f>IF(F59&gt;0,基础信息!$B$1,"")</f>
        <v/>
      </c>
      <c r="E59" s="277"/>
      <c r="G59" t="str">
        <f t="shared" si="0"/>
        <v/>
      </c>
      <c r="I59" t="str">
        <f t="shared" si="2"/>
        <v/>
      </c>
    </row>
    <row r="60" spans="1:9">
      <c r="A60" s="230" t="str">
        <f>IF(F60&gt;0,基础信息!$B$1,"")</f>
        <v/>
      </c>
      <c r="E60" s="277"/>
      <c r="G60" t="str">
        <f t="shared" si="0"/>
        <v/>
      </c>
      <c r="I60" t="str">
        <f t="shared" si="2"/>
        <v/>
      </c>
    </row>
    <row r="61" spans="1:9">
      <c r="A61" s="230" t="str">
        <f>IF(F61&gt;0,基础信息!$B$1,"")</f>
        <v/>
      </c>
      <c r="E61" s="277"/>
      <c r="G61" t="str">
        <f t="shared" si="0"/>
        <v/>
      </c>
      <c r="I61" t="str">
        <f t="shared" si="2"/>
        <v/>
      </c>
    </row>
    <row r="62" spans="1:9">
      <c r="A62" s="230" t="str">
        <f>IF(F62&gt;0,基础信息!$B$1,"")</f>
        <v/>
      </c>
      <c r="E62" s="277"/>
      <c r="G62" t="str">
        <f t="shared" si="0"/>
        <v/>
      </c>
      <c r="I62" t="str">
        <f t="shared" si="2"/>
        <v/>
      </c>
    </row>
    <row r="63" spans="1:9">
      <c r="A63" s="230" t="str">
        <f>IF(F63&gt;0,基础信息!$B$1,"")</f>
        <v/>
      </c>
      <c r="E63" s="277"/>
      <c r="G63" t="str">
        <f t="shared" si="0"/>
        <v/>
      </c>
      <c r="I63" t="str">
        <f t="shared" si="2"/>
        <v/>
      </c>
    </row>
    <row r="64" spans="1:9">
      <c r="A64" s="230" t="str">
        <f>IF(F64&gt;0,基础信息!$B$1,"")</f>
        <v/>
      </c>
      <c r="E64" s="277"/>
      <c r="G64" t="str">
        <f t="shared" si="0"/>
        <v/>
      </c>
      <c r="I64" t="str">
        <f t="shared" si="2"/>
        <v/>
      </c>
    </row>
    <row r="65" spans="1:9">
      <c r="A65" s="230" t="str">
        <f>IF(F65&gt;0,基础信息!$B$1,"")</f>
        <v/>
      </c>
      <c r="E65" s="277"/>
      <c r="G65" t="str">
        <f t="shared" si="0"/>
        <v/>
      </c>
      <c r="I65" t="str">
        <f t="shared" si="2"/>
        <v/>
      </c>
    </row>
    <row r="66" spans="1:9">
      <c r="A66" s="230" t="str">
        <f>IF(F66&gt;0,基础信息!$B$1,"")</f>
        <v/>
      </c>
      <c r="E66" s="277"/>
      <c r="G66" t="str">
        <f t="shared" si="0"/>
        <v/>
      </c>
      <c r="I66" t="str">
        <f t="shared" si="2"/>
        <v/>
      </c>
    </row>
    <row r="67" spans="1:9">
      <c r="A67" s="230" t="str">
        <f>IF(F67&gt;0,基础信息!$B$1,"")</f>
        <v/>
      </c>
      <c r="E67" s="277"/>
      <c r="G67" t="str">
        <f t="shared" ref="G67:G88" si="3">B67&amp;C67&amp;D67</f>
        <v/>
      </c>
      <c r="I67" t="str">
        <f t="shared" ref="I67:I119" si="4">C67&amp;D67&amp;E67</f>
        <v/>
      </c>
    </row>
    <row r="68" spans="1:9">
      <c r="A68" s="230" t="str">
        <f>IF(F68&gt;0,基础信息!$B$1,"")</f>
        <v/>
      </c>
      <c r="E68" s="277"/>
      <c r="G68" t="str">
        <f t="shared" si="3"/>
        <v/>
      </c>
      <c r="I68" t="str">
        <f t="shared" si="4"/>
        <v/>
      </c>
    </row>
    <row r="69" spans="1:9">
      <c r="A69" s="230" t="str">
        <f>IF(F69&gt;0,基础信息!$B$1,"")</f>
        <v/>
      </c>
      <c r="E69" s="277"/>
      <c r="G69" t="str">
        <f t="shared" si="3"/>
        <v/>
      </c>
      <c r="I69" t="str">
        <f t="shared" si="4"/>
        <v/>
      </c>
    </row>
    <row r="70" spans="1:9">
      <c r="A70" s="230" t="str">
        <f>IF(F70&gt;0,基础信息!$B$1,"")</f>
        <v/>
      </c>
      <c r="E70" s="277"/>
      <c r="G70" t="str">
        <f t="shared" si="3"/>
        <v/>
      </c>
      <c r="I70" t="str">
        <f t="shared" si="4"/>
        <v/>
      </c>
    </row>
    <row r="71" spans="1:9">
      <c r="A71" s="230" t="str">
        <f>IF(F71&gt;0,基础信息!$B$1,"")</f>
        <v/>
      </c>
      <c r="E71" s="277"/>
      <c r="G71" t="str">
        <f t="shared" si="3"/>
        <v/>
      </c>
      <c r="I71" t="str">
        <f t="shared" si="4"/>
        <v/>
      </c>
    </row>
    <row r="72" spans="1:9">
      <c r="A72" s="230" t="str">
        <f>IF(F72&gt;0,基础信息!$B$1,"")</f>
        <v/>
      </c>
      <c r="E72" s="277"/>
      <c r="G72" t="str">
        <f t="shared" si="3"/>
        <v/>
      </c>
      <c r="I72" t="str">
        <f t="shared" si="4"/>
        <v/>
      </c>
    </row>
    <row r="73" spans="1:9">
      <c r="A73" s="230" t="str">
        <f>IF(F73&gt;0,基础信息!$B$1,"")</f>
        <v/>
      </c>
      <c r="E73" s="277"/>
      <c r="G73" t="str">
        <f t="shared" si="3"/>
        <v/>
      </c>
      <c r="I73" t="str">
        <f t="shared" si="4"/>
        <v/>
      </c>
    </row>
    <row r="74" spans="1:9">
      <c r="A74" s="230" t="str">
        <f>IF(F74&gt;0,基础信息!$B$1,"")</f>
        <v/>
      </c>
      <c r="E74" s="277"/>
      <c r="G74" t="str">
        <f t="shared" si="3"/>
        <v/>
      </c>
      <c r="I74" t="str">
        <f t="shared" si="4"/>
        <v/>
      </c>
    </row>
    <row r="75" spans="1:9">
      <c r="A75" s="230" t="str">
        <f>IF(F75&gt;0,基础信息!$B$1,"")</f>
        <v/>
      </c>
      <c r="E75" s="277"/>
      <c r="G75" t="str">
        <f t="shared" si="3"/>
        <v/>
      </c>
      <c r="I75" t="str">
        <f t="shared" si="4"/>
        <v/>
      </c>
    </row>
    <row r="76" spans="1:9">
      <c r="A76" s="230" t="str">
        <f>IF(F76&gt;0,基础信息!$B$1,"")</f>
        <v/>
      </c>
      <c r="E76" s="277"/>
      <c r="G76" t="str">
        <f t="shared" si="3"/>
        <v/>
      </c>
      <c r="I76" t="str">
        <f t="shared" si="4"/>
        <v/>
      </c>
    </row>
    <row r="77" spans="1:9">
      <c r="A77" s="230" t="str">
        <f>IF(F77&gt;0,基础信息!$B$1,"")</f>
        <v/>
      </c>
      <c r="E77" s="277"/>
      <c r="G77" t="str">
        <f t="shared" si="3"/>
        <v/>
      </c>
      <c r="I77" t="str">
        <f t="shared" si="4"/>
        <v/>
      </c>
    </row>
    <row r="78" spans="1:9">
      <c r="A78" s="230" t="str">
        <f>IF(F78&gt;0,基础信息!$B$1,"")</f>
        <v/>
      </c>
      <c r="E78" s="277"/>
      <c r="G78" t="str">
        <f t="shared" si="3"/>
        <v/>
      </c>
      <c r="I78" t="str">
        <f t="shared" si="4"/>
        <v/>
      </c>
    </row>
    <row r="79" spans="1:9">
      <c r="A79" s="230" t="str">
        <f>IF(F79&gt;0,基础信息!$B$1,"")</f>
        <v/>
      </c>
      <c r="E79" s="277"/>
      <c r="G79" t="str">
        <f t="shared" si="3"/>
        <v/>
      </c>
      <c r="I79" t="str">
        <f t="shared" si="4"/>
        <v/>
      </c>
    </row>
    <row r="80" spans="1:9">
      <c r="A80" s="230" t="str">
        <f>IF(F80&gt;0,基础信息!$B$1,"")</f>
        <v/>
      </c>
      <c r="E80" s="277"/>
      <c r="G80" t="str">
        <f t="shared" si="3"/>
        <v/>
      </c>
      <c r="I80" t="str">
        <f t="shared" si="4"/>
        <v/>
      </c>
    </row>
    <row r="81" spans="1:9">
      <c r="A81" s="230" t="str">
        <f>IF(F81&gt;0,基础信息!$B$1,"")</f>
        <v/>
      </c>
      <c r="E81" s="277"/>
      <c r="G81" t="str">
        <f t="shared" si="3"/>
        <v/>
      </c>
      <c r="I81" t="str">
        <f t="shared" si="4"/>
        <v/>
      </c>
    </row>
    <row r="82" spans="1:9">
      <c r="A82" s="230" t="str">
        <f>IF(F82&gt;0,基础信息!$B$1,"")</f>
        <v/>
      </c>
      <c r="E82" s="277"/>
      <c r="G82" t="str">
        <f t="shared" si="3"/>
        <v/>
      </c>
      <c r="I82" t="str">
        <f t="shared" si="4"/>
        <v/>
      </c>
    </row>
    <row r="83" spans="1:9">
      <c r="A83" s="230" t="str">
        <f>IF(F83&gt;0,基础信息!$B$1,"")</f>
        <v/>
      </c>
      <c r="E83" s="277"/>
      <c r="G83" t="str">
        <f t="shared" si="3"/>
        <v/>
      </c>
      <c r="I83" t="str">
        <f t="shared" si="4"/>
        <v/>
      </c>
    </row>
    <row r="84" spans="1:9">
      <c r="A84" s="230" t="str">
        <f>IF(F84&gt;0,基础信息!$B$1,"")</f>
        <v/>
      </c>
      <c r="E84" s="277"/>
      <c r="G84" t="str">
        <f t="shared" si="3"/>
        <v/>
      </c>
      <c r="I84" t="str">
        <f t="shared" si="4"/>
        <v/>
      </c>
    </row>
    <row r="85" spans="1:9">
      <c r="A85" s="230" t="str">
        <f>IF(F85&gt;0,基础信息!$B$1,"")</f>
        <v/>
      </c>
      <c r="E85" s="277"/>
      <c r="G85" t="str">
        <f t="shared" si="3"/>
        <v/>
      </c>
      <c r="I85" t="str">
        <f t="shared" si="4"/>
        <v/>
      </c>
    </row>
    <row r="86" spans="1:9">
      <c r="A86" s="230" t="str">
        <f>IF(F86&gt;0,基础信息!$B$1,"")</f>
        <v/>
      </c>
      <c r="E86" s="277"/>
      <c r="G86" t="str">
        <f t="shared" si="3"/>
        <v/>
      </c>
      <c r="I86" t="str">
        <f t="shared" si="4"/>
        <v/>
      </c>
    </row>
    <row r="87" spans="1:9">
      <c r="A87" s="230" t="str">
        <f>IF(F87&gt;0,基础信息!$B$1,"")</f>
        <v/>
      </c>
      <c r="E87" s="277"/>
      <c r="G87" t="str">
        <f t="shared" si="3"/>
        <v/>
      </c>
      <c r="I87" t="str">
        <f t="shared" si="4"/>
        <v/>
      </c>
    </row>
    <row r="88" spans="1:9">
      <c r="A88" s="230" t="str">
        <f>IF(F88&gt;0,基础信息!$B$1,"")</f>
        <v/>
      </c>
      <c r="E88" s="277"/>
      <c r="G88" t="str">
        <f t="shared" si="3"/>
        <v/>
      </c>
      <c r="I88" t="str">
        <f t="shared" si="4"/>
        <v/>
      </c>
    </row>
    <row r="89" spans="1:9">
      <c r="A89" s="230" t="str">
        <f>IF(F89&gt;0,基础信息!$B$1,"")</f>
        <v/>
      </c>
      <c r="E89" s="277"/>
      <c r="I89" t="str">
        <f t="shared" si="4"/>
        <v/>
      </c>
    </row>
    <row r="90" spans="1:9">
      <c r="A90" s="230" t="str">
        <f>IF(F90&gt;0,基础信息!$B$1,"")</f>
        <v/>
      </c>
      <c r="E90" s="277"/>
      <c r="I90" t="str">
        <f t="shared" si="4"/>
        <v/>
      </c>
    </row>
    <row r="91" spans="1:9">
      <c r="A91" s="230" t="str">
        <f>IF(F91&gt;0,基础信息!$B$1,"")</f>
        <v/>
      </c>
      <c r="E91" s="277"/>
      <c r="I91" t="str">
        <f t="shared" si="4"/>
        <v/>
      </c>
    </row>
    <row r="92" spans="1:9">
      <c r="A92" s="230" t="str">
        <f>IF(F92&gt;0,基础信息!$B$1,"")</f>
        <v/>
      </c>
      <c r="E92" s="277"/>
      <c r="I92" t="str">
        <f t="shared" si="4"/>
        <v/>
      </c>
    </row>
    <row r="93" spans="1:9">
      <c r="A93" s="230" t="str">
        <f>IF(F93&gt;0,基础信息!$B$1,"")</f>
        <v/>
      </c>
      <c r="E93" s="277"/>
      <c r="I93" t="str">
        <f t="shared" si="4"/>
        <v/>
      </c>
    </row>
    <row r="94" spans="1:9">
      <c r="A94" s="230" t="str">
        <f>IF(F94&gt;0,基础信息!$B$1,"")</f>
        <v/>
      </c>
      <c r="E94" s="277"/>
      <c r="I94" t="str">
        <f t="shared" si="4"/>
        <v/>
      </c>
    </row>
    <row r="95" spans="1:9">
      <c r="A95" s="230" t="str">
        <f>IF(F95&gt;0,基础信息!$B$1,"")</f>
        <v/>
      </c>
      <c r="E95" s="277"/>
      <c r="I95" t="str">
        <f t="shared" si="4"/>
        <v/>
      </c>
    </row>
    <row r="96" spans="1:9">
      <c r="A96" s="230" t="str">
        <f>IF(F96&gt;0,基础信息!$B$1,"")</f>
        <v/>
      </c>
      <c r="E96" s="277"/>
      <c r="I96" t="str">
        <f t="shared" si="4"/>
        <v/>
      </c>
    </row>
    <row r="97" spans="1:9">
      <c r="A97" s="230" t="str">
        <f>IF(F97&gt;0,基础信息!$B$1,"")</f>
        <v/>
      </c>
      <c r="E97" s="277"/>
      <c r="I97" t="str">
        <f t="shared" si="4"/>
        <v/>
      </c>
    </row>
    <row r="98" spans="1:9">
      <c r="A98" s="230" t="str">
        <f>IF(F98&gt;0,基础信息!$B$1,"")</f>
        <v/>
      </c>
      <c r="E98" s="277"/>
      <c r="I98" t="str">
        <f t="shared" si="4"/>
        <v/>
      </c>
    </row>
    <row r="99" spans="1:9">
      <c r="A99" s="230" t="str">
        <f>IF(F99&gt;0,基础信息!$B$1,"")</f>
        <v/>
      </c>
      <c r="E99" s="277"/>
      <c r="I99" t="str">
        <f t="shared" si="4"/>
        <v/>
      </c>
    </row>
    <row r="100" spans="1:9">
      <c r="A100" s="230" t="str">
        <f>IF(F100&gt;0,基础信息!$B$1,"")</f>
        <v/>
      </c>
      <c r="E100" s="277"/>
      <c r="I100" t="str">
        <f t="shared" si="4"/>
        <v/>
      </c>
    </row>
    <row r="101" spans="1:9">
      <c r="A101" s="230" t="str">
        <f>IF(F101&gt;0,基础信息!$B$1,"")</f>
        <v/>
      </c>
      <c r="E101" s="277"/>
      <c r="I101" t="str">
        <f t="shared" si="4"/>
        <v/>
      </c>
    </row>
    <row r="102" spans="1:9">
      <c r="A102" s="230" t="str">
        <f>IF(F102&gt;0,基础信息!$B$1,"")</f>
        <v/>
      </c>
      <c r="E102" s="277"/>
      <c r="I102" t="str">
        <f t="shared" si="4"/>
        <v/>
      </c>
    </row>
    <row r="103" spans="1:9">
      <c r="A103" s="230" t="str">
        <f>IF(F103&gt;0,基础信息!$B$1,"")</f>
        <v/>
      </c>
      <c r="E103" s="277"/>
      <c r="I103" t="str">
        <f t="shared" si="4"/>
        <v/>
      </c>
    </row>
    <row r="104" spans="1:9">
      <c r="A104" s="230" t="str">
        <f>IF(F104&gt;0,基础信息!$B$1,"")</f>
        <v/>
      </c>
      <c r="E104" s="277"/>
      <c r="I104" t="str">
        <f t="shared" si="4"/>
        <v/>
      </c>
    </row>
    <row r="105" spans="1:9">
      <c r="A105" s="230" t="str">
        <f>IF(F105&gt;0,基础信息!$B$1,"")</f>
        <v/>
      </c>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codeName="Sheet204">
    <tabColor rgb="FFFFC000"/>
  </sheetPr>
  <dimension ref="A1:F6"/>
  <sheetViews>
    <sheetView workbookViewId="0">
      <selection activeCell="H14" sqref="H1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4228</v>
      </c>
      <c r="C1" s="20" t="s">
        <v>469</v>
      </c>
      <c r="D1" s="20" t="s">
        <v>378</v>
      </c>
      <c r="E1" s="20" t="s">
        <v>379</v>
      </c>
      <c r="F1" s="20" t="s">
        <v>470</v>
      </c>
    </row>
    <row r="2" spans="1:6" ht="14.4">
      <c r="A2" s="38" t="s">
        <v>2524</v>
      </c>
      <c r="B2" s="298">
        <f>ROUND(SUMIF(暂时闲置的固定资产明细表!C:C,暂时闲置的固定资产情况!A2,暂时闲置的固定资产明细表!D:D),2)</f>
        <v>0</v>
      </c>
      <c r="C2" s="298">
        <f>ROUND(SUMIF(暂时闲置的固定资产明细表!C:C,暂时闲置的固定资产情况!A2,暂时闲置的固定资产明细表!E:E),2)</f>
        <v>0</v>
      </c>
      <c r="D2" s="298">
        <f>ROUND(SUMIF(暂时闲置的固定资产明细表!C:C,暂时闲置的固定资产情况!A2,暂时闲置的固定资产明细表!F:F),2)</f>
        <v>0</v>
      </c>
      <c r="E2" s="152">
        <f>ROUND(B2-C2-D2,2)</f>
        <v>0</v>
      </c>
      <c r="F2" s="41"/>
    </row>
    <row r="3" spans="1:6" ht="14.4">
      <c r="A3" s="38" t="s">
        <v>3137</v>
      </c>
      <c r="B3" s="298">
        <f>ROUND(SUMIF(暂时闲置的固定资产明细表!C:C,暂时闲置的固定资产情况!A3,暂时闲置的固定资产明细表!D:D),2)</f>
        <v>0</v>
      </c>
      <c r="C3" s="298">
        <f>ROUND(SUMIF(暂时闲置的固定资产明细表!C:C,暂时闲置的固定资产情况!A3,暂时闲置的固定资产明细表!E:E),2)</f>
        <v>0</v>
      </c>
      <c r="D3" s="298">
        <f>ROUND(SUMIF(暂时闲置的固定资产明细表!C:C,暂时闲置的固定资产情况!A3,暂时闲置的固定资产明细表!F:F),2)</f>
        <v>0</v>
      </c>
      <c r="E3" s="152">
        <f>ROUND(B3-C3-D3,2)</f>
        <v>0</v>
      </c>
      <c r="F3" s="41"/>
    </row>
    <row r="4" spans="1:6" ht="14.4">
      <c r="A4" s="38" t="s">
        <v>466</v>
      </c>
      <c r="B4" s="298">
        <f>ROUND(SUMIF(暂时闲置的固定资产明细表!C:C,暂时闲置的固定资产情况!A4,暂时闲置的固定资产明细表!D:D),2)</f>
        <v>0</v>
      </c>
      <c r="C4" s="298">
        <f>ROUND(SUMIF(暂时闲置的固定资产明细表!C:C,暂时闲置的固定资产情况!A4,暂时闲置的固定资产明细表!E:E),2)</f>
        <v>0</v>
      </c>
      <c r="D4" s="298">
        <f>ROUND(SUMIF(暂时闲置的固定资产明细表!C:C,暂时闲置的固定资产情况!A4,暂时闲置的固定资产明细表!F:F),2)</f>
        <v>0</v>
      </c>
      <c r="E4" s="152">
        <f>ROUND(B4-C4-D4,2)</f>
        <v>0</v>
      </c>
      <c r="F4" s="41"/>
    </row>
    <row r="5" spans="1:6" ht="14.4">
      <c r="A5" s="38"/>
      <c r="B5" s="298">
        <f>ROUND(SUMIF(暂时闲置的固定资产明细表!C:C,暂时闲置的固定资产情况!A5,暂时闲置的固定资产明细表!D:D),2)</f>
        <v>0</v>
      </c>
      <c r="C5" s="298">
        <f>ROUND(SUMIF(暂时闲置的固定资产明细表!C:C,暂时闲置的固定资产情况!A5,暂时闲置的固定资产明细表!E:E),2)</f>
        <v>0</v>
      </c>
      <c r="D5" s="298">
        <f>ROUND(SUMIF(暂时闲置的固定资产明细表!C:C,暂时闲置的固定资产情况!A5,暂时闲置的固定资产明细表!F:F),2)</f>
        <v>0</v>
      </c>
      <c r="E5" s="152">
        <f>ROUND(B5-C5-D5,2)</f>
        <v>0</v>
      </c>
      <c r="F5" s="41"/>
    </row>
    <row r="6" spans="1:6" ht="14.4">
      <c r="A6" s="20" t="s">
        <v>204</v>
      </c>
      <c r="B6" s="152">
        <f>ROUND(SUM(B2:B5),2)</f>
        <v>0</v>
      </c>
      <c r="C6" s="152">
        <f>ROUND(SUM(C2:C5),2)</f>
        <v>0</v>
      </c>
      <c r="D6" s="152">
        <f>ROUND(SUM(D2:D5),2)</f>
        <v>0</v>
      </c>
      <c r="E6" s="152">
        <f>ROUND(SUM(E2:E5),2)</f>
        <v>0</v>
      </c>
      <c r="F6" s="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sheetPr codeName="Sheet205"/>
  <dimension ref="A1:J21"/>
  <sheetViews>
    <sheetView workbookViewId="0">
      <selection activeCell="J4" sqref="J4"/>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2427</v>
      </c>
      <c r="B1" t="s">
        <v>4420</v>
      </c>
      <c r="C1" t="s">
        <v>4411</v>
      </c>
      <c r="D1" t="s">
        <v>4266</v>
      </c>
      <c r="E1" t="s">
        <v>4415</v>
      </c>
      <c r="F1" t="s">
        <v>4416</v>
      </c>
      <c r="G1" t="s">
        <v>4417</v>
      </c>
      <c r="H1" t="s">
        <v>4418</v>
      </c>
      <c r="I1" t="s">
        <v>4419</v>
      </c>
      <c r="J1" t="s">
        <v>470</v>
      </c>
    </row>
    <row r="2" spans="1:10">
      <c r="A2" t="str">
        <f>IF(D2&gt;0,基础信息!$B$1,"")</f>
        <v/>
      </c>
      <c r="B2" s="256"/>
      <c r="C2" s="277"/>
      <c r="D2" s="256"/>
      <c r="E2" s="256"/>
      <c r="F2" s="256"/>
      <c r="G2">
        <f>D2-E2-F2</f>
        <v>0</v>
      </c>
      <c r="H2" s="256"/>
      <c r="I2" s="256"/>
      <c r="J2" s="256"/>
    </row>
    <row r="3" spans="1:10">
      <c r="A3" t="str">
        <f>IF(D3&gt;0,基础信息!$B$1,"")</f>
        <v/>
      </c>
      <c r="B3" s="256"/>
      <c r="C3" s="277"/>
      <c r="D3" s="256"/>
      <c r="E3" s="256"/>
      <c r="F3" s="256"/>
      <c r="G3">
        <f>D3-E3-F3</f>
        <v>0</v>
      </c>
      <c r="H3" s="256"/>
      <c r="I3" s="256"/>
      <c r="J3" s="256"/>
    </row>
    <row r="4" spans="1:10">
      <c r="A4" t="str">
        <f>IF(D4&gt;0,基础信息!$B$1,"")</f>
        <v/>
      </c>
      <c r="B4" s="256"/>
      <c r="C4" s="277"/>
      <c r="D4" s="256"/>
      <c r="E4" s="256"/>
      <c r="F4" s="256"/>
      <c r="G4">
        <f>D4-E4-F4</f>
        <v>0</v>
      </c>
      <c r="H4" s="256"/>
      <c r="I4" s="256"/>
      <c r="J4" s="256"/>
    </row>
    <row r="5" spans="1:10">
      <c r="A5" t="str">
        <f>IF(D5&gt;0,基础信息!$B$1,"")</f>
        <v/>
      </c>
      <c r="B5" s="256"/>
      <c r="C5" s="277"/>
      <c r="D5" s="256"/>
      <c r="E5" s="256"/>
      <c r="F5" s="256"/>
      <c r="G5">
        <f t="shared" ref="G5:G21" si="0">D5-E5-F5</f>
        <v>0</v>
      </c>
      <c r="H5" s="256"/>
      <c r="I5" s="256"/>
      <c r="J5" s="256"/>
    </row>
    <row r="6" spans="1:10">
      <c r="A6" t="str">
        <f>IF(D6&gt;0,基础信息!$B$1,"")</f>
        <v/>
      </c>
      <c r="B6" s="256"/>
      <c r="C6" s="277"/>
      <c r="D6" s="256"/>
      <c r="E6" s="256"/>
      <c r="F6" s="256"/>
      <c r="G6">
        <f t="shared" si="0"/>
        <v>0</v>
      </c>
      <c r="H6" s="256"/>
      <c r="I6" s="256"/>
      <c r="J6" s="256"/>
    </row>
    <row r="7" spans="1:10">
      <c r="A7" t="str">
        <f>IF(D7&gt;0,基础信息!$B$1,"")</f>
        <v/>
      </c>
      <c r="B7" s="256"/>
      <c r="C7" s="277"/>
      <c r="D7" s="256"/>
      <c r="E7" s="256"/>
      <c r="F7" s="256"/>
      <c r="G7">
        <f t="shared" si="0"/>
        <v>0</v>
      </c>
      <c r="H7" s="256"/>
      <c r="I7" s="256"/>
      <c r="J7" s="256"/>
    </row>
    <row r="8" spans="1:10">
      <c r="A8" t="str">
        <f>IF(D8&gt;0,基础信息!$B$1,"")</f>
        <v/>
      </c>
      <c r="B8" s="256"/>
      <c r="C8" s="277"/>
      <c r="D8" s="256"/>
      <c r="E8" s="256"/>
      <c r="F8" s="256"/>
      <c r="G8">
        <f t="shared" si="0"/>
        <v>0</v>
      </c>
      <c r="H8" s="256"/>
      <c r="I8" s="256"/>
      <c r="J8" s="256"/>
    </row>
    <row r="9" spans="1:10">
      <c r="A9" t="str">
        <f>IF(D9&gt;0,基础信息!$B$1,"")</f>
        <v/>
      </c>
      <c r="B9" s="256"/>
      <c r="C9" s="277"/>
      <c r="D9" s="256"/>
      <c r="E9" s="256"/>
      <c r="F9" s="256"/>
      <c r="G9">
        <f t="shared" si="0"/>
        <v>0</v>
      </c>
      <c r="H9" s="256"/>
      <c r="I9" s="256"/>
      <c r="J9" s="256"/>
    </row>
    <row r="10" spans="1:10">
      <c r="A10" t="str">
        <f>IF(D10&gt;0,基础信息!$B$1,"")</f>
        <v/>
      </c>
      <c r="B10" s="256"/>
      <c r="C10" s="277"/>
      <c r="D10" s="256"/>
      <c r="E10" s="256"/>
      <c r="F10" s="256"/>
      <c r="G10">
        <f t="shared" si="0"/>
        <v>0</v>
      </c>
      <c r="H10" s="256"/>
      <c r="I10" s="256"/>
      <c r="J10" s="256"/>
    </row>
    <row r="11" spans="1:10">
      <c r="A11" t="str">
        <f>IF(D11&gt;0,基础信息!$B$1,"")</f>
        <v/>
      </c>
      <c r="B11" s="256"/>
      <c r="C11" s="277"/>
      <c r="D11" s="256"/>
      <c r="E11" s="256"/>
      <c r="F11" s="256"/>
      <c r="G11">
        <f t="shared" si="0"/>
        <v>0</v>
      </c>
      <c r="H11" s="256"/>
      <c r="I11" s="256"/>
      <c r="J11" s="256"/>
    </row>
    <row r="12" spans="1:10">
      <c r="A12" t="str">
        <f>IF(D12&gt;0,基础信息!$B$1,"")</f>
        <v/>
      </c>
      <c r="B12" s="256"/>
      <c r="C12" s="277"/>
      <c r="D12" s="256"/>
      <c r="E12" s="256"/>
      <c r="F12" s="256"/>
      <c r="G12">
        <f t="shared" si="0"/>
        <v>0</v>
      </c>
      <c r="H12" s="256"/>
      <c r="I12" s="256"/>
      <c r="J12" s="256"/>
    </row>
    <row r="13" spans="1:10">
      <c r="A13" t="str">
        <f>IF(D13&gt;0,基础信息!$B$1,"")</f>
        <v/>
      </c>
      <c r="B13" s="256"/>
      <c r="C13" s="277"/>
      <c r="D13" s="256"/>
      <c r="E13" s="256"/>
      <c r="F13" s="256"/>
      <c r="G13">
        <f t="shared" si="0"/>
        <v>0</v>
      </c>
      <c r="H13" s="256"/>
      <c r="I13" s="256"/>
      <c r="J13" s="256"/>
    </row>
    <row r="14" spans="1:10">
      <c r="A14" t="str">
        <f>IF(D14&gt;0,基础信息!$B$1,"")</f>
        <v/>
      </c>
      <c r="B14" s="256"/>
      <c r="C14" s="277"/>
      <c r="D14" s="256"/>
      <c r="E14" s="256"/>
      <c r="F14" s="256"/>
      <c r="G14">
        <f t="shared" si="0"/>
        <v>0</v>
      </c>
      <c r="H14" s="256"/>
      <c r="I14" s="256"/>
      <c r="J14" s="256"/>
    </row>
    <row r="15" spans="1:10">
      <c r="A15" t="str">
        <f>IF(D15&gt;0,基础信息!$B$1,"")</f>
        <v/>
      </c>
      <c r="B15" s="256"/>
      <c r="C15" s="277"/>
      <c r="D15" s="256"/>
      <c r="E15" s="256"/>
      <c r="F15" s="256"/>
      <c r="G15">
        <f t="shared" si="0"/>
        <v>0</v>
      </c>
      <c r="H15" s="256"/>
      <c r="I15" s="256"/>
      <c r="J15" s="256"/>
    </row>
    <row r="16" spans="1:10">
      <c r="A16" t="str">
        <f>IF(D16&gt;0,基础信息!$B$1,"")</f>
        <v/>
      </c>
      <c r="B16" s="256"/>
      <c r="C16" s="277"/>
      <c r="D16" s="256"/>
      <c r="E16" s="256"/>
      <c r="F16" s="256"/>
      <c r="G16">
        <f t="shared" si="0"/>
        <v>0</v>
      </c>
      <c r="H16" s="256"/>
      <c r="I16" s="256"/>
      <c r="J16" s="256"/>
    </row>
    <row r="17" spans="1:10">
      <c r="A17" t="str">
        <f>IF(D17&gt;0,基础信息!$B$1,"")</f>
        <v/>
      </c>
      <c r="B17" s="256"/>
      <c r="C17" s="277"/>
      <c r="D17" s="256"/>
      <c r="E17" s="256"/>
      <c r="F17" s="256"/>
      <c r="G17">
        <f t="shared" si="0"/>
        <v>0</v>
      </c>
      <c r="H17" s="256"/>
      <c r="I17" s="256"/>
      <c r="J17" s="256"/>
    </row>
    <row r="18" spans="1:10">
      <c r="A18" t="str">
        <f>IF(D18&gt;0,基础信息!$B$1,"")</f>
        <v/>
      </c>
      <c r="B18" s="256"/>
      <c r="C18" s="277"/>
      <c r="D18" s="256"/>
      <c r="E18" s="256"/>
      <c r="F18" s="256"/>
      <c r="G18">
        <f t="shared" si="0"/>
        <v>0</v>
      </c>
      <c r="H18" s="256"/>
      <c r="I18" s="256"/>
      <c r="J18" s="256"/>
    </row>
    <row r="19" spans="1:10">
      <c r="A19" t="str">
        <f>IF(D19&gt;0,基础信息!$B$1,"")</f>
        <v/>
      </c>
      <c r="B19" s="256"/>
      <c r="C19" s="277"/>
      <c r="D19" s="256"/>
      <c r="E19" s="256"/>
      <c r="F19" s="256"/>
      <c r="G19">
        <f t="shared" si="0"/>
        <v>0</v>
      </c>
      <c r="H19" s="256"/>
      <c r="I19" s="256"/>
      <c r="J19" s="256"/>
    </row>
    <row r="20" spans="1:10">
      <c r="A20" t="str">
        <f>IF(D20&gt;0,基础信息!$B$1,"")</f>
        <v/>
      </c>
      <c r="B20" s="256"/>
      <c r="C20" s="277"/>
      <c r="D20" s="256"/>
      <c r="E20" s="256"/>
      <c r="F20" s="256"/>
      <c r="G20">
        <f t="shared" si="0"/>
        <v>0</v>
      </c>
      <c r="H20" s="256"/>
      <c r="I20" s="256"/>
      <c r="J20" s="256"/>
    </row>
    <row r="21" spans="1:10">
      <c r="A21" t="str">
        <f>IF(D21&gt;0,基础信息!$B$1,"")</f>
        <v/>
      </c>
      <c r="B21" s="256"/>
      <c r="C21" s="277"/>
      <c r="D21" s="256"/>
      <c r="E21" s="256"/>
      <c r="F21" s="256"/>
      <c r="G21">
        <f t="shared" si="0"/>
        <v>0</v>
      </c>
      <c r="H21" s="256"/>
      <c r="I21" s="256"/>
      <c r="J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codeName="Sheet206">
    <tabColor rgb="FFFFC000"/>
  </sheetPr>
  <dimension ref="A1:B7"/>
  <sheetViews>
    <sheetView workbookViewId="0">
      <selection activeCell="G14" sqref="G14"/>
    </sheetView>
  </sheetViews>
  <sheetFormatPr defaultRowHeight="13.8"/>
  <cols>
    <col min="1" max="1" width="13.88671875" style="18" bestFit="1" customWidth="1"/>
    <col min="2" max="2" width="15" style="1" bestFit="1" customWidth="1"/>
    <col min="3" max="16384" width="8.88671875" style="18"/>
  </cols>
  <sheetData>
    <row r="1" spans="1:2" ht="14.4">
      <c r="A1" s="31" t="s">
        <v>28</v>
      </c>
      <c r="B1" s="154" t="s">
        <v>4213</v>
      </c>
    </row>
    <row r="2" spans="1:2" ht="14.4">
      <c r="A2" s="32" t="s">
        <v>453</v>
      </c>
      <c r="B2" s="295">
        <f>ROUND(SUMIF(经营租赁租出固定资产明细表!C:C,通过经营租赁租出的固定资产!A2,经营租赁租出固定资产明细表!G:G),2)</f>
        <v>0</v>
      </c>
    </row>
    <row r="3" spans="1:2" ht="14.4">
      <c r="A3" s="32" t="s">
        <v>471</v>
      </c>
      <c r="B3" s="295">
        <f>ROUND(SUMIF(经营租赁租出固定资产明细表!C:C,通过经营租赁租出的固定资产!A3,经营租赁租出固定资产明细表!G:G),2)</f>
        <v>0</v>
      </c>
    </row>
    <row r="4" spans="1:2" ht="14.4">
      <c r="A4" s="32" t="s">
        <v>472</v>
      </c>
      <c r="B4" s="295">
        <f>ROUND(SUMIF(经营租赁租出固定资产明细表!C:C,通过经营租赁租出的固定资产!A4,经营租赁租出固定资产明细表!G:G),2)</f>
        <v>0</v>
      </c>
    </row>
    <row r="5" spans="1:2" ht="14.4">
      <c r="A5" s="32" t="s">
        <v>473</v>
      </c>
      <c r="B5" s="295">
        <f>ROUND(SUMIF(经营租赁租出固定资产明细表!C:C,通过经营租赁租出的固定资产!A5,经营租赁租出固定资产明细表!G:G),2)</f>
        <v>0</v>
      </c>
    </row>
    <row r="6" spans="1:2" ht="14.4">
      <c r="A6" s="32" t="s">
        <v>474</v>
      </c>
      <c r="B6" s="295">
        <f>ROUND(SUMIF(经营租赁租出固定资产明细表!C:C,通过经营租赁租出的固定资产!A6,经营租赁租出固定资产明细表!G:G),2)</f>
        <v>0</v>
      </c>
    </row>
    <row r="7" spans="1:2" ht="14.4">
      <c r="A7" s="31" t="s">
        <v>2449</v>
      </c>
      <c r="B7" s="559">
        <f>ROUND(SUM(B2:B6),2)</f>
        <v>0</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sheetPr codeName="Sheet207"/>
  <dimension ref="A1:I21"/>
  <sheetViews>
    <sheetView workbookViewId="0">
      <selection activeCell="I5" sqref="I5"/>
    </sheetView>
  </sheetViews>
  <sheetFormatPr defaultRowHeight="13.8"/>
  <cols>
    <col min="3" max="3" width="9.5546875" bestFit="1" customWidth="1"/>
    <col min="7" max="7" width="10.6640625" style="230" bestFit="1" customWidth="1"/>
    <col min="8" max="9" width="9.5546875" bestFit="1" customWidth="1"/>
  </cols>
  <sheetData>
    <row r="1" spans="1:9">
      <c r="A1" t="s">
        <v>2427</v>
      </c>
      <c r="B1" t="s">
        <v>4420</v>
      </c>
      <c r="C1" t="s">
        <v>4411</v>
      </c>
      <c r="D1" t="s">
        <v>4266</v>
      </c>
      <c r="E1" t="s">
        <v>4415</v>
      </c>
      <c r="F1" t="s">
        <v>4416</v>
      </c>
      <c r="G1" s="230" t="s">
        <v>4417</v>
      </c>
      <c r="H1" t="s">
        <v>4422</v>
      </c>
      <c r="I1" t="s">
        <v>4421</v>
      </c>
    </row>
    <row r="2" spans="1:9">
      <c r="A2" t="str">
        <f>IF(D2&gt;0,基础信息!$B$1,"")</f>
        <v/>
      </c>
      <c r="B2" s="256"/>
      <c r="C2" s="277"/>
      <c r="D2" s="256"/>
      <c r="E2" s="256"/>
      <c r="F2" s="256"/>
      <c r="G2" s="230">
        <f>D2-E2-F2</f>
        <v>0</v>
      </c>
    </row>
    <row r="3" spans="1:9">
      <c r="A3" t="str">
        <f>IF(D3&gt;0,基础信息!$B$1,"")</f>
        <v/>
      </c>
      <c r="B3" s="256"/>
      <c r="C3" s="277"/>
      <c r="D3" s="256"/>
      <c r="E3" s="256"/>
      <c r="F3" s="256"/>
      <c r="G3" s="230">
        <f>D3-E3-F3</f>
        <v>0</v>
      </c>
    </row>
    <row r="4" spans="1:9">
      <c r="A4" t="str">
        <f>IF(D4&gt;0,基础信息!$B$1,"")</f>
        <v/>
      </c>
      <c r="B4" s="256"/>
      <c r="C4" s="277"/>
      <c r="D4" s="256"/>
      <c r="E4" s="256"/>
      <c r="F4" s="256"/>
      <c r="G4" s="230">
        <f>D4-E4-F4</f>
        <v>0</v>
      </c>
    </row>
    <row r="5" spans="1:9">
      <c r="A5" t="str">
        <f>IF(D5&gt;0,基础信息!$B$1,"")</f>
        <v/>
      </c>
      <c r="B5" s="256"/>
      <c r="C5" s="277"/>
      <c r="D5" s="256"/>
      <c r="E5" s="256"/>
      <c r="F5" s="256"/>
      <c r="G5" s="230">
        <f t="shared" ref="G5:G21" si="0">D5-E5-F5</f>
        <v>0</v>
      </c>
    </row>
    <row r="6" spans="1:9">
      <c r="A6" t="str">
        <f>IF(D6&gt;0,基础信息!$B$1,"")</f>
        <v/>
      </c>
      <c r="B6" s="256"/>
      <c r="C6" s="277"/>
      <c r="D6" s="256"/>
      <c r="E6" s="256"/>
      <c r="F6" s="256"/>
      <c r="G6" s="230">
        <f t="shared" si="0"/>
        <v>0</v>
      </c>
    </row>
    <row r="7" spans="1:9">
      <c r="A7" t="str">
        <f>IF(D7&gt;0,基础信息!$B$1,"")</f>
        <v/>
      </c>
      <c r="B7" s="256"/>
      <c r="C7" s="277"/>
      <c r="D7" s="256"/>
      <c r="E7" s="256"/>
      <c r="F7" s="256"/>
      <c r="G7" s="230">
        <f t="shared" si="0"/>
        <v>0</v>
      </c>
    </row>
    <row r="8" spans="1:9">
      <c r="A8" t="str">
        <f>IF(D8&gt;0,基础信息!$B$1,"")</f>
        <v/>
      </c>
      <c r="B8" s="256"/>
      <c r="C8" s="277"/>
      <c r="D8" s="256"/>
      <c r="E8" s="256"/>
      <c r="F8" s="256"/>
      <c r="G8" s="230">
        <f t="shared" si="0"/>
        <v>0</v>
      </c>
    </row>
    <row r="9" spans="1:9">
      <c r="A9" t="str">
        <f>IF(D9&gt;0,基础信息!$B$1,"")</f>
        <v/>
      </c>
      <c r="B9" s="256"/>
      <c r="C9" s="277"/>
      <c r="D9" s="256"/>
      <c r="E9" s="256"/>
      <c r="F9" s="256"/>
      <c r="G9" s="230">
        <f t="shared" si="0"/>
        <v>0</v>
      </c>
    </row>
    <row r="10" spans="1:9">
      <c r="A10" t="str">
        <f>IF(D10&gt;0,基础信息!$B$1,"")</f>
        <v/>
      </c>
      <c r="B10" s="256"/>
      <c r="C10" s="277"/>
      <c r="D10" s="256"/>
      <c r="E10" s="256"/>
      <c r="F10" s="256"/>
      <c r="G10" s="230">
        <f t="shared" si="0"/>
        <v>0</v>
      </c>
    </row>
    <row r="11" spans="1:9">
      <c r="A11" t="str">
        <f>IF(D11&gt;0,基础信息!$B$1,"")</f>
        <v/>
      </c>
      <c r="B11" s="256"/>
      <c r="C11" s="277"/>
      <c r="D11" s="256"/>
      <c r="E11" s="256"/>
      <c r="F11" s="256"/>
      <c r="G11" s="230">
        <f t="shared" si="0"/>
        <v>0</v>
      </c>
    </row>
    <row r="12" spans="1:9">
      <c r="A12" t="str">
        <f>IF(D12&gt;0,基础信息!$B$1,"")</f>
        <v/>
      </c>
      <c r="B12" s="256"/>
      <c r="C12" s="277"/>
      <c r="D12" s="256"/>
      <c r="E12" s="256"/>
      <c r="F12" s="256"/>
      <c r="G12" s="230">
        <f t="shared" si="0"/>
        <v>0</v>
      </c>
    </row>
    <row r="13" spans="1:9">
      <c r="A13" t="str">
        <f>IF(D13&gt;0,基础信息!$B$1,"")</f>
        <v/>
      </c>
      <c r="B13" s="256"/>
      <c r="C13" s="277"/>
      <c r="D13" s="256"/>
      <c r="E13" s="256"/>
      <c r="F13" s="256"/>
      <c r="G13" s="230">
        <f t="shared" si="0"/>
        <v>0</v>
      </c>
    </row>
    <row r="14" spans="1:9">
      <c r="A14" t="str">
        <f>IF(D14&gt;0,基础信息!$B$1,"")</f>
        <v/>
      </c>
      <c r="B14" s="256"/>
      <c r="C14" s="277"/>
      <c r="D14" s="256"/>
      <c r="E14" s="256"/>
      <c r="F14" s="256"/>
      <c r="G14" s="230">
        <f t="shared" si="0"/>
        <v>0</v>
      </c>
    </row>
    <row r="15" spans="1:9">
      <c r="A15" t="str">
        <f>IF(D15&gt;0,基础信息!$B$1,"")</f>
        <v/>
      </c>
      <c r="B15" s="256"/>
      <c r="C15" s="277"/>
      <c r="D15" s="256"/>
      <c r="E15" s="256"/>
      <c r="F15" s="256"/>
      <c r="G15" s="230">
        <f t="shared" si="0"/>
        <v>0</v>
      </c>
    </row>
    <row r="16" spans="1:9">
      <c r="A16" t="str">
        <f>IF(D16&gt;0,基础信息!$B$1,"")</f>
        <v/>
      </c>
      <c r="B16" s="256"/>
      <c r="C16" s="277"/>
      <c r="D16" s="256"/>
      <c r="E16" s="256"/>
      <c r="F16" s="256"/>
      <c r="G16" s="230">
        <f t="shared" si="0"/>
        <v>0</v>
      </c>
    </row>
    <row r="17" spans="1:7">
      <c r="A17" t="str">
        <f>IF(D17&gt;0,基础信息!$B$1,"")</f>
        <v/>
      </c>
      <c r="B17" s="256"/>
      <c r="C17" s="277"/>
      <c r="D17" s="256"/>
      <c r="E17" s="256"/>
      <c r="F17" s="256"/>
      <c r="G17" s="230">
        <f t="shared" si="0"/>
        <v>0</v>
      </c>
    </row>
    <row r="18" spans="1:7">
      <c r="A18" t="str">
        <f>IF(D18&gt;0,基础信息!$B$1,"")</f>
        <v/>
      </c>
      <c r="B18" s="256"/>
      <c r="C18" s="277"/>
      <c r="D18" s="256"/>
      <c r="E18" s="256"/>
      <c r="F18" s="256"/>
      <c r="G18" s="230">
        <f t="shared" si="0"/>
        <v>0</v>
      </c>
    </row>
    <row r="19" spans="1:7">
      <c r="A19" t="str">
        <f>IF(D19&gt;0,基础信息!$B$1,"")</f>
        <v/>
      </c>
      <c r="B19" s="256"/>
      <c r="C19" s="277"/>
      <c r="D19" s="256"/>
      <c r="E19" s="256"/>
      <c r="F19" s="256"/>
      <c r="G19" s="230">
        <f t="shared" si="0"/>
        <v>0</v>
      </c>
    </row>
    <row r="20" spans="1:7">
      <c r="A20" t="str">
        <f>IF(D20&gt;0,基础信息!$B$1,"")</f>
        <v/>
      </c>
      <c r="B20" s="256"/>
      <c r="C20" s="277"/>
      <c r="D20" s="256"/>
      <c r="E20" s="256"/>
      <c r="F20" s="256"/>
      <c r="G20" s="230">
        <f t="shared" si="0"/>
        <v>0</v>
      </c>
    </row>
    <row r="21" spans="1:7">
      <c r="A21" t="str">
        <f>IF(D21&gt;0,基础信息!$B$1,"")</f>
        <v/>
      </c>
      <c r="B21" s="256"/>
      <c r="C21" s="277"/>
      <c r="D21" s="256"/>
      <c r="E21" s="256"/>
      <c r="F21" s="256"/>
      <c r="G21"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codeName="Sheet208">
    <tabColor rgb="FFFFC000"/>
  </sheetPr>
  <dimension ref="A1:C4"/>
  <sheetViews>
    <sheetView workbookViewId="0">
      <selection activeCell="I16" sqref="I16:I17"/>
    </sheetView>
  </sheetViews>
  <sheetFormatPr defaultRowHeight="13.8"/>
  <cols>
    <col min="1" max="2" width="8.88671875" style="18"/>
    <col min="3" max="3" width="23.88671875" style="18" customWidth="1"/>
    <col min="4" max="16384" width="8.88671875" style="18"/>
  </cols>
  <sheetData>
    <row r="1" spans="1:3" ht="14.4">
      <c r="A1" s="20" t="s">
        <v>28</v>
      </c>
      <c r="B1" s="20" t="s">
        <v>4227</v>
      </c>
      <c r="C1" s="20" t="s">
        <v>475</v>
      </c>
    </row>
    <row r="2" spans="1:3">
      <c r="A2" s="560"/>
      <c r="B2" s="557">
        <f>ROUND(SUMIF(未办妥权证的固定资产明细表!C:C,未办妥产权证书的固定资产情况!A2,未办妥权证的固定资产明细表!I:I),2)</f>
        <v>0</v>
      </c>
      <c r="C2" s="276"/>
    </row>
    <row r="3" spans="1:3">
      <c r="A3" s="560"/>
      <c r="B3" s="557">
        <f>ROUND(SUMIF(未办妥权证的固定资产明细表!C:C,未办妥产权证书的固定资产情况!A3,未办妥权证的固定资产明细表!I:I),2)</f>
        <v>0</v>
      </c>
      <c r="C3" s="276"/>
    </row>
    <row r="4" spans="1:3">
      <c r="A4" s="560"/>
      <c r="B4" s="557">
        <f>ROUND(SUMIF(未办妥权证的固定资产明细表!C:C,未办妥产权证书的固定资产情况!A4,未办妥权证的固定资产明细表!I:I),2)</f>
        <v>0</v>
      </c>
      <c r="C4"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sheetPr codeName="Sheet209"/>
  <dimension ref="A1:I28"/>
  <sheetViews>
    <sheetView workbookViewId="0">
      <selection activeCell="H6" sqref="H6"/>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0" bestFit="1" customWidth="1"/>
  </cols>
  <sheetData>
    <row r="1" spans="1:9">
      <c r="A1" t="s">
        <v>2427</v>
      </c>
      <c r="B1" t="s">
        <v>4410</v>
      </c>
      <c r="C1" t="s">
        <v>4411</v>
      </c>
      <c r="D1" t="s">
        <v>464</v>
      </c>
      <c r="E1" t="s">
        <v>4412</v>
      </c>
      <c r="F1" t="s">
        <v>2522</v>
      </c>
      <c r="G1" t="s">
        <v>469</v>
      </c>
      <c r="H1" t="s">
        <v>4413</v>
      </c>
      <c r="I1" s="230" t="s">
        <v>4414</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8"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C25" s="277"/>
      <c r="D25" s="256"/>
      <c r="E25" s="256"/>
      <c r="F25" s="256"/>
      <c r="G25" s="256"/>
      <c r="H25" s="256"/>
      <c r="I25" s="230">
        <f t="shared" si="0"/>
        <v>0</v>
      </c>
    </row>
    <row r="26" spans="1:9">
      <c r="A26" t="str">
        <f>IF(F26&gt;0,基础信息!$B$1,"")</f>
        <v/>
      </c>
      <c r="B26" s="256"/>
      <c r="C26" s="277"/>
      <c r="D26" s="256"/>
      <c r="E26" s="256"/>
      <c r="F26" s="256"/>
      <c r="G26" s="256"/>
      <c r="H26" s="256"/>
      <c r="I26" s="230">
        <f t="shared" si="0"/>
        <v>0</v>
      </c>
    </row>
    <row r="27" spans="1:9">
      <c r="A27" t="str">
        <f>IF(F27&gt;0,基础信息!$B$1,"")</f>
        <v/>
      </c>
      <c r="B27" s="256"/>
      <c r="C27" s="277"/>
      <c r="D27" s="256"/>
      <c r="E27" s="256"/>
      <c r="F27" s="256"/>
      <c r="G27" s="256"/>
      <c r="H27" s="256"/>
      <c r="I27" s="230">
        <f t="shared" si="0"/>
        <v>0</v>
      </c>
    </row>
    <row r="28" spans="1:9">
      <c r="A28" t="str">
        <f>IF(F28&gt;0,基础信息!$B$1,"")</f>
        <v/>
      </c>
      <c r="B28" s="256"/>
      <c r="C28" s="277"/>
      <c r="D28" s="256"/>
      <c r="E28" s="256"/>
      <c r="F28" s="256"/>
      <c r="G28" s="256"/>
      <c r="H28" s="256"/>
      <c r="I28"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codeName="Sheet21">
    <tabColor rgb="FF00B0F0"/>
  </sheetPr>
  <dimension ref="A1:D320"/>
  <sheetViews>
    <sheetView topLeftCell="A25" workbookViewId="0">
      <selection activeCell="C37" sqref="C37"/>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2" t="s">
        <v>1537</v>
      </c>
      <c r="B1" s="1" t="s">
        <v>1539</v>
      </c>
      <c r="C1" s="1" t="s">
        <v>1540</v>
      </c>
    </row>
    <row r="2" spans="1:3">
      <c r="A2" s="251" t="s">
        <v>1541</v>
      </c>
      <c r="B2" s="250"/>
      <c r="C2" s="250"/>
    </row>
    <row r="3" spans="1:3">
      <c r="A3" s="18" t="s">
        <v>1538</v>
      </c>
      <c r="B3" s="1">
        <f>ROUND(资产表!B54-负债表!B75,2)</f>
        <v>-1093140020.0999999</v>
      </c>
      <c r="C3" s="1">
        <f>ROUND(资产表!C54-负债表!C75,2)</f>
        <v>-1133230156.3599999</v>
      </c>
    </row>
    <row r="4" spans="1:3">
      <c r="A4" s="18" t="s">
        <v>1543</v>
      </c>
      <c r="B4" s="1">
        <f>ROUND(负债表!B55-本期所有者权益变动表!B34,2)</f>
        <v>3020000000</v>
      </c>
      <c r="C4" s="1">
        <f>ROUND(负债表!C55-本期所有者权益变动表!B2,2)</f>
        <v>3020000000</v>
      </c>
    </row>
    <row r="5" spans="1:3">
      <c r="A5" s="18" t="s">
        <v>1544</v>
      </c>
      <c r="B5" s="1">
        <f>ROUND(负债表!B56-SUM(本期所有者权益变动表!C34:E34),2)</f>
        <v>0</v>
      </c>
      <c r="C5" s="1">
        <f>ROUND(负债表!C56-SUM(本期所有者权益变动表!C2:E2),2)</f>
        <v>0</v>
      </c>
    </row>
    <row r="6" spans="1:3">
      <c r="A6" s="18" t="s">
        <v>1545</v>
      </c>
      <c r="B6" s="1">
        <f>ROUND(负债表!B57-本期所有者权益变动表!C34,2)</f>
        <v>0</v>
      </c>
      <c r="C6" s="1">
        <f>ROUND(负债表!C57-本期所有者权益变动表!C2,2)</f>
        <v>0</v>
      </c>
    </row>
    <row r="7" spans="1:3">
      <c r="A7" s="18" t="s">
        <v>1546</v>
      </c>
      <c r="B7" s="1">
        <f>ROUND(负债表!B58-本期所有者权益变动表!D34,2)</f>
        <v>0</v>
      </c>
      <c r="C7" s="1">
        <f>ROUND(负债表!C58-本期所有者权益变动表!D2,2)</f>
        <v>0</v>
      </c>
    </row>
    <row r="8" spans="1:3">
      <c r="A8" s="18" t="s">
        <v>1547</v>
      </c>
      <c r="B8" s="1">
        <f>ROUND(负债表!B59-本期所有者权益变动表!F34,2)</f>
        <v>3841836934.0599999</v>
      </c>
      <c r="C8" s="1">
        <f>ROUND(负债表!C59-本期所有者权益变动表!F2,2)</f>
        <v>3841836934.0599999</v>
      </c>
    </row>
    <row r="9" spans="1:3">
      <c r="A9" s="18" t="s">
        <v>1548</v>
      </c>
      <c r="B9" s="1">
        <f>ROUND(负债表!B60-本期所有者权益变动表!G34,2)</f>
        <v>0</v>
      </c>
      <c r="C9" s="1">
        <f>ROUND(负债表!C60-本期所有者权益变动表!G2,2)</f>
        <v>0</v>
      </c>
    </row>
    <row r="10" spans="1:3">
      <c r="A10" s="18" t="s">
        <v>1549</v>
      </c>
      <c r="B10" s="1">
        <f>ROUND(负债表!B61-本期所有者权益变动表!H34,2)</f>
        <v>68129543.510000005</v>
      </c>
      <c r="C10" s="1">
        <f>ROUND(负债表!C61-本期所有者权益变动表!H2,2)</f>
        <v>68129543.510000005</v>
      </c>
    </row>
    <row r="11" spans="1:3">
      <c r="A11" s="18" t="s">
        <v>1550</v>
      </c>
      <c r="B11" s="1">
        <f>ROUND(负债表!B63-本期所有者权益变动表!I34,2)</f>
        <v>0</v>
      </c>
      <c r="C11" s="1">
        <f>ROUND(负债表!C63-本期所有者权益变动表!I2,2)</f>
        <v>0</v>
      </c>
    </row>
    <row r="12" spans="1:3">
      <c r="A12" s="18" t="s">
        <v>1551</v>
      </c>
      <c r="B12" s="1">
        <f>ROUND(负债表!B64-本期所有者权益变动表!J34,2)</f>
        <v>155546840.28999999</v>
      </c>
      <c r="C12" s="1">
        <f>ROUND(负债表!C64-本期所有者权益变动表!J2,2)</f>
        <v>155546840.28999999</v>
      </c>
    </row>
    <row r="13" spans="1:3">
      <c r="A13" s="18" t="s">
        <v>1552</v>
      </c>
      <c r="B13" s="1">
        <f>ROUND(负债表!B70-本期所有者权益变动表!K34,2)</f>
        <v>0</v>
      </c>
      <c r="C13" s="1">
        <f>ROUND(负债表!C70-本期所有者权益变动表!K2,2)</f>
        <v>0</v>
      </c>
    </row>
    <row r="14" spans="1:3">
      <c r="A14" s="18" t="s">
        <v>1553</v>
      </c>
      <c r="B14" s="1">
        <f>ROUND(负债表!B71-本期所有者权益变动表!L34,2)</f>
        <v>551451769.97000003</v>
      </c>
      <c r="C14" s="1">
        <f>ROUND(负债表!C71-本期所有者权益变动表!L2,2)</f>
        <v>837672284.46000004</v>
      </c>
    </row>
    <row r="15" spans="1:3">
      <c r="A15" s="18" t="s">
        <v>1554</v>
      </c>
      <c r="B15" s="1">
        <f>ROUND(负债表!B72-本期所有者权益变动表!M34,2)</f>
        <v>7636965087.8299999</v>
      </c>
      <c r="C15" s="1">
        <f>ROUND(负债表!C72-本期所有者权益变动表!M2,2)</f>
        <v>7923185602.3199997</v>
      </c>
    </row>
    <row r="16" spans="1:3">
      <c r="A16" s="18" t="s">
        <v>1555</v>
      </c>
      <c r="B16" s="1">
        <f>ROUND(负债表!B73-本期所有者权益变动表!N34,2)</f>
        <v>0</v>
      </c>
      <c r="C16" s="1">
        <f>ROUND(负债表!C73-本期所有者权益变动表!N2,2)</f>
        <v>0</v>
      </c>
    </row>
    <row r="17" spans="1:3">
      <c r="A17" s="18" t="s">
        <v>1556</v>
      </c>
      <c r="B17" s="1">
        <f>ROUND(负债表!B74-本期所有者权益变动表!O34,2)</f>
        <v>7636965087.8299999</v>
      </c>
      <c r="C17" s="1">
        <f>ROUND(负债表!C74-本期所有者权益变动表!O2,2)</f>
        <v>7923185602.3199997</v>
      </c>
    </row>
    <row r="18" spans="1:3">
      <c r="A18" s="249" t="s">
        <v>1542</v>
      </c>
      <c r="B18" s="250"/>
      <c r="C18" s="250"/>
    </row>
    <row r="19" spans="1:3">
      <c r="A19" s="151" t="s">
        <v>1569</v>
      </c>
      <c r="B19" s="1">
        <f>ROUND(资产表!B3-货币资金!B5,2)</f>
        <v>820851019.66999996</v>
      </c>
      <c r="C19" s="1">
        <f>ROUND(资产表!C3-货币资金!C5,2)</f>
        <v>820851019.66999996</v>
      </c>
    </row>
    <row r="20" spans="1:3">
      <c r="A20" s="151" t="s">
        <v>1570</v>
      </c>
      <c r="B20" s="1">
        <f>ROUND(资产表!B6-交易性金融资产!B10,2)</f>
        <v>0</v>
      </c>
      <c r="C20" s="1">
        <f>ROUND(资产表!C6-交易性金融资产!C10,2)</f>
        <v>0</v>
      </c>
    </row>
    <row r="21" spans="1:3">
      <c r="A21" s="151" t="s">
        <v>1571</v>
      </c>
      <c r="B21" s="1">
        <f>ROUND(以公允价值计量且其变动计入当期损益的金融资产!B8-资产表!B7,2)</f>
        <v>0</v>
      </c>
      <c r="C21" s="1">
        <f>ROUND(以公允价值计量且其变动计入当期损益的金融资产!C8-资产表!C7,2)</f>
        <v>0</v>
      </c>
    </row>
    <row r="22" spans="1:3">
      <c r="A22" s="151" t="s">
        <v>1572</v>
      </c>
      <c r="B22" s="1">
        <f>ROUND(资产表!B8-衍生金融资产!B10,2)</f>
        <v>0</v>
      </c>
      <c r="C22" s="1">
        <f>ROUND(资产表!C8-衍生金融资产!C10,2)</f>
        <v>0</v>
      </c>
    </row>
    <row r="23" spans="1:3">
      <c r="A23" s="151" t="s">
        <v>1579</v>
      </c>
      <c r="B23" s="1">
        <f>ROUND(资产表!B9-应收票据分类新金融工具准则!D4-资产表!B9,2)</f>
        <v>0</v>
      </c>
      <c r="C23" s="1">
        <f>ROUND(资产表!C9-应收票据分类新金融工具准则!G4-资产表!C9,2)</f>
        <v>0</v>
      </c>
    </row>
    <row r="24" spans="1:3">
      <c r="A24" s="151" t="s">
        <v>1580</v>
      </c>
      <c r="B24" s="1">
        <f>ROUND(资产表!B10-应收账款期末数新金融工具准则!F4,2)</f>
        <v>88139471.689999998</v>
      </c>
      <c r="C24" s="1">
        <f>ROUND(资产表!C10-应收账款期初数新金融工具准则!F4,2)</f>
        <v>88139471.689999998</v>
      </c>
    </row>
    <row r="25" spans="1:3">
      <c r="A25" s="151" t="s">
        <v>1581</v>
      </c>
      <c r="B25" s="1">
        <f>ROUND(资产表!B10-应收账款期末数首次新金融工具准则!F4,2)</f>
        <v>88139471.689999998</v>
      </c>
      <c r="C25" s="1">
        <f>ROUND(资产表!C10-应收账款期初数首次新金融工具准则!F5,2)</f>
        <v>88139471.689999998</v>
      </c>
    </row>
    <row r="26" spans="1:3">
      <c r="A26" s="151" t="s">
        <v>1573</v>
      </c>
      <c r="B26" s="1">
        <f>ROUND(资产表!B11-应收款项融资!B4,2)</f>
        <v>0</v>
      </c>
      <c r="C26" s="1">
        <f>ROUND(资产表!C11-应收款项融资!C4,2)</f>
        <v>0</v>
      </c>
    </row>
    <row r="27" spans="1:3">
      <c r="A27" s="151" t="s">
        <v>88</v>
      </c>
      <c r="B27" s="1">
        <f>ROUND(资产表!B12-预付账款账龄明细!E6,2)</f>
        <v>360794.15</v>
      </c>
      <c r="C27" s="1">
        <f>ROUND(资产表!C12-预付账款账龄明细!I6,2)</f>
        <v>360794.15</v>
      </c>
    </row>
    <row r="28" spans="1:3">
      <c r="A28" s="151" t="s">
        <v>1574</v>
      </c>
    </row>
    <row r="29" spans="1:3">
      <c r="A29" s="151" t="s">
        <v>1575</v>
      </c>
    </row>
    <row r="30" spans="1:3">
      <c r="A30" s="151" t="s">
        <v>1576</v>
      </c>
    </row>
    <row r="31" spans="1:3">
      <c r="A31" s="151" t="s">
        <v>1905</v>
      </c>
      <c r="B31" s="1">
        <f>ROUND(资产表!B16-其他应收款期末数新金融工具准则!F10,2)</f>
        <v>2180382902.6100001</v>
      </c>
      <c r="C31" s="1">
        <f>ROUND(资产表!C16-其他应收款期初数新金融工具准则!F10,2)</f>
        <v>2180382902.6100001</v>
      </c>
    </row>
    <row r="32" spans="1:3">
      <c r="A32" s="151" t="s">
        <v>1906</v>
      </c>
      <c r="B32" s="1">
        <f>ROUND(资产表!B16-其他应收款期末数首次新金融工具准则!F10,2)</f>
        <v>2180382902.6100001</v>
      </c>
      <c r="C32" s="1">
        <f>ROUND(资产表!C16-其他应收款期初数首次新金融工具准则!F5,2)</f>
        <v>2180382902.6100001</v>
      </c>
    </row>
    <row r="33" spans="1:3">
      <c r="A33" s="151" t="s">
        <v>1577</v>
      </c>
    </row>
    <row r="34" spans="1:3">
      <c r="A34" s="151" t="s">
        <v>78</v>
      </c>
      <c r="B34" s="1">
        <f>ROUND(资产表!B19-存货明细情况!D12,2)</f>
        <v>94178028.810000002</v>
      </c>
      <c r="C34" s="1">
        <f>ROUND(资产表!C19-存货明细情况!G12,2)</f>
        <v>94178028.810000002</v>
      </c>
    </row>
    <row r="35" spans="1:3">
      <c r="A35" s="151" t="s">
        <v>1578</v>
      </c>
      <c r="B35" s="1">
        <f>ROUND(资产表!B22-合同资产情况!D4,2)</f>
        <v>0</v>
      </c>
      <c r="C35" s="1">
        <f>ROUND(资产表!C22-合同资产情况!G4,2)</f>
        <v>0</v>
      </c>
    </row>
    <row r="36" spans="1:3">
      <c r="A36" s="151" t="s">
        <v>946</v>
      </c>
      <c r="B36" s="1">
        <f>ROUND(资产表!B23-持有待售资产的基本情况!D15,2)</f>
        <v>0</v>
      </c>
    </row>
    <row r="37" spans="1:3">
      <c r="A37" s="151" t="s">
        <v>948</v>
      </c>
      <c r="B37" s="1">
        <f>ROUND(资产表!B24-一年内到期的非流动资产!B8,2)</f>
        <v>0</v>
      </c>
      <c r="C37" s="1">
        <f>ROUND(资产表!C24-一年内到期的非流动资产!C8,2)</f>
        <v>0</v>
      </c>
    </row>
    <row r="38" spans="1:3">
      <c r="A38" s="151" t="s">
        <v>79</v>
      </c>
      <c r="B38" s="1">
        <f>ROUND(资产表!B25-其他流动资产!B9,2)</f>
        <v>0</v>
      </c>
      <c r="C38" s="1">
        <f>ROUND(资产表!C25-其他流动资产!C9,2)</f>
        <v>0</v>
      </c>
    </row>
    <row r="39" spans="1:3">
      <c r="A39" s="151" t="s">
        <v>1907</v>
      </c>
    </row>
    <row r="40" spans="1:3">
      <c r="A40" s="151" t="s">
        <v>1908</v>
      </c>
      <c r="B40" s="1">
        <f>ROUND(资产表!B29-债权投资!D4,2)</f>
        <v>0</v>
      </c>
      <c r="C40" s="1">
        <f>ROUND(资产表!C29-债权投资!G4,2)</f>
        <v>0</v>
      </c>
    </row>
    <row r="41" spans="1:3">
      <c r="A41" s="151" t="s">
        <v>14</v>
      </c>
      <c r="B41" s="1">
        <f>ROUND(资产表!B30-可供出售金融资产情况!D7,2)</f>
        <v>987346438.25999999</v>
      </c>
      <c r="C41" s="1">
        <f>ROUND(资产表!C30-可供出售金融资产情况!G7,2)</f>
        <v>987346438.25999999</v>
      </c>
    </row>
    <row r="42" spans="1:3">
      <c r="A42" s="151" t="s">
        <v>1909</v>
      </c>
      <c r="B42" s="1">
        <f>ROUND(资产表!B31-(其他债权投资期末数!F6-其他债权投资期末数!G6),2)</f>
        <v>0</v>
      </c>
      <c r="C42" s="1">
        <f>ROUND(资产表!C31-(其他债权投资期初数!F6-其他债权投资期初数!G6),2)</f>
        <v>0</v>
      </c>
    </row>
    <row r="43" spans="1:3">
      <c r="A43" s="151" t="s">
        <v>11</v>
      </c>
      <c r="B43" s="1">
        <f>ROUND(资产表!B32-持有至到期投资明细情况!D4,2)</f>
        <v>0</v>
      </c>
      <c r="C43" s="1">
        <f>ROUND(资产表!C32-持有至到期投资明细情况!G4,2)</f>
        <v>0</v>
      </c>
    </row>
    <row r="44" spans="1:3">
      <c r="A44" s="151" t="s">
        <v>20</v>
      </c>
      <c r="B44" s="1">
        <f>ROUND(资产表!B33-长期应收款明细情况!D7,2)</f>
        <v>-30046177.920000002</v>
      </c>
      <c r="C44" s="1">
        <f>ROUND(资产表!C33-长期应收款明细情况!G7,2)</f>
        <v>-30046177.920000002</v>
      </c>
    </row>
    <row r="45" spans="1:3">
      <c r="A45" s="151" t="s">
        <v>776</v>
      </c>
      <c r="B45" s="1">
        <f>ROUND(资产表!B34-长期股权投资分类情况!E7,2)</f>
        <v>2232281356.0500002</v>
      </c>
      <c r="C45" s="1">
        <f>ROUND(资产表!C34-长期股权投资分类情况!B7,2)</f>
        <v>2232281356.0500002</v>
      </c>
    </row>
    <row r="46" spans="1:3">
      <c r="A46" s="151" t="s">
        <v>1910</v>
      </c>
      <c r="B46" s="1">
        <f>ROUND(资产表!B35-其他权益工具投资明细!B4,2)</f>
        <v>0</v>
      </c>
      <c r="C46" s="1">
        <f>ROUND(资产表!C35-其他权益工具投资明细!C4,2)</f>
        <v>0</v>
      </c>
    </row>
    <row r="47" spans="1:3">
      <c r="A47" s="151" t="s">
        <v>1911</v>
      </c>
      <c r="B47" s="1">
        <f>ROUND(资产表!B36-其他非流动金融资产!B12,2)</f>
        <v>0</v>
      </c>
      <c r="C47" s="1">
        <f>ROUND(资产表!C36-其他非流动金融资产!C12,2)</f>
        <v>0</v>
      </c>
    </row>
    <row r="48" spans="1:3">
      <c r="A48" s="151" t="s">
        <v>5684</v>
      </c>
      <c r="B48" s="1">
        <f>ROUND(资产表!B37-采用成本计量模式的投资性房地产上市公司!D32,2)</f>
        <v>649965285.88999999</v>
      </c>
      <c r="C48" s="1">
        <f>ROUND(资产表!C37-采用成本计量模式的投资性房地产上市公司!D33,2)</f>
        <v>649965285.88999999</v>
      </c>
    </row>
    <row r="49" spans="1:3">
      <c r="A49" s="151" t="s">
        <v>5683</v>
      </c>
      <c r="B49" s="1">
        <f>ROUND(资产表!B37-采用公允价值计量模式的投资性房地产!D10,2)</f>
        <v>649965285.88999999</v>
      </c>
      <c r="C49" s="1">
        <f>ROUND(资产表!C37-采用公允价值计量模式的投资性房地产!D2,2)</f>
        <v>649965285.88999999</v>
      </c>
    </row>
    <row r="50" spans="1:3">
      <c r="A50" s="151" t="s">
        <v>89</v>
      </c>
      <c r="B50" s="1">
        <f>ROUND(资产表!B38-固定资产汇总!B4,2)</f>
        <v>2825446811.5999999</v>
      </c>
      <c r="C50" s="1">
        <f>ROUND(资产表!C38-固定资产汇总!C4,2)</f>
        <v>2825446811.5999999</v>
      </c>
    </row>
    <row r="51" spans="1:3">
      <c r="A51" s="151" t="s">
        <v>455</v>
      </c>
      <c r="B51" s="1" t="e">
        <f>ROUND(资产表!B42-在建工程汇总!B4,2)</f>
        <v>#N/A</v>
      </c>
      <c r="C51" s="1" t="e">
        <f>ROUND(资产表!C42-在建工程汇总!C4,2)</f>
        <v>#N/A</v>
      </c>
    </row>
    <row r="52" spans="1:3">
      <c r="A52" s="151" t="s">
        <v>1003</v>
      </c>
      <c r="B52" s="1">
        <f>ROUND(资产表!B43-生产性生物资产!F31,2)</f>
        <v>0</v>
      </c>
      <c r="C52" s="1">
        <f>ROUND(资产表!C43-生产性生物资产!F32,2)</f>
        <v>0</v>
      </c>
    </row>
    <row r="53" spans="1:3">
      <c r="A53" s="151" t="s">
        <v>1005</v>
      </c>
      <c r="B53" s="1">
        <f>ROUND(资产表!B44-油气资产!E31,2)</f>
        <v>0</v>
      </c>
      <c r="C53" s="1">
        <f>ROUND(资产表!C44-油气资产!E32,2)</f>
        <v>0</v>
      </c>
    </row>
    <row r="54" spans="1:3">
      <c r="A54" s="151" t="s">
        <v>1912</v>
      </c>
      <c r="B54" s="1">
        <f>ROUND(资产表!B45-使用权资产!E31,2)</f>
        <v>0</v>
      </c>
      <c r="C54" s="1">
        <f>ROUND(资产表!C45-使用权资产!E32,2)</f>
        <v>0</v>
      </c>
    </row>
    <row r="55" spans="1:3">
      <c r="A55" s="151" t="s">
        <v>5682</v>
      </c>
      <c r="B55" s="1">
        <f>ROUND(资产表!B46-无形资产!F34,2)</f>
        <v>0</v>
      </c>
      <c r="C55" s="1">
        <f>ROUND(资产表!C46-无形资产!F35,2)</f>
        <v>0</v>
      </c>
    </row>
    <row r="56" spans="1:3" hidden="1">
      <c r="A56" s="151" t="s">
        <v>5453</v>
      </c>
    </row>
    <row r="57" spans="1:3">
      <c r="A57" s="151" t="s">
        <v>1024</v>
      </c>
      <c r="B57" s="1">
        <f>ROUND(资产表!B47-开发支出!H6,2)</f>
        <v>0</v>
      </c>
      <c r="C57" s="1">
        <f>ROUND(资产表!C47-开发支出!B6,2)</f>
        <v>0</v>
      </c>
    </row>
    <row r="58" spans="1:3">
      <c r="A58" s="151" t="s">
        <v>1027</v>
      </c>
      <c r="B58" s="1">
        <f>ROUND(资产表!B48-商誉账面价值!E4,2)</f>
        <v>0</v>
      </c>
      <c r="C58" s="1">
        <f>ROUND(资产表!C48-商誉账面价值!B4,2)</f>
        <v>0</v>
      </c>
    </row>
    <row r="59" spans="1:3">
      <c r="A59" s="151" t="s">
        <v>783</v>
      </c>
      <c r="B59" s="1">
        <f>ROUND(资产表!B49-长期待摊费用!F10,2)</f>
        <v>26751496.309999999</v>
      </c>
      <c r="C59" s="1">
        <f>ROUND(资产表!C49-长期待摊费用!B10,2)</f>
        <v>26751496.309999999</v>
      </c>
    </row>
    <row r="60" spans="1:3">
      <c r="A60" s="151" t="s">
        <v>784</v>
      </c>
      <c r="B60" s="1">
        <f>ROUND(资产表!B50-未经抵销的递延所得税资产!C53,2)</f>
        <v>0</v>
      </c>
      <c r="C60" s="1">
        <f>ROUND(资产表!C50-未经抵销的递延所得税资产!E53,2)</f>
        <v>0</v>
      </c>
    </row>
    <row r="61" spans="1:3">
      <c r="A61" s="151" t="s">
        <v>80</v>
      </c>
      <c r="B61" s="1">
        <f>ROUND(资产表!B51-其他非流动资产!B8,2)</f>
        <v>5764452392.1000004</v>
      </c>
      <c r="C61" s="1">
        <f>ROUND(资产表!C51-其他非流动资产!C8,2)</f>
        <v>5764452392.1000004</v>
      </c>
    </row>
    <row r="62" spans="1:3">
      <c r="A62" s="151" t="s">
        <v>768</v>
      </c>
      <c r="B62" s="1">
        <f>ROUND(负债表!B3-短期借款明细情况!B7,2)</f>
        <v>674000000</v>
      </c>
      <c r="C62" s="1">
        <f>ROUND(负债表!C3-短期借款明细情况!C7,2)</f>
        <v>674000000</v>
      </c>
    </row>
    <row r="63" spans="1:3">
      <c r="A63" s="151" t="s">
        <v>1914</v>
      </c>
    </row>
    <row r="64" spans="1:3">
      <c r="A64" s="151" t="s">
        <v>1915</v>
      </c>
    </row>
    <row r="65" spans="1:3">
      <c r="A65" s="151" t="s">
        <v>1916</v>
      </c>
      <c r="B65" s="1">
        <f>ROUND(负债表!B6-交易性金融负债!B10,2)</f>
        <v>0</v>
      </c>
      <c r="C65" s="1">
        <f>ROUND(负债表!C6-交易性金融负债!C10,2)</f>
        <v>0</v>
      </c>
    </row>
    <row r="66" spans="1:3">
      <c r="A66" s="151" t="s">
        <v>1046</v>
      </c>
      <c r="B66" s="1">
        <f>ROUND(负债表!B7-以公允价值计量且其变动计入当期损益的金融负债!B8,2)</f>
        <v>0</v>
      </c>
      <c r="C66" s="1">
        <f>ROUND(负债表!C7-以公允价值计量且其变动计入当期损益的金融负债!C8,2)</f>
        <v>0</v>
      </c>
    </row>
    <row r="67" spans="1:3">
      <c r="A67" s="151" t="s">
        <v>1048</v>
      </c>
      <c r="B67" s="1">
        <f>ROUND(负债表!B8-衍生金融负债!B6,2)</f>
        <v>0</v>
      </c>
      <c r="C67" s="1">
        <f>ROUND(负债表!C8-衍生金融负债!C6,2)</f>
        <v>0</v>
      </c>
    </row>
    <row r="68" spans="1:3">
      <c r="A68" s="18" t="s">
        <v>785</v>
      </c>
      <c r="B68" s="1">
        <f>ROUND(负债表!B9-应付票据!B4,2)</f>
        <v>0</v>
      </c>
      <c r="C68" s="1">
        <f>ROUND(负债表!C9-应付票据!C4,2)</f>
        <v>0</v>
      </c>
    </row>
    <row r="69" spans="1:3">
      <c r="A69" s="18" t="s">
        <v>93</v>
      </c>
      <c r="B69" s="1">
        <f>ROUND(负债表!B10-应付账款!B6,2)</f>
        <v>148589378.94</v>
      </c>
      <c r="C69" s="1">
        <f>ROUND(负债表!C10-应付账款!C6,2)</f>
        <v>148589378.94</v>
      </c>
    </row>
    <row r="70" spans="1:3">
      <c r="A70" s="18" t="s">
        <v>1917</v>
      </c>
      <c r="B70" s="1">
        <f>ROUND(负债表!B11-预收款项!B4,2)</f>
        <v>590798132.32000005</v>
      </c>
      <c r="C70" s="1">
        <f>ROUND(负债表!C11-预收款项!C4,2)</f>
        <v>590798132.32000005</v>
      </c>
    </row>
    <row r="71" spans="1:3">
      <c r="A71" s="151" t="s">
        <v>5483</v>
      </c>
      <c r="B71" s="1">
        <f>ROUND(负债表!B11-预收款项账龄表!B6,2)</f>
        <v>590798132.32000005</v>
      </c>
      <c r="C71" s="1">
        <f>ROUND(负债表!C11-预收款项账龄表!C6,2)</f>
        <v>590798132.32000005</v>
      </c>
    </row>
    <row r="72" spans="1:3">
      <c r="A72" s="18" t="s">
        <v>1918</v>
      </c>
      <c r="B72" s="1">
        <f>ROUND(负债表!B12-合同负债!B4,2)</f>
        <v>0</v>
      </c>
      <c r="C72" s="1">
        <f>ROUND(负债表!C12-合同负债!C4,2)</f>
        <v>0</v>
      </c>
    </row>
    <row r="73" spans="1:3">
      <c r="A73" s="18" t="s">
        <v>1919</v>
      </c>
    </row>
    <row r="74" spans="1:3">
      <c r="A74" s="18" t="s">
        <v>1920</v>
      </c>
    </row>
    <row r="75" spans="1:3">
      <c r="A75" s="18" t="s">
        <v>1921</v>
      </c>
    </row>
    <row r="76" spans="1:3">
      <c r="A76" s="18" t="s">
        <v>1922</v>
      </c>
    </row>
    <row r="77" spans="1:3">
      <c r="A77" s="18" t="s">
        <v>786</v>
      </c>
      <c r="B77" s="1">
        <f>ROUND(负债表!B17-应付职工薪酬明细情况!E7,2)</f>
        <v>13636984.890000001</v>
      </c>
      <c r="C77" s="1">
        <f>ROUND(负债表!C17-应付职工薪酬明细情况!B7,2)</f>
        <v>13636984.890000001</v>
      </c>
    </row>
    <row r="78" spans="1:3">
      <c r="A78" s="18" t="s">
        <v>1923</v>
      </c>
    </row>
    <row r="79" spans="1:3">
      <c r="A79" s="18" t="s">
        <v>1924</v>
      </c>
    </row>
    <row r="80" spans="1:3">
      <c r="A80" s="18" t="s">
        <v>1925</v>
      </c>
    </row>
    <row r="81" spans="1:3">
      <c r="A81" s="18" t="s">
        <v>787</v>
      </c>
      <c r="B81" s="1">
        <f>ROUND(负债表!B21-应交税费!E17,2)</f>
        <v>-13638389.939999999</v>
      </c>
      <c r="C81" s="1">
        <f>ROUND(负债表!C21-应交税费!B17,2)</f>
        <v>-13638389.939999999</v>
      </c>
    </row>
    <row r="82" spans="1:3">
      <c r="A82" s="18" t="s">
        <v>1926</v>
      </c>
    </row>
    <row r="83" spans="1:3">
      <c r="A83" s="18" t="s">
        <v>560</v>
      </c>
      <c r="B83" s="1">
        <f>ROUND(负债表!B23-其他应付款汇总!B5,2)</f>
        <v>876561625.65999997</v>
      </c>
      <c r="C83" s="1">
        <f>ROUND(负债表!C23-其他应付款汇总!C5,2)</f>
        <v>876561625.65999997</v>
      </c>
    </row>
    <row r="84" spans="1:3">
      <c r="A84" s="18" t="s">
        <v>1927</v>
      </c>
    </row>
    <row r="85" spans="1:3">
      <c r="A85" s="18" t="s">
        <v>1928</v>
      </c>
    </row>
    <row r="86" spans="1:3">
      <c r="A86" s="18" t="s">
        <v>1078</v>
      </c>
      <c r="B86" s="1">
        <f>ROUND(负债表!B27-持有待售负债!B5,2)</f>
        <v>0</v>
      </c>
      <c r="C86" s="1">
        <f>ROUND(负债表!C27-持有待售负债!C5,2)</f>
        <v>0</v>
      </c>
    </row>
    <row r="87" spans="1:3">
      <c r="A87" s="18" t="s">
        <v>1080</v>
      </c>
      <c r="B87" s="1">
        <f>ROUND(负债表!B28-一年内到期的非流动负债!B6,2)</f>
        <v>0</v>
      </c>
      <c r="C87" s="1">
        <f>ROUND(负债表!C28-一年内到期的非流动负债!C6,2)</f>
        <v>0</v>
      </c>
    </row>
    <row r="88" spans="1:3">
      <c r="A88" s="18" t="s">
        <v>1082</v>
      </c>
      <c r="B88" s="1">
        <f>ROUND(负债表!B29-其他流动负债!B6,2)</f>
        <v>0</v>
      </c>
      <c r="C88" s="1">
        <f>ROUND(负债表!C29-其他流动负债!C6,2)</f>
        <v>0</v>
      </c>
    </row>
    <row r="89" spans="1:3" ht="14.4">
      <c r="A89" s="94" t="s">
        <v>1933</v>
      </c>
    </row>
    <row r="90" spans="1:3" ht="14.4">
      <c r="A90" s="92" t="s">
        <v>769</v>
      </c>
      <c r="B90" s="1">
        <f>ROUND(负债表!B33-长期借款!B7,2)</f>
        <v>0</v>
      </c>
      <c r="C90" s="1">
        <f>ROUND(负债表!C33-长期借款!C7,2)</f>
        <v>0</v>
      </c>
    </row>
    <row r="91" spans="1:3" ht="14.4">
      <c r="A91" s="92" t="s">
        <v>789</v>
      </c>
      <c r="B91" s="1">
        <f>ROUND(负债表!B34-应付债券!B7,2)</f>
        <v>3483543400</v>
      </c>
      <c r="C91" s="1">
        <f>ROUND(负债表!C34-应付债券!C7,2)</f>
        <v>3483543400</v>
      </c>
    </row>
    <row r="92" spans="1:3" ht="14.4">
      <c r="A92" s="95" t="s">
        <v>1934</v>
      </c>
    </row>
    <row r="93" spans="1:3" ht="14.4">
      <c r="A93" s="95" t="s">
        <v>1093</v>
      </c>
    </row>
    <row r="94" spans="1:3" ht="14.4">
      <c r="A94" s="100" t="s">
        <v>1935</v>
      </c>
      <c r="B94" s="1">
        <f>ROUND(负债表!B37-租赁负债!B5,2)</f>
        <v>0</v>
      </c>
      <c r="C94" s="1">
        <f>ROUND(负债表!C37-租赁负债!C5,2)</f>
        <v>0</v>
      </c>
    </row>
    <row r="95" spans="1:3" ht="14.4">
      <c r="A95" s="92" t="s">
        <v>94</v>
      </c>
      <c r="B95" s="1">
        <f>ROUND(负债表!B38-长期应付款汇总!B4,2)</f>
        <v>2863042966.29</v>
      </c>
      <c r="C95" s="1">
        <f>ROUND(负债表!C38-长期应付款汇总!C4,2)</f>
        <v>2863042966.29</v>
      </c>
    </row>
    <row r="96" spans="1:3" ht="14.4">
      <c r="A96" s="96" t="s">
        <v>1105</v>
      </c>
      <c r="B96" s="1">
        <f>ROUND(负债表!B39-长期应付职工薪酬明细情况!B5,2)</f>
        <v>0</v>
      </c>
      <c r="C96" s="1">
        <f>ROUND(负债表!C39-长期应付职工薪酬明细情况!C5,2)</f>
        <v>0</v>
      </c>
    </row>
    <row r="97" spans="1:3" ht="14.4">
      <c r="A97" s="95" t="s">
        <v>1107</v>
      </c>
      <c r="B97" s="1">
        <f>ROUND(负债表!B40-预计负债!B8,2)</f>
        <v>0</v>
      </c>
      <c r="C97" s="1">
        <f>ROUND(负债表!C40-预计负债!C8,2)</f>
        <v>0</v>
      </c>
    </row>
    <row r="98" spans="1:3" ht="14.4">
      <c r="A98" s="92" t="s">
        <v>788</v>
      </c>
      <c r="B98" s="1">
        <f>ROUND(负债表!B41-递延收益!E5,2)</f>
        <v>55530257.920000002</v>
      </c>
      <c r="C98" s="1">
        <f>ROUND(负债表!C41-递延收益!B5,2)</f>
        <v>55530257.920000002</v>
      </c>
    </row>
    <row r="99" spans="1:3" ht="14.4">
      <c r="A99" s="92" t="s">
        <v>790</v>
      </c>
      <c r="B99" s="1">
        <f>ROUND(负债表!B42-未经抵销的递延所得税负债!C25,2)</f>
        <v>22684266.809999999</v>
      </c>
      <c r="C99" s="1">
        <f>ROUND(负债表!C42-未经抵销的递延所得税负债!E25,2)</f>
        <v>22684266.809999999</v>
      </c>
    </row>
    <row r="100" spans="1:3" ht="14.4">
      <c r="A100" s="92" t="s">
        <v>84</v>
      </c>
      <c r="B100" s="1">
        <f>ROUND(负债表!B43-其他非流动负债!B5,2)</f>
        <v>0</v>
      </c>
      <c r="C100" s="1">
        <f>ROUND(负债表!C43-其他非流动负债!C5,2)</f>
        <v>0</v>
      </c>
    </row>
    <row r="101" spans="1:3" ht="14.4">
      <c r="A101" s="96" t="s">
        <v>1936</v>
      </c>
    </row>
    <row r="102" spans="1:3">
      <c r="A102" s="18" t="s">
        <v>1937</v>
      </c>
    </row>
    <row r="103" spans="1:3">
      <c r="A103" s="18" t="s">
        <v>1938</v>
      </c>
    </row>
    <row r="104" spans="1:3">
      <c r="A104" s="18" t="s">
        <v>1939</v>
      </c>
    </row>
    <row r="105" spans="1:3">
      <c r="A105" s="18" t="s">
        <v>1940</v>
      </c>
    </row>
    <row r="106" spans="1:3">
      <c r="A106" s="18" t="s">
        <v>1941</v>
      </c>
    </row>
    <row r="107" spans="1:3">
      <c r="A107" s="18" t="s">
        <v>1942</v>
      </c>
    </row>
    <row r="108" spans="1:3">
      <c r="A108" s="18" t="s">
        <v>1943</v>
      </c>
    </row>
    <row r="109" spans="1:3">
      <c r="A109" s="18" t="s">
        <v>1954</v>
      </c>
      <c r="B109" s="1">
        <f>ROUND(负债表!B55-实收资本!F6,2)</f>
        <v>3020000000</v>
      </c>
      <c r="C109" s="1">
        <f>ROUND(负债表!C55-实收资本!B6,2)</f>
        <v>3020000000</v>
      </c>
    </row>
    <row r="110" spans="1:3">
      <c r="A110" s="18" t="s">
        <v>1955</v>
      </c>
      <c r="B110" s="1">
        <f>ROUND(负债表!B55-股本!H2,2)</f>
        <v>3020000000</v>
      </c>
      <c r="C110" s="1">
        <f>ROUND(负债表!C55-股本!B2,2)</f>
        <v>3020000000</v>
      </c>
    </row>
    <row r="111" spans="1:3">
      <c r="A111" s="18" t="s">
        <v>1117</v>
      </c>
      <c r="B111" s="1">
        <f>ROUND(负债表!B56-其他权益工具!I4,2)</f>
        <v>0</v>
      </c>
      <c r="C111" s="1">
        <f>ROUND(负债表!C56-其他权益工具!C4,2)</f>
        <v>0</v>
      </c>
    </row>
    <row r="112" spans="1:3">
      <c r="A112" s="18" t="s">
        <v>1934</v>
      </c>
    </row>
    <row r="113" spans="1:3">
      <c r="A113" s="18" t="s">
        <v>1093</v>
      </c>
    </row>
    <row r="114" spans="1:3">
      <c r="A114" s="18" t="s">
        <v>792</v>
      </c>
      <c r="B114" s="1">
        <f>ROUND(负债表!B59-资本公积!E4,2)</f>
        <v>3841836934.0599999</v>
      </c>
      <c r="C114" s="1">
        <f>ROUND(负债表!C59-资本公积!B4,2)</f>
        <v>3841836934.0599999</v>
      </c>
    </row>
    <row r="115" spans="1:3">
      <c r="A115" s="18" t="s">
        <v>1944</v>
      </c>
    </row>
    <row r="116" spans="1:3">
      <c r="A116" s="18" t="s">
        <v>793</v>
      </c>
      <c r="B116" s="1">
        <f>ROUND(负债表!B61-其他综合收益!I14,2)</f>
        <v>68129543.510000005</v>
      </c>
      <c r="C116" s="1">
        <f>ROUND(负债表!C61-其他综合收益!B14,2)</f>
        <v>68129543.510000005</v>
      </c>
    </row>
    <row r="117" spans="1:3">
      <c r="A117" s="18" t="s">
        <v>1945</v>
      </c>
    </row>
    <row r="118" spans="1:3">
      <c r="A118" s="248" t="s">
        <v>1126</v>
      </c>
      <c r="B118" s="1">
        <f>ROUND(负债表!B63-专项储备!E3,2)</f>
        <v>0</v>
      </c>
      <c r="C118" s="1">
        <f>ROUND(负债表!C63-专项储备!B3,2)</f>
        <v>0</v>
      </c>
    </row>
    <row r="119" spans="1:3">
      <c r="A119" s="151" t="s">
        <v>70</v>
      </c>
      <c r="B119" s="1">
        <f>ROUND(负债表!B64-盈余公积!E7,2)</f>
        <v>0</v>
      </c>
      <c r="C119" s="1">
        <f>ROUND(负债表!C64-盈余公积!B7,2)</f>
        <v>0</v>
      </c>
    </row>
    <row r="120" spans="1:3">
      <c r="A120" s="18" t="s">
        <v>1946</v>
      </c>
    </row>
    <row r="121" spans="1:3">
      <c r="A121" s="18" t="s">
        <v>1947</v>
      </c>
    </row>
    <row r="122" spans="1:3">
      <c r="A122" s="18" t="s">
        <v>1948</v>
      </c>
    </row>
    <row r="123" spans="1:3">
      <c r="A123" s="18" t="s">
        <v>1949</v>
      </c>
    </row>
    <row r="124" spans="1:3">
      <c r="A124" s="18" t="s">
        <v>1950</v>
      </c>
    </row>
    <row r="125" spans="1:3">
      <c r="A125" s="18" t="s">
        <v>1951</v>
      </c>
    </row>
    <row r="126" spans="1:3">
      <c r="A126" s="18" t="s">
        <v>72</v>
      </c>
      <c r="B126" s="1">
        <f>ROUND(负债表!B71-未分配利润!B11,2)</f>
        <v>-286220514.49000001</v>
      </c>
      <c r="C126" s="1">
        <f>ROUND(负债表!C71-未分配利润!C11,2)</f>
        <v>0</v>
      </c>
    </row>
    <row r="127" spans="1:3">
      <c r="A127" s="18" t="s">
        <v>1441</v>
      </c>
    </row>
    <row r="128" spans="1:3">
      <c r="A128" s="18" t="s">
        <v>1952</v>
      </c>
    </row>
    <row r="129" spans="1:3">
      <c r="A129" s="18" t="s">
        <v>1444</v>
      </c>
    </row>
    <row r="130" spans="1:3">
      <c r="A130" s="18" t="s">
        <v>1445</v>
      </c>
      <c r="B130" s="1">
        <f>ROUND(利润表!B3-营业收入与营业成本!B4,2)</f>
        <v>1557301756.55</v>
      </c>
      <c r="C130" s="1">
        <f>ROUND(利润表!C3-营业收入与营业成本!D4,2)</f>
        <v>1557301756.55</v>
      </c>
    </row>
    <row r="131" spans="1:3">
      <c r="A131" s="18" t="s">
        <v>1446</v>
      </c>
    </row>
    <row r="132" spans="1:3">
      <c r="A132" s="18" t="s">
        <v>1447</v>
      </c>
    </row>
    <row r="133" spans="1:3">
      <c r="A133" s="18" t="s">
        <v>1448</v>
      </c>
    </row>
    <row r="134" spans="1:3">
      <c r="A134" s="18" t="s">
        <v>1449</v>
      </c>
    </row>
    <row r="135" spans="1:3">
      <c r="A135" s="18" t="s">
        <v>1450</v>
      </c>
      <c r="B135" s="1">
        <f>ROUND(利润表!B8-营业收入与营业成本!C4,2)</f>
        <v>1355991048.6099999</v>
      </c>
      <c r="C135" s="1">
        <f>ROUND(利润表!C8-营业收入与营业成本!E4,2)</f>
        <v>1355991048.6099999</v>
      </c>
    </row>
    <row r="136" spans="1:3">
      <c r="A136" s="18" t="s">
        <v>1451</v>
      </c>
    </row>
    <row r="137" spans="1:3">
      <c r="A137" s="18" t="s">
        <v>1452</v>
      </c>
    </row>
    <row r="138" spans="1:3">
      <c r="A138" s="18" t="s">
        <v>1453</v>
      </c>
    </row>
    <row r="139" spans="1:3">
      <c r="A139" s="18" t="s">
        <v>1454</v>
      </c>
    </row>
    <row r="140" spans="1:3">
      <c r="A140" s="18" t="s">
        <v>1455</v>
      </c>
    </row>
    <row r="141" spans="1:3">
      <c r="A141" s="18" t="s">
        <v>1456</v>
      </c>
    </row>
    <row r="142" spans="1:3">
      <c r="A142" s="18" t="s">
        <v>1457</v>
      </c>
    </row>
    <row r="143" spans="1:3">
      <c r="A143" s="18" t="s">
        <v>1458</v>
      </c>
      <c r="B143" s="1">
        <f>ROUND(利润表!B16-税金及附加!B12,2)</f>
        <v>7567760.6699999999</v>
      </c>
      <c r="C143" s="1">
        <f>ROUND(利润表!C16-税金及附加!C12,2)</f>
        <v>7567760.6699999999</v>
      </c>
    </row>
    <row r="144" spans="1:3">
      <c r="A144" s="18" t="s">
        <v>1459</v>
      </c>
      <c r="B144" s="1">
        <f>ROUND(利润表!B17-销售费用!B21,2)</f>
        <v>0</v>
      </c>
      <c r="C144" s="1">
        <f>ROUND(利润表!C17-销售费用!C21,2)</f>
        <v>0</v>
      </c>
    </row>
    <row r="145" spans="1:3">
      <c r="A145" s="18" t="s">
        <v>1460</v>
      </c>
      <c r="B145" s="1">
        <f>ROUND(利润表!B18-管理费用!B28,2)</f>
        <v>123240697.16</v>
      </c>
      <c r="C145" s="1">
        <f>ROUND(利润表!C18-管理费用!C28,2)</f>
        <v>123240697.16</v>
      </c>
    </row>
    <row r="146" spans="1:3">
      <c r="A146" s="18" t="s">
        <v>1461</v>
      </c>
    </row>
    <row r="147" spans="1:3">
      <c r="A147" s="18" t="s">
        <v>1462</v>
      </c>
      <c r="B147" s="1">
        <f>ROUND(利润表!B20-研发费用!B24,2)</f>
        <v>0</v>
      </c>
      <c r="C147" s="1">
        <f>ROUND(利润表!C20-研发费用!C24,2)</f>
        <v>0</v>
      </c>
    </row>
    <row r="148" spans="1:3">
      <c r="A148" s="18" t="s">
        <v>1463</v>
      </c>
      <c r="B148" s="1">
        <f>ROUND(利润表!B21-财务费用!B10,2)</f>
        <v>155897420.59999999</v>
      </c>
      <c r="C148" s="1">
        <f>ROUND(利润表!C21-财务费用!C10,2)</f>
        <v>155897420.59999999</v>
      </c>
    </row>
    <row r="149" spans="1:3">
      <c r="A149" s="18" t="s">
        <v>1464</v>
      </c>
    </row>
    <row r="150" spans="1:3">
      <c r="A150" s="18" t="s">
        <v>1465</v>
      </c>
    </row>
    <row r="151" spans="1:3">
      <c r="A151" s="18" t="s">
        <v>1466</v>
      </c>
    </row>
    <row r="152" spans="1:3">
      <c r="A152" s="18" t="s">
        <v>1467</v>
      </c>
    </row>
    <row r="153" spans="1:3">
      <c r="A153" s="18" t="s">
        <v>1468</v>
      </c>
      <c r="B153" s="1">
        <f>ROUND(利润表!B26-其他收益!B5,2)</f>
        <v>74328000</v>
      </c>
      <c r="C153" s="1">
        <f>ROUND(利润表!C26-其他收益!C5,2)</f>
        <v>74328000</v>
      </c>
    </row>
    <row r="154" spans="1:3">
      <c r="A154" s="18" t="s">
        <v>1469</v>
      </c>
      <c r="B154" s="1">
        <f>ROUND(利润表!B27-投资收益!B12,2)</f>
        <v>246513625.72</v>
      </c>
      <c r="C154" s="1">
        <f>ROUND(利润表!C27-投资收益!C12,2)</f>
        <v>246513625.72</v>
      </c>
    </row>
    <row r="155" spans="1:3">
      <c r="A155" s="18" t="s">
        <v>1470</v>
      </c>
    </row>
    <row r="156" spans="1:3">
      <c r="A156" s="18" t="s">
        <v>1471</v>
      </c>
    </row>
    <row r="157" spans="1:3">
      <c r="A157" s="18" t="s">
        <v>1472</v>
      </c>
    </row>
    <row r="158" spans="1:3">
      <c r="A158" s="18" t="s">
        <v>1473</v>
      </c>
    </row>
    <row r="159" spans="1:3">
      <c r="A159" s="18" t="s">
        <v>1474</v>
      </c>
      <c r="B159" s="1">
        <f>ROUND(利润表!B32-公允价值变动损益!B9,2)</f>
        <v>0</v>
      </c>
      <c r="C159" s="1">
        <f>ROUND(利润表!C32-公允价值变动损益!C9,2)</f>
        <v>0</v>
      </c>
    </row>
    <row r="160" spans="1:3">
      <c r="A160" s="18" t="s">
        <v>1475</v>
      </c>
      <c r="B160" s="1">
        <f>ROUND(利润表!B33-信用减值损失!B6,2)</f>
        <v>0</v>
      </c>
      <c r="C160" s="1">
        <f>ROUND(利润表!C33-信用减值损失!C6,2)</f>
        <v>0</v>
      </c>
    </row>
    <row r="161" spans="1:3">
      <c r="A161" s="18" t="s">
        <v>1476</v>
      </c>
      <c r="B161" s="1">
        <f>ROUND(利润表!B34-资产减值损失!B17,2)</f>
        <v>-20045068.129999999</v>
      </c>
      <c r="C161" s="1">
        <f>ROUND(利润表!C34-资产减值损失!C17,2)</f>
        <v>20045068.129999999</v>
      </c>
    </row>
    <row r="162" spans="1:3">
      <c r="A162" s="18" t="s">
        <v>1477</v>
      </c>
      <c r="B162" s="1">
        <f>ROUND(利润表!B35-资产处置收益!B8,2)</f>
        <v>3131735.07</v>
      </c>
      <c r="C162" s="1">
        <f>ROUND(利润表!C35-资产处置收益!C8,2)</f>
        <v>3131735.07</v>
      </c>
    </row>
    <row r="163" spans="1:3">
      <c r="A163" s="18" t="s">
        <v>1478</v>
      </c>
    </row>
    <row r="164" spans="1:3">
      <c r="A164" s="18" t="s">
        <v>1479</v>
      </c>
      <c r="B164" s="1">
        <f>ROUND(营业外收入!B6-利润表!B37,2)</f>
        <v>-36628434.68</v>
      </c>
      <c r="C164" s="1">
        <f>ROUND(营业外收入!C6-利润表!C37,2)</f>
        <v>-36628434.68</v>
      </c>
    </row>
    <row r="165" spans="1:3">
      <c r="A165" s="18" t="s">
        <v>1480</v>
      </c>
    </row>
    <row r="166" spans="1:3">
      <c r="A166" s="18" t="s">
        <v>1481</v>
      </c>
      <c r="B166" s="1">
        <f>ROUND(利润表!B39-营业外支出!B5,2)</f>
        <v>550050</v>
      </c>
      <c r="C166" s="1">
        <f>ROUND(利润表!C39-营业外支出!C5,2)</f>
        <v>550050</v>
      </c>
    </row>
    <row r="167" spans="1:3">
      <c r="A167" s="18" t="s">
        <v>1482</v>
      </c>
    </row>
    <row r="168" spans="1:3">
      <c r="A168" s="18" t="s">
        <v>1483</v>
      </c>
      <c r="B168" s="1">
        <f>ROUND(利润表!B41-所得税费用!B5,2)</f>
        <v>-55171748.090000004</v>
      </c>
      <c r="C168" s="1">
        <f>ROUND(利润表!C41-所得税费用!C5,2)</f>
        <v>8481128.6199999992</v>
      </c>
    </row>
    <row r="169" spans="1:3">
      <c r="A169" s="151" t="s">
        <v>5681</v>
      </c>
      <c r="B169" s="1">
        <f>ROUND(所得税费用!B5-会计利润与所得税费用调整过程!B12,2)</f>
        <v>0</v>
      </c>
      <c r="C169" s="1">
        <f>ROUND(所得税费用!C5-会计利润与所得税费用调整过程!C12,2)</f>
        <v>-73675410.780000001</v>
      </c>
    </row>
    <row r="170" spans="1:3">
      <c r="A170" s="249" t="s">
        <v>1964</v>
      </c>
      <c r="B170" s="250"/>
      <c r="C170" s="250"/>
    </row>
    <row r="171" spans="1:3">
      <c r="A171" s="151" t="s">
        <v>1913</v>
      </c>
      <c r="B171" s="137" t="e">
        <f>ROUND(SUM(现金及现金等价物的构成!B3:B8)-现金及现金等价物的构成!B2,2)</f>
        <v>#N/A</v>
      </c>
      <c r="C171" s="137">
        <f>ROUND(SUM(现金及现金等价物的构成!C3:C8)-现金及现金等价物的构成!C2,2)</f>
        <v>820851019.66999996</v>
      </c>
    </row>
    <row r="172" spans="1:3">
      <c r="A172" s="151" t="s">
        <v>2014</v>
      </c>
      <c r="B172" s="137">
        <f>ROUND(受限制的货币资金!B9-受限货币资金情况!B5,2)</f>
        <v>0</v>
      </c>
      <c r="C172" s="137">
        <f>ROUND(受限制的货币资金!C9-受限货币资金情况!C5,2)</f>
        <v>0</v>
      </c>
    </row>
    <row r="173" spans="1:3">
      <c r="A173" s="151" t="s">
        <v>1966</v>
      </c>
      <c r="B173" s="1">
        <f>ROUND(现金流量表!B25-应付职工薪酬明细情况!D7-(VLOOKUP("个人所得税",应交税费!A:E,2,0)-VLOOKUP("个人所得税",应交税费!A:E,5,0)),2)</f>
        <v>0</v>
      </c>
    </row>
    <row r="174" spans="1:3">
      <c r="A174" s="151" t="s">
        <v>1968</v>
      </c>
      <c r="B174" s="1">
        <f>ROUND(现金流量表!B26-应交税费!D17+VLOOKUP("个人所得税",应交税费!A:E,4,0),2)</f>
        <v>0</v>
      </c>
    </row>
    <row r="175" spans="1:3">
      <c r="A175" s="151" t="s">
        <v>2768</v>
      </c>
      <c r="B175" s="1" t="e">
        <f>ROUND(将净利润调节为经营活动现金流量!B22-现金流量表!B29,2)</f>
        <v>#N/A</v>
      </c>
      <c r="C175" s="1">
        <f>ROUND(将净利润调节为经营活动现金流量!C22-现金流量表!C29,2)</f>
        <v>263043711.28999999</v>
      </c>
    </row>
    <row r="176" spans="1:3">
      <c r="A176" s="151"/>
    </row>
    <row r="177" spans="1:3">
      <c r="A177" s="247" t="s">
        <v>4251</v>
      </c>
      <c r="B177" s="139"/>
      <c r="C177" s="139"/>
    </row>
    <row r="178" spans="1:3">
      <c r="A178" s="18" t="s">
        <v>2439</v>
      </c>
    </row>
    <row r="179" spans="1:3">
      <c r="A179" s="18" t="s">
        <v>2440</v>
      </c>
      <c r="B179" s="1" t="e">
        <f>ROUND(IF(采用账龄分析法计提坏账准备的应收账款原准则!B3&lt;=采用账龄分析法计提坏账准备的应收账款原准则!E2,"","错误"),2)</f>
        <v>#VALUE!</v>
      </c>
    </row>
    <row r="180" spans="1:3">
      <c r="A180" s="18" t="s">
        <v>2441</v>
      </c>
      <c r="B180" s="1" t="e">
        <f>ROUND(IF(采用账龄分析法计提坏账准备的应收账款原准则!B4&lt;=采用账龄分析法计提坏账准备的应收账款原准则!E3,"","错误"),2)</f>
        <v>#VALUE!</v>
      </c>
    </row>
    <row r="181" spans="1:3">
      <c r="A181" s="18" t="s">
        <v>2442</v>
      </c>
      <c r="B181" s="1" t="e">
        <f>ROUND(IF(采用账龄分析法计提坏账准备的应收账款原准则!B5&lt;=采用账龄分析法计提坏账准备的应收账款原准则!E4,"","错误"),2)</f>
        <v>#VALUE!</v>
      </c>
    </row>
    <row r="182" spans="1:3">
      <c r="A182" s="18" t="s">
        <v>2443</v>
      </c>
      <c r="B182" s="1" t="e">
        <f>ROUND(IF(采用账龄分析法计提坏账准备的应收账款原准则!B6&lt;=采用账龄分析法计提坏账准备的应收账款原准则!E5,"","错误"),2)</f>
        <v>#VALUE!</v>
      </c>
    </row>
    <row r="183" spans="1:3">
      <c r="A183" s="18" t="s">
        <v>325</v>
      </c>
      <c r="B183" s="1" t="e">
        <f>ROUND(IF(采用账龄分析法计提坏账准备的应收账款原准则!B7&lt;=采用账龄分析法计提坏账准备的应收账款原准则!E6,"","错误"),2)</f>
        <v>#VALUE!</v>
      </c>
    </row>
    <row r="184" spans="1:3">
      <c r="A184" s="247" t="s">
        <v>4252</v>
      </c>
      <c r="B184" s="139"/>
      <c r="C184" s="139"/>
    </row>
    <row r="185" spans="1:3">
      <c r="A185" s="18" t="s">
        <v>2439</v>
      </c>
    </row>
    <row r="186" spans="1:3">
      <c r="A186" s="18" t="s">
        <v>2440</v>
      </c>
      <c r="B186" s="1" t="e">
        <f>ROUND(IF(#REF!&lt;=#REF!,"","错误"),2)</f>
        <v>#REF!</v>
      </c>
    </row>
    <row r="187" spans="1:3">
      <c r="A187" s="18" t="s">
        <v>2441</v>
      </c>
      <c r="B187" s="1" t="e">
        <f>ROUND(IF(#REF!&lt;=#REF!,"","错误"),2)</f>
        <v>#REF!</v>
      </c>
    </row>
    <row r="188" spans="1:3">
      <c r="A188" s="18" t="s">
        <v>2442</v>
      </c>
      <c r="B188" s="1" t="e">
        <f>ROUND(IF(#REF!&lt;=#REF!,"","错误"),2)</f>
        <v>#REF!</v>
      </c>
    </row>
    <row r="189" spans="1:3">
      <c r="A189" s="18" t="s">
        <v>2443</v>
      </c>
      <c r="B189" s="1" t="e">
        <f>ROUND(IF(#REF!&lt;=#REF!,"","错误"),2)</f>
        <v>#REF!</v>
      </c>
    </row>
    <row r="190" spans="1:3">
      <c r="A190" s="18" t="s">
        <v>325</v>
      </c>
      <c r="B190" s="1" t="e">
        <f>ROUND(IF(#REF!&lt;=#REF!,"","错误"),2)</f>
        <v>#REF!</v>
      </c>
    </row>
    <row r="191" spans="1:3">
      <c r="A191" s="247" t="s">
        <v>2539</v>
      </c>
      <c r="B191" s="139"/>
      <c r="C191" s="139"/>
    </row>
    <row r="192" spans="1:3">
      <c r="A192" s="18" t="s">
        <v>286</v>
      </c>
    </row>
    <row r="193" spans="1:4">
      <c r="A193" s="18" t="s">
        <v>287</v>
      </c>
      <c r="B193" s="1" t="e">
        <f>ROUND(IF(预付账款账龄明细!B3&lt;=预付账款账龄明细!F2,"","错误"),2)</f>
        <v>#VALUE!</v>
      </c>
    </row>
    <row r="194" spans="1:4">
      <c r="A194" s="18" t="s">
        <v>288</v>
      </c>
      <c r="B194" s="1" t="e">
        <f>ROUND(IF(预付账款账龄明细!B4&lt;=预付账款账龄明细!F3,"","错误"),2)</f>
        <v>#VALUE!</v>
      </c>
    </row>
    <row r="195" spans="1:4">
      <c r="A195" s="18" t="s">
        <v>289</v>
      </c>
      <c r="B195" s="1" t="e">
        <f>ROUND(IF(预付账款账龄明细!B5&lt;=预付账款账龄明细!F4,"","错误"),2)</f>
        <v>#VALUE!</v>
      </c>
    </row>
    <row r="196" spans="1:4">
      <c r="A196" s="247" t="s">
        <v>2540</v>
      </c>
      <c r="B196" s="139"/>
      <c r="C196" s="139"/>
    </row>
    <row r="197" spans="1:4">
      <c r="A197" s="18" t="s">
        <v>286</v>
      </c>
    </row>
    <row r="198" spans="1:4">
      <c r="A198" s="18" t="s">
        <v>287</v>
      </c>
      <c r="B198" s="1" t="e">
        <f>ROUND(IF(应付账款!B3&lt;=应付账款!C2,"","错误"),2)</f>
        <v>#VALUE!</v>
      </c>
    </row>
    <row r="199" spans="1:4">
      <c r="A199" s="18" t="s">
        <v>288</v>
      </c>
      <c r="B199" s="1" t="e">
        <f>ROUND(IF(应付账款!B4&lt;=应付账款!C3,"","错误"),2)</f>
        <v>#VALUE!</v>
      </c>
    </row>
    <row r="200" spans="1:4">
      <c r="A200" s="18" t="s">
        <v>289</v>
      </c>
      <c r="B200" s="1" t="e">
        <f>ROUND(IF(应付账款!B5&lt;=应付账款!C4,"","错误"),2)</f>
        <v>#VALUE!</v>
      </c>
    </row>
    <row r="201" spans="1:4">
      <c r="A201" s="247" t="s">
        <v>2541</v>
      </c>
      <c r="B201" s="139"/>
      <c r="C201" s="139"/>
    </row>
    <row r="202" spans="1:4">
      <c r="A202" s="18" t="s">
        <v>286</v>
      </c>
    </row>
    <row r="203" spans="1:4">
      <c r="A203" s="18" t="s">
        <v>287</v>
      </c>
      <c r="B203" s="1" t="e">
        <f>ROUND(IF(预收款项账龄表!B3&lt;=预收款项账龄表!C2,"","错误"),2)</f>
        <v>#VALUE!</v>
      </c>
    </row>
    <row r="204" spans="1:4">
      <c r="A204" s="18" t="s">
        <v>288</v>
      </c>
      <c r="B204" s="1" t="e">
        <f>ROUND(IF(预收款项账龄表!B4&lt;=预收款项账龄表!C3,"","错误"),2)</f>
        <v>#VALUE!</v>
      </c>
    </row>
    <row r="205" spans="1:4">
      <c r="A205" s="18" t="s">
        <v>289</v>
      </c>
      <c r="B205" s="1" t="e">
        <f>ROUND(IF(预收款项账龄表!B5&lt;=预收款项账龄表!C4,"","错误"),2)</f>
        <v>#VALUE!</v>
      </c>
    </row>
    <row r="207" spans="1:4">
      <c r="A207" s="151" t="s">
        <v>2938</v>
      </c>
      <c r="B207" s="1" t="s">
        <v>2939</v>
      </c>
      <c r="C207" s="1" t="s">
        <v>2940</v>
      </c>
      <c r="D207" s="18" t="s">
        <v>2546</v>
      </c>
    </row>
    <row r="208" spans="1:4">
      <c r="A208" s="18" t="s">
        <v>57</v>
      </c>
      <c r="B208" s="1">
        <f>ROUND(本期TB!H13,2)</f>
        <v>0</v>
      </c>
      <c r="C208" s="1">
        <f>ROUND(应收票据分类新金融工具准则!C4,2)</f>
        <v>0</v>
      </c>
      <c r="D208" s="134">
        <f>ROUND(B208-C208,2)</f>
        <v>0</v>
      </c>
    </row>
    <row r="209" spans="1:4">
      <c r="A209" s="151" t="s">
        <v>58</v>
      </c>
      <c r="B209" s="1">
        <f>ROUND(本期TB!H16,2)</f>
        <v>32762887</v>
      </c>
      <c r="C209" s="1" t="e">
        <f>ROUND(#REF!,2)</f>
        <v>#REF!</v>
      </c>
      <c r="D209" s="134" t="e">
        <f>ROUND(B209-C209,2)</f>
        <v>#REF!</v>
      </c>
    </row>
    <row r="210" spans="1:4">
      <c r="A210" s="151" t="s">
        <v>2942</v>
      </c>
      <c r="B210" s="1">
        <f>ROUND(B209,2)</f>
        <v>32762887</v>
      </c>
      <c r="C210" s="1">
        <f>ROUND(应收账款期末数新金融工具准则!D4,2)</f>
        <v>0</v>
      </c>
      <c r="D210" s="134">
        <f>ROUND(B210-C210,2)</f>
        <v>32762887</v>
      </c>
    </row>
    <row r="211" spans="1:4">
      <c r="A211" s="151" t="s">
        <v>59</v>
      </c>
      <c r="B211" s="1">
        <f>ROUND(本期TB!H30,2)</f>
        <v>0</v>
      </c>
      <c r="C211" s="1" t="e">
        <f>ROUND(#REF!,2)</f>
        <v>#REF!</v>
      </c>
      <c r="D211" s="134" t="e">
        <f>ROUND(B211-C211,2)</f>
        <v>#REF!</v>
      </c>
    </row>
    <row r="212" spans="1:4">
      <c r="A212" s="151" t="s">
        <v>2943</v>
      </c>
      <c r="B212" s="1">
        <f>ROUND(B211,2)</f>
        <v>0</v>
      </c>
      <c r="C212" s="1">
        <f>ROUND(其他应收款期末数新金融工具准则!D9,2)</f>
        <v>0</v>
      </c>
      <c r="D212" s="134">
        <f>ROUND(B212-C212,2)</f>
        <v>0</v>
      </c>
    </row>
    <row r="213" spans="1:4">
      <c r="A213" s="151" t="s">
        <v>61</v>
      </c>
      <c r="B213" s="1">
        <f>ROUND(本期TB!H61,2)</f>
        <v>0</v>
      </c>
      <c r="C213" s="1">
        <f>ROUND(债权投资!C4,2)</f>
        <v>0</v>
      </c>
      <c r="D213" s="134">
        <f>ROUND(B213-C213,2)</f>
        <v>0</v>
      </c>
    </row>
    <row r="214" spans="1:4">
      <c r="A214" s="151" t="s">
        <v>64</v>
      </c>
      <c r="B214" s="1">
        <f>ROUND(本期TB!H65,2)</f>
        <v>0</v>
      </c>
      <c r="C214" s="1">
        <f>ROUND(其他债权投资期末数!G6,2)</f>
        <v>0</v>
      </c>
      <c r="D214" s="134">
        <f>ROUND(B214-C214,2)</f>
        <v>0</v>
      </c>
    </row>
    <row r="215" spans="1:4">
      <c r="A215" s="151" t="s">
        <v>2914</v>
      </c>
      <c r="B215" s="1">
        <f>ROUND(本期TB!H52,2)</f>
        <v>0</v>
      </c>
      <c r="C215" s="1">
        <f>ROUND(合同资产情况!C4,2)</f>
        <v>0</v>
      </c>
      <c r="D215" s="134">
        <f>ROUND(B215-C215,2)</f>
        <v>0</v>
      </c>
    </row>
    <row r="216" spans="1:4">
      <c r="A216" s="18" t="s">
        <v>62</v>
      </c>
      <c r="B216" s="1">
        <f>ROUND(本期TB!H70,2)</f>
        <v>0</v>
      </c>
      <c r="C216" s="1">
        <f>ROUND(长期应收款明细情况!C7,2)</f>
        <v>0</v>
      </c>
      <c r="D216" s="134">
        <f>ROUND(B216-C216,2)</f>
        <v>0</v>
      </c>
    </row>
    <row r="217" spans="1:4">
      <c r="A217" s="18" t="s">
        <v>937</v>
      </c>
      <c r="B217" s="1">
        <f>ROUND(本期TB!H49,2)</f>
        <v>0</v>
      </c>
      <c r="C217" s="1">
        <f>ROUND(存货明细情况!C12,2)</f>
        <v>0</v>
      </c>
      <c r="D217" s="134">
        <f>ROUND(B217-C217,2)</f>
        <v>0</v>
      </c>
    </row>
    <row r="218" spans="1:4">
      <c r="A218" s="18" t="s">
        <v>4255</v>
      </c>
      <c r="B218" s="1">
        <f>ROUND(本期TB!H83,2)</f>
        <v>7094592.7199999997</v>
      </c>
      <c r="C218" s="1" t="e">
        <f>ROUND(#REF!,2)</f>
        <v>#REF!</v>
      </c>
      <c r="D218" s="134" t="e">
        <f>ROUND(B218-C218,2)</f>
        <v>#REF!</v>
      </c>
    </row>
    <row r="219" spans="1:4">
      <c r="A219" s="18" t="s">
        <v>4256</v>
      </c>
      <c r="B219" s="1">
        <f>ROUND(本期TB!H83,2)</f>
        <v>7094592.7199999997</v>
      </c>
      <c r="C219" s="1">
        <f>ROUND(固定资产情况!F30,2)</f>
        <v>0</v>
      </c>
      <c r="D219" s="134">
        <f>ROUND(B219-C219,2)</f>
        <v>7094592.7199999997</v>
      </c>
    </row>
    <row r="220" spans="1:4">
      <c r="A220" s="18" t="s">
        <v>777</v>
      </c>
      <c r="B220" s="1">
        <f>ROUND(本期TB!H73,2)</f>
        <v>0</v>
      </c>
      <c r="C220" s="1">
        <f>ROUND(长期股权投资分类情况!E6,2)</f>
        <v>0</v>
      </c>
      <c r="D220" s="134">
        <f>ROUND(B220-C220,2)</f>
        <v>0</v>
      </c>
    </row>
    <row r="221" spans="1:4">
      <c r="A221" s="18" t="s">
        <v>4253</v>
      </c>
      <c r="B221" s="1">
        <f>ROUND(本期TB!H79,2)</f>
        <v>0</v>
      </c>
      <c r="C221" s="1">
        <f>ROUND(采用成本计量模式的投资性房地产上市公司!D30,2)</f>
        <v>0</v>
      </c>
      <c r="D221" s="134">
        <f>ROUND(B221-C221,2)</f>
        <v>0</v>
      </c>
    </row>
    <row r="222" spans="1:4">
      <c r="A222" s="18" t="s">
        <v>4254</v>
      </c>
      <c r="B222" s="1">
        <f>ROUND(本期TB!H79,2)</f>
        <v>0</v>
      </c>
      <c r="C222" s="1">
        <f>ROUND(采用成本计量模式的投资性房地产国有企业!E11,2)</f>
        <v>0</v>
      </c>
      <c r="D222" s="134">
        <f>ROUND(B222-C222,2)</f>
        <v>0</v>
      </c>
    </row>
    <row r="223" spans="1:4">
      <c r="A223" s="151" t="s">
        <v>4257</v>
      </c>
      <c r="B223" s="1">
        <f>ROUND(本期TB!H98,2)</f>
        <v>0</v>
      </c>
      <c r="C223" s="1" t="e">
        <f>ROUND(#REF!,2)</f>
        <v>#REF!</v>
      </c>
      <c r="D223" s="134" t="e">
        <f>ROUND(B223-C223,2)</f>
        <v>#REF!</v>
      </c>
    </row>
    <row r="224" spans="1:4">
      <c r="A224" s="18" t="s">
        <v>4258</v>
      </c>
      <c r="B224" s="1">
        <f>ROUND(本期TB!H98,2)</f>
        <v>0</v>
      </c>
      <c r="C224" s="1">
        <f>ROUND(无形资产!F32,2)</f>
        <v>0</v>
      </c>
      <c r="D224" s="134">
        <f>ROUND(B224-C224,2)</f>
        <v>0</v>
      </c>
    </row>
    <row r="225" spans="1:4">
      <c r="A225" s="18" t="s">
        <v>1030</v>
      </c>
      <c r="B225" s="1">
        <f>ROUND(本期TB!H102,2)</f>
        <v>0</v>
      </c>
      <c r="C225" s="1">
        <f>ROUND(商誉减值准备!E4,2)</f>
        <v>0</v>
      </c>
      <c r="D225" s="134">
        <f>ROUND(B225-C225,2)</f>
        <v>0</v>
      </c>
    </row>
    <row r="229" spans="1:4">
      <c r="A229" s="524" t="s">
        <v>3129</v>
      </c>
      <c r="B229" s="525"/>
      <c r="C229" s="525"/>
      <c r="D229" s="524"/>
    </row>
    <row r="230" spans="1:4">
      <c r="A230" s="18" t="s">
        <v>3136</v>
      </c>
    </row>
    <row r="231" spans="1:4">
      <c r="A231" s="346" t="s">
        <v>3130</v>
      </c>
    </row>
    <row r="232" spans="1:4">
      <c r="A232" s="18" t="str">
        <f>REPLACE(采用成本计量模式的投资性房地产上市公司!A5,1,3,"")</f>
        <v>外购</v>
      </c>
      <c r="B232" s="1">
        <f>ROUND(MATCH(A232,分类表!$74:$74,0),2)</f>
        <v>24</v>
      </c>
    </row>
    <row r="233" spans="1:4">
      <c r="A233" s="18" t="str">
        <f>REPLACE(采用成本计量模式的投资性房地产上市公司!A6,1,3,"")</f>
        <v>在建工程转入</v>
      </c>
      <c r="B233" s="1">
        <f>ROUND(MATCH(A233,分类表!$74:$74,0),2)</f>
        <v>26</v>
      </c>
    </row>
    <row r="234" spans="1:4">
      <c r="A234" s="18" t="str">
        <f>REPLACE(采用成本计量模式的投资性房地产上市公司!A7,1,3,"")</f>
        <v>企业合并增加</v>
      </c>
      <c r="B234" s="1">
        <f>ROUND(MATCH(A234,分类表!$74:$74,0),2)</f>
        <v>9</v>
      </c>
    </row>
    <row r="235" spans="1:4">
      <c r="A235" s="18" t="str">
        <f>REPLACE(采用成本计量模式的投资性房地产上市公司!A8,1,3,"")</f>
        <v>其他</v>
      </c>
      <c r="B235" s="1">
        <f>ROUND(MATCH(A235,分类表!$74:$74,0),2)</f>
        <v>17</v>
      </c>
    </row>
    <row r="236" spans="1:4">
      <c r="A236" s="18" t="str">
        <f>REPLACE(采用成本计量模式的投资性房地产上市公司!A9,1,3,"")</f>
        <v>期减少金额</v>
      </c>
      <c r="B236" s="1" t="e">
        <f>ROUND(MATCH(A236,分类表!$74:$74,0),2)</f>
        <v>#N/A</v>
      </c>
    </row>
    <row r="237" spans="1:4">
      <c r="A237" s="18" t="str">
        <f>REPLACE(采用成本计量模式的投资性房地产上市公司!A10,1,3,"")</f>
        <v>处置</v>
      </c>
      <c r="B237" s="1">
        <f>ROUND(MATCH(A237,分类表!$74:$74,0),2)</f>
        <v>4</v>
      </c>
    </row>
    <row r="238" spans="1:4">
      <c r="A238" s="18" t="str">
        <f>REPLACE(采用成本计量模式的投资性房地产上市公司!A11,1,3,"")</f>
        <v>其他</v>
      </c>
      <c r="B238" s="1">
        <f>ROUND(MATCH(A238,分类表!$74:$74,0),2)</f>
        <v>17</v>
      </c>
    </row>
    <row r="239" spans="1:4">
      <c r="A239" s="18" t="str">
        <f>REPLACE(采用成本计量模式的投资性房地产上市公司!A12,1,3,"")</f>
        <v>末余额</v>
      </c>
      <c r="B239" s="1" t="e">
        <f>ROUND(MATCH(A239,分类表!$74:$74,0),2)</f>
        <v>#N/A</v>
      </c>
    </row>
    <row r="240" spans="1:4">
      <c r="A240" s="18" t="str">
        <f>REPLACE(采用成本计量模式的投资性房地产上市公司!A13,1,3,"")</f>
        <v>计折旧和累计摊销</v>
      </c>
      <c r="B240" s="1" t="e">
        <f>ROUND(MATCH(A240,分类表!$74:$74,0),2)</f>
        <v>#N/A</v>
      </c>
    </row>
    <row r="241" spans="1:2">
      <c r="A241" s="18" t="str">
        <f>REPLACE(采用成本计量模式的投资性房地产上市公司!A14,1,3,"")</f>
        <v>初余额</v>
      </c>
      <c r="B241" s="1" t="e">
        <f>ROUND(MATCH(A241,分类表!$74:$74,0),2)</f>
        <v>#N/A</v>
      </c>
    </row>
    <row r="242" spans="1:2">
      <c r="A242" s="18" t="str">
        <f>REPLACE(采用成本计量模式的投资性房地产上市公司!A15,1,3,"")</f>
        <v>期增加金额</v>
      </c>
      <c r="B242" s="1" t="e">
        <f>ROUND(MATCH(A242,分类表!$74:$74,0),2)</f>
        <v>#N/A</v>
      </c>
    </row>
    <row r="243" spans="1:2">
      <c r="A243" s="18" t="str">
        <f>REPLACE(采用成本计量模式的投资性房地产上市公司!A16,1,3,"")</f>
        <v>计提或摊销</v>
      </c>
      <c r="B243" s="1">
        <f>ROUND(MATCH(A243,分类表!$74:$74,0),2)</f>
        <v>3</v>
      </c>
    </row>
    <row r="244" spans="1:2">
      <c r="A244" s="18" t="str">
        <f>REPLACE(采用成本计量模式的投资性房地产上市公司!A17,1,3,"")</f>
        <v>其他增加</v>
      </c>
      <c r="B244" s="1">
        <f>ROUND(MATCH(A244,分类表!$74:$74,0),2)</f>
        <v>37</v>
      </c>
    </row>
    <row r="245" spans="1:2">
      <c r="A245" s="18" t="str">
        <f>REPLACE(采用成本计量模式的投资性房地产上市公司!A18,1,3,"")</f>
        <v>期减少金额</v>
      </c>
      <c r="B245" s="1" t="e">
        <f>ROUND(MATCH(A245,分类表!$74:$74,0),2)</f>
        <v>#N/A</v>
      </c>
    </row>
    <row r="246" spans="1:2">
      <c r="A246" s="18" t="str">
        <f>REPLACE(采用成本计量模式的投资性房地产上市公司!A19,1,3,"")</f>
        <v>处置</v>
      </c>
      <c r="B246" s="1">
        <f>ROUND(MATCH(A246,分类表!$74:$74,0),2)</f>
        <v>4</v>
      </c>
    </row>
    <row r="247" spans="1:2">
      <c r="A247" s="18" t="str">
        <f>REPLACE(采用成本计量模式的投资性房地产上市公司!A20,1,3,"")</f>
        <v>其他转出</v>
      </c>
      <c r="B247" s="1">
        <f>ROUND(MATCH(A247,分类表!$74:$74,0),2)</f>
        <v>35</v>
      </c>
    </row>
    <row r="248" spans="1:2">
      <c r="A248" s="18" t="str">
        <f>REPLACE(采用成本计量模式的投资性房地产上市公司!A21,1,3,"")</f>
        <v>末余额</v>
      </c>
      <c r="B248" s="1" t="e">
        <f>ROUND(MATCH(A248,分类表!$74:$74,0),2)</f>
        <v>#N/A</v>
      </c>
    </row>
    <row r="249" spans="1:2">
      <c r="A249" s="18" t="str">
        <f>REPLACE(采用成本计量模式的投资性房地产上市公司!A22,1,3,"")</f>
        <v>值准备</v>
      </c>
      <c r="B249" s="1" t="e">
        <f>ROUND(MATCH(A249,分类表!$74:$74,0),2)</f>
        <v>#N/A</v>
      </c>
    </row>
    <row r="250" spans="1:2">
      <c r="A250" s="18" t="str">
        <f>REPLACE(采用成本计量模式的投资性房地产上市公司!A23,1,3,"")</f>
        <v>初余额</v>
      </c>
      <c r="B250" s="1" t="e">
        <f>ROUND(MATCH(A250,分类表!$74:$74,0),2)</f>
        <v>#N/A</v>
      </c>
    </row>
    <row r="251" spans="1:2">
      <c r="A251" s="18" t="str">
        <f>REPLACE(采用成本计量模式的投资性房地产上市公司!A24,1,3,"")</f>
        <v>期增加金额</v>
      </c>
      <c r="B251" s="1" t="e">
        <f>ROUND(MATCH(A251,分类表!$74:$74,0),2)</f>
        <v>#N/A</v>
      </c>
    </row>
    <row r="252" spans="1:2">
      <c r="A252" s="18" t="str">
        <f>REPLACE(采用成本计量模式的投资性房地产上市公司!A25,1,3,"")</f>
        <v>计提</v>
      </c>
      <c r="B252" s="1">
        <f>ROUND(MATCH(A252,分类表!$74:$74,0),2)</f>
        <v>36</v>
      </c>
    </row>
    <row r="253" spans="1:2">
      <c r="A253" s="18" t="str">
        <f>REPLACE(采用成本计量模式的投资性房地产上市公司!A26,1,3,"")</f>
        <v>其他</v>
      </c>
      <c r="B253" s="1">
        <f>ROUND(MATCH(A253,分类表!$74:$74,0),2)</f>
        <v>17</v>
      </c>
    </row>
    <row r="254" spans="1:2">
      <c r="A254" s="18" t="str">
        <f>REPLACE(采用成本计量模式的投资性房地产上市公司!A27,1,3,"")</f>
        <v>期减少金额</v>
      </c>
      <c r="B254" s="1" t="e">
        <f>ROUND(MATCH(A254,分类表!$74:$74,0),2)</f>
        <v>#N/A</v>
      </c>
    </row>
    <row r="255" spans="1:2">
      <c r="A255" s="18" t="str">
        <f>REPLACE(采用成本计量模式的投资性房地产上市公司!A28,1,3,"")</f>
        <v>处置</v>
      </c>
      <c r="B255" s="1">
        <f>ROUND(MATCH(A255,分类表!$74:$74,0),2)</f>
        <v>4</v>
      </c>
    </row>
    <row r="256" spans="1:2">
      <c r="A256" s="18" t="str">
        <f>REPLACE(采用成本计量模式的投资性房地产上市公司!A29,1,3,"")</f>
        <v>其他转出</v>
      </c>
      <c r="B256" s="1">
        <f>ROUND(MATCH(A256,分类表!$74:$74,0),2)</f>
        <v>35</v>
      </c>
    </row>
    <row r="257" spans="1:2">
      <c r="A257" s="18" t="str">
        <f>REPLACE(采用成本计量模式的投资性房地产上市公司!A30,1,3,"")</f>
        <v>末余额</v>
      </c>
      <c r="B257" s="1" t="e">
        <f>ROUND(MATCH(A257,分类表!$74:$74,0),2)</f>
        <v>#N/A</v>
      </c>
    </row>
    <row r="258" spans="1:2">
      <c r="A258" s="18" t="str">
        <f>REPLACE(采用成本计量模式的投资性房地产上市公司!A31,1,3,"")</f>
        <v>面价值</v>
      </c>
      <c r="B258" s="1" t="e">
        <f>ROUND(MATCH(A258,分类表!$74:$74,0),2)</f>
        <v>#N/A</v>
      </c>
    </row>
    <row r="259" spans="1:2">
      <c r="A259" s="18" t="str">
        <f>REPLACE(采用成本计量模式的投资性房地产上市公司!A32,1,3,"")</f>
        <v>末账面价值</v>
      </c>
      <c r="B259" s="1" t="e">
        <f>ROUND(MATCH(A259,分类表!$74:$74,0),2)</f>
        <v>#N/A</v>
      </c>
    </row>
    <row r="260" spans="1:2">
      <c r="A260" s="18" t="str">
        <f>REPLACE(采用成本计量模式的投资性房地产上市公司!A33,1,3,"")</f>
        <v>初账面价值</v>
      </c>
      <c r="B260" s="1" t="e">
        <f>ROUND(MATCH(A260,分类表!$74:$74,0),2)</f>
        <v>#N/A</v>
      </c>
    </row>
    <row r="261" spans="1:2">
      <c r="A261" s="18" t="str">
        <f>REPLACE(采用成本计量模式的投资性房地产上市公司!A34,1,3,"")</f>
        <v/>
      </c>
    </row>
    <row r="262" spans="1:2">
      <c r="A262" s="18" t="s">
        <v>3135</v>
      </c>
    </row>
    <row r="263" spans="1:2">
      <c r="A263" s="18" t="e">
        <f>SUBSTITUTE(#REF!," ","")</f>
        <v>#REF!</v>
      </c>
    </row>
    <row r="264" spans="1:2">
      <c r="A264" s="18" t="e">
        <f>SUBSTITUTE(#REF!," ","")</f>
        <v>#REF!</v>
      </c>
      <c r="B264" s="1" t="e">
        <f>ROUND(MATCH(A264,分类表!$25:$25,0),2)</f>
        <v>#REF!</v>
      </c>
    </row>
    <row r="265" spans="1:2">
      <c r="A265" s="18" t="e">
        <f>SUBSTITUTE(#REF!," ","")</f>
        <v>#REF!</v>
      </c>
      <c r="B265" s="1" t="e">
        <f>ROUND(MATCH(A265,分类表!$25:$25,0),2)</f>
        <v>#REF!</v>
      </c>
    </row>
    <row r="266" spans="1:2">
      <c r="A266" s="18" t="e">
        <f>SUBSTITUTE(#REF!," ","")</f>
        <v>#REF!</v>
      </c>
      <c r="B266" s="1" t="e">
        <f>ROUND(MATCH(A266,分类表!$25:$25,0),2)</f>
        <v>#REF!</v>
      </c>
    </row>
    <row r="267" spans="1:2">
      <c r="A267" s="18" t="e">
        <f>SUBSTITUTE(#REF!," ","")</f>
        <v>#REF!</v>
      </c>
      <c r="B267" s="1" t="e">
        <f>ROUND(MATCH(A267,分类表!$25:$25,0),2)</f>
        <v>#REF!</v>
      </c>
    </row>
    <row r="268" spans="1:2">
      <c r="A268" s="18" t="e">
        <f>SUBSTITUTE(#REF!," ","")</f>
        <v>#REF!</v>
      </c>
      <c r="B268" s="1" t="e">
        <f>ROUND(MATCH(A268,分类表!$25:$25,0),2)</f>
        <v>#REF!</v>
      </c>
    </row>
    <row r="269" spans="1:2">
      <c r="A269" s="18" t="e">
        <f>SUBSTITUTE(#REF!," ","")</f>
        <v>#REF!</v>
      </c>
      <c r="B269" s="1" t="e">
        <f>ROUND(MATCH(A269,分类表!$25:$25,0),2)</f>
        <v>#REF!</v>
      </c>
    </row>
    <row r="270" spans="1:2">
      <c r="A270" s="18" t="e">
        <f>SUBSTITUTE(#REF!," ","")</f>
        <v>#REF!</v>
      </c>
      <c r="B270" s="1" t="e">
        <f>ROUND(MATCH(A270,分类表!$25:$25,0),2)</f>
        <v>#REF!</v>
      </c>
    </row>
    <row r="271" spans="1:2">
      <c r="A271" s="18" t="e">
        <f>SUBSTITUTE(#REF!," ","")</f>
        <v>#REF!</v>
      </c>
      <c r="B271" s="1" t="e">
        <f>ROUND(MATCH(A271,分类表!$25:$25,0),2)</f>
        <v>#REF!</v>
      </c>
    </row>
    <row r="272" spans="1:2">
      <c r="A272" s="18" t="e">
        <f>SUBSTITUTE(#REF!," ","")</f>
        <v>#REF!</v>
      </c>
      <c r="B272" s="1" t="e">
        <f>ROUND(MATCH(A272,分类表!$25:$25,0),2)</f>
        <v>#REF!</v>
      </c>
    </row>
    <row r="273" spans="1:2">
      <c r="A273" s="18" t="e">
        <f>SUBSTITUTE(#REF!," ","")</f>
        <v>#REF!</v>
      </c>
      <c r="B273" s="1" t="e">
        <f>ROUND(MATCH(A273,分类表!$25:$25,0),2)</f>
        <v>#REF!</v>
      </c>
    </row>
    <row r="274" spans="1:2">
      <c r="A274" s="18" t="e">
        <f>SUBSTITUTE(#REF!," ","")</f>
        <v>#REF!</v>
      </c>
      <c r="B274" s="1" t="e">
        <f>ROUND(MATCH(A274,分类表!$25:$25,0),2)</f>
        <v>#REF!</v>
      </c>
    </row>
    <row r="275" spans="1:2">
      <c r="A275" s="18" t="e">
        <f>SUBSTITUTE(#REF!," ","")</f>
        <v>#REF!</v>
      </c>
      <c r="B275" s="1" t="e">
        <f>ROUND(MATCH(A275,分类表!$25:$25,0),2)</f>
        <v>#REF!</v>
      </c>
    </row>
    <row r="276" spans="1:2">
      <c r="A276" s="18" t="e">
        <f>SUBSTITUTE(#REF!," ","")</f>
        <v>#REF!</v>
      </c>
      <c r="B276" s="1" t="e">
        <f>ROUND(MATCH(A276,分类表!$25:$25,0),2)</f>
        <v>#REF!</v>
      </c>
    </row>
    <row r="277" spans="1:2">
      <c r="A277" s="18" t="e">
        <f>SUBSTITUTE(#REF!," ","")</f>
        <v>#REF!</v>
      </c>
      <c r="B277" s="1" t="e">
        <f>ROUND(MATCH(A277,分类表!$25:$25,0),2)</f>
        <v>#REF!</v>
      </c>
    </row>
    <row r="278" spans="1:2">
      <c r="A278" s="18" t="e">
        <f>SUBSTITUTE(#REF!," ","")</f>
        <v>#REF!</v>
      </c>
      <c r="B278" s="1" t="e">
        <f>ROUND(MATCH(A278,分类表!$25:$25,0),2)</f>
        <v>#REF!</v>
      </c>
    </row>
    <row r="279" spans="1:2">
      <c r="A279" s="18" t="e">
        <f>SUBSTITUTE(#REF!," ","")</f>
        <v>#REF!</v>
      </c>
      <c r="B279" s="1" t="e">
        <f>ROUND(MATCH(A279,分类表!$25:$25,0),2)</f>
        <v>#REF!</v>
      </c>
    </row>
    <row r="280" spans="1:2">
      <c r="A280" s="18" t="e">
        <f>SUBSTITUTE(#REF!," ","")</f>
        <v>#REF!</v>
      </c>
      <c r="B280" s="1" t="e">
        <f>ROUND(MATCH(A280,分类表!$25:$25,0),2)</f>
        <v>#REF!</v>
      </c>
    </row>
    <row r="281" spans="1:2">
      <c r="A281" s="18" t="e">
        <f>SUBSTITUTE(#REF!," ","")</f>
        <v>#REF!</v>
      </c>
      <c r="B281" s="1" t="e">
        <f>ROUND(MATCH(A281,分类表!$25:$25,0),2)</f>
        <v>#REF!</v>
      </c>
    </row>
    <row r="282" spans="1:2">
      <c r="A282" s="18" t="e">
        <f>SUBSTITUTE(#REF!," ","")</f>
        <v>#REF!</v>
      </c>
      <c r="B282" s="1" t="e">
        <f>ROUND(MATCH(A282,分类表!$25:$25,0),2)</f>
        <v>#REF!</v>
      </c>
    </row>
    <row r="283" spans="1:2">
      <c r="A283" s="18" t="e">
        <f>SUBSTITUTE(#REF!," ","")</f>
        <v>#REF!</v>
      </c>
      <c r="B283" s="1" t="e">
        <f>ROUND(MATCH(A283,分类表!$25:$25,0),2)</f>
        <v>#REF!</v>
      </c>
    </row>
    <row r="284" spans="1:2">
      <c r="A284" s="18" t="e">
        <f>SUBSTITUTE(#REF!," ","")</f>
        <v>#REF!</v>
      </c>
      <c r="B284" s="1" t="e">
        <f>ROUND(MATCH(A284,分类表!$25:$25,0),2)</f>
        <v>#REF!</v>
      </c>
    </row>
    <row r="285" spans="1:2">
      <c r="A285" s="18" t="e">
        <f>SUBSTITUTE(#REF!," ","")</f>
        <v>#REF!</v>
      </c>
      <c r="B285" s="1" t="e">
        <f>ROUND(MATCH(A285,分类表!$25:$25,0),2)</f>
        <v>#REF!</v>
      </c>
    </row>
    <row r="286" spans="1:2">
      <c r="A286" s="18" t="e">
        <f>SUBSTITUTE(#REF!," ","")</f>
        <v>#REF!</v>
      </c>
      <c r="B286" s="1" t="e">
        <f>ROUND(MATCH(A286,分类表!$25:$25,0),2)</f>
        <v>#REF!</v>
      </c>
    </row>
    <row r="287" spans="1:2">
      <c r="A287" s="18" t="e">
        <f>SUBSTITUTE(#REF!," ","")</f>
        <v>#REF!</v>
      </c>
      <c r="B287" s="1" t="e">
        <f>ROUND(MATCH(A287,分类表!$25:$25,0),2)</f>
        <v>#REF!</v>
      </c>
    </row>
    <row r="288" spans="1:2">
      <c r="A288" s="18" t="e">
        <f>SUBSTITUTE(#REF!," ","")</f>
        <v>#REF!</v>
      </c>
      <c r="B288" s="1" t="e">
        <f>ROUND(MATCH(A288,分类表!$25:$25,0),2)</f>
        <v>#REF!</v>
      </c>
    </row>
    <row r="289" spans="1:2">
      <c r="A289" s="18" t="e">
        <f>SUBSTITUTE(#REF!," ","")</f>
        <v>#REF!</v>
      </c>
    </row>
    <row r="290" spans="1:2">
      <c r="A290" s="18" t="str">
        <f>REPLACE(固定资产情况!A3,1,3,"")</f>
        <v>初余额</v>
      </c>
      <c r="B290" s="1" t="e">
        <f>ROUND(MATCH(A290,分类表!$75:$75,0),2)</f>
        <v>#N/A</v>
      </c>
    </row>
    <row r="291" spans="1:2">
      <c r="A291" s="18" t="str">
        <f>REPLACE(固定资产情况!A4,1,3,"")</f>
        <v>期增加金额</v>
      </c>
      <c r="B291" s="1" t="e">
        <f>ROUND(MATCH(A291,分类表!$75:$75,0),2)</f>
        <v>#N/A</v>
      </c>
    </row>
    <row r="292" spans="1:2">
      <c r="A292" s="18" t="str">
        <f>REPLACE(固定资产情况!A5,1,3,"")</f>
        <v>外购</v>
      </c>
      <c r="B292" s="1">
        <f>ROUND(MATCH(A292,分类表!$75:$75,0),2)</f>
        <v>18</v>
      </c>
    </row>
    <row r="293" spans="1:2">
      <c r="A293" s="18" t="str">
        <f>REPLACE(固定资产情况!A6,1,3,"")</f>
        <v>在建工程转入</v>
      </c>
      <c r="B293" s="1">
        <f>ROUND(MATCH(A293,分类表!$75:$75,0),2)</f>
        <v>26</v>
      </c>
    </row>
    <row r="294" spans="1:2">
      <c r="A294" s="18" t="str">
        <f>REPLACE(固定资产情况!A7,1,3,"")</f>
        <v>企业合并增加</v>
      </c>
      <c r="B294" s="1" t="e">
        <f>ROUND(MATCH(A294,分类表!$75:$75,0),2)</f>
        <v>#N/A</v>
      </c>
    </row>
    <row r="295" spans="1:2">
      <c r="A295" s="18" t="str">
        <f>REPLACE(固定资产情况!A8,1,3,"")</f>
        <v>其他</v>
      </c>
      <c r="B295" s="1">
        <f>ROUND(MATCH(A295,分类表!$75:$75,0),2)</f>
        <v>15</v>
      </c>
    </row>
    <row r="296" spans="1:2">
      <c r="A296" s="18" t="str">
        <f>REPLACE(固定资产情况!A9,1,3,"")</f>
        <v>期减少金额</v>
      </c>
      <c r="B296" s="1" t="e">
        <f>ROUND(MATCH(A296,分类表!$75:$75,0),2)</f>
        <v>#N/A</v>
      </c>
    </row>
    <row r="297" spans="1:2">
      <c r="A297" s="18" t="str">
        <f>REPLACE(固定资产情况!A10,1,3,"")</f>
        <v>处置</v>
      </c>
      <c r="B297" s="1">
        <f>ROUND(MATCH(A297,分类表!$75:$75,0),2)</f>
        <v>2</v>
      </c>
    </row>
    <row r="298" spans="1:2">
      <c r="A298" s="18" t="str">
        <f>REPLACE(固定资产情况!A11,1,3,"")</f>
        <v>其他</v>
      </c>
      <c r="B298" s="1">
        <f>ROUND(MATCH(A298,分类表!$75:$75,0),2)</f>
        <v>15</v>
      </c>
    </row>
    <row r="299" spans="1:2">
      <c r="A299" s="18" t="str">
        <f>REPLACE(固定资产情况!A12,1,3,"")</f>
        <v>末余额</v>
      </c>
      <c r="B299" s="1" t="e">
        <f>ROUND(MATCH(A299,分类表!$75:$75,0),2)</f>
        <v>#N/A</v>
      </c>
    </row>
    <row r="300" spans="1:2">
      <c r="A300" s="18" t="str">
        <f>REPLACE(固定资产情况!A13,1,3,"")</f>
        <v>计折旧</v>
      </c>
      <c r="B300" s="1" t="e">
        <f>ROUND(MATCH(A300,分类表!$75:$75,0),2)</f>
        <v>#N/A</v>
      </c>
    </row>
    <row r="301" spans="1:2">
      <c r="A301" s="18" t="str">
        <f>REPLACE(固定资产情况!A14,1,3,"")</f>
        <v>初余额</v>
      </c>
      <c r="B301" s="1" t="e">
        <f>ROUND(MATCH(A301,分类表!$75:$75,0),2)</f>
        <v>#N/A</v>
      </c>
    </row>
    <row r="302" spans="1:2">
      <c r="A302" s="18" t="str">
        <f>REPLACE(固定资产情况!A15,1,3,"")</f>
        <v>期增加金额</v>
      </c>
      <c r="B302" s="1" t="e">
        <f>ROUND(MATCH(A302,分类表!$75:$75,0),2)</f>
        <v>#N/A</v>
      </c>
    </row>
    <row r="303" spans="1:2">
      <c r="A303" s="18" t="str">
        <f>REPLACE(固定资产情况!A16,1,3,"")</f>
        <v>计提</v>
      </c>
      <c r="B303" s="1">
        <f>ROUND(MATCH(A303,分类表!$75:$75,0),2)</f>
        <v>17</v>
      </c>
    </row>
    <row r="304" spans="1:2">
      <c r="A304" s="18" t="str">
        <f>REPLACE(固定资产情况!A17,1,3,"")</f>
        <v>其他</v>
      </c>
      <c r="B304" s="1">
        <f>ROUND(MATCH(A304,分类表!$75:$75,0),2)</f>
        <v>15</v>
      </c>
    </row>
    <row r="305" spans="1:2">
      <c r="A305" s="18" t="str">
        <f>REPLACE(固定资产情况!A18,1,3,"")</f>
        <v>期减少金额</v>
      </c>
      <c r="B305" s="1" t="e">
        <f>ROUND(MATCH(A305,分类表!$75:$75,0),2)</f>
        <v>#N/A</v>
      </c>
    </row>
    <row r="306" spans="1:2">
      <c r="A306" s="18" t="str">
        <f>REPLACE(固定资产情况!A19,1,3,"")</f>
        <v>处置</v>
      </c>
      <c r="B306" s="1">
        <f>ROUND(MATCH(A306,分类表!$75:$75,0),2)</f>
        <v>2</v>
      </c>
    </row>
    <row r="307" spans="1:2">
      <c r="A307" s="18" t="str">
        <f>REPLACE(固定资产情况!A20,1,3,"")</f>
        <v>其他</v>
      </c>
      <c r="B307" s="1">
        <f>ROUND(MATCH(A307,分类表!$75:$75,0),2)</f>
        <v>15</v>
      </c>
    </row>
    <row r="308" spans="1:2">
      <c r="A308" s="18" t="str">
        <f>REPLACE(固定资产情况!A21,1,3,"")</f>
        <v>末余额</v>
      </c>
      <c r="B308" s="1" t="e">
        <f>ROUND(MATCH(A308,分类表!$75:$75,0),2)</f>
        <v>#N/A</v>
      </c>
    </row>
    <row r="309" spans="1:2">
      <c r="A309" s="18" t="str">
        <f>REPLACE(固定资产情况!A22,1,3,"")</f>
        <v>值准备</v>
      </c>
      <c r="B309" s="1" t="e">
        <f>ROUND(MATCH(A309,分类表!$75:$75,0),2)</f>
        <v>#N/A</v>
      </c>
    </row>
    <row r="310" spans="1:2">
      <c r="A310" s="18" t="str">
        <f>REPLACE(固定资产情况!A23,1,3,"")</f>
        <v>初余额</v>
      </c>
      <c r="B310" s="1" t="e">
        <f>ROUND(MATCH(A310,分类表!$75:$75,0),2)</f>
        <v>#N/A</v>
      </c>
    </row>
    <row r="311" spans="1:2">
      <c r="A311" s="18" t="str">
        <f>REPLACE(固定资产情况!A24,1,3,"")</f>
        <v>期增加金额</v>
      </c>
      <c r="B311" s="1" t="e">
        <f>ROUND(MATCH(A311,分类表!$75:$75,0),2)</f>
        <v>#N/A</v>
      </c>
    </row>
    <row r="312" spans="1:2">
      <c r="A312" s="18" t="str">
        <f>REPLACE(固定资产情况!A25,1,3,"")</f>
        <v>计提</v>
      </c>
      <c r="B312" s="1">
        <f>ROUND(MATCH(A312,分类表!$75:$75,0),2)</f>
        <v>17</v>
      </c>
    </row>
    <row r="313" spans="1:2">
      <c r="A313" s="18" t="str">
        <f>REPLACE(固定资产情况!A26,1,3,"")</f>
        <v>其他</v>
      </c>
      <c r="B313" s="1">
        <f>ROUND(MATCH(A313,分类表!$75:$75,0),2)</f>
        <v>15</v>
      </c>
    </row>
    <row r="314" spans="1:2">
      <c r="A314" s="18" t="str">
        <f>REPLACE(固定资产情况!A27,1,3,"")</f>
        <v>期减少金额</v>
      </c>
      <c r="B314" s="1" t="e">
        <f>ROUND(MATCH(A314,分类表!$75:$75,0),2)</f>
        <v>#N/A</v>
      </c>
    </row>
    <row r="315" spans="1:2">
      <c r="A315" s="18" t="str">
        <f>REPLACE(固定资产情况!A28,1,3,"")</f>
        <v>处置</v>
      </c>
      <c r="B315" s="1">
        <f>ROUND(MATCH(A315,分类表!$75:$75,0),2)</f>
        <v>2</v>
      </c>
    </row>
    <row r="316" spans="1:2">
      <c r="A316" s="18" t="str">
        <f>REPLACE(固定资产情况!A29,1,3,"")</f>
        <v>其他</v>
      </c>
      <c r="B316" s="1">
        <f>ROUND(MATCH(A316,分类表!$75:$75,0),2)</f>
        <v>15</v>
      </c>
    </row>
    <row r="317" spans="1:2">
      <c r="A317" s="18" t="str">
        <f>REPLACE(固定资产情况!A30,1,3,"")</f>
        <v>末余额</v>
      </c>
      <c r="B317" s="1" t="e">
        <f>ROUND(MATCH(A317,分类表!$75:$75,0),2)</f>
        <v>#N/A</v>
      </c>
    </row>
    <row r="318" spans="1:2">
      <c r="A318" s="18" t="str">
        <f>REPLACE(固定资产情况!A31,1,3,"")</f>
        <v>面价值</v>
      </c>
      <c r="B318" s="1" t="e">
        <f>ROUND(MATCH(A318,分类表!$75:$75,0),2)</f>
        <v>#N/A</v>
      </c>
    </row>
    <row r="319" spans="1:2">
      <c r="A319" s="18" t="str">
        <f>REPLACE(固定资产情况!A32,1,3,"")</f>
        <v>末账面价值</v>
      </c>
      <c r="B319" s="1" t="e">
        <f>ROUND(MATCH(A319,分类表!$75:$75,0),2)</f>
        <v>#N/A</v>
      </c>
    </row>
    <row r="320" spans="1:2">
      <c r="A320" s="18" t="str">
        <f>REPLACE(固定资产情况!A33,1,3,"")</f>
        <v>初账面价值</v>
      </c>
      <c r="B320" s="1" t="e">
        <f>ROUND(MATCH(A320,分类表!$75:$75,0),2)</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codeName="Sheet210">
    <tabColor rgb="FFFFC000"/>
  </sheetPr>
  <dimension ref="A1:D4"/>
  <sheetViews>
    <sheetView workbookViewId="0">
      <selection activeCell="E13" sqref="E13"/>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4" t="s">
        <v>203</v>
      </c>
      <c r="C1" s="154" t="s">
        <v>285</v>
      </c>
      <c r="D1" s="1" t="s">
        <v>2527</v>
      </c>
    </row>
    <row r="2" spans="1:4" ht="14.4">
      <c r="A2" s="379"/>
      <c r="B2" s="295">
        <f>ROUND(SUMIF(固定资产清理明细表!C:C,固定资产清理!A2,固定资产清理明细表!G:G),2)</f>
        <v>0</v>
      </c>
      <c r="C2" s="268"/>
      <c r="D2" s="139"/>
    </row>
    <row r="3" spans="1:4" ht="14.4">
      <c r="A3" s="379"/>
      <c r="B3" s="295">
        <f>ROUND(SUMIF(固定资产清理明细表!C:C,固定资产清理!A3,固定资产清理明细表!G:G),2)</f>
        <v>0</v>
      </c>
      <c r="C3" s="268"/>
      <c r="D3" s="139"/>
    </row>
    <row r="4" spans="1:4" ht="14.4">
      <c r="A4" s="31" t="s">
        <v>282</v>
      </c>
      <c r="B4" s="69">
        <f>ROUND(SUM(B2),2)</f>
        <v>0</v>
      </c>
      <c r="C4" s="69">
        <f>ROUND(SUM(C2),2)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sheetPr codeName="Sheet211"/>
  <dimension ref="A1:I28"/>
  <sheetViews>
    <sheetView topLeftCell="A4" workbookViewId="0">
      <selection activeCell="L17" sqref="L17"/>
    </sheetView>
  </sheetViews>
  <sheetFormatPr defaultRowHeight="13.8"/>
  <cols>
    <col min="2" max="3" width="9.5546875" bestFit="1" customWidth="1"/>
    <col min="8" max="8" width="13.88671875" bestFit="1" customWidth="1"/>
    <col min="9" max="9" width="16.109375" bestFit="1" customWidth="1"/>
  </cols>
  <sheetData>
    <row r="1" spans="1:9">
      <c r="A1" t="s">
        <v>2427</v>
      </c>
      <c r="B1" t="s">
        <v>4410</v>
      </c>
      <c r="C1" t="s">
        <v>4411</v>
      </c>
      <c r="D1" t="s">
        <v>2522</v>
      </c>
      <c r="E1" t="s">
        <v>469</v>
      </c>
      <c r="F1" t="s">
        <v>4413</v>
      </c>
      <c r="G1" s="230" t="s">
        <v>4414</v>
      </c>
      <c r="H1" t="s">
        <v>4423</v>
      </c>
      <c r="I1" t="s">
        <v>2527</v>
      </c>
    </row>
    <row r="2" spans="1:9">
      <c r="A2" t="str">
        <f>IF(D2&gt;0,基础信息!$B$1,"")</f>
        <v/>
      </c>
      <c r="B2" s="256"/>
      <c r="C2" s="277"/>
      <c r="D2" s="256"/>
      <c r="E2" s="256"/>
      <c r="F2" s="256"/>
      <c r="G2" s="230">
        <f>D2-E2-F2</f>
        <v>0</v>
      </c>
      <c r="H2" s="256"/>
      <c r="I2" s="256"/>
    </row>
    <row r="3" spans="1:9">
      <c r="A3" t="str">
        <f>IF(D3&gt;0,基础信息!$B$1,"")</f>
        <v/>
      </c>
      <c r="B3" s="256"/>
      <c r="C3" s="277"/>
      <c r="D3" s="256"/>
      <c r="E3" s="256"/>
      <c r="F3" s="256"/>
      <c r="G3" s="230">
        <f t="shared" ref="G3:G28" si="0">D3-E3-F3</f>
        <v>0</v>
      </c>
      <c r="H3" s="256"/>
      <c r="I3" s="256"/>
    </row>
    <row r="4" spans="1:9">
      <c r="A4" t="str">
        <f>IF(D4&gt;0,基础信息!$B$1,"")</f>
        <v/>
      </c>
      <c r="B4" s="256"/>
      <c r="C4" s="277"/>
      <c r="D4" s="256"/>
      <c r="E4" s="256"/>
      <c r="F4" s="256"/>
      <c r="G4" s="230">
        <f t="shared" si="0"/>
        <v>0</v>
      </c>
      <c r="H4" s="256"/>
      <c r="I4" s="256"/>
    </row>
    <row r="5" spans="1:9">
      <c r="A5" t="str">
        <f>IF(D5&gt;0,基础信息!$B$1,"")</f>
        <v/>
      </c>
      <c r="B5" s="256"/>
      <c r="C5" s="277"/>
      <c r="D5" s="256"/>
      <c r="E5" s="256"/>
      <c r="F5" s="256"/>
      <c r="G5" s="230">
        <f t="shared" si="0"/>
        <v>0</v>
      </c>
      <c r="H5" s="256"/>
      <c r="I5" s="256"/>
    </row>
    <row r="6" spans="1:9">
      <c r="A6" t="str">
        <f>IF(D6&gt;0,基础信息!$B$1,"")</f>
        <v/>
      </c>
      <c r="B6" s="256"/>
      <c r="C6" s="277"/>
      <c r="D6" s="256"/>
      <c r="E6" s="256"/>
      <c r="F6" s="256"/>
      <c r="G6" s="230">
        <f t="shared" si="0"/>
        <v>0</v>
      </c>
      <c r="H6" s="256"/>
      <c r="I6" s="256"/>
    </row>
    <row r="7" spans="1:9">
      <c r="A7" t="str">
        <f>IF(D7&gt;0,基础信息!$B$1,"")</f>
        <v/>
      </c>
      <c r="B7" s="256"/>
      <c r="C7" s="277"/>
      <c r="D7" s="256"/>
      <c r="E7" s="256"/>
      <c r="F7" s="256"/>
      <c r="G7" s="230">
        <f t="shared" si="0"/>
        <v>0</v>
      </c>
      <c r="H7" s="256"/>
      <c r="I7" s="256"/>
    </row>
    <row r="8" spans="1:9">
      <c r="A8" t="str">
        <f>IF(D8&gt;0,基础信息!$B$1,"")</f>
        <v/>
      </c>
      <c r="B8" s="256"/>
      <c r="C8" s="277"/>
      <c r="D8" s="256"/>
      <c r="E8" s="256"/>
      <c r="F8" s="256"/>
      <c r="G8" s="230">
        <f t="shared" si="0"/>
        <v>0</v>
      </c>
      <c r="H8" s="256"/>
      <c r="I8" s="256"/>
    </row>
    <row r="9" spans="1:9">
      <c r="A9" t="str">
        <f>IF(D9&gt;0,基础信息!$B$1,"")</f>
        <v/>
      </c>
      <c r="B9" s="256"/>
      <c r="C9" s="277"/>
      <c r="D9" s="256"/>
      <c r="E9" s="256"/>
      <c r="F9" s="256"/>
      <c r="G9" s="230">
        <f t="shared" si="0"/>
        <v>0</v>
      </c>
      <c r="H9" s="256"/>
      <c r="I9" s="256"/>
    </row>
    <row r="10" spans="1:9">
      <c r="A10" t="str">
        <f>IF(D10&gt;0,基础信息!$B$1,"")</f>
        <v/>
      </c>
      <c r="B10" s="256"/>
      <c r="C10" s="277"/>
      <c r="D10" s="256"/>
      <c r="E10" s="256"/>
      <c r="F10" s="256"/>
      <c r="G10" s="230">
        <f t="shared" si="0"/>
        <v>0</v>
      </c>
      <c r="H10" s="256"/>
      <c r="I10" s="256"/>
    </row>
    <row r="11" spans="1:9">
      <c r="A11" t="str">
        <f>IF(D11&gt;0,基础信息!$B$1,"")</f>
        <v/>
      </c>
      <c r="B11" s="256"/>
      <c r="C11" s="277"/>
      <c r="D11" s="256"/>
      <c r="E11" s="256"/>
      <c r="F11" s="256"/>
      <c r="G11" s="230">
        <f t="shared" si="0"/>
        <v>0</v>
      </c>
      <c r="H11" s="256"/>
      <c r="I11" s="256"/>
    </row>
    <row r="12" spans="1:9">
      <c r="A12" t="str">
        <f>IF(D12&gt;0,基础信息!$B$1,"")</f>
        <v/>
      </c>
      <c r="B12" s="256"/>
      <c r="C12" s="277"/>
      <c r="D12" s="256"/>
      <c r="E12" s="256"/>
      <c r="F12" s="256"/>
      <c r="G12" s="230">
        <f t="shared" si="0"/>
        <v>0</v>
      </c>
      <c r="H12" s="256"/>
      <c r="I12" s="256"/>
    </row>
    <row r="13" spans="1:9">
      <c r="A13" t="str">
        <f>IF(D13&gt;0,基础信息!$B$1,"")</f>
        <v/>
      </c>
      <c r="B13" s="256"/>
      <c r="C13" s="277"/>
      <c r="D13" s="256"/>
      <c r="E13" s="256"/>
      <c r="F13" s="256"/>
      <c r="G13" s="230">
        <f t="shared" si="0"/>
        <v>0</v>
      </c>
      <c r="H13" s="256"/>
      <c r="I13" s="256"/>
    </row>
    <row r="14" spans="1:9">
      <c r="A14" t="str">
        <f>IF(D14&gt;0,基础信息!$B$1,"")</f>
        <v/>
      </c>
      <c r="B14" s="256"/>
      <c r="C14" s="277"/>
      <c r="D14" s="256"/>
      <c r="E14" s="256"/>
      <c r="F14" s="256"/>
      <c r="G14" s="230">
        <f t="shared" si="0"/>
        <v>0</v>
      </c>
      <c r="H14" s="256"/>
      <c r="I14" s="256"/>
    </row>
    <row r="15" spans="1:9">
      <c r="A15" t="str">
        <f>IF(D15&gt;0,基础信息!$B$1,"")</f>
        <v/>
      </c>
      <c r="B15" s="256"/>
      <c r="C15" s="277"/>
      <c r="D15" s="256"/>
      <c r="E15" s="256"/>
      <c r="F15" s="256"/>
      <c r="G15" s="230">
        <f t="shared" si="0"/>
        <v>0</v>
      </c>
      <c r="H15" s="256"/>
      <c r="I15" s="256"/>
    </row>
    <row r="16" spans="1:9">
      <c r="A16" t="str">
        <f>IF(D16&gt;0,基础信息!$B$1,"")</f>
        <v/>
      </c>
      <c r="B16" s="256"/>
      <c r="C16" s="277"/>
      <c r="D16" s="256"/>
      <c r="E16" s="256"/>
      <c r="F16" s="256"/>
      <c r="G16" s="230">
        <f t="shared" si="0"/>
        <v>0</v>
      </c>
      <c r="H16" s="256"/>
      <c r="I16" s="256"/>
    </row>
    <row r="17" spans="1:9">
      <c r="A17" t="str">
        <f>IF(D17&gt;0,基础信息!$B$1,"")</f>
        <v/>
      </c>
      <c r="B17" s="256"/>
      <c r="C17" s="277"/>
      <c r="D17" s="256"/>
      <c r="E17" s="256"/>
      <c r="F17" s="256"/>
      <c r="G17" s="230">
        <f t="shared" si="0"/>
        <v>0</v>
      </c>
      <c r="H17" s="256"/>
      <c r="I17" s="256"/>
    </row>
    <row r="18" spans="1:9">
      <c r="A18" t="str">
        <f>IF(D18&gt;0,基础信息!$B$1,"")</f>
        <v/>
      </c>
      <c r="B18" s="256"/>
      <c r="C18" s="277"/>
      <c r="D18" s="256"/>
      <c r="E18" s="256"/>
      <c r="F18" s="256"/>
      <c r="G18" s="230">
        <f t="shared" si="0"/>
        <v>0</v>
      </c>
      <c r="H18" s="256"/>
      <c r="I18" s="256"/>
    </row>
    <row r="19" spans="1:9">
      <c r="A19" t="str">
        <f>IF(D19&gt;0,基础信息!$B$1,"")</f>
        <v/>
      </c>
      <c r="B19" s="256"/>
      <c r="C19" s="277"/>
      <c r="D19" s="256"/>
      <c r="E19" s="256"/>
      <c r="F19" s="256"/>
      <c r="G19" s="230">
        <f t="shared" si="0"/>
        <v>0</v>
      </c>
      <c r="H19" s="256"/>
      <c r="I19" s="256"/>
    </row>
    <row r="20" spans="1:9">
      <c r="A20" t="str">
        <f>IF(D20&gt;0,基础信息!$B$1,"")</f>
        <v/>
      </c>
      <c r="B20" s="256"/>
      <c r="C20" s="277"/>
      <c r="D20" s="256"/>
      <c r="E20" s="256"/>
      <c r="F20" s="256"/>
      <c r="G20" s="230">
        <f t="shared" si="0"/>
        <v>0</v>
      </c>
      <c r="H20" s="256"/>
      <c r="I20" s="256"/>
    </row>
    <row r="21" spans="1:9">
      <c r="A21" t="str">
        <f>IF(D21&gt;0,基础信息!$B$1,"")</f>
        <v/>
      </c>
      <c r="B21" s="256"/>
      <c r="C21" s="277"/>
      <c r="D21" s="256"/>
      <c r="E21" s="256"/>
      <c r="F21" s="256"/>
      <c r="G21" s="230">
        <f t="shared" si="0"/>
        <v>0</v>
      </c>
      <c r="H21" s="256"/>
      <c r="I21" s="256"/>
    </row>
    <row r="22" spans="1:9">
      <c r="A22" t="str">
        <f>IF(D22&gt;0,基础信息!$B$1,"")</f>
        <v/>
      </c>
      <c r="B22" s="256"/>
      <c r="C22" s="277"/>
      <c r="D22" s="256"/>
      <c r="E22" s="256"/>
      <c r="F22" s="256"/>
      <c r="G22" s="230">
        <f t="shared" si="0"/>
        <v>0</v>
      </c>
      <c r="H22" s="256"/>
      <c r="I22" s="256"/>
    </row>
    <row r="23" spans="1:9">
      <c r="A23" t="str">
        <f>IF(D23&gt;0,基础信息!$B$1,"")</f>
        <v/>
      </c>
      <c r="B23" s="256"/>
      <c r="C23" s="277"/>
      <c r="D23" s="256"/>
      <c r="E23" s="256"/>
      <c r="F23" s="256"/>
      <c r="G23" s="230">
        <f t="shared" si="0"/>
        <v>0</v>
      </c>
      <c r="H23" s="256"/>
      <c r="I23" s="256"/>
    </row>
    <row r="24" spans="1:9">
      <c r="A24" t="str">
        <f>IF(D24&gt;0,基础信息!$B$1,"")</f>
        <v/>
      </c>
      <c r="B24" s="256"/>
      <c r="C24" s="277"/>
      <c r="D24" s="256"/>
      <c r="E24" s="256"/>
      <c r="F24" s="256"/>
      <c r="G24" s="230">
        <f t="shared" si="0"/>
        <v>0</v>
      </c>
      <c r="H24" s="256"/>
      <c r="I24" s="256"/>
    </row>
    <row r="25" spans="1:9">
      <c r="A25" t="str">
        <f>IF(D25&gt;0,基础信息!$B$1,"")</f>
        <v/>
      </c>
      <c r="B25" s="256"/>
      <c r="C25" s="277"/>
      <c r="D25" s="256"/>
      <c r="E25" s="256"/>
      <c r="F25" s="256"/>
      <c r="G25" s="230">
        <f t="shared" si="0"/>
        <v>0</v>
      </c>
      <c r="H25" s="256"/>
      <c r="I25" s="256"/>
    </row>
    <row r="26" spans="1:9">
      <c r="A26" t="str">
        <f>IF(D26&gt;0,基础信息!$B$1,"")</f>
        <v/>
      </c>
      <c r="B26" s="256"/>
      <c r="C26" s="277"/>
      <c r="D26" s="256"/>
      <c r="E26" s="256"/>
      <c r="F26" s="256"/>
      <c r="G26" s="230">
        <f t="shared" si="0"/>
        <v>0</v>
      </c>
      <c r="H26" s="256"/>
      <c r="I26" s="256"/>
    </row>
    <row r="27" spans="1:9">
      <c r="A27" t="str">
        <f>IF(D27&gt;0,基础信息!$B$1,"")</f>
        <v/>
      </c>
      <c r="B27" s="256"/>
      <c r="C27" s="277"/>
      <c r="D27" s="256"/>
      <c r="E27" s="256"/>
      <c r="F27" s="256"/>
      <c r="G27" s="230">
        <f t="shared" si="0"/>
        <v>0</v>
      </c>
      <c r="H27" s="256"/>
      <c r="I27" s="256"/>
    </row>
    <row r="28" spans="1:9">
      <c r="A28" t="str">
        <f>IF(D28&gt;0,基础信息!$B$1,"")</f>
        <v/>
      </c>
      <c r="B28" s="256"/>
      <c r="C28" s="277"/>
      <c r="D28" s="256"/>
      <c r="E28" s="256"/>
      <c r="F28" s="256"/>
      <c r="G28" s="230">
        <f t="shared" si="0"/>
        <v>0</v>
      </c>
      <c r="H28" s="256"/>
      <c r="I28"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C756A2-A508-47FC-AACE-2F01AE484C13}">
          <x14:formula1>
            <xm:f>分类表!$25:$25</xm:f>
          </x14:formula1>
          <xm:sqref>C2:C28</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codeName="Sheet212">
    <tabColor rgb="FFFFC000"/>
  </sheetPr>
  <dimension ref="A1:N26"/>
  <sheetViews>
    <sheetView workbookViewId="0">
      <selection activeCell="I10" sqref="I10"/>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4" t="s">
        <v>203</v>
      </c>
      <c r="C1" s="154" t="s">
        <v>285</v>
      </c>
    </row>
    <row r="2" spans="1:3" ht="14.4">
      <c r="A2" s="32" t="s">
        <v>455</v>
      </c>
      <c r="B2" s="69" t="e">
        <f>在建工程情况!D16</f>
        <v>#N/A</v>
      </c>
      <c r="C2" s="69" t="e">
        <f>在建工程情况!G16</f>
        <v>#N/A</v>
      </c>
    </row>
    <row r="3" spans="1:3" ht="14.4">
      <c r="A3" s="32" t="s">
        <v>476</v>
      </c>
      <c r="B3" s="69">
        <f>ROUND(工程物资!B5,2)</f>
        <v>0</v>
      </c>
      <c r="C3" s="69">
        <f>ROUND(工程物资!C5,2)</f>
        <v>0</v>
      </c>
    </row>
    <row r="4" spans="1:3" ht="14.4">
      <c r="A4" s="31" t="s">
        <v>204</v>
      </c>
      <c r="B4" s="69" t="e">
        <f>SUM(B2:B3)</f>
        <v>#N/A</v>
      </c>
      <c r="C4" s="69" t="e">
        <f>SUM(C2:C3)</f>
        <v>#N/A</v>
      </c>
    </row>
    <row r="17" spans="13:14">
      <c r="M17" s="1"/>
    </row>
    <row r="18" spans="13:14">
      <c r="M18" s="1"/>
    </row>
    <row r="19" spans="13:14">
      <c r="M19" s="1"/>
    </row>
    <row r="20" spans="13:14">
      <c r="M20" s="1"/>
    </row>
    <row r="21" spans="13:14">
      <c r="M21" s="1"/>
    </row>
    <row r="22" spans="13:14">
      <c r="M22" s="1"/>
      <c r="N22" s="134"/>
    </row>
    <row r="23" spans="13:14">
      <c r="M23" s="1"/>
      <c r="N23" s="134"/>
    </row>
    <row r="24" spans="13:14">
      <c r="M24" s="1"/>
      <c r="N24" s="134"/>
    </row>
    <row r="25" spans="13:14">
      <c r="M25" s="1"/>
    </row>
    <row r="26" spans="13:14">
      <c r="M26" s="1"/>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codeName="Sheet213">
    <tabColor rgb="FFFFC000"/>
  </sheetPr>
  <dimension ref="A1:G16"/>
  <sheetViews>
    <sheetView workbookViewId="0">
      <selection activeCell="J28" sqref="J28"/>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6" t="s">
        <v>28</v>
      </c>
      <c r="B1" s="561" t="s">
        <v>258</v>
      </c>
      <c r="C1" s="561" t="s">
        <v>291</v>
      </c>
      <c r="D1" s="561" t="s">
        <v>349</v>
      </c>
      <c r="E1" s="561" t="s">
        <v>260</v>
      </c>
      <c r="F1" s="561" t="s">
        <v>295</v>
      </c>
      <c r="G1" s="561" t="s">
        <v>351</v>
      </c>
    </row>
    <row r="2" spans="1:7" ht="14.4">
      <c r="A2" s="633">
        <f>INDEX(在建工程明细表!B:B,MATCH(在建工程情况!B2,在建工程明细表!O:O,0))</f>
        <v>0</v>
      </c>
      <c r="B2" s="634">
        <f>LARGE(在建工程明细表!O:O,1)</f>
        <v>0</v>
      </c>
      <c r="C2" s="634" t="e">
        <f>VLOOKUP(A2,在建工程明细表!B:Z,19,0)</f>
        <v>#N/A</v>
      </c>
      <c r="D2" s="634" t="e">
        <f t="shared" ref="D2:D15" si="0">B2-C2</f>
        <v>#N/A</v>
      </c>
      <c r="E2" s="634" t="e">
        <f>VLOOKUP(A2,在建工程明细表!B:E,4,0)</f>
        <v>#N/A</v>
      </c>
      <c r="F2" s="634" t="e">
        <f>VLOOKUP(A2,在建工程明细表!B:U,16,0)</f>
        <v>#N/A</v>
      </c>
      <c r="G2" s="634" t="e">
        <f t="shared" ref="G2:G15" si="1">E2-F2</f>
        <v>#N/A</v>
      </c>
    </row>
    <row r="3" spans="1:7" ht="14.4">
      <c r="A3" s="633">
        <f>INDEX(在建工程明细表!B:B,MATCH(在建工程情况!B3,在建工程明细表!O:O,0))</f>
        <v>0</v>
      </c>
      <c r="B3" s="634">
        <f>LARGE(在建工程明细表!O:O,2)</f>
        <v>0</v>
      </c>
      <c r="C3" s="634" t="e">
        <f>VLOOKUP(A3,在建工程明细表!B:Z,19,0)</f>
        <v>#N/A</v>
      </c>
      <c r="D3" s="634" t="e">
        <f t="shared" si="0"/>
        <v>#N/A</v>
      </c>
      <c r="E3" s="634" t="e">
        <f>VLOOKUP(A3,在建工程明细表!B:E,4,0)</f>
        <v>#N/A</v>
      </c>
      <c r="F3" s="634" t="e">
        <f>VLOOKUP(A3,在建工程明细表!B:U,16,0)</f>
        <v>#N/A</v>
      </c>
      <c r="G3" s="634" t="e">
        <f t="shared" si="1"/>
        <v>#N/A</v>
      </c>
    </row>
    <row r="4" spans="1:7" ht="14.4">
      <c r="A4" s="633">
        <f>INDEX(在建工程明细表!B:B,MATCH(在建工程情况!B4,在建工程明细表!O:O,0))</f>
        <v>0</v>
      </c>
      <c r="B4" s="634">
        <f>LARGE(在建工程明细表!O:O,3)</f>
        <v>0</v>
      </c>
      <c r="C4" s="634" t="e">
        <f>VLOOKUP(A4,在建工程明细表!B:Z,19,0)</f>
        <v>#N/A</v>
      </c>
      <c r="D4" s="634" t="e">
        <f t="shared" si="0"/>
        <v>#N/A</v>
      </c>
      <c r="E4" s="634" t="e">
        <f>VLOOKUP(A4,在建工程明细表!B:E,4,0)</f>
        <v>#N/A</v>
      </c>
      <c r="F4" s="634" t="e">
        <f>VLOOKUP(A4,在建工程明细表!B:U,16,0)</f>
        <v>#N/A</v>
      </c>
      <c r="G4" s="634" t="e">
        <f t="shared" si="1"/>
        <v>#N/A</v>
      </c>
    </row>
    <row r="5" spans="1:7" ht="14.4">
      <c r="A5" s="633">
        <f>INDEX(在建工程明细表!B:B,MATCH(在建工程情况!B5,在建工程明细表!O:O,0))</f>
        <v>0</v>
      </c>
      <c r="B5" s="634">
        <f>LARGE(在建工程明细表!O:O,4)</f>
        <v>0</v>
      </c>
      <c r="C5" s="634" t="e">
        <f>VLOOKUP(A5,在建工程明细表!B:Z,19,0)</f>
        <v>#N/A</v>
      </c>
      <c r="D5" s="634" t="e">
        <f t="shared" si="0"/>
        <v>#N/A</v>
      </c>
      <c r="E5" s="634" t="e">
        <f>VLOOKUP(A5,在建工程明细表!B:E,4,0)</f>
        <v>#N/A</v>
      </c>
      <c r="F5" s="634" t="e">
        <f>VLOOKUP(A5,在建工程明细表!B:U,16,0)</f>
        <v>#N/A</v>
      </c>
      <c r="G5" s="634" t="e">
        <f t="shared" si="1"/>
        <v>#N/A</v>
      </c>
    </row>
    <row r="6" spans="1:7" ht="14.4">
      <c r="A6" s="633">
        <f>INDEX(在建工程明细表!B:B,MATCH(在建工程情况!B6,在建工程明细表!O:O,0))</f>
        <v>0</v>
      </c>
      <c r="B6" s="634">
        <f>LARGE(在建工程明细表!O:O,5)</f>
        <v>0</v>
      </c>
      <c r="C6" s="634" t="e">
        <f>VLOOKUP(A6,在建工程明细表!B:Z,19,0)</f>
        <v>#N/A</v>
      </c>
      <c r="D6" s="634" t="e">
        <f t="shared" si="0"/>
        <v>#N/A</v>
      </c>
      <c r="E6" s="634" t="e">
        <f>VLOOKUP(A6,在建工程明细表!B:E,4,0)</f>
        <v>#N/A</v>
      </c>
      <c r="F6" s="634" t="e">
        <f>VLOOKUP(A6,在建工程明细表!B:U,16,0)</f>
        <v>#N/A</v>
      </c>
      <c r="G6" s="634" t="e">
        <f t="shared" si="1"/>
        <v>#N/A</v>
      </c>
    </row>
    <row r="7" spans="1:7" ht="14.4">
      <c r="A7" s="633">
        <f>INDEX(在建工程明细表!B:B,MATCH(在建工程情况!B7,在建工程明细表!O:O,0))</f>
        <v>0</v>
      </c>
      <c r="B7" s="634">
        <f>LARGE(在建工程明细表!O:O,6)</f>
        <v>0</v>
      </c>
      <c r="C7" s="634" t="e">
        <f>VLOOKUP(A7,在建工程明细表!B:Z,19,0)</f>
        <v>#N/A</v>
      </c>
      <c r="D7" s="634" t="e">
        <f t="shared" si="0"/>
        <v>#N/A</v>
      </c>
      <c r="E7" s="634" t="e">
        <f>VLOOKUP(A7,在建工程明细表!B:E,4,0)</f>
        <v>#N/A</v>
      </c>
      <c r="F7" s="634" t="e">
        <f>VLOOKUP(A7,在建工程明细表!B:U,16,0)</f>
        <v>#N/A</v>
      </c>
      <c r="G7" s="634" t="e">
        <f t="shared" si="1"/>
        <v>#N/A</v>
      </c>
    </row>
    <row r="8" spans="1:7" ht="14.4">
      <c r="A8" s="633">
        <f>INDEX(在建工程明细表!B:B,MATCH(在建工程情况!B8,在建工程明细表!O:O,0))</f>
        <v>0</v>
      </c>
      <c r="B8" s="634">
        <f>LARGE(在建工程明细表!O:O,7)</f>
        <v>0</v>
      </c>
      <c r="C8" s="634" t="e">
        <f>VLOOKUP(A8,在建工程明细表!B:Z,19,0)</f>
        <v>#N/A</v>
      </c>
      <c r="D8" s="634" t="e">
        <f t="shared" si="0"/>
        <v>#N/A</v>
      </c>
      <c r="E8" s="634" t="e">
        <f>VLOOKUP(A8,在建工程明细表!B:E,4,0)</f>
        <v>#N/A</v>
      </c>
      <c r="F8" s="634" t="e">
        <f>VLOOKUP(A8,在建工程明细表!B:U,16,0)</f>
        <v>#N/A</v>
      </c>
      <c r="G8" s="634" t="e">
        <f t="shared" si="1"/>
        <v>#N/A</v>
      </c>
    </row>
    <row r="9" spans="1:7" ht="14.4">
      <c r="A9" s="633">
        <f>INDEX(在建工程明细表!B:B,MATCH(在建工程情况!B9,在建工程明细表!O:O,0))</f>
        <v>0</v>
      </c>
      <c r="B9" s="634">
        <f>LARGE(在建工程明细表!O:O,8)</f>
        <v>0</v>
      </c>
      <c r="C9" s="634" t="e">
        <f>VLOOKUP(A9,在建工程明细表!B:Z,19,0)</f>
        <v>#N/A</v>
      </c>
      <c r="D9" s="634" t="e">
        <f t="shared" si="0"/>
        <v>#N/A</v>
      </c>
      <c r="E9" s="634" t="e">
        <f>VLOOKUP(A9,在建工程明细表!B:E,4,0)</f>
        <v>#N/A</v>
      </c>
      <c r="F9" s="634" t="e">
        <f>VLOOKUP(A9,在建工程明细表!B:U,16,0)</f>
        <v>#N/A</v>
      </c>
      <c r="G9" s="634" t="e">
        <f t="shared" si="1"/>
        <v>#N/A</v>
      </c>
    </row>
    <row r="10" spans="1:7" ht="14.4">
      <c r="A10" s="633">
        <f>INDEX(在建工程明细表!B:B,MATCH(在建工程情况!B10,在建工程明细表!O:O,0))</f>
        <v>0</v>
      </c>
      <c r="B10" s="634">
        <f>LARGE(在建工程明细表!O:O,9)</f>
        <v>0</v>
      </c>
      <c r="C10" s="634" t="e">
        <f>VLOOKUP(A10,在建工程明细表!B:Z,19,0)</f>
        <v>#N/A</v>
      </c>
      <c r="D10" s="634" t="e">
        <f t="shared" si="0"/>
        <v>#N/A</v>
      </c>
      <c r="E10" s="634" t="e">
        <f>VLOOKUP(A10,在建工程明细表!B:E,4,0)</f>
        <v>#N/A</v>
      </c>
      <c r="F10" s="634" t="e">
        <f>VLOOKUP(A10,在建工程明细表!B:U,16,0)</f>
        <v>#N/A</v>
      </c>
      <c r="G10" s="634" t="e">
        <f t="shared" si="1"/>
        <v>#N/A</v>
      </c>
    </row>
    <row r="11" spans="1:7" ht="14.4">
      <c r="A11" s="633">
        <f>INDEX(在建工程明细表!B:B,MATCH(在建工程情况!B11,在建工程明细表!O:O,0))</f>
        <v>0</v>
      </c>
      <c r="B11" s="634">
        <f>LARGE(在建工程明细表!O:O,10)</f>
        <v>0</v>
      </c>
      <c r="C11" s="634" t="e">
        <f>VLOOKUP(A11,在建工程明细表!B:Z,19,0)</f>
        <v>#N/A</v>
      </c>
      <c r="D11" s="634" t="e">
        <f t="shared" si="0"/>
        <v>#N/A</v>
      </c>
      <c r="E11" s="634" t="e">
        <f>VLOOKUP(A11,在建工程明细表!B:E,4,0)</f>
        <v>#N/A</v>
      </c>
      <c r="F11" s="634" t="e">
        <f>VLOOKUP(A11,在建工程明细表!B:U,16,0)</f>
        <v>#N/A</v>
      </c>
      <c r="G11" s="634" t="e">
        <f t="shared" si="1"/>
        <v>#N/A</v>
      </c>
    </row>
    <row r="12" spans="1:7" ht="14.4">
      <c r="A12" s="633">
        <f>INDEX(在建工程明细表!B:B,MATCH(在建工程情况!B12,在建工程明细表!O:O,0))</f>
        <v>0</v>
      </c>
      <c r="B12" s="634">
        <f>LARGE(在建工程明细表!O:O,11)</f>
        <v>0</v>
      </c>
      <c r="C12" s="634" t="e">
        <f>VLOOKUP(A12,在建工程明细表!B:Z,19,0)</f>
        <v>#N/A</v>
      </c>
      <c r="D12" s="634" t="e">
        <f t="shared" si="0"/>
        <v>#N/A</v>
      </c>
      <c r="E12" s="634" t="e">
        <f>VLOOKUP(A12,在建工程明细表!B:E,4,0)</f>
        <v>#N/A</v>
      </c>
      <c r="F12" s="634" t="e">
        <f>VLOOKUP(A12,在建工程明细表!B:U,16,0)</f>
        <v>#N/A</v>
      </c>
      <c r="G12" s="634" t="e">
        <f t="shared" si="1"/>
        <v>#N/A</v>
      </c>
    </row>
    <row r="13" spans="1:7" ht="14.4">
      <c r="A13" s="633">
        <f>INDEX(在建工程明细表!B:B,MATCH(在建工程情况!B13,在建工程明细表!O:O,0))</f>
        <v>0</v>
      </c>
      <c r="B13" s="634">
        <f>LARGE(在建工程明细表!O:O,12)</f>
        <v>0</v>
      </c>
      <c r="C13" s="634" t="e">
        <f>VLOOKUP(A13,在建工程明细表!B:Z,19,0)</f>
        <v>#N/A</v>
      </c>
      <c r="D13" s="634" t="e">
        <f t="shared" si="0"/>
        <v>#N/A</v>
      </c>
      <c r="E13" s="634" t="e">
        <f>VLOOKUP(A13,在建工程明细表!B:E,4,0)</f>
        <v>#N/A</v>
      </c>
      <c r="F13" s="634" t="e">
        <f>VLOOKUP(A13,在建工程明细表!B:U,16,0)</f>
        <v>#N/A</v>
      </c>
      <c r="G13" s="634" t="e">
        <f t="shared" si="1"/>
        <v>#N/A</v>
      </c>
    </row>
    <row r="14" spans="1:7" ht="14.4">
      <c r="A14" s="633">
        <f>INDEX(在建工程明细表!B:B,MATCH(在建工程情况!B14,在建工程明细表!O:O,0))</f>
        <v>0</v>
      </c>
      <c r="B14" s="634">
        <f>LARGE(在建工程明细表!O:O,13)</f>
        <v>0</v>
      </c>
      <c r="C14" s="634" t="e">
        <f>VLOOKUP(A14,在建工程明细表!B:Z,19,0)</f>
        <v>#N/A</v>
      </c>
      <c r="D14" s="634" t="e">
        <f t="shared" si="0"/>
        <v>#N/A</v>
      </c>
      <c r="E14" s="634" t="e">
        <f>VLOOKUP(A14,在建工程明细表!B:E,4,0)</f>
        <v>#N/A</v>
      </c>
      <c r="F14" s="634" t="e">
        <f>VLOOKUP(A14,在建工程明细表!B:U,16,0)</f>
        <v>#N/A</v>
      </c>
      <c r="G14" s="634" t="e">
        <f t="shared" si="1"/>
        <v>#N/A</v>
      </c>
    </row>
    <row r="15" spans="1:7" ht="14.4">
      <c r="A15" s="633">
        <f>在建工程明细表!B15</f>
        <v>0</v>
      </c>
      <c r="B15" s="634">
        <f>LARGE(在建工程明细表!O:O,14)</f>
        <v>0</v>
      </c>
      <c r="C15" s="634" t="e">
        <f>VLOOKUP(A15,在建工程明细表!B:Z,19,0)</f>
        <v>#N/A</v>
      </c>
      <c r="D15" s="634" t="e">
        <f t="shared" si="0"/>
        <v>#N/A</v>
      </c>
      <c r="E15" s="634" t="e">
        <f>VLOOKUP(A15,在建工程明细表!B:E,4,0)</f>
        <v>#N/A</v>
      </c>
      <c r="F15" s="634" t="e">
        <f>VLOOKUP(A15,在建工程明细表!B:U,16,0)</f>
        <v>#N/A</v>
      </c>
      <c r="G15" s="634" t="e">
        <f t="shared" si="1"/>
        <v>#N/A</v>
      </c>
    </row>
    <row r="16" spans="1:7" ht="14.4">
      <c r="A16" s="562" t="s">
        <v>282</v>
      </c>
      <c r="B16" s="295">
        <f>SUM(B2:B15)</f>
        <v>0</v>
      </c>
      <c r="C16" s="295" t="e">
        <f t="shared" ref="C16:G16" si="2">SUM(C2:C15)</f>
        <v>#N/A</v>
      </c>
      <c r="D16" s="295" t="e">
        <f t="shared" si="2"/>
        <v>#N/A</v>
      </c>
      <c r="E16" s="295" t="e">
        <f t="shared" si="2"/>
        <v>#N/A</v>
      </c>
      <c r="F16" s="295" t="e">
        <f t="shared" si="2"/>
        <v>#N/A</v>
      </c>
      <c r="G16" s="295" t="e">
        <f t="shared" si="2"/>
        <v>#N/A</v>
      </c>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codeName="Sheet214">
    <tabColor rgb="FFFFC000"/>
  </sheetPr>
  <dimension ref="A1:N11"/>
  <sheetViews>
    <sheetView workbookViewId="0">
      <selection activeCell="M20" sqref="M20"/>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477</v>
      </c>
      <c r="B1" s="24" t="s">
        <v>478</v>
      </c>
      <c r="C1" s="24" t="s">
        <v>285</v>
      </c>
      <c r="D1" s="24" t="s">
        <v>391</v>
      </c>
      <c r="E1" s="24" t="s">
        <v>479</v>
      </c>
      <c r="F1" s="24" t="s">
        <v>480</v>
      </c>
      <c r="G1" s="24" t="s">
        <v>203</v>
      </c>
      <c r="H1" s="26" t="s">
        <v>481</v>
      </c>
      <c r="I1" s="26" t="s">
        <v>482</v>
      </c>
      <c r="J1" s="24" t="s">
        <v>485</v>
      </c>
      <c r="K1" s="24" t="s">
        <v>486</v>
      </c>
      <c r="L1" s="26" t="s">
        <v>483</v>
      </c>
      <c r="M1" s="26" t="s">
        <v>484</v>
      </c>
    </row>
    <row r="2" spans="1:14">
      <c r="A2">
        <f>INDEX(在建工程明细表!B:B,MATCH(G2,在建工程明细表!O:O,0))</f>
        <v>0</v>
      </c>
      <c r="B2" s="230" t="e">
        <f>VLOOKUP(A2,在建工程明细表!B:E,2,0)</f>
        <v>#N/A</v>
      </c>
      <c r="C2" s="230" t="e">
        <f>VLOOKUP(A2,在建工程明细表!B:E,4,0)</f>
        <v>#N/A</v>
      </c>
      <c r="D2" s="230" t="e">
        <f>VLOOKUP(A2,在建工程明细表!B:H,7,0)</f>
        <v>#N/A</v>
      </c>
      <c r="E2" s="230" t="e">
        <f>VLOOKUP(A2,在建工程明细表!B:I,8,0)</f>
        <v>#N/A</v>
      </c>
      <c r="F2" s="230" t="e">
        <f>VLOOKUP(A2,在建工程明细表!B:N,13,0)-E2</f>
        <v>#N/A</v>
      </c>
      <c r="G2" s="230">
        <f>LARGE(在建工程明细表!O:O,1)</f>
        <v>0</v>
      </c>
      <c r="H2" s="631" t="e">
        <f>VLOOKUP(A2,在建工程明细表!B:P,15,0)</f>
        <v>#N/A</v>
      </c>
      <c r="I2" s="631" t="e">
        <f>H2</f>
        <v>#N/A</v>
      </c>
      <c r="J2" s="632" t="e">
        <f>VLOOKUP(A2,在建工程明细表!B:Y,24,0)</f>
        <v>#N/A</v>
      </c>
      <c r="K2" s="632" t="e">
        <f>VLOOKUP(A2,在建工程明细表!B:Y,22,0)</f>
        <v>#N/A</v>
      </c>
      <c r="L2" s="631">
        <f>在建工程明细表!Z2</f>
        <v>0</v>
      </c>
      <c r="M2" s="631" t="e">
        <f>VLOOKUP(A2,在建工程明细表!B:D,3,0)</f>
        <v>#N/A</v>
      </c>
      <c r="N2" s="1"/>
    </row>
    <row r="3" spans="1:14">
      <c r="A3">
        <f>INDEX(在建工程明细表!B:B,MATCH(G3,在建工程明细表!O:O,0))</f>
        <v>0</v>
      </c>
      <c r="B3" s="230" t="e">
        <f>VLOOKUP(A3,在建工程明细表!B:E,2,0)</f>
        <v>#N/A</v>
      </c>
      <c r="C3" s="230" t="e">
        <f>VLOOKUP(A3,在建工程明细表!B:E,4,0)</f>
        <v>#N/A</v>
      </c>
      <c r="D3" s="230" t="e">
        <f>VLOOKUP(A3,在建工程明细表!B:H,7,0)</f>
        <v>#N/A</v>
      </c>
      <c r="E3" s="230" t="e">
        <f>VLOOKUP(A3,在建工程明细表!B:I,8,0)</f>
        <v>#N/A</v>
      </c>
      <c r="F3" s="230" t="e">
        <f>VLOOKUP(A3,在建工程明细表!B:N,13,0)-E3</f>
        <v>#N/A</v>
      </c>
      <c r="G3" s="230">
        <f>LARGE(在建工程明细表!O:O,2)</f>
        <v>0</v>
      </c>
      <c r="H3" s="631" t="e">
        <f>VLOOKUP(A3,在建工程明细表!B:P,15,0)</f>
        <v>#N/A</v>
      </c>
      <c r="I3" s="631" t="e">
        <f>H3</f>
        <v>#N/A</v>
      </c>
      <c r="J3" s="632" t="e">
        <f>VLOOKUP(A3,在建工程明细表!B:Y,24,0)</f>
        <v>#N/A</v>
      </c>
      <c r="K3" s="632" t="e">
        <f>VLOOKUP(A3,在建工程明细表!B:Y,22,0)</f>
        <v>#N/A</v>
      </c>
      <c r="L3" s="631">
        <f>在建工程明细表!Z3</f>
        <v>0</v>
      </c>
      <c r="M3" s="631" t="e">
        <f>VLOOKUP(A3,在建工程明细表!B:D,3,0)</f>
        <v>#N/A</v>
      </c>
      <c r="N3" s="1"/>
    </row>
    <row r="4" spans="1:14">
      <c r="A4">
        <f>INDEX(在建工程明细表!B:B,MATCH(G4,在建工程明细表!O:O,0))</f>
        <v>0</v>
      </c>
      <c r="B4" s="230" t="e">
        <f>VLOOKUP(A4,在建工程明细表!B:E,2,0)</f>
        <v>#N/A</v>
      </c>
      <c r="C4" s="230" t="e">
        <f>VLOOKUP(A4,在建工程明细表!B:E,4,0)</f>
        <v>#N/A</v>
      </c>
      <c r="D4" s="230" t="e">
        <f>VLOOKUP(A4,在建工程明细表!B:H,7,0)</f>
        <v>#N/A</v>
      </c>
      <c r="E4" s="230" t="e">
        <f>VLOOKUP(A4,在建工程明细表!B:I,8,0)</f>
        <v>#N/A</v>
      </c>
      <c r="F4" s="230" t="e">
        <f>VLOOKUP(A4,在建工程明细表!B:N,13,0)-E4</f>
        <v>#N/A</v>
      </c>
      <c r="G4" s="230">
        <f>LARGE(在建工程明细表!O:O,3)</f>
        <v>0</v>
      </c>
      <c r="H4" s="631" t="e">
        <f>VLOOKUP(A4,在建工程明细表!B:P,15,0)</f>
        <v>#N/A</v>
      </c>
      <c r="I4" s="631" t="e">
        <f t="shared" ref="I4:I9" si="0">H4</f>
        <v>#N/A</v>
      </c>
      <c r="J4" s="632" t="e">
        <f>VLOOKUP(A4,在建工程明细表!B:Y,24,0)</f>
        <v>#N/A</v>
      </c>
      <c r="K4" s="632" t="e">
        <f>VLOOKUP(A4,在建工程明细表!B:Y,22,0)</f>
        <v>#N/A</v>
      </c>
      <c r="L4" s="631">
        <f>在建工程明细表!Z4</f>
        <v>0</v>
      </c>
      <c r="M4" s="631" t="e">
        <f>VLOOKUP(A4,在建工程明细表!B:D,3,0)</f>
        <v>#N/A</v>
      </c>
      <c r="N4" s="1"/>
    </row>
    <row r="5" spans="1:14">
      <c r="A5">
        <f>INDEX(在建工程明细表!B:B,MATCH(G5,在建工程明细表!O:O,0))</f>
        <v>0</v>
      </c>
      <c r="B5" s="230" t="e">
        <f>VLOOKUP(A5,在建工程明细表!B:E,2,0)</f>
        <v>#N/A</v>
      </c>
      <c r="C5" s="230" t="e">
        <f>VLOOKUP(A5,在建工程明细表!B:E,4,0)</f>
        <v>#N/A</v>
      </c>
      <c r="D5" s="230" t="e">
        <f>VLOOKUP(A5,在建工程明细表!B:H,7,0)</f>
        <v>#N/A</v>
      </c>
      <c r="E5" s="230" t="e">
        <f>VLOOKUP(A5,在建工程明细表!B:I,8,0)</f>
        <v>#N/A</v>
      </c>
      <c r="F5" s="230" t="e">
        <f>VLOOKUP(A5,在建工程明细表!B:N,13,0)-E5</f>
        <v>#N/A</v>
      </c>
      <c r="G5" s="230">
        <f>LARGE(在建工程明细表!O:O,4)</f>
        <v>0</v>
      </c>
      <c r="H5" s="631" t="e">
        <f>VLOOKUP(A5,在建工程明细表!B:P,15,0)</f>
        <v>#N/A</v>
      </c>
      <c r="I5" s="631" t="e">
        <f t="shared" si="0"/>
        <v>#N/A</v>
      </c>
      <c r="J5" s="632" t="e">
        <f>VLOOKUP(A5,在建工程明细表!B:Y,24,0)</f>
        <v>#N/A</v>
      </c>
      <c r="K5" s="632" t="e">
        <f>VLOOKUP(A5,在建工程明细表!B:Y,22,0)</f>
        <v>#N/A</v>
      </c>
      <c r="L5" s="631">
        <f>在建工程明细表!Z5</f>
        <v>0</v>
      </c>
      <c r="M5" s="631" t="e">
        <f>VLOOKUP(A5,在建工程明细表!B:D,3,0)</f>
        <v>#N/A</v>
      </c>
      <c r="N5" s="1"/>
    </row>
    <row r="6" spans="1:14">
      <c r="A6">
        <f>INDEX(在建工程明细表!B:B,MATCH(G6,在建工程明细表!O:O,0))</f>
        <v>0</v>
      </c>
      <c r="B6" s="230" t="e">
        <f>VLOOKUP(A6,在建工程明细表!B:E,2,0)</f>
        <v>#N/A</v>
      </c>
      <c r="C6" s="230" t="e">
        <f>VLOOKUP(A6,在建工程明细表!B:E,4,0)</f>
        <v>#N/A</v>
      </c>
      <c r="D6" s="230" t="e">
        <f>VLOOKUP(A6,在建工程明细表!B:H,7,0)</f>
        <v>#N/A</v>
      </c>
      <c r="E6" s="230" t="e">
        <f>VLOOKUP(A6,在建工程明细表!B:I,8,0)</f>
        <v>#N/A</v>
      </c>
      <c r="F6" s="230" t="e">
        <f>VLOOKUP(A6,在建工程明细表!B:N,13,0)-E6</f>
        <v>#N/A</v>
      </c>
      <c r="G6" s="230">
        <f>LARGE(在建工程明细表!O:O,5)</f>
        <v>0</v>
      </c>
      <c r="H6" s="631" t="e">
        <f>VLOOKUP(A6,在建工程明细表!B:P,15,0)</f>
        <v>#N/A</v>
      </c>
      <c r="I6" s="631" t="e">
        <f t="shared" si="0"/>
        <v>#N/A</v>
      </c>
      <c r="J6" s="632" t="e">
        <f>VLOOKUP(A6,在建工程明细表!B:Y,24,0)</f>
        <v>#N/A</v>
      </c>
      <c r="K6" s="632" t="e">
        <f>VLOOKUP(A6,在建工程明细表!B:Y,22,0)</f>
        <v>#N/A</v>
      </c>
      <c r="L6" s="631">
        <f>在建工程明细表!Z6</f>
        <v>0</v>
      </c>
      <c r="M6" s="631" t="e">
        <f>VLOOKUP(A6,在建工程明细表!B:D,3,0)</f>
        <v>#N/A</v>
      </c>
      <c r="N6" s="1"/>
    </row>
    <row r="7" spans="1:14">
      <c r="A7">
        <f>INDEX(在建工程明细表!B:B,MATCH(G7,在建工程明细表!O:O,0))</f>
        <v>0</v>
      </c>
      <c r="B7" s="230" t="e">
        <f>VLOOKUP(A7,在建工程明细表!B:E,2,0)</f>
        <v>#N/A</v>
      </c>
      <c r="C7" s="230" t="e">
        <f>VLOOKUP(A7,在建工程明细表!B:E,4,0)</f>
        <v>#N/A</v>
      </c>
      <c r="D7" s="230" t="e">
        <f>VLOOKUP(A7,在建工程明细表!B:H,7,0)</f>
        <v>#N/A</v>
      </c>
      <c r="E7" s="230" t="e">
        <f>VLOOKUP(A7,在建工程明细表!B:I,8,0)</f>
        <v>#N/A</v>
      </c>
      <c r="F7" s="230" t="e">
        <f>VLOOKUP(A7,在建工程明细表!B:N,13,0)-E7</f>
        <v>#N/A</v>
      </c>
      <c r="G7" s="230">
        <f>LARGE(在建工程明细表!O:O,6)</f>
        <v>0</v>
      </c>
      <c r="H7" s="631" t="e">
        <f>VLOOKUP(A7,在建工程明细表!B:P,15,0)</f>
        <v>#N/A</v>
      </c>
      <c r="I7" s="631" t="e">
        <f t="shared" si="0"/>
        <v>#N/A</v>
      </c>
      <c r="J7" s="632" t="e">
        <f>VLOOKUP(A7,在建工程明细表!B:Y,24,0)</f>
        <v>#N/A</v>
      </c>
      <c r="K7" s="632" t="e">
        <f>VLOOKUP(A7,在建工程明细表!B:Y,22,0)</f>
        <v>#N/A</v>
      </c>
      <c r="L7" s="631">
        <f>在建工程明细表!Z7</f>
        <v>0</v>
      </c>
      <c r="M7" s="631" t="e">
        <f>VLOOKUP(A7,在建工程明细表!B:D,3,0)</f>
        <v>#N/A</v>
      </c>
      <c r="N7" s="1"/>
    </row>
    <row r="8" spans="1:14">
      <c r="A8">
        <f>INDEX(在建工程明细表!B:B,MATCH(G8,在建工程明细表!O:O,0))</f>
        <v>0</v>
      </c>
      <c r="B8" s="230" t="e">
        <f>VLOOKUP(A8,在建工程明细表!B:E,2,0)</f>
        <v>#N/A</v>
      </c>
      <c r="C8" s="230" t="e">
        <f>VLOOKUP(A8,在建工程明细表!B:E,4,0)</f>
        <v>#N/A</v>
      </c>
      <c r="D8" s="230" t="e">
        <f>VLOOKUP(A8,在建工程明细表!B:H,7,0)</f>
        <v>#N/A</v>
      </c>
      <c r="E8" s="230" t="e">
        <f>VLOOKUP(A8,在建工程明细表!B:I,8,0)</f>
        <v>#N/A</v>
      </c>
      <c r="F8" s="230" t="e">
        <f>VLOOKUP(A8,在建工程明细表!B:N,13,0)-E8</f>
        <v>#N/A</v>
      </c>
      <c r="G8" s="230">
        <f>LARGE(在建工程明细表!O:O,7)</f>
        <v>0</v>
      </c>
      <c r="H8" s="631" t="e">
        <f>VLOOKUP(A8,在建工程明细表!B:P,15,0)</f>
        <v>#N/A</v>
      </c>
      <c r="I8" s="631" t="e">
        <f t="shared" si="0"/>
        <v>#N/A</v>
      </c>
      <c r="J8" s="632" t="e">
        <f>VLOOKUP(A8,在建工程明细表!B:Y,24,0)</f>
        <v>#N/A</v>
      </c>
      <c r="K8" s="632" t="e">
        <f>VLOOKUP(A8,在建工程明细表!B:Y,22,0)</f>
        <v>#N/A</v>
      </c>
      <c r="L8" s="631">
        <f>在建工程明细表!Z8</f>
        <v>0</v>
      </c>
      <c r="M8" s="631" t="e">
        <f>VLOOKUP(A8,在建工程明细表!B:D,3,0)</f>
        <v>#N/A</v>
      </c>
      <c r="N8" s="1"/>
    </row>
    <row r="9" spans="1:14">
      <c r="A9">
        <f>INDEX(在建工程明细表!B:B,MATCH(G9,在建工程明细表!O:O,0))</f>
        <v>0</v>
      </c>
      <c r="B9" s="230" t="e">
        <f>VLOOKUP(A9,在建工程明细表!B:E,2,0)</f>
        <v>#N/A</v>
      </c>
      <c r="C9" s="230" t="e">
        <f>VLOOKUP(A9,在建工程明细表!B:E,4,0)</f>
        <v>#N/A</v>
      </c>
      <c r="D9" s="230" t="e">
        <f>VLOOKUP(A9,在建工程明细表!B:H,7,0)</f>
        <v>#N/A</v>
      </c>
      <c r="E9" s="230" t="e">
        <f>VLOOKUP(A9,在建工程明细表!B:I,8,0)</f>
        <v>#N/A</v>
      </c>
      <c r="F9" s="230" t="e">
        <f>VLOOKUP(A9,在建工程明细表!B:N,13,0)-E9</f>
        <v>#N/A</v>
      </c>
      <c r="G9" s="230">
        <f>LARGE(在建工程明细表!O:O,8)</f>
        <v>0</v>
      </c>
      <c r="H9" s="631" t="e">
        <f>VLOOKUP(A9,在建工程明细表!B:P,15,0)</f>
        <v>#N/A</v>
      </c>
      <c r="I9" s="631" t="e">
        <f t="shared" si="0"/>
        <v>#N/A</v>
      </c>
      <c r="J9" s="632" t="e">
        <f>VLOOKUP(A9,在建工程明细表!B:Y,24,0)</f>
        <v>#N/A</v>
      </c>
      <c r="K9" s="632" t="e">
        <f>VLOOKUP(A9,在建工程明细表!B:Y,22,0)</f>
        <v>#N/A</v>
      </c>
      <c r="L9" s="631">
        <f>在建工程明细表!Z9</f>
        <v>0</v>
      </c>
      <c r="M9" s="631" t="e">
        <f>VLOOKUP(A9,在建工程明细表!B:D,3,0)</f>
        <v>#N/A</v>
      </c>
      <c r="N9" s="1"/>
    </row>
    <row r="10" spans="1:14">
      <c r="A10" s="18" t="s">
        <v>2449</v>
      </c>
      <c r="B10" s="1"/>
      <c r="C10" s="1" t="e">
        <f>SUM(C2:C9)</f>
        <v>#N/A</v>
      </c>
      <c r="D10" s="1" t="e">
        <f t="shared" ref="D10:G10" si="1">SUM(D2:D9)</f>
        <v>#N/A</v>
      </c>
      <c r="E10" s="1" t="e">
        <f t="shared" si="1"/>
        <v>#N/A</v>
      </c>
      <c r="F10" s="1" t="e">
        <f t="shared" si="1"/>
        <v>#N/A</v>
      </c>
      <c r="G10" s="1">
        <f t="shared" si="1"/>
        <v>0</v>
      </c>
      <c r="H10" s="1"/>
      <c r="I10" s="1"/>
      <c r="J10" s="1" t="e">
        <f t="shared" ref="J10:K10" si="2">SUM(J2:J9)</f>
        <v>#N/A</v>
      </c>
      <c r="K10" s="1" t="e">
        <f t="shared" si="2"/>
        <v>#N/A</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codeName="Sheet215">
    <tabColor rgb="FFFFC000"/>
  </sheetPr>
  <dimension ref="A1:C13"/>
  <sheetViews>
    <sheetView workbookViewId="0">
      <selection activeCell="A4" sqref="A4"/>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4229</v>
      </c>
      <c r="C1" s="35" t="s">
        <v>487</v>
      </c>
    </row>
    <row r="2" spans="1:3">
      <c r="A2" s="529">
        <f>在建工程明细表!B2</f>
        <v>0</v>
      </c>
      <c r="B2" s="563">
        <f>在建工程明细表!R2</f>
        <v>0</v>
      </c>
      <c r="C2" s="564">
        <f>在建工程明细表!U2</f>
        <v>0</v>
      </c>
    </row>
    <row r="3" spans="1:3">
      <c r="A3" s="529">
        <f>在建工程明细表!B3</f>
        <v>0</v>
      </c>
      <c r="B3" s="563">
        <f>在建工程明细表!R3</f>
        <v>0</v>
      </c>
      <c r="C3" s="564">
        <f>在建工程明细表!U3</f>
        <v>0</v>
      </c>
    </row>
    <row r="4" spans="1:3">
      <c r="A4" s="529">
        <f>在建工程明细表!B4</f>
        <v>0</v>
      </c>
      <c r="B4" s="563">
        <f>在建工程明细表!R4</f>
        <v>0</v>
      </c>
      <c r="C4" s="564">
        <f>在建工程明细表!U4</f>
        <v>0</v>
      </c>
    </row>
    <row r="5" spans="1:3">
      <c r="A5" s="529">
        <f>在建工程明细表!B5</f>
        <v>0</v>
      </c>
      <c r="B5" s="563">
        <f>在建工程明细表!R5</f>
        <v>0</v>
      </c>
      <c r="C5" s="564">
        <f>在建工程明细表!U5</f>
        <v>0</v>
      </c>
    </row>
    <row r="6" spans="1:3">
      <c r="A6" s="529">
        <f>在建工程明细表!B6</f>
        <v>0</v>
      </c>
      <c r="B6" s="563">
        <f>在建工程明细表!R6</f>
        <v>0</v>
      </c>
      <c r="C6" s="564">
        <f>在建工程明细表!U6</f>
        <v>0</v>
      </c>
    </row>
    <row r="7" spans="1:3">
      <c r="A7" s="529">
        <f>在建工程明细表!B7</f>
        <v>0</v>
      </c>
      <c r="B7" s="563">
        <f>在建工程明细表!R7</f>
        <v>0</v>
      </c>
      <c r="C7" s="564">
        <f>在建工程明细表!U7</f>
        <v>0</v>
      </c>
    </row>
    <row r="8" spans="1:3">
      <c r="A8" s="529">
        <f>在建工程明细表!B8</f>
        <v>0</v>
      </c>
      <c r="B8" s="563">
        <f>在建工程明细表!R8</f>
        <v>0</v>
      </c>
      <c r="C8" s="564">
        <f>在建工程明细表!U8</f>
        <v>0</v>
      </c>
    </row>
    <row r="9" spans="1:3">
      <c r="A9" s="529">
        <f>在建工程明细表!B9</f>
        <v>0</v>
      </c>
      <c r="B9" s="563">
        <f>在建工程明细表!R9</f>
        <v>0</v>
      </c>
      <c r="C9" s="564">
        <f>在建工程明细表!U9</f>
        <v>0</v>
      </c>
    </row>
    <row r="10" spans="1:3">
      <c r="A10" s="529">
        <f>在建工程明细表!B10</f>
        <v>0</v>
      </c>
      <c r="B10" s="563">
        <f>在建工程明细表!R10</f>
        <v>0</v>
      </c>
      <c r="C10" s="564">
        <f>在建工程明细表!U10</f>
        <v>0</v>
      </c>
    </row>
    <row r="11" spans="1:3">
      <c r="A11" s="529">
        <f>在建工程明细表!B11</f>
        <v>0</v>
      </c>
      <c r="B11" s="563">
        <f>在建工程明细表!R11</f>
        <v>0</v>
      </c>
      <c r="C11" s="564">
        <f>在建工程明细表!U11</f>
        <v>0</v>
      </c>
    </row>
    <row r="12" spans="1:3">
      <c r="A12" s="529">
        <f>在建工程明细表!B12</f>
        <v>0</v>
      </c>
      <c r="B12" s="563">
        <f>在建工程明细表!R12</f>
        <v>0</v>
      </c>
      <c r="C12" s="564">
        <f>在建工程明细表!U12</f>
        <v>0</v>
      </c>
    </row>
    <row r="13" spans="1:3" ht="14.4">
      <c r="A13" s="35" t="s">
        <v>204</v>
      </c>
      <c r="B13" s="39">
        <f>SUM(B2:B12)</f>
        <v>0</v>
      </c>
      <c r="C13" s="43"/>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sheetPr codeName="Sheet216"/>
  <dimension ref="A1:Z18"/>
  <sheetViews>
    <sheetView topLeftCell="G1" workbookViewId="0">
      <selection activeCell="P2" sqref="P2:P18"/>
    </sheetView>
  </sheetViews>
  <sheetFormatPr defaultRowHeight="13.8"/>
  <cols>
    <col min="8" max="8" width="8.88671875" style="230"/>
    <col min="9" max="9" width="13.88671875" style="230" bestFit="1" customWidth="1"/>
    <col min="10" max="10" width="18.33203125" style="230" bestFit="1" customWidth="1"/>
    <col min="11" max="14" width="8.88671875" style="230"/>
    <col min="15" max="15" width="10.6640625" style="230" bestFit="1" customWidth="1"/>
    <col min="16" max="21" width="10.6640625" style="230" customWidth="1"/>
  </cols>
  <sheetData>
    <row r="1" spans="1:26">
      <c r="A1" t="s">
        <v>2015</v>
      </c>
      <c r="B1" t="s">
        <v>95</v>
      </c>
      <c r="C1" t="s">
        <v>4440</v>
      </c>
      <c r="D1" t="s">
        <v>4444</v>
      </c>
      <c r="E1" t="s">
        <v>260</v>
      </c>
      <c r="F1" t="s">
        <v>4433</v>
      </c>
      <c r="G1" t="s">
        <v>3133</v>
      </c>
      <c r="H1" s="230" t="s">
        <v>2920</v>
      </c>
      <c r="I1" s="230" t="s">
        <v>4434</v>
      </c>
      <c r="J1" s="230" t="s">
        <v>4435</v>
      </c>
      <c r="K1" s="230" t="s">
        <v>3126</v>
      </c>
      <c r="L1" s="230" t="s">
        <v>4436</v>
      </c>
      <c r="M1" s="230" t="s">
        <v>390</v>
      </c>
      <c r="N1" s="230" t="s">
        <v>2921</v>
      </c>
      <c r="O1" s="230" t="s">
        <v>258</v>
      </c>
      <c r="P1" s="230" t="s">
        <v>4442</v>
      </c>
      <c r="Q1" s="230" t="s">
        <v>295</v>
      </c>
      <c r="R1" s="230" t="s">
        <v>2389</v>
      </c>
      <c r="S1" s="230" t="s">
        <v>366</v>
      </c>
      <c r="T1" s="230" t="s">
        <v>291</v>
      </c>
      <c r="U1" s="230" t="s">
        <v>4443</v>
      </c>
      <c r="V1" s="230" t="s">
        <v>2454</v>
      </c>
      <c r="W1" s="230" t="s">
        <v>4437</v>
      </c>
      <c r="X1" s="230" t="s">
        <v>4438</v>
      </c>
      <c r="Y1" s="230" t="s">
        <v>4439</v>
      </c>
      <c r="Z1" s="230" t="s">
        <v>4441</v>
      </c>
    </row>
    <row r="2" spans="1:26">
      <c r="A2" t="str">
        <f>IF(OR(E2&gt;0,O2&gt;0),基础信息!$B$1,"")</f>
        <v/>
      </c>
      <c r="B2" s="256"/>
      <c r="C2" s="256"/>
      <c r="D2" s="256"/>
      <c r="E2" s="256"/>
      <c r="F2" s="256"/>
      <c r="G2" s="256"/>
      <c r="H2" s="230">
        <f t="shared" ref="H2:H18" si="0">SUM(F2:G2)</f>
        <v>0</v>
      </c>
      <c r="I2" s="290"/>
      <c r="J2" s="290"/>
      <c r="K2" s="290"/>
      <c r="L2" s="290"/>
      <c r="M2" s="290"/>
      <c r="N2" s="230">
        <f>SUM(I2:M2)</f>
        <v>0</v>
      </c>
      <c r="O2" s="230">
        <f t="shared" ref="O2:O18" si="1">E2+H2-N2</f>
        <v>0</v>
      </c>
      <c r="P2" s="230">
        <f>IFERROR(O2/C2,0)*100</f>
        <v>0</v>
      </c>
      <c r="Q2" s="290"/>
      <c r="R2" s="290"/>
      <c r="S2" s="290"/>
      <c r="T2" s="230">
        <f>Q2+R2-S2</f>
        <v>0</v>
      </c>
      <c r="U2" s="290"/>
      <c r="V2" s="256"/>
      <c r="W2" s="256"/>
      <c r="X2" s="256"/>
      <c r="Y2">
        <f>V2+W2-X2</f>
        <v>0</v>
      </c>
      <c r="Z2" s="256"/>
    </row>
    <row r="3" spans="1:26">
      <c r="A3" t="str">
        <f>IF(OR(E3&gt;0,O3&gt;0),基础信息!$B$1,"")</f>
        <v/>
      </c>
      <c r="B3" s="256"/>
      <c r="C3" s="256"/>
      <c r="D3" s="256"/>
      <c r="E3" s="256"/>
      <c r="F3" s="256"/>
      <c r="G3" s="256"/>
      <c r="H3" s="230">
        <f t="shared" si="0"/>
        <v>0</v>
      </c>
      <c r="I3" s="290"/>
      <c r="J3" s="290"/>
      <c r="K3" s="290"/>
      <c r="L3" s="290"/>
      <c r="M3" s="290"/>
      <c r="N3" s="230">
        <f t="shared" ref="N3:N18" si="2">SUM(I3:M3)</f>
        <v>0</v>
      </c>
      <c r="O3" s="230">
        <f t="shared" si="1"/>
        <v>0</v>
      </c>
      <c r="P3" s="230">
        <f t="shared" ref="P3:P18" si="3">IFERROR(O3/C3,0)*100</f>
        <v>0</v>
      </c>
      <c r="Q3" s="290"/>
      <c r="R3" s="290"/>
      <c r="S3" s="290"/>
      <c r="T3" s="230">
        <f t="shared" ref="T3:T18" si="4">Q3+R3-S3</f>
        <v>0</v>
      </c>
      <c r="U3" s="290"/>
      <c r="V3" s="256"/>
      <c r="W3" s="256"/>
      <c r="X3" s="256"/>
      <c r="Y3">
        <f t="shared" ref="Y3:Y18" si="5">V3+W3-X3</f>
        <v>0</v>
      </c>
      <c r="Z3" s="256"/>
    </row>
    <row r="4" spans="1:26">
      <c r="A4" t="str">
        <f>IF(OR(E4&gt;0,O4&gt;0),基础信息!$B$1,"")</f>
        <v/>
      </c>
      <c r="B4" s="256"/>
      <c r="C4" s="256"/>
      <c r="D4" s="256"/>
      <c r="E4" s="256"/>
      <c r="F4" s="256"/>
      <c r="G4" s="256"/>
      <c r="H4" s="230">
        <f t="shared" si="0"/>
        <v>0</v>
      </c>
      <c r="I4" s="290"/>
      <c r="J4" s="290"/>
      <c r="K4" s="290"/>
      <c r="L4" s="290"/>
      <c r="M4" s="290"/>
      <c r="N4" s="230">
        <f t="shared" si="2"/>
        <v>0</v>
      </c>
      <c r="O4" s="230">
        <f t="shared" si="1"/>
        <v>0</v>
      </c>
      <c r="P4" s="230">
        <f t="shared" si="3"/>
        <v>0</v>
      </c>
      <c r="Q4" s="290"/>
      <c r="R4" s="290"/>
      <c r="S4" s="290"/>
      <c r="T4" s="230">
        <f t="shared" si="4"/>
        <v>0</v>
      </c>
      <c r="U4" s="290"/>
      <c r="V4" s="256"/>
      <c r="W4" s="256"/>
      <c r="X4" s="256"/>
      <c r="Y4">
        <f t="shared" si="5"/>
        <v>0</v>
      </c>
      <c r="Z4" s="256"/>
    </row>
    <row r="5" spans="1:26">
      <c r="A5" t="str">
        <f>IF(OR(E5&gt;0,O5&gt;0),基础信息!$B$1,"")</f>
        <v/>
      </c>
      <c r="B5" s="256"/>
      <c r="C5" s="256"/>
      <c r="D5" s="256"/>
      <c r="E5" s="256"/>
      <c r="F5" s="256"/>
      <c r="G5" s="256"/>
      <c r="H5" s="230">
        <f t="shared" si="0"/>
        <v>0</v>
      </c>
      <c r="I5" s="290"/>
      <c r="J5" s="290"/>
      <c r="K5" s="290"/>
      <c r="L5" s="290"/>
      <c r="M5" s="290"/>
      <c r="N5" s="230">
        <f t="shared" si="2"/>
        <v>0</v>
      </c>
      <c r="O5" s="230">
        <f t="shared" si="1"/>
        <v>0</v>
      </c>
      <c r="P5" s="230">
        <f t="shared" si="3"/>
        <v>0</v>
      </c>
      <c r="Q5" s="290"/>
      <c r="R5" s="290"/>
      <c r="S5" s="290"/>
      <c r="T5" s="230">
        <f t="shared" si="4"/>
        <v>0</v>
      </c>
      <c r="U5" s="290"/>
      <c r="V5" s="256"/>
      <c r="W5" s="256"/>
      <c r="X5" s="256"/>
      <c r="Y5">
        <f t="shared" si="5"/>
        <v>0</v>
      </c>
      <c r="Z5" s="256"/>
    </row>
    <row r="6" spans="1:26">
      <c r="A6" t="str">
        <f>IF(OR(E6&gt;0,O6&gt;0),基础信息!$B$1,"")</f>
        <v/>
      </c>
      <c r="B6" s="256"/>
      <c r="C6" s="256"/>
      <c r="D6" s="256"/>
      <c r="E6" s="256"/>
      <c r="F6" s="256"/>
      <c r="G6" s="256"/>
      <c r="H6" s="230">
        <f t="shared" si="0"/>
        <v>0</v>
      </c>
      <c r="I6" s="290"/>
      <c r="J6" s="290"/>
      <c r="K6" s="290"/>
      <c r="L6" s="290"/>
      <c r="M6" s="290"/>
      <c r="N6" s="230">
        <f t="shared" si="2"/>
        <v>0</v>
      </c>
      <c r="O6" s="230">
        <f t="shared" si="1"/>
        <v>0</v>
      </c>
      <c r="P6" s="230">
        <f t="shared" si="3"/>
        <v>0</v>
      </c>
      <c r="Q6" s="290"/>
      <c r="R6" s="290"/>
      <c r="S6" s="290"/>
      <c r="T6" s="230">
        <f t="shared" si="4"/>
        <v>0</v>
      </c>
      <c r="U6" s="290"/>
      <c r="V6" s="256"/>
      <c r="W6" s="256"/>
      <c r="X6" s="256"/>
      <c r="Y6">
        <f t="shared" si="5"/>
        <v>0</v>
      </c>
      <c r="Z6" s="256"/>
    </row>
    <row r="7" spans="1:26">
      <c r="A7" t="str">
        <f>IF(OR(E7&gt;0,O7&gt;0),基础信息!$B$1,"")</f>
        <v/>
      </c>
      <c r="B7" s="256"/>
      <c r="C7" s="256"/>
      <c r="D7" s="256"/>
      <c r="E7" s="256"/>
      <c r="F7" s="256"/>
      <c r="G7" s="256"/>
      <c r="H7" s="230">
        <f t="shared" si="0"/>
        <v>0</v>
      </c>
      <c r="I7" s="290"/>
      <c r="J7" s="290"/>
      <c r="K7" s="290"/>
      <c r="L7" s="290"/>
      <c r="M7" s="290"/>
      <c r="N7" s="230">
        <f t="shared" si="2"/>
        <v>0</v>
      </c>
      <c r="O7" s="230">
        <f t="shared" si="1"/>
        <v>0</v>
      </c>
      <c r="P7" s="230">
        <f t="shared" si="3"/>
        <v>0</v>
      </c>
      <c r="Q7" s="290"/>
      <c r="R7" s="290"/>
      <c r="S7" s="290"/>
      <c r="T7" s="230">
        <f t="shared" si="4"/>
        <v>0</v>
      </c>
      <c r="U7" s="290"/>
      <c r="V7" s="256"/>
      <c r="W7" s="256"/>
      <c r="X7" s="256"/>
      <c r="Y7">
        <f t="shared" si="5"/>
        <v>0</v>
      </c>
      <c r="Z7" s="256"/>
    </row>
    <row r="8" spans="1:26">
      <c r="A8" t="str">
        <f>IF(OR(E8&gt;0,O8&gt;0),基础信息!$B$1,"")</f>
        <v/>
      </c>
      <c r="B8" s="256"/>
      <c r="C8" s="256"/>
      <c r="D8" s="256"/>
      <c r="E8" s="256"/>
      <c r="F8" s="256"/>
      <c r="G8" s="256"/>
      <c r="H8" s="230">
        <f t="shared" si="0"/>
        <v>0</v>
      </c>
      <c r="I8" s="290"/>
      <c r="J8" s="290"/>
      <c r="K8" s="290"/>
      <c r="L8" s="290"/>
      <c r="M8" s="290"/>
      <c r="N8" s="230">
        <f t="shared" si="2"/>
        <v>0</v>
      </c>
      <c r="O8" s="230">
        <f t="shared" si="1"/>
        <v>0</v>
      </c>
      <c r="P8" s="230">
        <f t="shared" si="3"/>
        <v>0</v>
      </c>
      <c r="Q8" s="290"/>
      <c r="R8" s="290"/>
      <c r="S8" s="290"/>
      <c r="T8" s="230">
        <f t="shared" si="4"/>
        <v>0</v>
      </c>
      <c r="U8" s="290"/>
      <c r="V8" s="256"/>
      <c r="W8" s="256"/>
      <c r="X8" s="256"/>
      <c r="Y8">
        <f t="shared" si="5"/>
        <v>0</v>
      </c>
      <c r="Z8" s="256"/>
    </row>
    <row r="9" spans="1:26">
      <c r="A9" t="str">
        <f>IF(OR(E9&gt;0,O9&gt;0),基础信息!$B$1,"")</f>
        <v/>
      </c>
      <c r="B9" s="256"/>
      <c r="C9" s="256"/>
      <c r="D9" s="256"/>
      <c r="E9" s="256"/>
      <c r="F9" s="256"/>
      <c r="G9" s="256"/>
      <c r="H9" s="230">
        <f t="shared" si="0"/>
        <v>0</v>
      </c>
      <c r="I9" s="290"/>
      <c r="J9" s="290"/>
      <c r="K9" s="290"/>
      <c r="L9" s="290"/>
      <c r="M9" s="290"/>
      <c r="N9" s="230">
        <f t="shared" si="2"/>
        <v>0</v>
      </c>
      <c r="O9" s="230">
        <f t="shared" si="1"/>
        <v>0</v>
      </c>
      <c r="P9" s="230">
        <f t="shared" si="3"/>
        <v>0</v>
      </c>
      <c r="Q9" s="290"/>
      <c r="R9" s="290"/>
      <c r="S9" s="290"/>
      <c r="T9" s="230">
        <f t="shared" si="4"/>
        <v>0</v>
      </c>
      <c r="U9" s="290"/>
      <c r="V9" s="256"/>
      <c r="W9" s="256"/>
      <c r="X9" s="256"/>
      <c r="Y9">
        <f t="shared" si="5"/>
        <v>0</v>
      </c>
      <c r="Z9" s="256"/>
    </row>
    <row r="10" spans="1:26">
      <c r="A10" t="str">
        <f>IF(OR(E10&gt;0,O10&gt;0),基础信息!$B$1,"")</f>
        <v/>
      </c>
      <c r="B10" s="256"/>
      <c r="C10" s="256"/>
      <c r="D10" s="256"/>
      <c r="E10" s="256"/>
      <c r="F10" s="256"/>
      <c r="G10" s="256"/>
      <c r="H10" s="230">
        <f t="shared" si="0"/>
        <v>0</v>
      </c>
      <c r="I10" s="290"/>
      <c r="J10" s="290"/>
      <c r="K10" s="290"/>
      <c r="L10" s="290"/>
      <c r="M10" s="290"/>
      <c r="N10" s="230">
        <f t="shared" si="2"/>
        <v>0</v>
      </c>
      <c r="O10" s="230">
        <f t="shared" si="1"/>
        <v>0</v>
      </c>
      <c r="P10" s="230">
        <f t="shared" si="3"/>
        <v>0</v>
      </c>
      <c r="Q10" s="290"/>
      <c r="R10" s="290"/>
      <c r="S10" s="290"/>
      <c r="T10" s="230">
        <f t="shared" si="4"/>
        <v>0</v>
      </c>
      <c r="U10" s="290"/>
      <c r="V10" s="256"/>
      <c r="W10" s="256"/>
      <c r="X10" s="256"/>
      <c r="Y10">
        <f t="shared" si="5"/>
        <v>0</v>
      </c>
      <c r="Z10" s="256"/>
    </row>
    <row r="11" spans="1:26">
      <c r="A11" t="str">
        <f>IF(OR(E11&gt;0,O11&gt;0),基础信息!$B$1,"")</f>
        <v/>
      </c>
      <c r="B11" s="256"/>
      <c r="C11" s="256"/>
      <c r="D11" s="256"/>
      <c r="E11" s="256"/>
      <c r="F11" s="256"/>
      <c r="G11" s="256"/>
      <c r="H11" s="230">
        <f t="shared" si="0"/>
        <v>0</v>
      </c>
      <c r="I11" s="290"/>
      <c r="J11" s="290"/>
      <c r="K11" s="290"/>
      <c r="L11" s="290"/>
      <c r="M11" s="290"/>
      <c r="N11" s="230">
        <f t="shared" si="2"/>
        <v>0</v>
      </c>
      <c r="O11" s="230">
        <f t="shared" si="1"/>
        <v>0</v>
      </c>
      <c r="P11" s="230">
        <f t="shared" si="3"/>
        <v>0</v>
      </c>
      <c r="Q11" s="290"/>
      <c r="R11" s="290"/>
      <c r="S11" s="290"/>
      <c r="T11" s="230">
        <f t="shared" si="4"/>
        <v>0</v>
      </c>
      <c r="U11" s="290"/>
      <c r="V11" s="256"/>
      <c r="W11" s="256"/>
      <c r="X11" s="256"/>
      <c r="Y11">
        <f t="shared" si="5"/>
        <v>0</v>
      </c>
      <c r="Z11" s="256"/>
    </row>
    <row r="12" spans="1:26">
      <c r="A12" t="str">
        <f>IF(OR(E12&gt;0,O12&gt;0),基础信息!$B$1,"")</f>
        <v/>
      </c>
      <c r="B12" s="256"/>
      <c r="C12" s="256"/>
      <c r="D12" s="256"/>
      <c r="E12" s="256"/>
      <c r="F12" s="256"/>
      <c r="G12" s="256"/>
      <c r="H12" s="230">
        <f t="shared" si="0"/>
        <v>0</v>
      </c>
      <c r="I12" s="290"/>
      <c r="J12" s="290"/>
      <c r="K12" s="290"/>
      <c r="L12" s="290"/>
      <c r="M12" s="290"/>
      <c r="N12" s="230">
        <f t="shared" si="2"/>
        <v>0</v>
      </c>
      <c r="O12" s="230">
        <f t="shared" si="1"/>
        <v>0</v>
      </c>
      <c r="P12" s="230">
        <f t="shared" si="3"/>
        <v>0</v>
      </c>
      <c r="Q12" s="290"/>
      <c r="R12" s="290"/>
      <c r="S12" s="290"/>
      <c r="T12" s="230">
        <f t="shared" si="4"/>
        <v>0</v>
      </c>
      <c r="U12" s="290"/>
      <c r="V12" s="256"/>
      <c r="W12" s="256"/>
      <c r="X12" s="256"/>
      <c r="Y12">
        <f t="shared" si="5"/>
        <v>0</v>
      </c>
      <c r="Z12" s="256"/>
    </row>
    <row r="13" spans="1:26">
      <c r="A13" t="str">
        <f>IF(OR(E13&gt;0,O13&gt;0),基础信息!$B$1,"")</f>
        <v/>
      </c>
      <c r="B13" s="256"/>
      <c r="C13" s="256"/>
      <c r="D13" s="256"/>
      <c r="E13" s="256"/>
      <c r="F13" s="256"/>
      <c r="G13" s="256"/>
      <c r="H13" s="230">
        <f t="shared" si="0"/>
        <v>0</v>
      </c>
      <c r="I13" s="290"/>
      <c r="J13" s="290"/>
      <c r="K13" s="290"/>
      <c r="L13" s="290"/>
      <c r="M13" s="290"/>
      <c r="N13" s="230">
        <f t="shared" si="2"/>
        <v>0</v>
      </c>
      <c r="O13" s="230">
        <f t="shared" si="1"/>
        <v>0</v>
      </c>
      <c r="P13" s="230">
        <f t="shared" si="3"/>
        <v>0</v>
      </c>
      <c r="Q13" s="290"/>
      <c r="R13" s="290"/>
      <c r="S13" s="290"/>
      <c r="T13" s="230">
        <f t="shared" si="4"/>
        <v>0</v>
      </c>
      <c r="U13" s="290"/>
      <c r="V13" s="256"/>
      <c r="W13" s="256"/>
      <c r="X13" s="256"/>
      <c r="Y13">
        <f t="shared" si="5"/>
        <v>0</v>
      </c>
      <c r="Z13" s="256"/>
    </row>
    <row r="14" spans="1:26">
      <c r="A14" t="str">
        <f>IF(OR(E14&gt;0,O14&gt;0),基础信息!$B$1,"")</f>
        <v/>
      </c>
      <c r="B14" s="256"/>
      <c r="C14" s="256"/>
      <c r="D14" s="256"/>
      <c r="E14" s="256"/>
      <c r="F14" s="256"/>
      <c r="G14" s="256"/>
      <c r="H14" s="230">
        <f t="shared" si="0"/>
        <v>0</v>
      </c>
      <c r="I14" s="290"/>
      <c r="J14" s="290"/>
      <c r="K14" s="290"/>
      <c r="L14" s="290"/>
      <c r="M14" s="290"/>
      <c r="N14" s="230">
        <f t="shared" si="2"/>
        <v>0</v>
      </c>
      <c r="O14" s="230">
        <f t="shared" si="1"/>
        <v>0</v>
      </c>
      <c r="P14" s="230">
        <f t="shared" si="3"/>
        <v>0</v>
      </c>
      <c r="Q14" s="290"/>
      <c r="R14" s="290"/>
      <c r="S14" s="290"/>
      <c r="T14" s="230">
        <f t="shared" si="4"/>
        <v>0</v>
      </c>
      <c r="U14" s="290"/>
      <c r="V14" s="256"/>
      <c r="W14" s="256"/>
      <c r="X14" s="256"/>
      <c r="Y14">
        <f t="shared" si="5"/>
        <v>0</v>
      </c>
      <c r="Z14" s="256"/>
    </row>
    <row r="15" spans="1:26">
      <c r="A15" t="str">
        <f>IF(OR(E15&gt;0,O15&gt;0),基础信息!$B$1,"")</f>
        <v/>
      </c>
      <c r="B15" s="256"/>
      <c r="C15" s="256"/>
      <c r="D15" s="256"/>
      <c r="E15" s="256"/>
      <c r="F15" s="256"/>
      <c r="G15" s="256"/>
      <c r="H15" s="230">
        <f t="shared" si="0"/>
        <v>0</v>
      </c>
      <c r="I15" s="290"/>
      <c r="J15" s="290"/>
      <c r="K15" s="290"/>
      <c r="L15" s="290"/>
      <c r="M15" s="290"/>
      <c r="N15" s="230">
        <f t="shared" si="2"/>
        <v>0</v>
      </c>
      <c r="O15" s="230">
        <f t="shared" si="1"/>
        <v>0</v>
      </c>
      <c r="P15" s="230">
        <f t="shared" si="3"/>
        <v>0</v>
      </c>
      <c r="Q15" s="290"/>
      <c r="R15" s="290"/>
      <c r="S15" s="290"/>
      <c r="T15" s="230">
        <f t="shared" si="4"/>
        <v>0</v>
      </c>
      <c r="U15" s="290"/>
      <c r="V15" s="256"/>
      <c r="W15" s="256"/>
      <c r="X15" s="256"/>
      <c r="Y15">
        <f t="shared" si="5"/>
        <v>0</v>
      </c>
      <c r="Z15" s="256"/>
    </row>
    <row r="16" spans="1:26">
      <c r="A16" t="str">
        <f>IF(OR(E16&gt;0,O16&gt;0),基础信息!$B$1,"")</f>
        <v/>
      </c>
      <c r="B16" s="256"/>
      <c r="C16" s="256"/>
      <c r="D16" s="256"/>
      <c r="E16" s="256"/>
      <c r="F16" s="256"/>
      <c r="G16" s="256"/>
      <c r="H16" s="230">
        <f t="shared" si="0"/>
        <v>0</v>
      </c>
      <c r="I16" s="290"/>
      <c r="J16" s="290"/>
      <c r="K16" s="290"/>
      <c r="L16" s="290"/>
      <c r="M16" s="290"/>
      <c r="N16" s="230">
        <f t="shared" si="2"/>
        <v>0</v>
      </c>
      <c r="O16" s="230">
        <f t="shared" si="1"/>
        <v>0</v>
      </c>
      <c r="P16" s="230">
        <f t="shared" si="3"/>
        <v>0</v>
      </c>
      <c r="Q16" s="290"/>
      <c r="R16" s="290"/>
      <c r="S16" s="290"/>
      <c r="T16" s="230">
        <f t="shared" si="4"/>
        <v>0</v>
      </c>
      <c r="U16" s="290"/>
      <c r="V16" s="256"/>
      <c r="W16" s="256"/>
      <c r="X16" s="256"/>
      <c r="Y16">
        <f t="shared" si="5"/>
        <v>0</v>
      </c>
      <c r="Z16" s="256"/>
    </row>
    <row r="17" spans="1:26">
      <c r="A17" t="str">
        <f>IF(OR(E17&gt;0,O17&gt;0),基础信息!$B$1,"")</f>
        <v/>
      </c>
      <c r="B17" s="256"/>
      <c r="C17" s="256"/>
      <c r="D17" s="256"/>
      <c r="E17" s="256"/>
      <c r="F17" s="256"/>
      <c r="G17" s="256"/>
      <c r="H17" s="230">
        <f t="shared" si="0"/>
        <v>0</v>
      </c>
      <c r="I17" s="290"/>
      <c r="J17" s="290"/>
      <c r="K17" s="290"/>
      <c r="L17" s="290"/>
      <c r="M17" s="290"/>
      <c r="N17" s="230">
        <f t="shared" si="2"/>
        <v>0</v>
      </c>
      <c r="O17" s="230">
        <f t="shared" si="1"/>
        <v>0</v>
      </c>
      <c r="P17" s="230">
        <f t="shared" si="3"/>
        <v>0</v>
      </c>
      <c r="Q17" s="290"/>
      <c r="R17" s="290"/>
      <c r="S17" s="290"/>
      <c r="T17" s="230">
        <f t="shared" si="4"/>
        <v>0</v>
      </c>
      <c r="U17" s="290"/>
      <c r="V17" s="256"/>
      <c r="W17" s="256"/>
      <c r="X17" s="256"/>
      <c r="Y17">
        <f t="shared" si="5"/>
        <v>0</v>
      </c>
      <c r="Z17" s="256"/>
    </row>
    <row r="18" spans="1:26">
      <c r="A18" t="str">
        <f>IF(OR(E18&gt;0,O18&gt;0),基础信息!$B$1,"")</f>
        <v/>
      </c>
      <c r="B18" s="256"/>
      <c r="C18" s="256"/>
      <c r="D18" s="256"/>
      <c r="E18" s="256"/>
      <c r="F18" s="256"/>
      <c r="G18" s="256"/>
      <c r="H18" s="230">
        <f t="shared" si="0"/>
        <v>0</v>
      </c>
      <c r="I18" s="290"/>
      <c r="J18" s="290"/>
      <c r="K18" s="290"/>
      <c r="L18" s="290"/>
      <c r="M18" s="290"/>
      <c r="N18" s="230">
        <f t="shared" si="2"/>
        <v>0</v>
      </c>
      <c r="O18" s="230">
        <f t="shared" si="1"/>
        <v>0</v>
      </c>
      <c r="P18" s="230">
        <f t="shared" si="3"/>
        <v>0</v>
      </c>
      <c r="Q18" s="290"/>
      <c r="R18" s="290"/>
      <c r="S18" s="290"/>
      <c r="T18" s="230">
        <f t="shared" si="4"/>
        <v>0</v>
      </c>
      <c r="U18" s="290"/>
      <c r="V18" s="256"/>
      <c r="W18" s="256"/>
      <c r="X18" s="256"/>
      <c r="Y18">
        <f t="shared" si="5"/>
        <v>0</v>
      </c>
      <c r="Z18" s="256"/>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codeName="Sheet217">
    <tabColor rgb="FFFFC000"/>
  </sheetPr>
  <dimension ref="A1:C5"/>
  <sheetViews>
    <sheetView workbookViewId="0">
      <selection activeCell="I15" sqref="I15"/>
    </sheetView>
  </sheetViews>
  <sheetFormatPr defaultRowHeight="13.8"/>
  <cols>
    <col min="1" max="16384" width="8.88671875" style="18"/>
  </cols>
  <sheetData>
    <row r="1" spans="1:3" ht="14.4">
      <c r="A1" s="31" t="s">
        <v>28</v>
      </c>
      <c r="B1" s="20" t="s">
        <v>203</v>
      </c>
      <c r="C1" s="20" t="s">
        <v>285</v>
      </c>
    </row>
    <row r="2" spans="1:3" ht="14.4">
      <c r="A2" s="379" t="s">
        <v>472</v>
      </c>
      <c r="B2" s="69">
        <f>ROUND(SUMIF(工程物资明细表!B:B,工程物资!A2,工程物资明细表!N:N),2)</f>
        <v>0</v>
      </c>
      <c r="C2" s="69">
        <f>ROUND(SUMIF(工程物资明细表!B:B,工程物资!A2,工程物资明细表!M:M),2)</f>
        <v>0</v>
      </c>
    </row>
    <row r="3" spans="1:3" ht="14.4">
      <c r="A3" s="379" t="s">
        <v>4656</v>
      </c>
      <c r="B3" s="69">
        <f>ROUND(SUMIF(工程物资明细表!B:B,工程物资!A3,工程物资明细表!N:N),2)</f>
        <v>0</v>
      </c>
      <c r="C3" s="69">
        <f>ROUND(SUMIF(工程物资明细表!B:B,工程物资!A3,工程物资明细表!M:M),2)</f>
        <v>0</v>
      </c>
    </row>
    <row r="4" spans="1:3" ht="14.4">
      <c r="A4" s="379"/>
      <c r="B4" s="69">
        <f>ROUND(SUMIF(工程物资明细表!B:B,工程物资!A4,工程物资明细表!N:N),2)</f>
        <v>0</v>
      </c>
      <c r="C4" s="69">
        <f>ROUND(SUMIF(工程物资明细表!B:B,工程物资!A4,工程物资明细表!M:M),2)</f>
        <v>0</v>
      </c>
    </row>
    <row r="5" spans="1:3" ht="14.4">
      <c r="A5" s="31" t="s">
        <v>2449</v>
      </c>
      <c r="B5" s="69">
        <f>ROUND(SUM(B2:B4),2)</f>
        <v>0</v>
      </c>
      <c r="C5" s="69">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sheetPr codeName="Sheet218"/>
  <dimension ref="A1:N16"/>
  <sheetViews>
    <sheetView workbookViewId="0">
      <selection activeCell="A7" sqref="A7"/>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7" customFormat="1" ht="27.6">
      <c r="A1" s="237" t="s">
        <v>2427</v>
      </c>
      <c r="B1" s="237" t="s">
        <v>28</v>
      </c>
      <c r="C1" s="237" t="s">
        <v>4616</v>
      </c>
      <c r="D1" s="237" t="s">
        <v>4424</v>
      </c>
      <c r="E1" s="237" t="s">
        <v>4445</v>
      </c>
      <c r="F1" s="237" t="s">
        <v>509</v>
      </c>
      <c r="G1" s="237" t="s">
        <v>4593</v>
      </c>
      <c r="H1" s="237" t="s">
        <v>295</v>
      </c>
      <c r="I1" s="237" t="s">
        <v>4613</v>
      </c>
      <c r="J1" s="237" t="s">
        <v>4614</v>
      </c>
      <c r="K1" s="237" t="s">
        <v>4615</v>
      </c>
      <c r="L1" s="237" t="s">
        <v>4346</v>
      </c>
      <c r="M1" s="237" t="s">
        <v>351</v>
      </c>
      <c r="N1" s="237" t="s">
        <v>349</v>
      </c>
    </row>
    <row r="2" spans="1:14">
      <c r="A2" t="str">
        <f>IF(OR(C2&gt;0,G2&gt;0),基础信息!$B$1,"")</f>
        <v/>
      </c>
      <c r="B2" s="277"/>
      <c r="C2" s="256"/>
      <c r="D2" s="256"/>
      <c r="E2" s="256"/>
      <c r="F2" s="256"/>
      <c r="G2">
        <f>C2+D2+E2-F2</f>
        <v>0</v>
      </c>
      <c r="H2" s="256"/>
      <c r="I2" s="256"/>
      <c r="J2" s="256"/>
      <c r="K2" s="256"/>
      <c r="L2">
        <f>H2+I2+J2-K2</f>
        <v>0</v>
      </c>
      <c r="M2">
        <f>C2-H2</f>
        <v>0</v>
      </c>
      <c r="N2">
        <f>G2-L2</f>
        <v>0</v>
      </c>
    </row>
    <row r="3" spans="1:14">
      <c r="A3" t="str">
        <f>IF(OR(C3&gt;0,G3&gt;0),基础信息!$B$1,"")</f>
        <v/>
      </c>
      <c r="B3" s="277"/>
      <c r="C3" s="256"/>
      <c r="D3" s="256"/>
      <c r="E3" s="256"/>
      <c r="F3" s="256"/>
      <c r="G3">
        <f t="shared" ref="G3:G16" si="0">C3+D3+E3-F3</f>
        <v>0</v>
      </c>
      <c r="H3" s="256"/>
      <c r="I3" s="256"/>
      <c r="J3" s="256"/>
      <c r="K3" s="256"/>
      <c r="L3">
        <f t="shared" ref="L3:L16" si="1">H3+I3+J3-K3</f>
        <v>0</v>
      </c>
      <c r="M3">
        <f t="shared" ref="M3:M16" si="2">C3-H3</f>
        <v>0</v>
      </c>
      <c r="N3">
        <f t="shared" ref="N3:N16" si="3">G3-L3</f>
        <v>0</v>
      </c>
    </row>
    <row r="4" spans="1:14">
      <c r="A4" t="str">
        <f>IF(OR(C4&gt;0,G4&gt;0),基础信息!$B$1,"")</f>
        <v/>
      </c>
      <c r="B4" s="277"/>
      <c r="C4" s="256"/>
      <c r="D4" s="256"/>
      <c r="E4" s="256"/>
      <c r="F4" s="256"/>
      <c r="G4">
        <f t="shared" si="0"/>
        <v>0</v>
      </c>
      <c r="H4" s="256"/>
      <c r="I4" s="256"/>
      <c r="J4" s="256"/>
      <c r="K4" s="256"/>
      <c r="L4">
        <f t="shared" si="1"/>
        <v>0</v>
      </c>
      <c r="M4">
        <f t="shared" si="2"/>
        <v>0</v>
      </c>
      <c r="N4">
        <f t="shared" si="3"/>
        <v>0</v>
      </c>
    </row>
    <row r="5" spans="1:14">
      <c r="A5" t="str">
        <f>IF(OR(C5&gt;0,G5&gt;0),基础信息!$B$1,"")</f>
        <v/>
      </c>
      <c r="B5" s="277"/>
      <c r="C5" s="256"/>
      <c r="D5" s="256"/>
      <c r="E5" s="256"/>
      <c r="F5" s="256"/>
      <c r="G5">
        <f t="shared" si="0"/>
        <v>0</v>
      </c>
      <c r="H5" s="256"/>
      <c r="I5" s="256"/>
      <c r="J5" s="256"/>
      <c r="K5" s="256"/>
      <c r="L5">
        <f t="shared" si="1"/>
        <v>0</v>
      </c>
      <c r="M5">
        <f t="shared" si="2"/>
        <v>0</v>
      </c>
      <c r="N5">
        <f t="shared" si="3"/>
        <v>0</v>
      </c>
    </row>
    <row r="6" spans="1:14">
      <c r="A6" t="str">
        <f>IF(OR(C6&gt;0,G6&gt;0),基础信息!$B$1,"")</f>
        <v/>
      </c>
      <c r="B6" s="277"/>
      <c r="C6" s="256"/>
      <c r="D6" s="256"/>
      <c r="E6" s="256"/>
      <c r="F6" s="256"/>
      <c r="G6">
        <f t="shared" si="0"/>
        <v>0</v>
      </c>
      <c r="H6" s="256"/>
      <c r="I6" s="256"/>
      <c r="J6" s="256"/>
      <c r="K6" s="256"/>
      <c r="L6">
        <f t="shared" si="1"/>
        <v>0</v>
      </c>
      <c r="M6">
        <f t="shared" si="2"/>
        <v>0</v>
      </c>
      <c r="N6">
        <f t="shared" si="3"/>
        <v>0</v>
      </c>
    </row>
    <row r="7" spans="1:14">
      <c r="A7" t="str">
        <f>IF(OR(C7&gt;0,G7&gt;0),基础信息!$B$1,"")</f>
        <v/>
      </c>
      <c r="B7" s="277"/>
      <c r="C7" s="256"/>
      <c r="D7" s="256"/>
      <c r="E7" s="256"/>
      <c r="F7" s="256"/>
      <c r="G7">
        <f t="shared" si="0"/>
        <v>0</v>
      </c>
      <c r="H7" s="256"/>
      <c r="I7" s="256"/>
      <c r="J7" s="256"/>
      <c r="K7" s="256"/>
      <c r="L7">
        <f t="shared" si="1"/>
        <v>0</v>
      </c>
      <c r="M7">
        <f t="shared" si="2"/>
        <v>0</v>
      </c>
      <c r="N7">
        <f t="shared" si="3"/>
        <v>0</v>
      </c>
    </row>
    <row r="8" spans="1:14">
      <c r="A8" t="str">
        <f>IF(OR(C8&gt;0,G8&gt;0),基础信息!$B$1,"")</f>
        <v/>
      </c>
      <c r="B8" s="277"/>
      <c r="C8" s="256"/>
      <c r="D8" s="256"/>
      <c r="E8" s="256"/>
      <c r="F8" s="256"/>
      <c r="G8">
        <f t="shared" si="0"/>
        <v>0</v>
      </c>
      <c r="H8" s="256"/>
      <c r="I8" s="256"/>
      <c r="J8" s="256"/>
      <c r="K8" s="256"/>
      <c r="L8">
        <f t="shared" si="1"/>
        <v>0</v>
      </c>
      <c r="M8">
        <f t="shared" si="2"/>
        <v>0</v>
      </c>
      <c r="N8">
        <f t="shared" si="3"/>
        <v>0</v>
      </c>
    </row>
    <row r="9" spans="1:14">
      <c r="A9" t="str">
        <f>IF(OR(C9&gt;0,G9&gt;0),基础信息!$B$1,"")</f>
        <v/>
      </c>
      <c r="B9" s="277"/>
      <c r="C9" s="256"/>
      <c r="D9" s="256"/>
      <c r="E9" s="256"/>
      <c r="F9" s="256"/>
      <c r="G9">
        <f t="shared" si="0"/>
        <v>0</v>
      </c>
      <c r="H9" s="256"/>
      <c r="I9" s="256"/>
      <c r="J9" s="256"/>
      <c r="K9" s="256"/>
      <c r="L9">
        <f t="shared" si="1"/>
        <v>0</v>
      </c>
      <c r="M9">
        <f t="shared" si="2"/>
        <v>0</v>
      </c>
      <c r="N9">
        <f t="shared" si="3"/>
        <v>0</v>
      </c>
    </row>
    <row r="10" spans="1:14">
      <c r="A10" t="str">
        <f>IF(OR(C10&gt;0,G10&gt;0),基础信息!$B$1,"")</f>
        <v/>
      </c>
      <c r="B10" s="277"/>
      <c r="C10" s="256"/>
      <c r="D10" s="256"/>
      <c r="E10" s="256"/>
      <c r="F10" s="256"/>
      <c r="G10">
        <f t="shared" si="0"/>
        <v>0</v>
      </c>
      <c r="H10" s="256"/>
      <c r="I10" s="256"/>
      <c r="J10" s="256"/>
      <c r="K10" s="256"/>
      <c r="L10">
        <f t="shared" si="1"/>
        <v>0</v>
      </c>
      <c r="M10">
        <f t="shared" si="2"/>
        <v>0</v>
      </c>
      <c r="N10">
        <f t="shared" si="3"/>
        <v>0</v>
      </c>
    </row>
    <row r="11" spans="1:14">
      <c r="A11" t="str">
        <f>IF(OR(C11&gt;0,G11&gt;0),基础信息!$B$1,"")</f>
        <v/>
      </c>
      <c r="B11" s="277"/>
      <c r="C11" s="256"/>
      <c r="D11" s="256"/>
      <c r="E11" s="256"/>
      <c r="F11" s="256"/>
      <c r="G11">
        <f t="shared" si="0"/>
        <v>0</v>
      </c>
      <c r="H11" s="256"/>
      <c r="I11" s="256"/>
      <c r="J11" s="256"/>
      <c r="K11" s="256"/>
      <c r="L11">
        <f t="shared" si="1"/>
        <v>0</v>
      </c>
      <c r="M11">
        <f t="shared" si="2"/>
        <v>0</v>
      </c>
      <c r="N11">
        <f t="shared" si="3"/>
        <v>0</v>
      </c>
    </row>
    <row r="12" spans="1:14">
      <c r="A12" t="str">
        <f>IF(OR(C12&gt;0,G12&gt;0),基础信息!$B$1,"")</f>
        <v/>
      </c>
      <c r="B12" s="277"/>
      <c r="C12" s="256"/>
      <c r="D12" s="256"/>
      <c r="E12" s="256"/>
      <c r="F12" s="256"/>
      <c r="G12">
        <f t="shared" si="0"/>
        <v>0</v>
      </c>
      <c r="H12" s="256"/>
      <c r="I12" s="256"/>
      <c r="J12" s="256"/>
      <c r="K12" s="256"/>
      <c r="L12">
        <f t="shared" si="1"/>
        <v>0</v>
      </c>
      <c r="M12">
        <f t="shared" si="2"/>
        <v>0</v>
      </c>
      <c r="N12">
        <f t="shared" si="3"/>
        <v>0</v>
      </c>
    </row>
    <row r="13" spans="1:14">
      <c r="A13" t="str">
        <f>IF(OR(C13&gt;0,G13&gt;0),基础信息!$B$1,"")</f>
        <v/>
      </c>
      <c r="B13" s="277"/>
      <c r="C13" s="256"/>
      <c r="D13" s="256"/>
      <c r="E13" s="256"/>
      <c r="F13" s="256"/>
      <c r="G13">
        <f t="shared" si="0"/>
        <v>0</v>
      </c>
      <c r="H13" s="256"/>
      <c r="I13" s="256"/>
      <c r="J13" s="256"/>
      <c r="K13" s="256"/>
      <c r="L13">
        <f t="shared" si="1"/>
        <v>0</v>
      </c>
      <c r="M13">
        <f t="shared" si="2"/>
        <v>0</v>
      </c>
      <c r="N13">
        <f t="shared" si="3"/>
        <v>0</v>
      </c>
    </row>
    <row r="14" spans="1:14">
      <c r="A14" t="str">
        <f>IF(OR(C14&gt;0,G14&gt;0),基础信息!$B$1,"")</f>
        <v/>
      </c>
      <c r="B14" s="277"/>
      <c r="C14" s="256"/>
      <c r="D14" s="256"/>
      <c r="E14" s="256"/>
      <c r="F14" s="256"/>
      <c r="G14">
        <f t="shared" si="0"/>
        <v>0</v>
      </c>
      <c r="H14" s="256"/>
      <c r="I14" s="256"/>
      <c r="J14" s="256"/>
      <c r="K14" s="256"/>
      <c r="L14">
        <f t="shared" si="1"/>
        <v>0</v>
      </c>
      <c r="M14">
        <f t="shared" si="2"/>
        <v>0</v>
      </c>
      <c r="N14">
        <f t="shared" si="3"/>
        <v>0</v>
      </c>
    </row>
    <row r="15" spans="1:14">
      <c r="A15" t="str">
        <f>IF(OR(C15&gt;0,G15&gt;0),基础信息!$B$1,"")</f>
        <v/>
      </c>
      <c r="B15" s="277"/>
      <c r="C15" s="256"/>
      <c r="D15" s="256"/>
      <c r="E15" s="256"/>
      <c r="F15" s="256"/>
      <c r="G15">
        <f t="shared" si="0"/>
        <v>0</v>
      </c>
      <c r="H15" s="256"/>
      <c r="I15" s="256"/>
      <c r="J15" s="256"/>
      <c r="K15" s="256"/>
      <c r="L15">
        <f t="shared" si="1"/>
        <v>0</v>
      </c>
      <c r="M15">
        <f t="shared" si="2"/>
        <v>0</v>
      </c>
      <c r="N15">
        <f t="shared" si="3"/>
        <v>0</v>
      </c>
    </row>
    <row r="16" spans="1:14">
      <c r="A16" t="str">
        <f>IF(OR(C16&gt;0,G16&gt;0),基础信息!$B$1,"")</f>
        <v/>
      </c>
      <c r="B16" s="277"/>
      <c r="C16" s="256"/>
      <c r="D16" s="256"/>
      <c r="E16" s="256"/>
      <c r="F16" s="256"/>
      <c r="G16">
        <f t="shared" si="0"/>
        <v>0</v>
      </c>
      <c r="H16" s="256"/>
      <c r="I16" s="256"/>
      <c r="J16" s="256"/>
      <c r="K16" s="256"/>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codeName="Sheet219">
    <tabColor rgb="FFFFC000"/>
  </sheetPr>
  <dimension ref="A1:F34"/>
  <sheetViews>
    <sheetView topLeftCell="A13" workbookViewId="0">
      <selection activeCell="I18" sqref="I18"/>
    </sheetView>
  </sheetViews>
  <sheetFormatPr defaultRowHeight="13.8"/>
  <cols>
    <col min="1" max="1" width="17.21875" style="151" bestFit="1" customWidth="1"/>
    <col min="2" max="5" width="13.44140625" style="137" customWidth="1"/>
    <col min="6" max="6" width="8.88671875" style="137"/>
    <col min="7" max="16384" width="8.88671875" style="151"/>
  </cols>
  <sheetData>
    <row r="1" spans="1:6" ht="14.4">
      <c r="A1" s="76" t="s">
        <v>28</v>
      </c>
      <c r="B1" s="534" t="s">
        <v>3138</v>
      </c>
      <c r="C1" s="534" t="s">
        <v>3139</v>
      </c>
      <c r="D1" s="534" t="s">
        <v>3140</v>
      </c>
      <c r="E1" s="534" t="s">
        <v>3141</v>
      </c>
      <c r="F1" s="534" t="s">
        <v>204</v>
      </c>
    </row>
    <row r="2" spans="1:6" ht="14.4">
      <c r="A2" s="151" t="s">
        <v>456</v>
      </c>
      <c r="B2" s="295"/>
      <c r="C2" s="295"/>
      <c r="D2" s="295"/>
      <c r="E2" s="295"/>
      <c r="F2" s="295"/>
    </row>
    <row r="3" spans="1:6" ht="14.4">
      <c r="A3" s="296" t="s">
        <v>488</v>
      </c>
      <c r="B3" s="295">
        <f>ROUND(SUMIF(生产性生物资产明细表!$H:$H,B$1&amp;"原值期初数",生产性生物资产明细表!$F:$F),2)</f>
        <v>0</v>
      </c>
      <c r="C3" s="295">
        <f>ROUND(SUMIF(生产性生物资产明细表!$H:$H,C$1&amp;"原值期初数",生产性生物资产明细表!$F:$F),2)</f>
        <v>0</v>
      </c>
      <c r="D3" s="295">
        <f>ROUND(SUMIF(生产性生物资产明细表!$H:$H,D$1&amp;"原值期初数",生产性生物资产明细表!$F:$F),2)</f>
        <v>0</v>
      </c>
      <c r="E3" s="295">
        <f>ROUND(SUMIF(生产性生物资产明细表!$H:$H,E$1&amp;"原值期初数",生产性生物资产明细表!$F:$F),2)</f>
        <v>0</v>
      </c>
      <c r="F3" s="295">
        <f>ROUND(SUM(B3:E3),2)</f>
        <v>0</v>
      </c>
    </row>
    <row r="4" spans="1:6" ht="14.4">
      <c r="A4" s="296" t="s">
        <v>489</v>
      </c>
      <c r="B4" s="295">
        <f>ROUND(SUM(B5:B8),2)</f>
        <v>0</v>
      </c>
      <c r="C4" s="295">
        <f>ROUND(SUM(C5:C8),2)</f>
        <v>0</v>
      </c>
      <c r="D4" s="295">
        <f>ROUND(SUM(D5:D8),2)</f>
        <v>0</v>
      </c>
      <c r="E4" s="295">
        <f>ROUND(SUM(E5:E8),2)</f>
        <v>0</v>
      </c>
      <c r="F4" s="295">
        <f>ROUND(SUM(B4:E4),2)</f>
        <v>0</v>
      </c>
    </row>
    <row r="5" spans="1:6" ht="14.4">
      <c r="A5" s="296" t="s">
        <v>4635</v>
      </c>
      <c r="B5" s="295">
        <f>ROUND(SUMIF(生产性生物资产明细表!$H:$H,B$1&amp;"原值本期增加"&amp;REPLACE($A5,1,3,""),生产性生物资产明细表!$F:$F),2)</f>
        <v>0</v>
      </c>
      <c r="C5" s="295">
        <f>ROUND(SUMIF(生产性生物资产明细表!$H:$H,C$1&amp;"原值本期增加"&amp;REPLACE($A5,1,3,""),生产性生物资产明细表!$F:$F),2)</f>
        <v>0</v>
      </c>
      <c r="D5" s="295">
        <f>ROUND(SUMIF(生产性生物资产明细表!$H:$H,D$1&amp;"原值本期增加"&amp;REPLACE($A5,1,3,""),生产性生物资产明细表!$F:$F),2)</f>
        <v>0</v>
      </c>
      <c r="E5" s="295">
        <f>ROUND(SUMIF(生产性生物资产明细表!$H:$H,E$1&amp;"原值本期增加"&amp;REPLACE($A5,1,3,""),生产性生物资产明细表!$F:$F),2)</f>
        <v>0</v>
      </c>
      <c r="F5" s="295">
        <f>ROUND(SUM(B5:E5),2)</f>
        <v>0</v>
      </c>
    </row>
    <row r="6" spans="1:6" ht="14.4">
      <c r="A6" s="296" t="s">
        <v>4657</v>
      </c>
      <c r="B6" s="295">
        <f>ROUND(SUMIF(生产性生物资产明细表!$H:$H,B$1&amp;"原值本期增加"&amp;REPLACE($A6,1,3,""),生产性生物资产明细表!$F:$F),2)</f>
        <v>0</v>
      </c>
      <c r="C6" s="295">
        <f>ROUND(SUMIF(生产性生物资产明细表!$H:$H,C$1&amp;"原值本期增加"&amp;REPLACE($A6,1,3,""),生产性生物资产明细表!$F:$F),2)</f>
        <v>0</v>
      </c>
      <c r="D6" s="295">
        <f>ROUND(SUMIF(生产性生物资产明细表!$H:$H,D$1&amp;"原值本期增加"&amp;REPLACE($A6,1,3,""),生产性生物资产明细表!$F:$F),2)</f>
        <v>0</v>
      </c>
      <c r="E6" s="295">
        <f>ROUND(SUMIF(生产性生物资产明细表!$H:$H,E$1&amp;"原值本期增加"&amp;REPLACE($A6,1,3,""),生产性生物资产明细表!$F:$F),2)</f>
        <v>0</v>
      </c>
      <c r="F6" s="295">
        <f>ROUND(SUM(B6:E6),2)</f>
        <v>0</v>
      </c>
    </row>
    <row r="7" spans="1:6" ht="14.4">
      <c r="A7" s="296" t="s">
        <v>4638</v>
      </c>
      <c r="B7" s="295">
        <f>ROUND(SUMIF(生产性生物资产明细表!$H:$H,B$1&amp;"原值本期增加"&amp;REPLACE($A7,1,3,""),生产性生物资产明细表!$F:$F),2)</f>
        <v>0</v>
      </c>
      <c r="C7" s="295">
        <f>ROUND(SUMIF(生产性生物资产明细表!$H:$H,C$1&amp;"原值本期增加"&amp;REPLACE($A7,1,3,""),生产性生物资产明细表!$F:$F),2)</f>
        <v>0</v>
      </c>
      <c r="D7" s="295">
        <f>ROUND(SUMIF(生产性生物资产明细表!$H:$H,D$1&amp;"原值本期增加"&amp;REPLACE($A7,1,3,""),生产性生物资产明细表!$F:$F),2)</f>
        <v>0</v>
      </c>
      <c r="E7" s="295">
        <f>ROUND(SUMIF(生产性生物资产明细表!$H:$H,E$1&amp;"原值本期增加"&amp;REPLACE($A7,1,3,""),生产性生物资产明细表!$F:$F),2)</f>
        <v>0</v>
      </c>
      <c r="F7" s="295">
        <f>ROUND(SUM(B7:E7),2)</f>
        <v>0</v>
      </c>
    </row>
    <row r="8" spans="1:6" ht="14.4">
      <c r="A8" s="296" t="s">
        <v>490</v>
      </c>
      <c r="B8" s="295">
        <f>ROUND(SUM(B9:B10),2)</f>
        <v>0</v>
      </c>
      <c r="C8" s="295">
        <f>ROUND(SUM(C9:C10),2)</f>
        <v>0</v>
      </c>
      <c r="D8" s="295">
        <f>ROUND(SUM(D9:D10),2)</f>
        <v>0</v>
      </c>
      <c r="E8" s="295">
        <f>ROUND(SUM(E9:E10),2)</f>
        <v>0</v>
      </c>
      <c r="F8" s="295">
        <f>ROUND(SUM(B8:E8),2)</f>
        <v>0</v>
      </c>
    </row>
    <row r="9" spans="1:6" ht="14.4">
      <c r="A9" s="296" t="s">
        <v>4639</v>
      </c>
      <c r="B9" s="295">
        <f>ROUND(SUMIF(生产性生物资产明细表!$H:$H,B$1&amp;"原值本期减少"&amp;REPLACE($A9,1,3,""),生产性生物资产明细表!$F:$F),2)</f>
        <v>0</v>
      </c>
      <c r="C9" s="295">
        <f>ROUND(SUMIF(生产性生物资产明细表!$H:$H,C$1&amp;"原值本期减少"&amp;REPLACE($A9,1,3,""),生产性生物资产明细表!$F:$F),2)</f>
        <v>0</v>
      </c>
      <c r="D9" s="295">
        <f>ROUND(SUMIF(生产性生物资产明细表!$H:$H,D$1&amp;"原值本期减少"&amp;REPLACE($A9,1,3,""),生产性生物资产明细表!$F:$F),2)</f>
        <v>0</v>
      </c>
      <c r="E9" s="295">
        <f>ROUND(SUMIF(生产性生物资产明细表!$H:$H,E$1&amp;"原值本期减少"&amp;REPLACE($A9,1,3,""),生产性生物资产明细表!$F:$F),2)</f>
        <v>0</v>
      </c>
      <c r="F9" s="295">
        <f>ROUND(SUM(B9:E9),2)</f>
        <v>0</v>
      </c>
    </row>
    <row r="10" spans="1:6" ht="14.4">
      <c r="A10" s="296" t="s">
        <v>4638</v>
      </c>
      <c r="B10" s="295">
        <f>ROUND(SUMIF(生产性生物资产明细表!$H:$H,B$1&amp;"原值本期减少"&amp;REPLACE($A10,1,3,""),生产性生物资产明细表!$F:$F),2)</f>
        <v>0</v>
      </c>
      <c r="C10" s="295">
        <f>ROUND(SUMIF(生产性生物资产明细表!$H:$H,C$1&amp;"原值本期减少"&amp;REPLACE($A10,1,3,""),生产性生物资产明细表!$F:$F),2)</f>
        <v>0</v>
      </c>
      <c r="D10" s="295">
        <f>ROUND(SUMIF(生产性生物资产明细表!$H:$H,D$1&amp;"原值本期减少"&amp;REPLACE($A10,1,3,""),生产性生物资产明细表!$F:$F),2)</f>
        <v>0</v>
      </c>
      <c r="E10" s="295">
        <f>ROUND(SUMIF(生产性生物资产明细表!$H:$H,E$1&amp;"原值本期减少"&amp;REPLACE($A10,1,3,""),生产性生物资产明细表!$F:$F),2)</f>
        <v>0</v>
      </c>
      <c r="F10" s="295">
        <f>ROUND(SUM(B10:E10),2)</f>
        <v>0</v>
      </c>
    </row>
    <row r="11" spans="1:6" ht="14.4">
      <c r="A11" s="296" t="s">
        <v>491</v>
      </c>
      <c r="B11" s="295">
        <f>ROUND(B2+B3-B8,2)</f>
        <v>0</v>
      </c>
      <c r="C11" s="295">
        <f>ROUND(C2+C3-C8,2)</f>
        <v>0</v>
      </c>
      <c r="D11" s="295">
        <f>ROUND(D2+D3-D8,2)</f>
        <v>0</v>
      </c>
      <c r="E11" s="295">
        <f>ROUND(E2+E3-E8,2)</f>
        <v>0</v>
      </c>
      <c r="F11" s="295">
        <f>ROUND(SUM(B11:E11),2)</f>
        <v>0</v>
      </c>
    </row>
    <row r="12" spans="1:6" ht="14.4">
      <c r="A12" s="296" t="s">
        <v>492</v>
      </c>
      <c r="B12" s="295"/>
      <c r="C12" s="295"/>
      <c r="D12" s="295"/>
      <c r="E12" s="295"/>
      <c r="F12" s="295"/>
    </row>
    <row r="13" spans="1:6" ht="14.4">
      <c r="A13" s="296" t="s">
        <v>488</v>
      </c>
      <c r="B13" s="295">
        <f>ROUND(SUMIF(生产性生物资产明细表!$H:$H,B$1&amp;"累计折旧期初数",生产性生物资产明细表!$F:$F),2)</f>
        <v>0</v>
      </c>
      <c r="C13" s="295">
        <f>ROUND(SUMIF(生产性生物资产明细表!$H:$H,C$1&amp;"累计折旧期初数",生产性生物资产明细表!$F:$F),2)</f>
        <v>0</v>
      </c>
      <c r="D13" s="295">
        <f>ROUND(SUMIF(生产性生物资产明细表!$H:$H,D$1&amp;"累计折旧期初数",生产性生物资产明细表!$F:$F),2)</f>
        <v>0</v>
      </c>
      <c r="E13" s="295">
        <f>ROUND(SUMIF(生产性生物资产明细表!$H:$H,E$1&amp;"累计折旧期初数",生产性生物资产明细表!$F:$F),2)</f>
        <v>0</v>
      </c>
      <c r="F13" s="295">
        <f>ROUND(SUM(B13:E13),2)</f>
        <v>0</v>
      </c>
    </row>
    <row r="14" spans="1:6" ht="14.4">
      <c r="A14" s="296" t="s">
        <v>489</v>
      </c>
      <c r="B14" s="295">
        <f>ROUND(SUM(B15:B16),2)</f>
        <v>0</v>
      </c>
      <c r="C14" s="295">
        <f>ROUND(SUM(C15:C16),2)</f>
        <v>0</v>
      </c>
      <c r="D14" s="295">
        <f>ROUND(SUM(D15:D16),2)</f>
        <v>0</v>
      </c>
      <c r="E14" s="295">
        <f>ROUND(SUM(E15:E16),2)</f>
        <v>0</v>
      </c>
      <c r="F14" s="295">
        <f>ROUND(SUM(B14:E14),2)</f>
        <v>0</v>
      </c>
    </row>
    <row r="15" spans="1:6" ht="14.4">
      <c r="A15" s="296" t="s">
        <v>4643</v>
      </c>
      <c r="B15" s="295">
        <f>ROUND(SUMIF(生产性生物资产明细表!$H:$H,B$1&amp;"累计折旧本期增加"&amp;REPLACE($A15,1,3,""),生产性生物资产明细表!$F:$F),2)</f>
        <v>0</v>
      </c>
      <c r="C15" s="295">
        <f>ROUND(SUMIF(生产性生物资产明细表!$H:$H,C$1&amp;"累计折旧本期增加"&amp;REPLACE($A15,1,3,""),生产性生物资产明细表!$F:$F),2)</f>
        <v>0</v>
      </c>
      <c r="D15" s="295">
        <f>ROUND(SUMIF(生产性生物资产明细表!$H:$H,D$1&amp;"累计折旧本期增加"&amp;REPLACE($A15,1,3,""),生产性生物资产明细表!$F:$F),2)</f>
        <v>0</v>
      </c>
      <c r="E15" s="295">
        <f>ROUND(SUMIF(生产性生物资产明细表!$H:$H,E$1&amp;"累计折旧本期增加"&amp;REPLACE($A15,1,3,""),生产性生物资产明细表!$F:$F),2)</f>
        <v>0</v>
      </c>
      <c r="F15" s="295">
        <f>ROUND(SUM(B15:E15),2)</f>
        <v>0</v>
      </c>
    </row>
    <row r="16" spans="1:6" ht="14.4">
      <c r="A16" s="296" t="s">
        <v>4638</v>
      </c>
      <c r="B16" s="295">
        <f>ROUND(SUMIF(生产性生物资产明细表!$H:$H,B$1&amp;"累计折旧本期增加"&amp;REPLACE($A16,1,3,""),生产性生物资产明细表!$F:$F),2)</f>
        <v>0</v>
      </c>
      <c r="C16" s="295">
        <f>ROUND(SUMIF(生产性生物资产明细表!$H:$H,C$1&amp;"累计折旧本期增加"&amp;REPLACE($A16,1,3,""),生产性生物资产明细表!$F:$F),2)</f>
        <v>0</v>
      </c>
      <c r="D16" s="295">
        <f>ROUND(SUMIF(生产性生物资产明细表!$H:$H,D$1&amp;"累计折旧本期增加"&amp;REPLACE($A16,1,3,""),生产性生物资产明细表!$F:$F),2)</f>
        <v>0</v>
      </c>
      <c r="E16" s="295">
        <f>ROUND(SUMIF(生产性生物资产明细表!$H:$H,E$1&amp;"累计折旧本期增加"&amp;REPLACE($A16,1,3,""),生产性生物资产明细表!$F:$F),2)</f>
        <v>0</v>
      </c>
      <c r="F16" s="295">
        <f>ROUND(SUM(B16:E16),2)</f>
        <v>0</v>
      </c>
    </row>
    <row r="17" spans="1:6" ht="14.4">
      <c r="A17" s="296" t="s">
        <v>490</v>
      </c>
      <c r="B17" s="295">
        <f>ROUND(SUM(B18:B19),2)</f>
        <v>0</v>
      </c>
      <c r="C17" s="295">
        <f>ROUND(SUM(C18:C19),2)</f>
        <v>0</v>
      </c>
      <c r="D17" s="295">
        <f>ROUND(SUM(D18:D19),2)</f>
        <v>0</v>
      </c>
      <c r="E17" s="295">
        <f>ROUND(SUM(E18:E19),2)</f>
        <v>0</v>
      </c>
      <c r="F17" s="295">
        <f>ROUND(SUM(B17:E17),2)</f>
        <v>0</v>
      </c>
    </row>
    <row r="18" spans="1:6" ht="14.4">
      <c r="A18" s="296" t="s">
        <v>4639</v>
      </c>
      <c r="B18" s="295">
        <f>ROUND(SUMIF(生产性生物资产明细表!$H:$H,B$1&amp;"累计折旧本期减少"&amp;REPLACE($A18,1,3,""),生产性生物资产明细表!$F:$F),2)</f>
        <v>0</v>
      </c>
      <c r="C18" s="295">
        <f>ROUND(SUMIF(生产性生物资产明细表!$H:$H,C$1&amp;"累计折旧本期减少"&amp;REPLACE($A18,1,3,""),生产性生物资产明细表!$F:$F),2)</f>
        <v>0</v>
      </c>
      <c r="D18" s="295">
        <f>ROUND(SUMIF(生产性生物资产明细表!$H:$H,D$1&amp;"累计折旧本期减少"&amp;REPLACE($A18,1,3,""),生产性生物资产明细表!$F:$F),2)</f>
        <v>0</v>
      </c>
      <c r="E18" s="295">
        <f>ROUND(SUMIF(生产性生物资产明细表!$H:$H,E$1&amp;"累计折旧本期减少"&amp;REPLACE($A18,1,3,""),生产性生物资产明细表!$F:$F),2)</f>
        <v>0</v>
      </c>
      <c r="F18" s="295">
        <f>ROUND(SUM(B18:E18),2)</f>
        <v>0</v>
      </c>
    </row>
    <row r="19" spans="1:6" ht="14.4">
      <c r="A19" s="296" t="s">
        <v>4638</v>
      </c>
      <c r="B19" s="295">
        <f>ROUND(SUMIF(生产性生物资产明细表!$H:$H,B$1&amp;"累计折旧本期减少"&amp;REPLACE($A19,1,3,""),生产性生物资产明细表!$F:$F),2)</f>
        <v>0</v>
      </c>
      <c r="C19" s="295">
        <f>ROUND(SUMIF(生产性生物资产明细表!$H:$H,C$1&amp;"累计折旧本期减少"&amp;REPLACE($A19,1,3,""),生产性生物资产明细表!$F:$F),2)</f>
        <v>0</v>
      </c>
      <c r="D19" s="295">
        <f>ROUND(SUMIF(生产性生物资产明细表!$H:$H,D$1&amp;"累计折旧本期减少"&amp;REPLACE($A19,1,3,""),生产性生物资产明细表!$F:$F),2)</f>
        <v>0</v>
      </c>
      <c r="E19" s="295">
        <f>ROUND(SUMIF(生产性生物资产明细表!$H:$H,E$1&amp;"累计折旧本期减少"&amp;REPLACE($A19,1,3,""),生产性生物资产明细表!$F:$F),2)</f>
        <v>0</v>
      </c>
      <c r="F19" s="295">
        <f>ROUND(SUM(B19:E19),2)</f>
        <v>0</v>
      </c>
    </row>
    <row r="20" spans="1:6" ht="14.4">
      <c r="A20" s="296" t="s">
        <v>491</v>
      </c>
      <c r="B20" s="295">
        <f>ROUND(B13+B14-B17,2)</f>
        <v>0</v>
      </c>
      <c r="C20" s="295">
        <f>ROUND(C13+C14-C17,2)</f>
        <v>0</v>
      </c>
      <c r="D20" s="295">
        <f>ROUND(D13+D14-D17,2)</f>
        <v>0</v>
      </c>
      <c r="E20" s="295">
        <f>ROUND(E13+E14-E17,2)</f>
        <v>0</v>
      </c>
      <c r="F20" s="295">
        <f>ROUND(SUM(B20:E20),2)</f>
        <v>0</v>
      </c>
    </row>
    <row r="21" spans="1:6" ht="14.4">
      <c r="A21" s="296" t="s">
        <v>493</v>
      </c>
      <c r="B21" s="295"/>
      <c r="C21" s="295"/>
      <c r="D21" s="295"/>
      <c r="E21" s="295"/>
      <c r="F21" s="295"/>
    </row>
    <row r="22" spans="1:6" ht="14.4">
      <c r="A22" s="296" t="s">
        <v>488</v>
      </c>
      <c r="B22" s="295">
        <f>ROUND(SUMIF(生产性生物资产明细表!$H:$H,B$1&amp;"减值准备期初数",生产性生物资产明细表!$F:$F),2)</f>
        <v>0</v>
      </c>
      <c r="C22" s="295">
        <f>ROUND(SUMIF(生产性生物资产明细表!$H:$H,C$1&amp;"减值准备期初数",生产性生物资产明细表!$F:$F),2)</f>
        <v>0</v>
      </c>
      <c r="D22" s="295">
        <f>ROUND(SUMIF(生产性生物资产明细表!$H:$H,D$1&amp;"减值准备期初数",生产性生物资产明细表!$F:$F),2)</f>
        <v>0</v>
      </c>
      <c r="E22" s="295">
        <f>ROUND(SUMIF(生产性生物资产明细表!$H:$H,E$1&amp;"减值准备期初数",生产性生物资产明细表!$F:$F),2)</f>
        <v>0</v>
      </c>
      <c r="F22" s="295">
        <f>ROUND(SUM(B22:E22),2)</f>
        <v>0</v>
      </c>
    </row>
    <row r="23" spans="1:6" ht="14.4">
      <c r="A23" s="296" t="s">
        <v>489</v>
      </c>
      <c r="B23" s="295">
        <f>ROUND(SUM(B24:B25),2)</f>
        <v>0</v>
      </c>
      <c r="C23" s="295">
        <f>ROUND(SUM(C24:C25),2)</f>
        <v>0</v>
      </c>
      <c r="D23" s="295">
        <f>ROUND(SUM(D24:D25),2)</f>
        <v>0</v>
      </c>
      <c r="E23" s="295">
        <f>ROUND(SUM(E24:E25),2)</f>
        <v>0</v>
      </c>
      <c r="F23" s="295">
        <f>ROUND(SUM(B23:E23),2)</f>
        <v>0</v>
      </c>
    </row>
    <row r="24" spans="1:6" ht="14.4">
      <c r="A24" s="296" t="s">
        <v>4643</v>
      </c>
      <c r="B24" s="295">
        <f>ROUND(SUMIF(生产性生物资产明细表!$H:$H,B$1&amp;"减值准备本期增加"&amp;REPLACE($A24,1,3,""),生产性生物资产明细表!$F:$F),2)</f>
        <v>0</v>
      </c>
      <c r="C24" s="295">
        <f>ROUND(SUMIF(生产性生物资产明细表!$H:$H,C$1&amp;"减值准备本期增加"&amp;REPLACE($A24,1,3,""),生产性生物资产明细表!$F:$F),2)</f>
        <v>0</v>
      </c>
      <c r="D24" s="295">
        <f>ROUND(SUMIF(生产性生物资产明细表!$H:$H,D$1&amp;"减值准备本期增加"&amp;REPLACE($A24,1,3,""),生产性生物资产明细表!$F:$F),2)</f>
        <v>0</v>
      </c>
      <c r="E24" s="295">
        <f>ROUND(SUMIF(生产性生物资产明细表!$H:$H,E$1&amp;"减值准备本期增加"&amp;REPLACE($A24,1,3,""),生产性生物资产明细表!$F:$F),2)</f>
        <v>0</v>
      </c>
      <c r="F24" s="295">
        <f>ROUND(SUM(B24:E24),2)</f>
        <v>0</v>
      </c>
    </row>
    <row r="25" spans="1:6" ht="14.4">
      <c r="A25" s="296" t="s">
        <v>4638</v>
      </c>
      <c r="B25" s="295">
        <f>ROUND(SUMIF(生产性生物资产明细表!$H:$H,B$1&amp;"减值准备本期增加"&amp;REPLACE($A25,1,3,""),生产性生物资产明细表!$F:$F),2)</f>
        <v>0</v>
      </c>
      <c r="C25" s="295">
        <f>ROUND(SUMIF(生产性生物资产明细表!$H:$H,C$1&amp;"减值准备本期增加"&amp;REPLACE($A25,1,3,""),生产性生物资产明细表!$F:$F),2)</f>
        <v>0</v>
      </c>
      <c r="D25" s="295">
        <f>ROUND(SUMIF(生产性生物资产明细表!$H:$H,D$1&amp;"减值准备本期增加"&amp;REPLACE($A25,1,3,""),生产性生物资产明细表!$F:$F),2)</f>
        <v>0</v>
      </c>
      <c r="E25" s="295">
        <f>ROUND(SUMIF(生产性生物资产明细表!$H:$H,E$1&amp;"减值准备本期增加"&amp;REPLACE($A25,1,3,""),生产性生物资产明细表!$F:$F),2)</f>
        <v>0</v>
      </c>
      <c r="F25" s="295">
        <f>ROUND(SUM(B25:E25),2)</f>
        <v>0</v>
      </c>
    </row>
    <row r="26" spans="1:6" ht="14.4">
      <c r="A26" s="296" t="s">
        <v>490</v>
      </c>
      <c r="B26" s="295">
        <f>ROUND(SUM(B27:B28),2)</f>
        <v>0</v>
      </c>
      <c r="C26" s="295">
        <f>ROUND(SUM(C27:C28),2)</f>
        <v>0</v>
      </c>
      <c r="D26" s="295">
        <f>ROUND(SUM(D27:D28),2)</f>
        <v>0</v>
      </c>
      <c r="E26" s="295">
        <f>ROUND(SUM(E27:E28),2)</f>
        <v>0</v>
      </c>
      <c r="F26" s="295">
        <f>ROUND(SUM(B26:E26),2)</f>
        <v>0</v>
      </c>
    </row>
    <row r="27" spans="1:6" ht="14.4">
      <c r="A27" s="296" t="s">
        <v>4639</v>
      </c>
      <c r="B27" s="295">
        <f>ROUND(SUMIF(生产性生物资产明细表!$H:$H,B$1&amp;"减值准备本期减少"&amp;REPLACE($A27,1,3,""),生产性生物资产明细表!$F:$F),2)</f>
        <v>0</v>
      </c>
      <c r="C27" s="295">
        <f>ROUND(SUMIF(生产性生物资产明细表!$H:$H,C$1&amp;"减值准备本期减少"&amp;REPLACE($A27,1,3,""),生产性生物资产明细表!$F:$F),2)</f>
        <v>0</v>
      </c>
      <c r="D27" s="295">
        <f>ROUND(SUMIF(生产性生物资产明细表!$H:$H,D$1&amp;"减值准备本期减少"&amp;REPLACE($A27,1,3,""),生产性生物资产明细表!$F:$F),2)</f>
        <v>0</v>
      </c>
      <c r="E27" s="295">
        <f>ROUND(SUMIF(生产性生物资产明细表!$H:$H,E$1&amp;"减值准备本期减少"&amp;REPLACE($A27,1,3,""),生产性生物资产明细表!$F:$F),2)</f>
        <v>0</v>
      </c>
      <c r="F27" s="295">
        <f>ROUND(SUM(B27:E27),2)</f>
        <v>0</v>
      </c>
    </row>
    <row r="28" spans="1:6" ht="14.4">
      <c r="A28" s="296" t="s">
        <v>4638</v>
      </c>
      <c r="B28" s="295">
        <f>ROUND(SUMIF(生产性生物资产明细表!$H:$H,B$1&amp;"减值准备本期减少"&amp;REPLACE($A28,1,3,""),生产性生物资产明细表!$F:$F),2)</f>
        <v>0</v>
      </c>
      <c r="C28" s="295">
        <f>ROUND(SUMIF(生产性生物资产明细表!$H:$H,C$1&amp;"减值准备本期减少"&amp;REPLACE($A28,1,3,""),生产性生物资产明细表!$F:$F),2)</f>
        <v>0</v>
      </c>
      <c r="D28" s="295">
        <f>ROUND(SUMIF(生产性生物资产明细表!$H:$H,D$1&amp;"减值准备本期减少"&amp;REPLACE($A28,1,3,""),生产性生物资产明细表!$F:$F),2)</f>
        <v>0</v>
      </c>
      <c r="E28" s="295">
        <f>ROUND(SUMIF(生产性生物资产明细表!$H:$H,E$1&amp;"减值准备本期减少"&amp;REPLACE($A28,1,3,""),生产性生物资产明细表!$F:$F),2)</f>
        <v>0</v>
      </c>
      <c r="F28" s="295">
        <f>ROUND(SUM(B28:E28),2)</f>
        <v>0</v>
      </c>
    </row>
    <row r="29" spans="1:6" ht="14.4">
      <c r="A29" s="296" t="s">
        <v>491</v>
      </c>
      <c r="B29" s="295">
        <f>ROUND(B22+B23-B26,2)</f>
        <v>0</v>
      </c>
      <c r="C29" s="295">
        <f>ROUND(C22+C23-C26,2)</f>
        <v>0</v>
      </c>
      <c r="D29" s="295">
        <f>ROUND(D22+D23-D26,2)</f>
        <v>0</v>
      </c>
      <c r="E29" s="295">
        <f>ROUND(E22+E23-E26,2)</f>
        <v>0</v>
      </c>
      <c r="F29" s="295">
        <f>ROUND(SUM(B29:E29),2)</f>
        <v>0</v>
      </c>
    </row>
    <row r="30" spans="1:6" ht="14.4">
      <c r="A30" s="296" t="s">
        <v>494</v>
      </c>
      <c r="B30" s="295"/>
      <c r="C30" s="295"/>
      <c r="D30" s="295"/>
      <c r="E30" s="295"/>
      <c r="F30" s="295"/>
    </row>
    <row r="31" spans="1:6" ht="14.4">
      <c r="A31" s="296" t="s">
        <v>495</v>
      </c>
      <c r="B31" s="295">
        <f>ROUND(B11-B20-B29,2)</f>
        <v>0</v>
      </c>
      <c r="C31" s="295">
        <f>ROUND(C11-C20-C29,2)</f>
        <v>0</v>
      </c>
      <c r="D31" s="295">
        <f>ROUND(D11-D20-D29,2)</f>
        <v>0</v>
      </c>
      <c r="E31" s="295">
        <f>ROUND(E11-E20-E29,2)</f>
        <v>0</v>
      </c>
      <c r="F31" s="295">
        <f>ROUND(SUM(B31:E31),2)</f>
        <v>0</v>
      </c>
    </row>
    <row r="32" spans="1:6" ht="14.4">
      <c r="A32" s="296" t="s">
        <v>496</v>
      </c>
      <c r="B32" s="137">
        <f>ROUND(B3-B13-B22,2)</f>
        <v>0</v>
      </c>
      <c r="C32" s="137">
        <f>ROUND(C3-C13-C22,2)</f>
        <v>0</v>
      </c>
      <c r="D32" s="137">
        <f>ROUND(D3-D13-D22,2)</f>
        <v>0</v>
      </c>
      <c r="E32" s="137">
        <f>ROUND(E3-E13-E22,2)</f>
        <v>0</v>
      </c>
      <c r="F32" s="295">
        <f>ROUND(SUM(B32:E32),2)</f>
        <v>0</v>
      </c>
    </row>
    <row r="33" spans="6:6" ht="14.4">
      <c r="F33" s="295"/>
    </row>
    <row r="34" spans="6:6" ht="14.4">
      <c r="F34" s="295"/>
    </row>
  </sheetData>
  <phoneticPr fontId="1"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codeName="Sheet22">
    <tabColor rgb="FF00B0F0"/>
  </sheetPr>
  <dimension ref="A1:B8"/>
  <sheetViews>
    <sheetView workbookViewId="0">
      <selection activeCell="K20" sqref="K20"/>
    </sheetView>
  </sheetViews>
  <sheetFormatPr defaultRowHeight="13.8"/>
  <cols>
    <col min="1" max="1" width="26" bestFit="1" customWidth="1"/>
  </cols>
  <sheetData>
    <row r="1" spans="1:2">
      <c r="A1" s="263" t="s">
        <v>95</v>
      </c>
      <c r="B1" s="263" t="s">
        <v>2523</v>
      </c>
    </row>
    <row r="2" spans="1:2">
      <c r="A2" t="s">
        <v>2758</v>
      </c>
      <c r="B2" s="231">
        <f>财务费用!B3</f>
        <v>0</v>
      </c>
    </row>
    <row r="3" spans="1:2">
      <c r="A3" t="s">
        <v>2756</v>
      </c>
      <c r="B3" s="231">
        <f>SUM(存货成本倒闸表!B7)</f>
        <v>0</v>
      </c>
    </row>
    <row r="4" spans="1:2">
      <c r="A4" t="s">
        <v>2757</v>
      </c>
      <c r="B4" s="231" t="e">
        <f>重要在建工程项目本期变动情况!K10</f>
        <v>#N/A</v>
      </c>
    </row>
    <row r="5" spans="1:2">
      <c r="B5" s="256"/>
    </row>
    <row r="6" spans="1:2">
      <c r="B6" s="256"/>
    </row>
    <row r="7" spans="1:2">
      <c r="A7" t="s">
        <v>2759</v>
      </c>
      <c r="B7" s="231" t="e">
        <f>SUM(B3:B6)</f>
        <v>#N/A</v>
      </c>
    </row>
    <row r="8" spans="1:2">
      <c r="A8" t="s">
        <v>2391</v>
      </c>
      <c r="B8" s="231" t="e">
        <f>B2-B7</f>
        <v>#N/A</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sheetPr codeName="Sheet220"/>
  <dimension ref="A1:I119"/>
  <sheetViews>
    <sheetView workbookViewId="0">
      <selection activeCell="A11" sqref="A11"/>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codeName="Sheet221">
    <tabColor rgb="FFFFC000"/>
  </sheetPr>
  <dimension ref="A1:E32"/>
  <sheetViews>
    <sheetView topLeftCell="A10" workbookViewId="0">
      <selection activeCell="H16" sqref="H16"/>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6" t="s">
        <v>28</v>
      </c>
      <c r="B1" s="534" t="s">
        <v>3143</v>
      </c>
      <c r="C1" s="534" t="s">
        <v>3144</v>
      </c>
      <c r="D1" s="534" t="s">
        <v>3145</v>
      </c>
      <c r="E1" s="534" t="s">
        <v>204</v>
      </c>
    </row>
    <row r="2" spans="1:5" ht="14.4">
      <c r="A2" s="151" t="s">
        <v>456</v>
      </c>
      <c r="B2" s="295"/>
      <c r="C2" s="295"/>
      <c r="D2" s="295"/>
      <c r="E2" s="295"/>
    </row>
    <row r="3" spans="1:5" ht="14.4">
      <c r="A3" s="296" t="s">
        <v>488</v>
      </c>
      <c r="B3" s="295">
        <f>ROUND(SUMIF(油气资产明细表!$H:$H,B$1&amp;"原值期初数",油气资产明细表!$F:$F),2)</f>
        <v>0</v>
      </c>
      <c r="C3" s="295">
        <f>ROUND(SUMIF(油气资产明细表!$H:$H,C$1&amp;"原值期初数",油气资产明细表!$F:$F),2)</f>
        <v>0</v>
      </c>
      <c r="D3" s="295">
        <f>ROUND(SUMIF(油气资产明细表!$H:$H,D$1&amp;"原值期初数",油气资产明细表!$F:$F),2)</f>
        <v>0</v>
      </c>
      <c r="E3" s="295">
        <f>ROUND(SUM(B3:D3),2)</f>
        <v>0</v>
      </c>
    </row>
    <row r="4" spans="1:5" ht="14.4">
      <c r="A4" s="296" t="s">
        <v>489</v>
      </c>
      <c r="B4" s="295">
        <f>ROUND(SUM(B5:B8),2)</f>
        <v>0</v>
      </c>
      <c r="C4" s="295">
        <f>ROUND(SUM(C5:C8),2)</f>
        <v>0</v>
      </c>
      <c r="D4" s="295">
        <f>ROUND(SUM(D5:D8),2)</f>
        <v>0</v>
      </c>
      <c r="E4" s="295">
        <f>ROUND(SUM(B4:D4),2)</f>
        <v>0</v>
      </c>
    </row>
    <row r="5" spans="1:5" ht="14.4">
      <c r="A5" s="296" t="s">
        <v>4635</v>
      </c>
      <c r="B5" s="295">
        <f>ROUND(SUMIF(油气资产明细表!$H:$H,B$1&amp;"原值本期增加"&amp;REPLACE($A5,1,3,""),油气资产明细表!$F:$F),2)</f>
        <v>0</v>
      </c>
      <c r="C5" s="295">
        <f>ROUND(SUMIF(油气资产明细表!$H:$H,C$1&amp;"原值本期增加"&amp;REPLACE($A5,1,3,""),油气资产明细表!$F:$F),2)</f>
        <v>0</v>
      </c>
      <c r="D5" s="295">
        <f>ROUND(SUMIF(油气资产明细表!$H:$H,D$1&amp;"原值本期增加"&amp;REPLACE($A5,1,3,""),油气资产明细表!$F:$F),2)</f>
        <v>0</v>
      </c>
      <c r="E5" s="295">
        <f>ROUND(SUM(B5:D5),2)</f>
        <v>0</v>
      </c>
    </row>
    <row r="6" spans="1:5" ht="14.4">
      <c r="A6" s="296" t="s">
        <v>4658</v>
      </c>
      <c r="B6" s="295">
        <f>ROUND(SUMIF(油气资产明细表!$H:$H,B$1&amp;"原值本期增加"&amp;REPLACE($A6,1,3,""),油气资产明细表!$F:$F),2)</f>
        <v>0</v>
      </c>
      <c r="C6" s="295">
        <f>ROUND(SUMIF(油气资产明细表!$H:$H,C$1&amp;"原值本期增加"&amp;REPLACE($A6,1,3,""),油气资产明细表!$F:$F),2)</f>
        <v>0</v>
      </c>
      <c r="D6" s="295">
        <f>ROUND(SUMIF(油气资产明细表!$H:$H,D$1&amp;"原值本期增加"&amp;REPLACE($A6,1,3,""),油气资产明细表!$F:$F),2)</f>
        <v>0</v>
      </c>
      <c r="E6" s="295">
        <f>ROUND(SUM(B6:D6),2)</f>
        <v>0</v>
      </c>
    </row>
    <row r="7" spans="1:5" ht="14.4">
      <c r="A7" s="296" t="s">
        <v>4638</v>
      </c>
      <c r="B7" s="295">
        <f>ROUND(SUMIF(油气资产明细表!$H:$H,B$1&amp;"原值本期增加"&amp;REPLACE($A7,1,3,""),油气资产明细表!$F:$F),2)</f>
        <v>0</v>
      </c>
      <c r="C7" s="295">
        <f>ROUND(SUMIF(油气资产明细表!$H:$H,C$1&amp;"原值本期增加"&amp;REPLACE($A7,1,3,""),油气资产明细表!$F:$F),2)</f>
        <v>0</v>
      </c>
      <c r="D7" s="295">
        <f>ROUND(SUMIF(油气资产明细表!$H:$H,D$1&amp;"原值本期增加"&amp;REPLACE($A7,1,3,""),油气资产明细表!$F:$F),2)</f>
        <v>0</v>
      </c>
      <c r="E7" s="295">
        <f>ROUND(SUM(B7:D7),2)</f>
        <v>0</v>
      </c>
    </row>
    <row r="8" spans="1:5" ht="14.4">
      <c r="A8" s="296" t="s">
        <v>490</v>
      </c>
      <c r="B8" s="295">
        <f>ROUND(SUM(B9:B10),2)</f>
        <v>0</v>
      </c>
      <c r="C8" s="295">
        <f>ROUND(SUM(C9:C10),2)</f>
        <v>0</v>
      </c>
      <c r="D8" s="295">
        <f>ROUND(SUM(D9:D10),2)</f>
        <v>0</v>
      </c>
      <c r="E8" s="295">
        <f>ROUND(SUM(B8:D8),2)</f>
        <v>0</v>
      </c>
    </row>
    <row r="9" spans="1:5" ht="14.4">
      <c r="A9" s="296" t="s">
        <v>4639</v>
      </c>
      <c r="B9" s="295">
        <f>ROUND(SUMIF(油气资产明细表!$H:$H,B$1&amp;"原值本期减少"&amp;REPLACE($A9,1,3,""),油气资产明细表!$F:$F),2)</f>
        <v>0</v>
      </c>
      <c r="C9" s="295">
        <f>ROUND(SUMIF(油气资产明细表!$H:$H,C$1&amp;"原值本期减少"&amp;REPLACE($A9,1,3,""),油气资产明细表!$F:$F),2)</f>
        <v>0</v>
      </c>
      <c r="D9" s="295">
        <f>ROUND(SUMIF(油气资产明细表!$H:$H,D$1&amp;"原值本期减少"&amp;REPLACE($A9,1,3,""),油气资产明细表!$F:$F),2)</f>
        <v>0</v>
      </c>
      <c r="E9" s="295">
        <f>ROUND(SUM(B9:D9),2)</f>
        <v>0</v>
      </c>
    </row>
    <row r="10" spans="1:5" ht="14.4">
      <c r="A10" s="296" t="s">
        <v>4638</v>
      </c>
      <c r="B10" s="295">
        <f>ROUND(SUMIF(油气资产明细表!$H:$H,B$1&amp;"原值本期减少"&amp;REPLACE($A10,1,3,""),油气资产明细表!$F:$F),2)</f>
        <v>0</v>
      </c>
      <c r="C10" s="295">
        <f>ROUND(SUMIF(油气资产明细表!$H:$H,C$1&amp;"原值本期减少"&amp;REPLACE($A10,1,3,""),油气资产明细表!$F:$F),2)</f>
        <v>0</v>
      </c>
      <c r="D10" s="295">
        <f>ROUND(SUMIF(油气资产明细表!$H:$H,D$1&amp;"原值本期减少"&amp;REPLACE($A10,1,3,""),油气资产明细表!$F:$F),2)</f>
        <v>0</v>
      </c>
      <c r="E10" s="295">
        <f>ROUND(SUM(B10:D10),2)</f>
        <v>0</v>
      </c>
    </row>
    <row r="11" spans="1:5" ht="14.4">
      <c r="A11" s="296" t="s">
        <v>491</v>
      </c>
      <c r="B11" s="295">
        <f>ROUND(B2+B3-B8,2)</f>
        <v>0</v>
      </c>
      <c r="C11" s="295">
        <f>ROUND(C2+C3-C8,2)</f>
        <v>0</v>
      </c>
      <c r="D11" s="295">
        <f>ROUND(D2+D3-D8,2)</f>
        <v>0</v>
      </c>
      <c r="E11" s="295">
        <f>ROUND(SUM(B11:D11),2)</f>
        <v>0</v>
      </c>
    </row>
    <row r="12" spans="1:5" ht="14.4">
      <c r="A12" s="296" t="s">
        <v>492</v>
      </c>
      <c r="B12" s="295"/>
      <c r="C12" s="295"/>
      <c r="D12" s="295"/>
      <c r="E12" s="295"/>
    </row>
    <row r="13" spans="1:5" ht="14.4">
      <c r="A13" s="296" t="s">
        <v>488</v>
      </c>
      <c r="B13" s="295">
        <f>ROUND(SUMIF(油气资产明细表!$H:$H,B$1&amp;"累计折旧期初数",油气资产明细表!$F:$F),2)</f>
        <v>0</v>
      </c>
      <c r="C13" s="295">
        <f>ROUND(SUMIF(油气资产明细表!$H:$H,C$1&amp;"累计折旧期初数",油气资产明细表!$F:$F),2)</f>
        <v>0</v>
      </c>
      <c r="D13" s="295">
        <f>ROUND(SUMIF(油气资产明细表!$H:$H,D$1&amp;"累计折旧期初数",油气资产明细表!$F:$F),2)</f>
        <v>0</v>
      </c>
      <c r="E13" s="295">
        <f>ROUND(SUM(B13:D13),2)</f>
        <v>0</v>
      </c>
    </row>
    <row r="14" spans="1:5" ht="14.4">
      <c r="A14" s="296" t="s">
        <v>489</v>
      </c>
      <c r="B14" s="295">
        <f>ROUND(SUM(B15:B16),2)</f>
        <v>0</v>
      </c>
      <c r="C14" s="295">
        <f>ROUND(SUM(C15:C16),2)</f>
        <v>0</v>
      </c>
      <c r="D14" s="295">
        <f>ROUND(SUM(D15:D16),2)</f>
        <v>0</v>
      </c>
      <c r="E14" s="295">
        <f>ROUND(SUM(B14:D14),2)</f>
        <v>0</v>
      </c>
    </row>
    <row r="15" spans="1:5" ht="14.4">
      <c r="A15" s="296" t="s">
        <v>4643</v>
      </c>
      <c r="B15" s="295">
        <f>ROUND(SUMIF(油气资产明细表!$H:$H,B$1&amp;"累计折旧本期增加"&amp;REPLACE($A15,1,3,""),油气资产明细表!$F:$F),2)</f>
        <v>0</v>
      </c>
      <c r="C15" s="295">
        <f>ROUND(SUMIF(油气资产明细表!$H:$H,C$1&amp;"累计折旧本期增加"&amp;REPLACE($A15,1,3,""),油气资产明细表!$F:$F),2)</f>
        <v>0</v>
      </c>
      <c r="D15" s="295">
        <f>ROUND(SUMIF(油气资产明细表!$H:$H,D$1&amp;"累计折旧本期增加"&amp;REPLACE($A15,1,3,""),油气资产明细表!$F:$F),2)</f>
        <v>0</v>
      </c>
      <c r="E15" s="295">
        <f>ROUND(SUM(B15:D15),2)</f>
        <v>0</v>
      </c>
    </row>
    <row r="16" spans="1:5" ht="14.4">
      <c r="A16" s="296" t="s">
        <v>4638</v>
      </c>
      <c r="B16" s="295">
        <f>ROUND(SUMIF(油气资产明细表!$H:$H,B$1&amp;"累计折旧本期增加"&amp;REPLACE($A16,1,3,""),油气资产明细表!$F:$F),2)</f>
        <v>0</v>
      </c>
      <c r="C16" s="295">
        <f>ROUND(SUMIF(油气资产明细表!$H:$H,C$1&amp;"累计折旧本期增加"&amp;REPLACE($A16,1,3,""),油气资产明细表!$F:$F),2)</f>
        <v>0</v>
      </c>
      <c r="D16" s="295">
        <f>ROUND(SUMIF(油气资产明细表!$H:$H,D$1&amp;"累计折旧本期增加"&amp;REPLACE($A16,1,3,""),油气资产明细表!$F:$F),2)</f>
        <v>0</v>
      </c>
      <c r="E16" s="295">
        <f>ROUND(SUM(B16:D16),2)</f>
        <v>0</v>
      </c>
    </row>
    <row r="17" spans="1:5" ht="14.4">
      <c r="A17" s="296" t="s">
        <v>490</v>
      </c>
      <c r="B17" s="295">
        <f>ROUND(SUM(B18:B19),2)</f>
        <v>0</v>
      </c>
      <c r="C17" s="295">
        <f>ROUND(SUM(C18:C19),2)</f>
        <v>0</v>
      </c>
      <c r="D17" s="295">
        <f>ROUND(SUM(D18:D19),2)</f>
        <v>0</v>
      </c>
      <c r="E17" s="295">
        <f>ROUND(SUM(B17:D17),2)</f>
        <v>0</v>
      </c>
    </row>
    <row r="18" spans="1:5" ht="14.4">
      <c r="A18" s="296" t="s">
        <v>4639</v>
      </c>
      <c r="B18" s="295">
        <f>ROUND(SUMIF(油气资产明细表!$H:$H,B$1&amp;"累计折旧本期减少"&amp;REPLACE($A18,1,3,""),油气资产明细表!$F:$F),2)</f>
        <v>0</v>
      </c>
      <c r="C18" s="295">
        <f>ROUND(SUMIF(油气资产明细表!$H:$H,C$1&amp;"累计折旧本期减少"&amp;REPLACE($A18,1,3,""),油气资产明细表!$F:$F),2)</f>
        <v>0</v>
      </c>
      <c r="D18" s="295">
        <f>ROUND(SUMIF(油气资产明细表!$H:$H,D$1&amp;"累计折旧本期减少"&amp;REPLACE($A18,1,3,""),油气资产明细表!$F:$F),2)</f>
        <v>0</v>
      </c>
      <c r="E18" s="295">
        <f>ROUND(SUM(B18:D18),2)</f>
        <v>0</v>
      </c>
    </row>
    <row r="19" spans="1:5" ht="14.4">
      <c r="A19" s="296" t="s">
        <v>4638</v>
      </c>
      <c r="B19" s="295">
        <f>ROUND(SUMIF(油气资产明细表!$H:$H,B$1&amp;"累计折旧本期减少"&amp;REPLACE($A19,1,3,""),油气资产明细表!$F:$F),2)</f>
        <v>0</v>
      </c>
      <c r="C19" s="295">
        <f>ROUND(SUMIF(油气资产明细表!$H:$H,C$1&amp;"累计折旧本期减少"&amp;REPLACE($A19,1,3,""),油气资产明细表!$F:$F),2)</f>
        <v>0</v>
      </c>
      <c r="D19" s="295">
        <f>ROUND(SUMIF(油气资产明细表!$H:$H,D$1&amp;"累计折旧本期减少"&amp;REPLACE($A19,1,3,""),油气资产明细表!$F:$F),2)</f>
        <v>0</v>
      </c>
      <c r="E19" s="295">
        <f>ROUND(SUM(B19:D19),2)</f>
        <v>0</v>
      </c>
    </row>
    <row r="20" spans="1:5" ht="14.4">
      <c r="A20" s="296" t="s">
        <v>491</v>
      </c>
      <c r="B20" s="295">
        <f>ROUND(B13+B14-B17,2)</f>
        <v>0</v>
      </c>
      <c r="C20" s="295">
        <f>ROUND(C13+C14-C17,2)</f>
        <v>0</v>
      </c>
      <c r="D20" s="295">
        <f>ROUND(D13+D14-D17,2)</f>
        <v>0</v>
      </c>
      <c r="E20" s="295">
        <f>ROUND(SUM(B20:D20),2)</f>
        <v>0</v>
      </c>
    </row>
    <row r="21" spans="1:5" ht="14.4">
      <c r="A21" s="296" t="s">
        <v>493</v>
      </c>
      <c r="B21" s="295"/>
      <c r="C21" s="295"/>
      <c r="D21" s="295"/>
      <c r="E21" s="295"/>
    </row>
    <row r="22" spans="1:5" ht="14.4">
      <c r="A22" s="296" t="s">
        <v>488</v>
      </c>
      <c r="B22" s="295">
        <f>ROUND(SUMIF(油气资产明细表!$H:$H,B$1&amp;"减值准备期初数",油气资产明细表!$F:$F),2)</f>
        <v>0</v>
      </c>
      <c r="C22" s="295">
        <f>ROUND(SUMIF(油气资产明细表!$H:$H,C$1&amp;"减值准备期初数",油气资产明细表!$F:$F),2)</f>
        <v>0</v>
      </c>
      <c r="D22" s="295">
        <f>ROUND(SUMIF(油气资产明细表!$H:$H,D$1&amp;"减值准备期初数",油气资产明细表!$F:$F),2)</f>
        <v>0</v>
      </c>
      <c r="E22" s="295">
        <f>ROUND(SUM(B22:D22),2)</f>
        <v>0</v>
      </c>
    </row>
    <row r="23" spans="1:5" ht="14.4">
      <c r="A23" s="296" t="s">
        <v>489</v>
      </c>
      <c r="B23" s="295">
        <f>ROUND(SUM(B24:B25),2)</f>
        <v>0</v>
      </c>
      <c r="C23" s="295">
        <f>ROUND(SUM(C24:C25),2)</f>
        <v>0</v>
      </c>
      <c r="D23" s="295">
        <f>ROUND(SUM(D24:D25),2)</f>
        <v>0</v>
      </c>
      <c r="E23" s="295">
        <f>ROUND(SUM(B23:D23),2)</f>
        <v>0</v>
      </c>
    </row>
    <row r="24" spans="1:5" ht="14.4">
      <c r="A24" s="296" t="s">
        <v>4643</v>
      </c>
      <c r="B24" s="295">
        <f>ROUND(SUMIF(油气资产明细表!$H:$H,B$1&amp;"减值准备本期增加"&amp;REPLACE($A24,1,3,""),油气资产明细表!$F:$F),2)</f>
        <v>0</v>
      </c>
      <c r="C24" s="295">
        <f>ROUND(SUMIF(油气资产明细表!$H:$H,C$1&amp;"减值准备本期增加"&amp;REPLACE($A24,1,3,""),油气资产明细表!$F:$F),2)</f>
        <v>0</v>
      </c>
      <c r="D24" s="295">
        <f>ROUND(SUMIF(油气资产明细表!$H:$H,D$1&amp;"减值准备本期增加"&amp;REPLACE($A24,1,3,""),油气资产明细表!$F:$F),2)</f>
        <v>0</v>
      </c>
      <c r="E24" s="295">
        <f>ROUND(SUM(B24:D24),2)</f>
        <v>0</v>
      </c>
    </row>
    <row r="25" spans="1:5" ht="14.4">
      <c r="A25" s="296" t="s">
        <v>4638</v>
      </c>
      <c r="B25" s="295">
        <f>ROUND(SUMIF(油气资产明细表!$H:$H,B$1&amp;"减值准备本期增加"&amp;REPLACE($A25,1,3,""),油气资产明细表!$F:$F),2)</f>
        <v>0</v>
      </c>
      <c r="C25" s="295">
        <f>ROUND(SUMIF(油气资产明细表!$H:$H,C$1&amp;"减值准备本期增加"&amp;REPLACE($A25,1,3,""),油气资产明细表!$F:$F),2)</f>
        <v>0</v>
      </c>
      <c r="D25" s="295">
        <f>ROUND(SUMIF(油气资产明细表!$H:$H,D$1&amp;"减值准备本期增加"&amp;REPLACE($A25,1,3,""),油气资产明细表!$F:$F),2)</f>
        <v>0</v>
      </c>
      <c r="E25" s="295">
        <f>ROUND(SUM(B25:D25),2)</f>
        <v>0</v>
      </c>
    </row>
    <row r="26" spans="1:5" ht="14.4">
      <c r="A26" s="296" t="s">
        <v>490</v>
      </c>
      <c r="B26" s="295">
        <f>ROUND(SUM(B27:B28),2)</f>
        <v>0</v>
      </c>
      <c r="C26" s="295">
        <f>ROUND(SUM(C27:C28),2)</f>
        <v>0</v>
      </c>
      <c r="D26" s="295">
        <f>ROUND(SUM(D27:D28),2)</f>
        <v>0</v>
      </c>
      <c r="E26" s="295">
        <f>ROUND(SUM(B26:D26),2)</f>
        <v>0</v>
      </c>
    </row>
    <row r="27" spans="1:5" ht="14.4">
      <c r="A27" s="296" t="s">
        <v>4639</v>
      </c>
      <c r="B27" s="295">
        <f>ROUND(SUMIF(油气资产明细表!$H:$H,B$1&amp;"减值准备本期减少"&amp;REPLACE($A27,1,3,""),油气资产明细表!$F:$F),2)</f>
        <v>0</v>
      </c>
      <c r="C27" s="295">
        <f>ROUND(SUMIF(油气资产明细表!$H:$H,C$1&amp;"减值准备本期减少"&amp;REPLACE($A27,1,3,""),油气资产明细表!$F:$F),2)</f>
        <v>0</v>
      </c>
      <c r="D27" s="295">
        <f>ROUND(SUMIF(油气资产明细表!$H:$H,D$1&amp;"减值准备本期减少"&amp;REPLACE($A27,1,3,""),油气资产明细表!$F:$F),2)</f>
        <v>0</v>
      </c>
      <c r="E27" s="295">
        <f>ROUND(SUM(B27:D27),2)</f>
        <v>0</v>
      </c>
    </row>
    <row r="28" spans="1:5" ht="14.4">
      <c r="A28" s="296" t="s">
        <v>4638</v>
      </c>
      <c r="B28" s="295">
        <f>ROUND(SUMIF(油气资产明细表!$H:$H,B$1&amp;"减值准备本期减少"&amp;REPLACE($A28,1,3,""),油气资产明细表!$F:$F),2)</f>
        <v>0</v>
      </c>
      <c r="C28" s="295">
        <f>ROUND(SUMIF(油气资产明细表!$H:$H,C$1&amp;"减值准备本期减少"&amp;REPLACE($A28,1,3,""),油气资产明细表!$F:$F),2)</f>
        <v>0</v>
      </c>
      <c r="D28" s="295">
        <f>ROUND(SUMIF(油气资产明细表!$H:$H,D$1&amp;"减值准备本期减少"&amp;REPLACE($A28,1,3,""),油气资产明细表!$F:$F),2)</f>
        <v>0</v>
      </c>
      <c r="E28" s="295">
        <f>ROUND(SUM(B28:D28),2)</f>
        <v>0</v>
      </c>
    </row>
    <row r="29" spans="1:5" ht="14.4">
      <c r="A29" s="296" t="s">
        <v>491</v>
      </c>
      <c r="B29" s="295">
        <f>ROUND(B22+B23-B26,2)</f>
        <v>0</v>
      </c>
      <c r="C29" s="295">
        <f>ROUND(C22+C23-C26,2)</f>
        <v>0</v>
      </c>
      <c r="D29" s="295">
        <f>ROUND(D22+D23-D26,2)</f>
        <v>0</v>
      </c>
      <c r="E29" s="295">
        <f>ROUND(SUM(B29:D29),2)</f>
        <v>0</v>
      </c>
    </row>
    <row r="30" spans="1:5" ht="14.4">
      <c r="A30" s="296" t="s">
        <v>494</v>
      </c>
      <c r="B30" s="295"/>
      <c r="C30" s="295"/>
      <c r="D30" s="295"/>
      <c r="E30" s="295"/>
    </row>
    <row r="31" spans="1:5" ht="14.4">
      <c r="A31" s="296" t="s">
        <v>495</v>
      </c>
      <c r="B31" s="295">
        <f>ROUND(B11-B20-B29,2)</f>
        <v>0</v>
      </c>
      <c r="C31" s="295">
        <f>ROUND(C11-C20-C29,2)</f>
        <v>0</v>
      </c>
      <c r="D31" s="295">
        <f>ROUND(D11-D20-D29,2)</f>
        <v>0</v>
      </c>
      <c r="E31" s="295">
        <f>ROUND(SUM(B31:D31),2)</f>
        <v>0</v>
      </c>
    </row>
    <row r="32" spans="1:5" ht="14.4">
      <c r="A32" s="296" t="s">
        <v>496</v>
      </c>
      <c r="B32" s="137">
        <f>ROUND(B3-B13-B22,2)</f>
        <v>0</v>
      </c>
      <c r="C32" s="137">
        <f>ROUND(C3-C13-C22,2)</f>
        <v>0</v>
      </c>
      <c r="D32" s="137">
        <f>ROUND(D3-D13-D22,2)</f>
        <v>0</v>
      </c>
      <c r="E32" s="295">
        <f>ROUND(SUM(B32:D32),2)</f>
        <v>0</v>
      </c>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codeName="Sheet222">
    <tabColor rgb="FFFFC000"/>
  </sheetPr>
  <dimension ref="A1:E26"/>
  <sheetViews>
    <sheetView topLeftCell="A4" workbookViewId="0">
      <selection activeCell="H17" sqref="H17"/>
    </sheetView>
  </sheetViews>
  <sheetFormatPr defaultRowHeight="13.8"/>
  <cols>
    <col min="1" max="1" width="52.88671875" customWidth="1"/>
  </cols>
  <sheetData>
    <row r="1" spans="1:5" ht="15">
      <c r="A1" s="73" t="s">
        <v>28</v>
      </c>
      <c r="B1" s="20" t="s">
        <v>200</v>
      </c>
      <c r="C1" s="20" t="s">
        <v>373</v>
      </c>
      <c r="D1" s="20" t="s">
        <v>366</v>
      </c>
      <c r="E1" s="20" t="s">
        <v>199</v>
      </c>
    </row>
    <row r="2" spans="1:5" ht="15">
      <c r="A2" s="19" t="s">
        <v>5455</v>
      </c>
      <c r="B2" s="153">
        <f>ROUND(SUM(B3:B6),2)</f>
        <v>0</v>
      </c>
      <c r="C2" s="153">
        <f>ROUND(SUM(C3:C6),2)</f>
        <v>0</v>
      </c>
      <c r="D2" s="153">
        <f>ROUND(SUM(D3:D6),2)</f>
        <v>0</v>
      </c>
      <c r="E2" s="153">
        <f>ROUND(B2+C2-D2,2)</f>
        <v>0</v>
      </c>
    </row>
    <row r="3" spans="1:5" ht="15">
      <c r="A3" s="347" t="s">
        <v>4659</v>
      </c>
      <c r="B3" s="153">
        <f>ROUND(SUMIF(油气资产明细表!$G:$G,SUBSTITUTE(REPLACE($A3,1,3,""),"","")&amp;"原值"&amp;B$1,油气资产明细表!$F:$F),2)</f>
        <v>0</v>
      </c>
      <c r="C3" s="153">
        <f>ROUND(SUMIF(油气资产明细表!$G:$G,SUBSTITUTE(REPLACE($A3,1,3,""),"","")&amp;"原值"&amp;C$1,油气资产明细表!$F:$F),2)</f>
        <v>0</v>
      </c>
      <c r="D3" s="153">
        <f>ROUND(SUMIF(油气资产明细表!$G:$G,SUBSTITUTE(REPLACE($A3,1,3,""),"","")&amp;"原值"&amp;D$1,油气资产明细表!$F:$F),2)</f>
        <v>0</v>
      </c>
      <c r="E3" s="153">
        <f>ROUND(B3+C3-D3,2)</f>
        <v>0</v>
      </c>
    </row>
    <row r="4" spans="1:5" ht="15">
      <c r="A4" s="347" t="s">
        <v>4660</v>
      </c>
      <c r="B4" s="153">
        <f>ROUND(SUMIF(油气资产明细表!$G:$G,SUBSTITUTE(REPLACE($A4,1,3,""),"","")&amp;"原值"&amp;B$1,油气资产明细表!$F:$F),2)</f>
        <v>0</v>
      </c>
      <c r="C4" s="153">
        <f>ROUND(SUMIF(油气资产明细表!$G:$G,SUBSTITUTE(REPLACE($A4,1,3,""),"","")&amp;"原值"&amp;C$1,油气资产明细表!$F:$F),2)</f>
        <v>0</v>
      </c>
      <c r="D4" s="153">
        <f>ROUND(SUMIF(油气资产明细表!$G:$G,SUBSTITUTE(REPLACE($A4,1,3,""),"","")&amp;"原值"&amp;D$1,油气资产明细表!$F:$F),2)</f>
        <v>0</v>
      </c>
      <c r="E4" s="153">
        <f>ROUND(B4+C4-D4,2)</f>
        <v>0</v>
      </c>
    </row>
    <row r="5" spans="1:5" ht="15">
      <c r="A5" s="347" t="s">
        <v>4661</v>
      </c>
      <c r="B5" s="153">
        <f>ROUND(SUMIF(油气资产明细表!$G:$G,SUBSTITUTE(REPLACE($A5,1,3,""),"","")&amp;"原值"&amp;B$1,油气资产明细表!$F:$F),2)</f>
        <v>0</v>
      </c>
      <c r="C5" s="153">
        <f>ROUND(SUMIF(油气资产明细表!$G:$G,SUBSTITUTE(REPLACE($A5,1,3,""),"","")&amp;"原值"&amp;C$1,油气资产明细表!$F:$F),2)</f>
        <v>0</v>
      </c>
      <c r="D5" s="153">
        <f>ROUND(SUMIF(油气资产明细表!$G:$G,SUBSTITUTE(REPLACE($A5,1,3,""),"","")&amp;"原值"&amp;D$1,油气资产明细表!$F:$F),2)</f>
        <v>0</v>
      </c>
      <c r="E5" s="153">
        <f>ROUND(B5+C5-D5,2)</f>
        <v>0</v>
      </c>
    </row>
    <row r="6" spans="1:5" ht="15">
      <c r="A6" s="347" t="s">
        <v>4662</v>
      </c>
      <c r="B6" s="153">
        <f>ROUND(SUMIF(油气资产明细表!$G:$G,SUBSTITUTE(REPLACE($A6,1,3,""),"","")&amp;"原值"&amp;B$1,油气资产明细表!$F:$F),2)</f>
        <v>0</v>
      </c>
      <c r="C6" s="153">
        <f>ROUND(SUMIF(油气资产明细表!$G:$G,SUBSTITUTE(REPLACE($A6,1,3,""),"","")&amp;"原值"&amp;C$1,油气资产明细表!$F:$F),2)</f>
        <v>0</v>
      </c>
      <c r="D6" s="153">
        <f>ROUND(SUMIF(油气资产明细表!$G:$G,SUBSTITUTE(REPLACE($A6,1,3,""),"","")&amp;"原值"&amp;D$1,油气资产明细表!$F:$F),2)</f>
        <v>0</v>
      </c>
      <c r="E6" s="153">
        <f>ROUND(B6+C6-D6,2)</f>
        <v>0</v>
      </c>
    </row>
    <row r="7" spans="1:5" ht="15">
      <c r="A7" s="19" t="s">
        <v>5456</v>
      </c>
      <c r="B7" s="153">
        <f>ROUND(SUM(B8:B11),2)</f>
        <v>0</v>
      </c>
      <c r="C7" s="153">
        <f>ROUND(SUM(C8:C11),2)</f>
        <v>0</v>
      </c>
      <c r="D7" s="153">
        <f>ROUND(SUM(D8:D11),2)</f>
        <v>0</v>
      </c>
      <c r="E7" s="153">
        <f>ROUND(B7+C7-D7,2)</f>
        <v>0</v>
      </c>
    </row>
    <row r="8" spans="1:5" ht="15">
      <c r="A8" s="347" t="s">
        <v>4659</v>
      </c>
      <c r="B8" s="153">
        <f>ROUND(SUMIF(油气资产明细表!$G:$G,SUBSTITUTE(REPLACE($A8,1,3,""),"","")&amp;"累计折旧"&amp;B$1,油气资产明细表!$F:$F),2)</f>
        <v>0</v>
      </c>
      <c r="C8" s="153">
        <f>ROUND(SUMIF(油气资产明细表!$G:$G,SUBSTITUTE(REPLACE($A8,1,3,""),"","")&amp;"累计折旧"&amp;C$1,油气资产明细表!$F:$F),2)</f>
        <v>0</v>
      </c>
      <c r="D8" s="153">
        <f>ROUND(SUMIF(油气资产明细表!$G:$G,SUBSTITUTE(REPLACE($A8,1,3,""),"","")&amp;"累计折旧"&amp;D$1,油气资产明细表!$F:$F),2)</f>
        <v>0</v>
      </c>
      <c r="E8" s="153">
        <f>ROUND(B8+C8-D8,2)</f>
        <v>0</v>
      </c>
    </row>
    <row r="9" spans="1:5" ht="15">
      <c r="A9" s="347" t="s">
        <v>4660</v>
      </c>
      <c r="B9" s="153">
        <f>ROUND(SUMIF(油气资产明细表!$G:$G,SUBSTITUTE(REPLACE($A9,1,3,""),"","")&amp;"累计折旧"&amp;B$1,油气资产明细表!$F:$F),2)</f>
        <v>0</v>
      </c>
      <c r="C9" s="153">
        <f>ROUND(SUMIF(油气资产明细表!$G:$G,SUBSTITUTE(REPLACE($A9,1,3,""),"","")&amp;"累计折旧"&amp;C$1,油气资产明细表!$F:$F),2)</f>
        <v>0</v>
      </c>
      <c r="D9" s="153">
        <f>ROUND(SUMIF(油气资产明细表!$G:$G,SUBSTITUTE(REPLACE($A9,1,3,""),"","")&amp;"累计折旧"&amp;D$1,油气资产明细表!$F:$F),2)</f>
        <v>0</v>
      </c>
      <c r="E9" s="153">
        <f>ROUND(B9+C9-D9,2)</f>
        <v>0</v>
      </c>
    </row>
    <row r="10" spans="1:5" ht="15">
      <c r="A10" s="347" t="s">
        <v>4661</v>
      </c>
      <c r="B10" s="153">
        <f>ROUND(SUMIF(油气资产明细表!$G:$G,SUBSTITUTE(REPLACE($A10,1,3,""),"","")&amp;"累计折旧"&amp;B$1,油气资产明细表!$F:$F),2)</f>
        <v>0</v>
      </c>
      <c r="C10" s="153">
        <f>ROUND(SUMIF(油气资产明细表!$G:$G,SUBSTITUTE(REPLACE($A10,1,3,""),"","")&amp;"累计折旧"&amp;C$1,油气资产明细表!$F:$F),2)</f>
        <v>0</v>
      </c>
      <c r="D10" s="153">
        <f>ROUND(SUMIF(油气资产明细表!$G:$G,SUBSTITUTE(REPLACE($A10,1,3,""),"","")&amp;"累计折旧"&amp;D$1,油气资产明细表!$F:$F),2)</f>
        <v>0</v>
      </c>
      <c r="E10" s="153">
        <f>ROUND(B10+C10-D10,2)</f>
        <v>0</v>
      </c>
    </row>
    <row r="11" spans="1:5" ht="15">
      <c r="A11" s="347" t="s">
        <v>4662</v>
      </c>
      <c r="B11" s="153">
        <f>ROUND(SUMIF(油气资产明细表!$G:$G,SUBSTITUTE(REPLACE($A11,1,3,""),"","")&amp;"累计折旧"&amp;B$1,油气资产明细表!$F:$F),2)</f>
        <v>0</v>
      </c>
      <c r="C11" s="153">
        <f>ROUND(SUMIF(油气资产明细表!$G:$G,SUBSTITUTE(REPLACE($A11,1,3,""),"","")&amp;"累计折旧"&amp;C$1,油气资产明细表!$F:$F),2)</f>
        <v>0</v>
      </c>
      <c r="D11" s="153">
        <f>ROUND(SUMIF(油气资产明细表!$G:$G,SUBSTITUTE(REPLACE($A11,1,3,""),"","")&amp;"累计折旧"&amp;D$1,油气资产明细表!$F:$F),2)</f>
        <v>0</v>
      </c>
      <c r="E11" s="153">
        <f>ROUND(B11+C11-D11,2)</f>
        <v>0</v>
      </c>
    </row>
    <row r="12" spans="1:5" ht="15">
      <c r="A12" s="19" t="s">
        <v>5457</v>
      </c>
      <c r="B12" s="153">
        <f>ROUND(SUM(B13:B16),2)</f>
        <v>0</v>
      </c>
      <c r="C12" s="153"/>
      <c r="D12" s="153"/>
      <c r="E12" s="153">
        <f>ROUND(SUM(E13:E16),2)</f>
        <v>0</v>
      </c>
    </row>
    <row r="13" spans="1:5" ht="15">
      <c r="A13" s="347" t="s">
        <v>4659</v>
      </c>
      <c r="B13" s="153">
        <f>ROUND(B3-B8,2)</f>
        <v>0</v>
      </c>
      <c r="C13" s="153"/>
      <c r="D13" s="153"/>
      <c r="E13" s="153">
        <f>ROUND(E3-E8,2)</f>
        <v>0</v>
      </c>
    </row>
    <row r="14" spans="1:5" ht="15">
      <c r="A14" s="347" t="s">
        <v>4660</v>
      </c>
      <c r="B14" s="153">
        <f>ROUND(B4-B9,2)</f>
        <v>0</v>
      </c>
      <c r="C14" s="153"/>
      <c r="D14" s="153"/>
      <c r="E14" s="153">
        <f>ROUND(E4-E9,2)</f>
        <v>0</v>
      </c>
    </row>
    <row r="15" spans="1:5" ht="15">
      <c r="A15" s="347" t="s">
        <v>4661</v>
      </c>
      <c r="B15" s="153">
        <f>ROUND(B5-B10,2)</f>
        <v>0</v>
      </c>
      <c r="C15" s="153"/>
      <c r="D15" s="153"/>
      <c r="E15" s="153">
        <f>ROUND(E5-E10,2)</f>
        <v>0</v>
      </c>
    </row>
    <row r="16" spans="1:5" ht="15">
      <c r="A16" s="347" t="s">
        <v>4662</v>
      </c>
      <c r="B16" s="153">
        <f>ROUND(B6-B11,2)</f>
        <v>0</v>
      </c>
      <c r="C16" s="153"/>
      <c r="D16" s="153"/>
      <c r="E16" s="153">
        <f>ROUND(E6-E11,2)</f>
        <v>0</v>
      </c>
    </row>
    <row r="17" spans="1:5" ht="15">
      <c r="A17" s="19" t="s">
        <v>5458</v>
      </c>
      <c r="B17" s="153">
        <f>ROUND(SUM(B18:B21),2)</f>
        <v>0</v>
      </c>
      <c r="C17" s="153">
        <f>ROUND(SUM(C18:C21),2)</f>
        <v>0</v>
      </c>
      <c r="D17" s="153">
        <f>ROUND(SUM(D18:D21),2)</f>
        <v>0</v>
      </c>
      <c r="E17" s="153">
        <f>ROUND(B17+C17-D17,2)</f>
        <v>0</v>
      </c>
    </row>
    <row r="18" spans="1:5" ht="15">
      <c r="A18" s="347" t="s">
        <v>4659</v>
      </c>
      <c r="B18" s="153">
        <f>ROUND(SUMIF(油气资产明细表!$G:$G,SUBSTITUTE(REPLACE($A18,1,3,""),"","")&amp;"减值准备"&amp;B$1,油气资产明细表!$F:$F),2)</f>
        <v>0</v>
      </c>
      <c r="C18" s="153">
        <f>ROUND(SUMIF(油气资产明细表!$G:$G,SUBSTITUTE(REPLACE($A18,1,3,""),"","")&amp;"减值准备"&amp;C$1,油气资产明细表!$F:$F),2)</f>
        <v>0</v>
      </c>
      <c r="D18" s="153">
        <f>ROUND(SUMIF(油气资产明细表!$G:$G,SUBSTITUTE(REPLACE($A18,1,3,""),"","")&amp;"减值准备"&amp;D$1,油气资产明细表!$F:$F),2)</f>
        <v>0</v>
      </c>
      <c r="E18" s="153">
        <f>ROUND(B18+C18-D18,2)</f>
        <v>0</v>
      </c>
    </row>
    <row r="19" spans="1:5" ht="15">
      <c r="A19" s="347" t="s">
        <v>4660</v>
      </c>
      <c r="B19" s="153">
        <f>ROUND(SUMIF(油气资产明细表!$G:$G,SUBSTITUTE(REPLACE($A19,1,3,""),"","")&amp;"减值准备"&amp;B$1,油气资产明细表!$F:$F),2)</f>
        <v>0</v>
      </c>
      <c r="C19" s="153">
        <f>ROUND(SUMIF(油气资产明细表!$G:$G,SUBSTITUTE(REPLACE($A19,1,3,""),"","")&amp;"减值准备"&amp;C$1,油气资产明细表!$F:$F),2)</f>
        <v>0</v>
      </c>
      <c r="D19" s="153">
        <f>ROUND(SUMIF(油气资产明细表!$G:$G,SUBSTITUTE(REPLACE($A19,1,3,""),"","")&amp;"减值准备"&amp;D$1,油气资产明细表!$F:$F),2)</f>
        <v>0</v>
      </c>
      <c r="E19" s="153">
        <f>ROUND(B19+C19-D19,2)</f>
        <v>0</v>
      </c>
    </row>
    <row r="20" spans="1:5" ht="15">
      <c r="A20" s="347" t="s">
        <v>4661</v>
      </c>
      <c r="B20" s="153">
        <f>ROUND(SUMIF(油气资产明细表!$G:$G,SUBSTITUTE(REPLACE($A20,1,3,""),"","")&amp;"减值准备"&amp;B$1,油气资产明细表!$F:$F),2)</f>
        <v>0</v>
      </c>
      <c r="C20" s="153">
        <f>ROUND(SUMIF(油气资产明细表!$G:$G,SUBSTITUTE(REPLACE($A20,1,3,""),"","")&amp;"减值准备"&amp;C$1,油气资产明细表!$F:$F),2)</f>
        <v>0</v>
      </c>
      <c r="D20" s="153">
        <f>ROUND(SUMIF(油气资产明细表!$G:$G,SUBSTITUTE(REPLACE($A20,1,3,""),"","")&amp;"减值准备"&amp;D$1,油气资产明细表!$F:$F),2)</f>
        <v>0</v>
      </c>
      <c r="E20" s="153">
        <f>ROUND(B20+C20-D20,2)</f>
        <v>0</v>
      </c>
    </row>
    <row r="21" spans="1:5" ht="15">
      <c r="A21" s="347" t="s">
        <v>4662</v>
      </c>
      <c r="B21" s="153">
        <f>ROUND(SUMIF(油气资产明细表!$G:$G,SUBSTITUTE(REPLACE($A21,1,3,""),"","")&amp;"减值准备"&amp;B$1,油气资产明细表!$F:$F),2)</f>
        <v>0</v>
      </c>
      <c r="C21" s="153">
        <f>ROUND(SUMIF(油气资产明细表!$G:$G,SUBSTITUTE(REPLACE($A21,1,3,""),"","")&amp;"减值准备"&amp;C$1,油气资产明细表!$F:$F),2)</f>
        <v>0</v>
      </c>
      <c r="D21" s="153">
        <f>ROUND(SUMIF(油气资产明细表!$G:$G,SUBSTITUTE(REPLACE($A21,1,3,""),"","")&amp;"减值准备"&amp;D$1,油气资产明细表!$F:$F),2)</f>
        <v>0</v>
      </c>
      <c r="E21" s="153">
        <f>ROUND(B21+C21-D21,2)</f>
        <v>0</v>
      </c>
    </row>
    <row r="22" spans="1:5" ht="15">
      <c r="A22" s="19" t="s">
        <v>5459</v>
      </c>
      <c r="B22" s="153">
        <f>ROUND(B12-B17,2)</f>
        <v>0</v>
      </c>
      <c r="C22" s="153"/>
      <c r="D22" s="153"/>
      <c r="E22" s="153">
        <f>ROUND(E12-E17,2)</f>
        <v>0</v>
      </c>
    </row>
    <row r="23" spans="1:5" ht="15">
      <c r="A23" s="347" t="s">
        <v>4659</v>
      </c>
      <c r="B23" s="153">
        <f>ROUND(B13-B18,2)</f>
        <v>0</v>
      </c>
      <c r="C23" s="153"/>
      <c r="D23" s="153"/>
      <c r="E23" s="153">
        <f>ROUND(E13-E18,2)</f>
        <v>0</v>
      </c>
    </row>
    <row r="24" spans="1:5" ht="15">
      <c r="A24" s="347" t="s">
        <v>4660</v>
      </c>
      <c r="B24" s="153">
        <f>ROUND(B14-B19,2)</f>
        <v>0</v>
      </c>
      <c r="C24" s="153"/>
      <c r="D24" s="153"/>
      <c r="E24" s="153">
        <f>ROUND(E14-E19,2)</f>
        <v>0</v>
      </c>
    </row>
    <row r="25" spans="1:5" ht="15">
      <c r="A25" s="347" t="s">
        <v>4661</v>
      </c>
      <c r="B25" s="153">
        <f>ROUND(B15-B20,2)</f>
        <v>0</v>
      </c>
      <c r="C25" s="153"/>
      <c r="D25" s="153"/>
      <c r="E25" s="153">
        <f>ROUND(E15-E20,2)</f>
        <v>0</v>
      </c>
    </row>
    <row r="26" spans="1:5" ht="15">
      <c r="A26" s="347" t="s">
        <v>4662</v>
      </c>
      <c r="B26" s="153">
        <f>ROUND(B16-B21,2)</f>
        <v>0</v>
      </c>
      <c r="C26" s="153"/>
      <c r="D26" s="153"/>
      <c r="E26" s="153">
        <f>ROUND(E16-E21,2)</f>
        <v>0</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sheetPr codeName="Sheet223"/>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codeName="Sheet224">
    <tabColor rgb="FFFFC000"/>
  </sheetPr>
  <dimension ref="A1:E32"/>
  <sheetViews>
    <sheetView topLeftCell="A13" workbookViewId="0">
      <selection activeCell="G14" sqref="G14"/>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31" t="s">
        <v>453</v>
      </c>
      <c r="C1" s="535" t="s">
        <v>466</v>
      </c>
      <c r="D1" s="535" t="s">
        <v>467</v>
      </c>
      <c r="E1" s="35" t="s">
        <v>204</v>
      </c>
    </row>
    <row r="2" spans="1:5" ht="14.4">
      <c r="A2" s="38" t="s">
        <v>456</v>
      </c>
      <c r="B2" s="39"/>
      <c r="C2" s="50"/>
      <c r="D2" s="50"/>
      <c r="E2" s="39"/>
    </row>
    <row r="3" spans="1:5" ht="14.4">
      <c r="A3" s="53" t="s">
        <v>497</v>
      </c>
      <c r="B3" s="295">
        <f>ROUND(SUMIF(使用权资产明细表!$H:$H,B$1&amp;"原值期初数",使用权资产明细表!$F:$F),2)</f>
        <v>0</v>
      </c>
      <c r="C3" s="295">
        <f>ROUND(SUMIF(使用权资产明细表!$H:$H,C$1&amp;"原值期初数",使用权资产明细表!$F:$F),2)</f>
        <v>0</v>
      </c>
      <c r="D3" s="295">
        <f>ROUND(SUMIF(使用权资产明细表!$H:$H,D$1&amp;"原值期初数",使用权资产明细表!$F:$F),2)</f>
        <v>0</v>
      </c>
      <c r="E3" s="295">
        <f>ROUND(SUM(B3:D3),2)</f>
        <v>0</v>
      </c>
    </row>
    <row r="4" spans="1:5" ht="14.4">
      <c r="A4" s="53" t="s">
        <v>457</v>
      </c>
      <c r="B4" s="295">
        <f>ROUND(SUM(B5:B8),2)</f>
        <v>0</v>
      </c>
      <c r="C4" s="295">
        <f>ROUND(SUM(C5:C8),2)</f>
        <v>0</v>
      </c>
      <c r="D4" s="295">
        <f>ROUND(SUM(D5:D8),2)</f>
        <v>0</v>
      </c>
      <c r="E4" s="295">
        <f>ROUND(SUM(B4:D4),2)</f>
        <v>0</v>
      </c>
    </row>
    <row r="5" spans="1:5" ht="14.4">
      <c r="A5" s="38" t="s">
        <v>4663</v>
      </c>
      <c r="B5" s="295">
        <f>ROUND(SUMIF(使用权资产明细表!$H:$H,B$1&amp;"原值本期增加"&amp;REPLACE($A5,1,3,""),使用权资产明细表!$F:$F),2)</f>
        <v>0</v>
      </c>
      <c r="C5" s="295">
        <f>ROUND(SUMIF(使用权资产明细表!$H:$H,C$1&amp;"原值本期增加"&amp;REPLACE($A5,1,3,""),使用权资产明细表!$F:$F),2)</f>
        <v>0</v>
      </c>
      <c r="D5" s="295">
        <f>ROUND(SUMIF(使用权资产明细表!$H:$H,D$1&amp;"原值本期增加"&amp;REPLACE($A5,1,3,""),使用权资产明细表!$F:$F),2)</f>
        <v>0</v>
      </c>
      <c r="E5" s="295">
        <f>ROUND(SUM(B5:D5),2)</f>
        <v>0</v>
      </c>
    </row>
    <row r="6" spans="1:5" ht="14.4">
      <c r="A6" s="38" t="s">
        <v>4664</v>
      </c>
      <c r="B6" s="295">
        <f>ROUND(SUMIF(使用权资产明细表!$H:$H,B$1&amp;"原值本期增加"&amp;REPLACE($A6,1,3,""),使用权资产明细表!$F:$F),2)</f>
        <v>0</v>
      </c>
      <c r="C6" s="295">
        <f>ROUND(SUMIF(使用权资产明细表!$H:$H,C$1&amp;"原值本期增加"&amp;REPLACE($A6,1,3,""),使用权资产明细表!$F:$F),2)</f>
        <v>0</v>
      </c>
      <c r="D6" s="295">
        <f>ROUND(SUMIF(使用权资产明细表!$H:$H,D$1&amp;"原值本期增加"&amp;REPLACE($A6,1,3,""),使用权资产明细表!$F:$F),2)</f>
        <v>0</v>
      </c>
      <c r="E6" s="295">
        <f>ROUND(SUM(B6:D6),2)</f>
        <v>0</v>
      </c>
    </row>
    <row r="7" spans="1:5" ht="15.6">
      <c r="A7" s="38" t="s">
        <v>4665</v>
      </c>
      <c r="B7" s="295">
        <f>ROUND(SUMIF(使用权资产明细表!$H:$H,B$1&amp;"原值本期增加"&amp;REPLACE($A7,1,3,""),使用权资产明细表!$F:$F),2)</f>
        <v>0</v>
      </c>
      <c r="C7" s="295">
        <f>ROUND(SUMIF(使用权资产明细表!$H:$H,C$1&amp;"原值本期增加"&amp;REPLACE($A7,1,3,""),使用权资产明细表!$F:$F),2)</f>
        <v>0</v>
      </c>
      <c r="D7" s="295">
        <f>ROUND(SUMIF(使用权资产明细表!$H:$H,D$1&amp;"原值本期增加"&amp;REPLACE($A7,1,3,""),使用权资产明细表!$F:$F),2)</f>
        <v>0</v>
      </c>
      <c r="E7" s="295">
        <f>ROUND(SUM(B7:D7),2)</f>
        <v>0</v>
      </c>
    </row>
    <row r="8" spans="1:5" ht="14.4">
      <c r="A8" s="53" t="s">
        <v>458</v>
      </c>
      <c r="B8" s="295">
        <f>ROUND(SUM(B9:B10),2)</f>
        <v>0</v>
      </c>
      <c r="C8" s="295">
        <f>ROUND(SUM(C9:C10),2)</f>
        <v>0</v>
      </c>
      <c r="D8" s="295">
        <f>ROUND(SUM(D9:D10),2)</f>
        <v>0</v>
      </c>
      <c r="E8" s="295">
        <f>ROUND(SUM(B8:D8),2)</f>
        <v>0</v>
      </c>
    </row>
    <row r="9" spans="1:5" ht="14.4">
      <c r="A9" s="38" t="s">
        <v>4666</v>
      </c>
      <c r="B9" s="295">
        <f>ROUND(SUMIF(使用权资产明细表!$H:$H,B$1&amp;"原值本期减少"&amp;REPLACE($A9,1,3,""),使用权资产明细表!$F:$F),2)</f>
        <v>0</v>
      </c>
      <c r="C9" s="295">
        <f>ROUND(SUMIF(使用权资产明细表!$H:$H,C$1&amp;"原值本期减少"&amp;REPLACE($A9,1,3,""),使用权资产明细表!$F:$F),2)</f>
        <v>0</v>
      </c>
      <c r="D9" s="295">
        <f>ROUND(SUMIF(使用权资产明细表!$H:$H,D$1&amp;"原值本期减少"&amp;REPLACE($A9,1,3,""),使用权资产明细表!$F:$F),2)</f>
        <v>0</v>
      </c>
      <c r="E9" s="295">
        <f>ROUND(SUM(B9:D9),2)</f>
        <v>0</v>
      </c>
    </row>
    <row r="10" spans="1:5" ht="15.6">
      <c r="A10" s="38" t="s">
        <v>4665</v>
      </c>
      <c r="B10" s="295">
        <f>ROUND(SUMIF(使用权资产明细表!$H:$H,B$1&amp;"原值本期减少"&amp;REPLACE($A10,1,3,""),使用权资产明细表!$F:$F),2)</f>
        <v>0</v>
      </c>
      <c r="C10" s="295">
        <f>ROUND(SUMIF(使用权资产明细表!$H:$H,C$1&amp;"原值本期减少"&amp;REPLACE($A10,1,3,""),使用权资产明细表!$F:$F),2)</f>
        <v>0</v>
      </c>
      <c r="D10" s="295">
        <f>ROUND(SUMIF(使用权资产明细表!$H:$H,D$1&amp;"原值本期减少"&amp;REPLACE($A10,1,3,""),使用权资产明细表!$F:$F),2)</f>
        <v>0</v>
      </c>
      <c r="E10" s="295">
        <f>ROUND(SUM(B10:D10),2)</f>
        <v>0</v>
      </c>
    </row>
    <row r="11" spans="1:5" ht="14.4">
      <c r="A11" s="53" t="s">
        <v>459</v>
      </c>
      <c r="B11" s="295">
        <f>ROUND(B3+B4-B8,2)</f>
        <v>0</v>
      </c>
      <c r="C11" s="295">
        <f>ROUND(C3+C4-C8,2)</f>
        <v>0</v>
      </c>
      <c r="D11" s="295">
        <f>ROUND(D3+D4-D8,2)</f>
        <v>0</v>
      </c>
      <c r="E11" s="295">
        <f>ROUND(SUM(B11:D11),2)</f>
        <v>0</v>
      </c>
    </row>
    <row r="12" spans="1:5" ht="14.4">
      <c r="A12" s="38" t="s">
        <v>468</v>
      </c>
      <c r="B12" s="295"/>
      <c r="C12" s="295"/>
      <c r="D12" s="295"/>
      <c r="E12" s="295"/>
    </row>
    <row r="13" spans="1:5" ht="14.4">
      <c r="A13" s="53" t="s">
        <v>497</v>
      </c>
      <c r="B13" s="295">
        <f>ROUND(SUMIF(使用权资产明细表!$H:$H,B$1&amp;"累计折旧期初数",使用权资产明细表!$F:$F),2)</f>
        <v>0</v>
      </c>
      <c r="C13" s="295">
        <f>ROUND(SUMIF(使用权资产明细表!$H:$H,C$1&amp;"累计折旧期初数",使用权资产明细表!$F:$F),2)</f>
        <v>0</v>
      </c>
      <c r="D13" s="295">
        <f>ROUND(SUMIF(使用权资产明细表!$H:$H,D$1&amp;"累计折旧期初数",使用权资产明细表!$F:$F),2)</f>
        <v>0</v>
      </c>
      <c r="E13" s="295">
        <f>ROUND(SUM(B13:D13),2)</f>
        <v>0</v>
      </c>
    </row>
    <row r="14" spans="1:5" ht="14.4">
      <c r="A14" s="53" t="s">
        <v>457</v>
      </c>
      <c r="B14" s="295">
        <f>ROUND(SUM(B15:B16),2)</f>
        <v>0</v>
      </c>
      <c r="C14" s="295">
        <f>ROUND(SUM(C15:C16),2)</f>
        <v>0</v>
      </c>
      <c r="D14" s="295">
        <f>ROUND(SUM(D15:D16),2)</f>
        <v>0</v>
      </c>
      <c r="E14" s="295">
        <f>ROUND(SUM(B14:D14),2)</f>
        <v>0</v>
      </c>
    </row>
    <row r="15" spans="1:5" ht="14.4">
      <c r="A15" s="38" t="s">
        <v>4655</v>
      </c>
      <c r="B15" s="295">
        <f>ROUND(SUMIF(使用权资产明细表!$H:$H,B$1&amp;"累计折旧本期增加"&amp;REPLACE($A15,1,3,""),使用权资产明细表!$F:$F),2)</f>
        <v>0</v>
      </c>
      <c r="C15" s="295">
        <f>ROUND(SUMIF(使用权资产明细表!$H:$H,C$1&amp;"累计折旧本期增加"&amp;REPLACE($A15,1,3,""),使用权资产明细表!$F:$F),2)</f>
        <v>0</v>
      </c>
      <c r="D15" s="295">
        <f>ROUND(SUMIF(使用权资产明细表!$H:$H,D$1&amp;"累计折旧本期增加"&amp;REPLACE($A15,1,3,""),使用权资产明细表!$F:$F),2)</f>
        <v>0</v>
      </c>
      <c r="E15" s="295">
        <f>ROUND(SUM(B15:D15),2)</f>
        <v>0</v>
      </c>
    </row>
    <row r="16" spans="1:5" ht="15.6">
      <c r="A16" s="38" t="s">
        <v>4665</v>
      </c>
      <c r="B16" s="295">
        <f>ROUND(SUMIF(使用权资产明细表!$H:$H,B$1&amp;"累计折旧本期增加"&amp;REPLACE($A16,1,3,""),使用权资产明细表!$F:$F),2)</f>
        <v>0</v>
      </c>
      <c r="C16" s="295">
        <f>ROUND(SUMIF(使用权资产明细表!$H:$H,C$1&amp;"累计折旧本期增加"&amp;REPLACE($A16,1,3,""),使用权资产明细表!$F:$F),2)</f>
        <v>0</v>
      </c>
      <c r="D16" s="295">
        <f>ROUND(SUMIF(使用权资产明细表!$H:$H,D$1&amp;"累计折旧本期增加"&amp;REPLACE($A16,1,3,""),使用权资产明细表!$F:$F),2)</f>
        <v>0</v>
      </c>
      <c r="E16" s="295">
        <f>ROUND(SUM(B16:D16),2)</f>
        <v>0</v>
      </c>
    </row>
    <row r="17" spans="1:5" ht="14.4">
      <c r="A17" s="53" t="s">
        <v>458</v>
      </c>
      <c r="B17" s="295">
        <f>ROUND(SUM(B18:B19),2)</f>
        <v>0</v>
      </c>
      <c r="C17" s="295">
        <f>ROUND(SUM(C18:C19),2)</f>
        <v>0</v>
      </c>
      <c r="D17" s="295">
        <f>ROUND(SUM(D18:D19),2)</f>
        <v>0</v>
      </c>
      <c r="E17" s="295">
        <f>ROUND(SUM(B17:D17),2)</f>
        <v>0</v>
      </c>
    </row>
    <row r="18" spans="1:5" ht="14.4">
      <c r="A18" s="38" t="s">
        <v>4666</v>
      </c>
      <c r="B18" s="295">
        <f>ROUND(SUMIF(使用权资产明细表!$H:$H,B$1&amp;"累计折旧本期减少"&amp;REPLACE($A18,1,3,""),使用权资产明细表!$F:$F),2)</f>
        <v>0</v>
      </c>
      <c r="C18" s="295">
        <f>ROUND(SUMIF(使用权资产明细表!$H:$H,C$1&amp;"累计折旧本期减少"&amp;REPLACE($A18,1,3,""),使用权资产明细表!$F:$F),2)</f>
        <v>0</v>
      </c>
      <c r="D18" s="295">
        <f>ROUND(SUMIF(使用权资产明细表!$H:$H,D$1&amp;"累计折旧本期减少"&amp;REPLACE($A18,1,3,""),使用权资产明细表!$F:$F),2)</f>
        <v>0</v>
      </c>
      <c r="E18" s="295">
        <f>ROUND(SUM(B18:D18),2)</f>
        <v>0</v>
      </c>
    </row>
    <row r="19" spans="1:5" ht="15.6">
      <c r="A19" s="38" t="s">
        <v>4665</v>
      </c>
      <c r="B19" s="295">
        <f>ROUND(SUMIF(使用权资产明细表!$H:$H,B$1&amp;"累计折旧本期减少"&amp;REPLACE($A19,1,3,""),使用权资产明细表!$F:$F),2)</f>
        <v>0</v>
      </c>
      <c r="C19" s="295">
        <f>ROUND(SUMIF(使用权资产明细表!$H:$H,C$1&amp;"累计折旧本期减少"&amp;REPLACE($A19,1,3,""),使用权资产明细表!$F:$F),2)</f>
        <v>0</v>
      </c>
      <c r="D19" s="295">
        <f>ROUND(SUMIF(使用权资产明细表!$H:$H,D$1&amp;"累计折旧本期减少"&amp;REPLACE($A19,1,3,""),使用权资产明细表!$F:$F),2)</f>
        <v>0</v>
      </c>
      <c r="E19" s="295">
        <f>ROUND(SUM(B19:D19),2)</f>
        <v>0</v>
      </c>
    </row>
    <row r="20" spans="1:5" ht="14.4">
      <c r="A20" s="53" t="s">
        <v>459</v>
      </c>
      <c r="B20" s="295">
        <f>ROUND(B13+B14-B17,2)</f>
        <v>0</v>
      </c>
      <c r="C20" s="295">
        <f>ROUND(C13+C14-C17,2)</f>
        <v>0</v>
      </c>
      <c r="D20" s="295">
        <f>ROUND(D13+D14-D17,2)</f>
        <v>0</v>
      </c>
      <c r="E20" s="295">
        <f>ROUND(SUM(B20:D20),2)</f>
        <v>0</v>
      </c>
    </row>
    <row r="21" spans="1:5" ht="14.4">
      <c r="A21" s="38" t="s">
        <v>461</v>
      </c>
      <c r="B21" s="295"/>
      <c r="C21" s="295"/>
      <c r="D21" s="295"/>
      <c r="E21" s="295"/>
    </row>
    <row r="22" spans="1:5" ht="14.4">
      <c r="A22" s="53" t="s">
        <v>497</v>
      </c>
      <c r="B22" s="295">
        <f>ROUND(SUMIF(使用权资产明细表!$H:$H,B$1&amp;"减值准备期初数",使用权资产明细表!$F:$F),2)</f>
        <v>0</v>
      </c>
      <c r="C22" s="295">
        <f>ROUND(SUMIF(使用权资产明细表!$H:$H,C$1&amp;"减值准备期初数",使用权资产明细表!$F:$F),2)</f>
        <v>0</v>
      </c>
      <c r="D22" s="295">
        <f>ROUND(SUMIF(使用权资产明细表!$H:$H,D$1&amp;"减值准备期初数",使用权资产明细表!$F:$F),2)</f>
        <v>0</v>
      </c>
      <c r="E22" s="295">
        <f>ROUND(SUM(B22:D22),2)</f>
        <v>0</v>
      </c>
    </row>
    <row r="23" spans="1:5" ht="14.4">
      <c r="A23" s="53" t="s">
        <v>457</v>
      </c>
      <c r="B23" s="295">
        <f>ROUND(SUM(B24:B25),2)</f>
        <v>0</v>
      </c>
      <c r="C23" s="295">
        <f>ROUND(SUM(C24:C25),2)</f>
        <v>0</v>
      </c>
      <c r="D23" s="295">
        <f>ROUND(SUM(D24:D25),2)</f>
        <v>0</v>
      </c>
      <c r="E23" s="295">
        <f>ROUND(SUM(B23:D23),2)</f>
        <v>0</v>
      </c>
    </row>
    <row r="24" spans="1:5" ht="14.4">
      <c r="A24" s="38" t="s">
        <v>4655</v>
      </c>
      <c r="B24" s="295">
        <f>ROUND(SUMIF(使用权资产明细表!$H:$H,B$1&amp;"减值准备本期增加"&amp;REPLACE($A24,1,3,""),使用权资产明细表!$F:$F),2)</f>
        <v>0</v>
      </c>
      <c r="C24" s="295">
        <f>ROUND(SUMIF(使用权资产明细表!$H:$H,C$1&amp;"减值准备本期增加"&amp;REPLACE($A24,1,3,""),使用权资产明细表!$F:$F),2)</f>
        <v>0</v>
      </c>
      <c r="D24" s="295">
        <f>ROUND(SUMIF(使用权资产明细表!$H:$H,D$1&amp;"减值准备本期增加"&amp;REPLACE($A24,1,3,""),使用权资产明细表!$F:$F),2)</f>
        <v>0</v>
      </c>
      <c r="E24" s="295">
        <f>ROUND(SUM(B24:D24),2)</f>
        <v>0</v>
      </c>
    </row>
    <row r="25" spans="1:5" ht="14.4">
      <c r="A25" s="38" t="s">
        <v>4667</v>
      </c>
      <c r="B25" s="295">
        <f>ROUND(SUMIF(使用权资产明细表!$H:$H,B$1&amp;"减值准备本期增加"&amp;REPLACE($A25,1,3,""),使用权资产明细表!$F:$F),2)</f>
        <v>0</v>
      </c>
      <c r="C25" s="295">
        <f>ROUND(SUMIF(使用权资产明细表!$H:$H,C$1&amp;"减值准备本期增加"&amp;REPLACE($A25,1,3,""),使用权资产明细表!$F:$F),2)</f>
        <v>0</v>
      </c>
      <c r="D25" s="295">
        <f>ROUND(SUMIF(使用权资产明细表!$H:$H,D$1&amp;"减值准备本期增加"&amp;REPLACE($A25,1,3,""),使用权资产明细表!$F:$F),2)</f>
        <v>0</v>
      </c>
      <c r="E25" s="295">
        <f>ROUND(SUM(B25:D25),2)</f>
        <v>0</v>
      </c>
    </row>
    <row r="26" spans="1:5" ht="14.4">
      <c r="A26" s="53" t="s">
        <v>458</v>
      </c>
      <c r="B26" s="295">
        <f>ROUND(SUM(B27:B28),2)</f>
        <v>0</v>
      </c>
      <c r="C26" s="295">
        <f>ROUND(SUM(C27:C28),2)</f>
        <v>0</v>
      </c>
      <c r="D26" s="295">
        <f>ROUND(SUM(D27:D28),2)</f>
        <v>0</v>
      </c>
      <c r="E26" s="295">
        <f>ROUND(SUM(B26:D26),2)</f>
        <v>0</v>
      </c>
    </row>
    <row r="27" spans="1:5" ht="14.4">
      <c r="A27" s="38" t="s">
        <v>4666</v>
      </c>
      <c r="B27" s="295">
        <f>ROUND(SUMIF(使用权资产明细表!$H:$H,B$1&amp;"减值准备本期减少"&amp;REPLACE($A27,1,3,""),使用权资产明细表!$F:$F),2)</f>
        <v>0</v>
      </c>
      <c r="C27" s="295">
        <f>ROUND(SUMIF(使用权资产明细表!$H:$H,C$1&amp;"减值准备本期减少"&amp;REPLACE($A27,1,3,""),使用权资产明细表!$F:$F),2)</f>
        <v>0</v>
      </c>
      <c r="D27" s="295">
        <f>ROUND(SUMIF(使用权资产明细表!$H:$H,D$1&amp;"减值准备本期减少"&amp;REPLACE($A27,1,3,""),使用权资产明细表!$F:$F),2)</f>
        <v>0</v>
      </c>
      <c r="E27" s="295">
        <f>ROUND(SUM(B27:D27),2)</f>
        <v>0</v>
      </c>
    </row>
    <row r="28" spans="1:5" ht="15.6">
      <c r="A28" s="38" t="s">
        <v>4665</v>
      </c>
      <c r="B28" s="295">
        <f>ROUND(SUMIF(使用权资产明细表!$H:$H,B$1&amp;"减值准备本期减少"&amp;REPLACE($A28,1,3,""),使用权资产明细表!$F:$F),2)</f>
        <v>0</v>
      </c>
      <c r="C28" s="295">
        <f>ROUND(SUMIF(使用权资产明细表!$H:$H,C$1&amp;"减值准备本期减少"&amp;REPLACE($A28,1,3,""),使用权资产明细表!$F:$F),2)</f>
        <v>0</v>
      </c>
      <c r="D28" s="295">
        <f>ROUND(SUMIF(使用权资产明细表!$H:$H,D$1&amp;"减值准备本期减少"&amp;REPLACE($A28,1,3,""),使用权资产明细表!$F:$F),2)</f>
        <v>0</v>
      </c>
      <c r="E28" s="295">
        <f>ROUND(SUM(B28:D28),2)</f>
        <v>0</v>
      </c>
    </row>
    <row r="29" spans="1:5" ht="14.4">
      <c r="A29" s="53" t="s">
        <v>459</v>
      </c>
      <c r="B29" s="295">
        <f>ROUND(B22+B23-B26,2)</f>
        <v>0</v>
      </c>
      <c r="C29" s="295">
        <f>ROUND(C22+C23-C26,2)</f>
        <v>0</v>
      </c>
      <c r="D29" s="295">
        <f>ROUND(D22+D23-D26,2)</f>
        <v>0</v>
      </c>
      <c r="E29" s="295">
        <f>ROUND(SUM(B29:D29),2)</f>
        <v>0</v>
      </c>
    </row>
    <row r="30" spans="1:5" ht="14.4">
      <c r="A30" s="38" t="s">
        <v>462</v>
      </c>
      <c r="B30" s="295"/>
      <c r="C30" s="295"/>
      <c r="D30" s="295"/>
      <c r="E30" s="295"/>
    </row>
    <row r="31" spans="1:5" ht="14.4">
      <c r="A31" s="53" t="s">
        <v>463</v>
      </c>
      <c r="B31" s="295">
        <f>ROUND(B11-B20-B29,2)</f>
        <v>0</v>
      </c>
      <c r="C31" s="295">
        <f>ROUND(C11-C20-C29,2)</f>
        <v>0</v>
      </c>
      <c r="D31" s="295">
        <f>ROUND(D11-D20-D29,2)</f>
        <v>0</v>
      </c>
      <c r="E31" s="295">
        <f>ROUND(SUM(B31:D31),2)</f>
        <v>0</v>
      </c>
    </row>
    <row r="32" spans="1:5" ht="14.4">
      <c r="A32" s="53" t="s">
        <v>498</v>
      </c>
      <c r="B32" s="137">
        <f>ROUND(B3-B13-B22,2)</f>
        <v>0</v>
      </c>
      <c r="C32" s="137">
        <f>ROUND(C3-C13-C22,2)</f>
        <v>0</v>
      </c>
      <c r="D32" s="137">
        <f>ROUND(D3-D13-D22,2)</f>
        <v>0</v>
      </c>
      <c r="E32" s="295">
        <f>ROUND(SUM(B32:D32),2)</f>
        <v>0</v>
      </c>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sheetPr codeName="Sheet225"/>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codeName="Sheet226">
    <tabColor rgb="FFFFC000"/>
  </sheetPr>
  <dimension ref="A1:F36"/>
  <sheetViews>
    <sheetView workbookViewId="0">
      <pane xSplit="1" ySplit="1" topLeftCell="B17" activePane="bottomRight" state="frozen"/>
      <selection activeCell="D22" sqref="D22"/>
      <selection pane="topRight" activeCell="D22" sqref="D22"/>
      <selection pane="bottomLeft" activeCell="D22" sqref="D22"/>
      <selection pane="bottomRight" activeCell="B3" sqref="B3:F13 B15:F23 B25:F32 B34:F35"/>
    </sheetView>
  </sheetViews>
  <sheetFormatPr defaultRowHeight="13.8"/>
  <cols>
    <col min="1" max="1" width="28.21875" style="151" bestFit="1" customWidth="1"/>
    <col min="2" max="2" width="16.6640625" style="137" customWidth="1"/>
    <col min="3" max="3" width="11" style="137" customWidth="1"/>
    <col min="4" max="4" width="14" style="137" customWidth="1"/>
    <col min="5" max="5" width="14.44140625" style="137" customWidth="1"/>
    <col min="6" max="6" width="15.6640625" style="137" customWidth="1"/>
    <col min="7" max="16384" width="8.88671875" style="151"/>
  </cols>
  <sheetData>
    <row r="1" spans="1:6" ht="14.4">
      <c r="A1" s="296" t="s">
        <v>28</v>
      </c>
      <c r="B1" s="307" t="s">
        <v>454</v>
      </c>
      <c r="C1" s="307" t="s">
        <v>499</v>
      </c>
      <c r="D1" s="307" t="s">
        <v>500</v>
      </c>
      <c r="E1" s="307" t="s">
        <v>501</v>
      </c>
      <c r="F1" s="307" t="s">
        <v>204</v>
      </c>
    </row>
    <row r="2" spans="1:6" ht="14.4">
      <c r="A2" s="74" t="s">
        <v>456</v>
      </c>
      <c r="B2" s="295"/>
      <c r="C2" s="295"/>
      <c r="D2" s="295"/>
      <c r="E2" s="295"/>
      <c r="F2" s="295"/>
    </row>
    <row r="3" spans="1:6" ht="14.4">
      <c r="A3" s="536" t="s">
        <v>497</v>
      </c>
      <c r="B3" s="295">
        <f>ROUND(SUMIF(无形资产明细表!$H:$H,B$1&amp;"原值期初数",无形资产明细表!$F:$F),2)</f>
        <v>0</v>
      </c>
      <c r="C3" s="295">
        <f>ROUND(SUMIF(无形资产明细表!$H:$H,C$1&amp;"原值期初数",无形资产明细表!$F:$F),2)</f>
        <v>0</v>
      </c>
      <c r="D3" s="295">
        <f>ROUND(SUMIF(无形资产明细表!$H:$H,D$1&amp;"原值期初数",无形资产明细表!$F:$F),2)</f>
        <v>0</v>
      </c>
      <c r="E3" s="295">
        <f>ROUND(SUMIF(无形资产明细表!$H:$H,E$1&amp;"原值期初数",无形资产明细表!$F:$F),2)</f>
        <v>0</v>
      </c>
      <c r="F3" s="295">
        <f>ROUND(SUM(B3:E3),2)</f>
        <v>0</v>
      </c>
    </row>
    <row r="4" spans="1:6" ht="14.4">
      <c r="A4" s="536" t="s">
        <v>457</v>
      </c>
      <c r="B4" s="295">
        <f>ROUND(SUM(B5:B9),2)</f>
        <v>0</v>
      </c>
      <c r="C4" s="295">
        <f>ROUND(SUM(C5:C9),2)</f>
        <v>0</v>
      </c>
      <c r="D4" s="295">
        <f>ROUND(SUM(D5:D9),2)</f>
        <v>0</v>
      </c>
      <c r="E4" s="295">
        <f>ROUND(SUM(E5:E9),2)</f>
        <v>0</v>
      </c>
      <c r="F4" s="295">
        <f>ROUND(SUM(B4:E4),2)</f>
        <v>0</v>
      </c>
    </row>
    <row r="5" spans="1:6" ht="14.4">
      <c r="A5" s="554" t="s">
        <v>4635</v>
      </c>
      <c r="B5" s="295">
        <f>ROUND(SUMIF(无形资产明细表!$H:$H,B$1&amp;"原值本期增加"&amp;REPLACE($A5,1,3,""),无形资产明细表!$F:$F),2)</f>
        <v>0</v>
      </c>
      <c r="C5" s="295">
        <f>ROUND(SUMIF(无形资产明细表!$H:$H,C$1&amp;"原值本期增加"&amp;REPLACE($A5,1,3,""),无形资产明细表!$F:$F),2)</f>
        <v>0</v>
      </c>
      <c r="D5" s="295">
        <f>ROUND(SUMIF(无形资产明细表!$H:$H,D$1&amp;"原值本期增加"&amp;REPLACE($A5,1,3,""),无形资产明细表!$F:$F),2)</f>
        <v>0</v>
      </c>
      <c r="E5" s="295">
        <f>ROUND(SUMIF(无形资产明细表!$H:$H,E$1&amp;"原值本期增加"&amp;REPLACE($A5,1,3,""),无形资产明细表!$F:$F),2)</f>
        <v>0</v>
      </c>
      <c r="F5" s="295">
        <f>ROUND(SUM(B5:E5),2)</f>
        <v>0</v>
      </c>
    </row>
    <row r="6" spans="1:6" ht="15.6">
      <c r="A6" s="554" t="s">
        <v>4668</v>
      </c>
      <c r="B6" s="295">
        <f>ROUND(SUMIF(无形资产明细表!$H:$H,B$1&amp;"原值本期增加"&amp;REPLACE($A6,1,3,""),无形资产明细表!$F:$F),2)</f>
        <v>0</v>
      </c>
      <c r="C6" s="295">
        <f>ROUND(SUMIF(无形资产明细表!$H:$H,C$1&amp;"原值本期增加"&amp;REPLACE($A6,1,3,""),无形资产明细表!$F:$F),2)</f>
        <v>0</v>
      </c>
      <c r="D6" s="295">
        <f>ROUND(SUMIF(无形资产明细表!$H:$H,D$1&amp;"原值本期增加"&amp;REPLACE($A6,1,3,""),无形资产明细表!$F:$F),2)</f>
        <v>0</v>
      </c>
      <c r="E6" s="295">
        <f>ROUND(SUMIF(无形资产明细表!$H:$H,E$1&amp;"原值本期增加"&amp;REPLACE($A6,1,3,""),无形资产明细表!$F:$F),2)</f>
        <v>0</v>
      </c>
      <c r="F6" s="295">
        <f>ROUND(SUM(B6:E6),2)</f>
        <v>0</v>
      </c>
    </row>
    <row r="7" spans="1:6" ht="14.4">
      <c r="A7" s="554" t="s">
        <v>4637</v>
      </c>
      <c r="B7" s="295">
        <f>ROUND(SUMIF(无形资产明细表!$H:$H,B$1&amp;"原值本期增加"&amp;REPLACE($A7,1,3,""),无形资产明细表!$F:$F),2)</f>
        <v>0</v>
      </c>
      <c r="C7" s="295">
        <f>ROUND(SUMIF(无形资产明细表!$H:$H,C$1&amp;"原值本期增加"&amp;REPLACE($A7,1,3,""),无形资产明细表!$F:$F),2)</f>
        <v>0</v>
      </c>
      <c r="D7" s="295">
        <f>ROUND(SUMIF(无形资产明细表!$H:$H,D$1&amp;"原值本期增加"&amp;REPLACE($A7,1,3,""),无形资产明细表!$F:$F),2)</f>
        <v>0</v>
      </c>
      <c r="E7" s="295">
        <f>ROUND(SUMIF(无形资产明细表!$H:$H,E$1&amp;"原值本期增加"&amp;REPLACE($A7,1,3,""),无形资产明细表!$F:$F),2)</f>
        <v>0</v>
      </c>
      <c r="F7" s="295">
        <f>ROUND(SUM(B7:E7),2)</f>
        <v>0</v>
      </c>
    </row>
    <row r="8" spans="1:6" ht="15.6">
      <c r="A8" s="554" t="s">
        <v>4669</v>
      </c>
      <c r="B8" s="295">
        <f>ROUND(SUMIF(无形资产明细表!$H:$H,B$1&amp;"原值本期增加"&amp;REPLACE($A8,1,3,""),无形资产明细表!$F:$F),2)</f>
        <v>0</v>
      </c>
      <c r="C8" s="295">
        <f>ROUND(SUMIF(无形资产明细表!$H:$H,C$1&amp;"原值本期增加"&amp;REPLACE($A8,1,3,""),无形资产明细表!$F:$F),2)</f>
        <v>0</v>
      </c>
      <c r="D8" s="295">
        <f>ROUND(SUMIF(无形资产明细表!$H:$H,D$1&amp;"原值本期增加"&amp;REPLACE($A8,1,3,""),无形资产明细表!$F:$F),2)</f>
        <v>0</v>
      </c>
      <c r="E8" s="295">
        <f>ROUND(SUMIF(无形资产明细表!$H:$H,E$1&amp;"原值本期增加"&amp;REPLACE($A8,1,3,""),无形资产明细表!$F:$F),2)</f>
        <v>0</v>
      </c>
      <c r="F8" s="295">
        <f>ROUND(SUM(B8:E8),2)</f>
        <v>0</v>
      </c>
    </row>
    <row r="9" spans="1:6" ht="15.6">
      <c r="A9" s="554" t="s">
        <v>4665</v>
      </c>
      <c r="B9" s="295">
        <f>ROUND(SUMIF(无形资产明细表!$H:$H,B$1&amp;"原值本期增加"&amp;REPLACE($A9,1,3,""),无形资产明细表!$F:$F),2)</f>
        <v>0</v>
      </c>
      <c r="C9" s="295">
        <f>ROUND(SUMIF(无形资产明细表!$H:$H,C$1&amp;"原值本期增加"&amp;REPLACE($A9,1,3,""),无形资产明细表!$F:$F),2)</f>
        <v>0</v>
      </c>
      <c r="D9" s="295">
        <f>ROUND(SUMIF(无形资产明细表!$H:$H,D$1&amp;"原值本期增加"&amp;REPLACE($A9,1,3,""),无形资产明细表!$F:$F),2)</f>
        <v>0</v>
      </c>
      <c r="E9" s="295">
        <f>ROUND(SUMIF(无形资产明细表!$H:$H,E$1&amp;"原值本期增加"&amp;REPLACE($A9,1,3,""),无形资产明细表!$F:$F),2)</f>
        <v>0</v>
      </c>
      <c r="F9" s="295">
        <f>ROUND(SUM(B9:E9),2)</f>
        <v>0</v>
      </c>
    </row>
    <row r="10" spans="1:6" ht="14.4">
      <c r="A10" s="536" t="s">
        <v>458</v>
      </c>
      <c r="B10" s="295">
        <f>ROUND(SUM(B11:B12),2)</f>
        <v>0</v>
      </c>
      <c r="C10" s="295">
        <f>ROUND(SUM(C11:C12),2)</f>
        <v>0</v>
      </c>
      <c r="D10" s="295">
        <f>ROUND(SUM(D11:D12),2)</f>
        <v>0</v>
      </c>
      <c r="E10" s="295">
        <f>ROUND(SUM(E11:E12),2)</f>
        <v>0</v>
      </c>
      <c r="F10" s="295">
        <f>ROUND(SUM(B10:E10),2)</f>
        <v>0</v>
      </c>
    </row>
    <row r="11" spans="1:6" ht="14.4">
      <c r="A11" s="554" t="s">
        <v>4639</v>
      </c>
      <c r="B11" s="295">
        <f>ROUND(SUMIF(无形资产明细表!$H:$H,B$1&amp;"原值本期减少"&amp;REPLACE($A11,1,3,""),无形资产明细表!$F:$F),2)</f>
        <v>0</v>
      </c>
      <c r="C11" s="295">
        <f>ROUND(SUMIF(无形资产明细表!$H:$H,C$1&amp;"原值本期减少"&amp;REPLACE($A11,1,3,""),无形资产明细表!$F:$F),2)</f>
        <v>0</v>
      </c>
      <c r="D11" s="295">
        <f>ROUND(SUMIF(无形资产明细表!$H:$H,D$1&amp;"原值本期减少"&amp;REPLACE($A11,1,3,""),无形资产明细表!$F:$F),2)</f>
        <v>0</v>
      </c>
      <c r="E11" s="295">
        <f>ROUND(SUMIF(无形资产明细表!$H:$H,E$1&amp;"原值本期减少"&amp;REPLACE($A11,1,3,""),无形资产明细表!$F:$F),2)</f>
        <v>0</v>
      </c>
      <c r="F11" s="295">
        <f>ROUND(SUM(B11:E11),2)</f>
        <v>0</v>
      </c>
    </row>
    <row r="12" spans="1:6" ht="15.6">
      <c r="A12" s="554" t="s">
        <v>4665</v>
      </c>
      <c r="B12" s="295">
        <f>ROUND(SUMIF(无形资产明细表!$H:$H,B$1&amp;"原值本期减少"&amp;REPLACE($A12,1,3,""),无形资产明细表!$F:$F),2)</f>
        <v>0</v>
      </c>
      <c r="C12" s="295">
        <f>ROUND(SUMIF(无形资产明细表!$H:$H,C$1&amp;"原值本期减少"&amp;REPLACE($A12,1,3,""),无形资产明细表!$F:$F),2)</f>
        <v>0</v>
      </c>
      <c r="D12" s="295">
        <f>ROUND(SUMIF(无形资产明细表!$H:$H,D$1&amp;"原值本期减少"&amp;REPLACE($A12,1,3,""),无形资产明细表!$F:$F),2)</f>
        <v>0</v>
      </c>
      <c r="E12" s="295">
        <f>ROUND(SUMIF(无形资产明细表!$H:$H,E$1&amp;"原值本期减少"&amp;REPLACE($A12,1,3,""),无形资产明细表!$F:$F),2)</f>
        <v>0</v>
      </c>
      <c r="F12" s="295">
        <f>ROUND(SUM(B12:E12),2)</f>
        <v>0</v>
      </c>
    </row>
    <row r="13" spans="1:6" ht="14.4">
      <c r="A13" s="536" t="s">
        <v>459</v>
      </c>
      <c r="B13" s="295">
        <f>ROUND(B3+B4-B10,2)</f>
        <v>0</v>
      </c>
      <c r="C13" s="295">
        <f>ROUND(C3+C4-C10,2)</f>
        <v>0</v>
      </c>
      <c r="D13" s="295">
        <f>ROUND(D3+D4-D10,2)</f>
        <v>0</v>
      </c>
      <c r="E13" s="295">
        <f>ROUND(E3+E4-E10,2)</f>
        <v>0</v>
      </c>
      <c r="F13" s="295">
        <f>ROUND(F3+F4-F10,2)</f>
        <v>0</v>
      </c>
    </row>
    <row r="14" spans="1:6" ht="14.4">
      <c r="A14" s="74" t="s">
        <v>502</v>
      </c>
      <c r="B14" s="295"/>
      <c r="C14" s="295"/>
      <c r="D14" s="295"/>
      <c r="E14" s="295"/>
      <c r="F14" s="295"/>
    </row>
    <row r="15" spans="1:6" ht="14.4">
      <c r="A15" s="536" t="s">
        <v>497</v>
      </c>
      <c r="B15" s="295">
        <f>ROUND(SUMIF(无形资产明细表!$H:$H,B$1&amp;"累计折旧期初数",无形资产明细表!$F:$F),2)</f>
        <v>0</v>
      </c>
      <c r="C15" s="295">
        <f>ROUND(SUMIF(无形资产明细表!$H:$H,C$1&amp;"累计折旧期初数",无形资产明细表!$F:$F),2)</f>
        <v>0</v>
      </c>
      <c r="D15" s="295">
        <f>ROUND(SUMIF(无形资产明细表!$H:$H,D$1&amp;"累计折旧期初数",无形资产明细表!$F:$F),2)</f>
        <v>0</v>
      </c>
      <c r="E15" s="295">
        <f>ROUND(SUMIF(无形资产明细表!$H:$H,E$1&amp;"累计折旧期初数",无形资产明细表!$F:$F),2)</f>
        <v>0</v>
      </c>
      <c r="F15" s="295">
        <f>ROUND(SUM(B15:E15),2)</f>
        <v>0</v>
      </c>
    </row>
    <row r="16" spans="1:6" ht="14.4">
      <c r="A16" s="536" t="s">
        <v>457</v>
      </c>
      <c r="B16" s="295">
        <f>ROUND(SUM(B17:B19),2)</f>
        <v>0</v>
      </c>
      <c r="C16" s="295">
        <f>ROUND(SUM(C17:C19),2)</f>
        <v>0</v>
      </c>
      <c r="D16" s="295">
        <f>ROUND(SUM(D17:D19),2)</f>
        <v>0</v>
      </c>
      <c r="E16" s="295">
        <f>ROUND(SUM(E17:E19),2)</f>
        <v>0</v>
      </c>
      <c r="F16" s="295">
        <f>ROUND(SUM(B16:E16),2)</f>
        <v>0</v>
      </c>
    </row>
    <row r="17" spans="1:6" ht="14.4">
      <c r="A17" s="554" t="s">
        <v>4655</v>
      </c>
      <c r="B17" s="295">
        <f>ROUND(SUMIF(无形资产明细表!$H:$H,B$1&amp;"累计折旧本期增加"&amp;REPLACE($A17,1,3,""),无形资产明细表!$F:$F),2)</f>
        <v>0</v>
      </c>
      <c r="C17" s="295">
        <f>ROUND(SUMIF(无形资产明细表!$H:$H,C$1&amp;"累计折旧本期增加"&amp;REPLACE($A17,1,3,""),无形资产明细表!$F:$F),2)</f>
        <v>0</v>
      </c>
      <c r="D17" s="295">
        <f>ROUND(SUMIF(无形资产明细表!$H:$H,D$1&amp;"累计折旧本期增加"&amp;REPLACE($A17,1,3,""),无形资产明细表!$F:$F),2)</f>
        <v>0</v>
      </c>
      <c r="E17" s="295">
        <f>ROUND(SUMIF(无形资产明细表!$H:$H,E$1&amp;"累计折旧本期增加"&amp;REPLACE($A17,1,3,""),无形资产明细表!$F:$F),2)</f>
        <v>0</v>
      </c>
      <c r="F17" s="295">
        <f>ROUND(SUM(B17:E17),2)</f>
        <v>0</v>
      </c>
    </row>
    <row r="18" spans="1:6" ht="15.6">
      <c r="A18" s="554" t="s">
        <v>4669</v>
      </c>
      <c r="B18" s="295">
        <f>ROUND(SUMIF(无形资产明细表!$H:$H,B$1&amp;"累计折旧本期增加"&amp;REPLACE($A18,1,3,""),无形资产明细表!$F:$F),2)</f>
        <v>0</v>
      </c>
      <c r="C18" s="295">
        <f>ROUND(SUMIF(无形资产明细表!$H:$H,C$1&amp;"累计折旧本期增加"&amp;REPLACE($A18,1,3,""),无形资产明细表!$F:$F),2)</f>
        <v>0</v>
      </c>
      <c r="D18" s="295">
        <f>ROUND(SUMIF(无形资产明细表!$H:$H,D$1&amp;"累计折旧本期增加"&amp;REPLACE($A18,1,3,""),无形资产明细表!$F:$F),2)</f>
        <v>0</v>
      </c>
      <c r="E18" s="295">
        <f>ROUND(SUMIF(无形资产明细表!$H:$H,E$1&amp;"累计折旧本期增加"&amp;REPLACE($A18,1,3,""),无形资产明细表!$F:$F),2)</f>
        <v>0</v>
      </c>
      <c r="F18" s="295">
        <f>ROUND(SUM(B18:E18),2)</f>
        <v>0</v>
      </c>
    </row>
    <row r="19" spans="1:6" ht="15.6">
      <c r="A19" s="554" t="s">
        <v>4665</v>
      </c>
      <c r="B19" s="295">
        <f>ROUND(SUMIF(无形资产明细表!$H:$H,B$1&amp;"累计折旧本期增加"&amp;REPLACE($A19,1,3,""),无形资产明细表!$F:$F),2)</f>
        <v>0</v>
      </c>
      <c r="C19" s="295">
        <f>ROUND(SUMIF(无形资产明细表!$H:$H,C$1&amp;"累计折旧本期增加"&amp;REPLACE($A19,1,3,""),无形资产明细表!$F:$F),2)</f>
        <v>0</v>
      </c>
      <c r="D19" s="295">
        <f>ROUND(SUMIF(无形资产明细表!$H:$H,D$1&amp;"累计折旧本期增加"&amp;REPLACE($A19,1,3,""),无形资产明细表!$F:$F),2)</f>
        <v>0</v>
      </c>
      <c r="E19" s="295">
        <f>ROUND(SUMIF(无形资产明细表!$H:$H,E$1&amp;"累计折旧本期增加"&amp;REPLACE($A19,1,3,""),无形资产明细表!$F:$F),2)</f>
        <v>0</v>
      </c>
      <c r="F19" s="295">
        <f>ROUND(SUM(B19:E19),2)</f>
        <v>0</v>
      </c>
    </row>
    <row r="20" spans="1:6" ht="14.4">
      <c r="A20" s="536" t="s">
        <v>458</v>
      </c>
      <c r="B20" s="295">
        <f>ROUND(SUM(B21:B22),2)</f>
        <v>0</v>
      </c>
      <c r="C20" s="295">
        <f>ROUND(SUM(C21:C22),2)</f>
        <v>0</v>
      </c>
      <c r="D20" s="295">
        <f>ROUND(SUM(D21:D22),2)</f>
        <v>0</v>
      </c>
      <c r="E20" s="295">
        <f>ROUND(SUM(E21:E22),2)</f>
        <v>0</v>
      </c>
      <c r="F20" s="295">
        <f>ROUND(SUM(B20:E20),2)</f>
        <v>0</v>
      </c>
    </row>
    <row r="21" spans="1:6" ht="14.4">
      <c r="A21" s="554" t="s">
        <v>4639</v>
      </c>
      <c r="B21" s="295">
        <f>ROUND(SUMIF(无形资产明细表!$H:$H,B$1&amp;"累计折旧本期减少"&amp;REPLACE($A21,1,3,""),无形资产明细表!$F:$F),2)</f>
        <v>0</v>
      </c>
      <c r="C21" s="295">
        <f>ROUND(SUMIF(无形资产明细表!$H:$H,C$1&amp;"累计折旧本期减少"&amp;REPLACE($A21,1,3,""),无形资产明细表!$F:$F),2)</f>
        <v>0</v>
      </c>
      <c r="D21" s="295">
        <f>ROUND(SUMIF(无形资产明细表!$H:$H,D$1&amp;"累计折旧本期减少"&amp;REPLACE($A21,1,3,""),无形资产明细表!$F:$F),2)</f>
        <v>0</v>
      </c>
      <c r="E21" s="295">
        <f>ROUND(SUMIF(无形资产明细表!$H:$H,E$1&amp;"累计折旧本期减少"&amp;REPLACE($A21,1,3,""),无形资产明细表!$F:$F),2)</f>
        <v>0</v>
      </c>
      <c r="F21" s="295">
        <f>ROUND(SUM(B21:E21),2)</f>
        <v>0</v>
      </c>
    </row>
    <row r="22" spans="1:6" ht="15.6">
      <c r="A22" s="554" t="s">
        <v>4665</v>
      </c>
      <c r="B22" s="295">
        <f>ROUND(SUMIF(无形资产明细表!$H:$H,B$1&amp;"累计折旧本期减少"&amp;REPLACE($A22,1,3,""),无形资产明细表!$F:$F),2)</f>
        <v>0</v>
      </c>
      <c r="C22" s="295">
        <f>ROUND(SUMIF(无形资产明细表!$H:$H,C$1&amp;"累计折旧本期减少"&amp;REPLACE($A22,1,3,""),无形资产明细表!$F:$F),2)</f>
        <v>0</v>
      </c>
      <c r="D22" s="295">
        <f>ROUND(SUMIF(无形资产明细表!$H:$H,D$1&amp;"累计折旧本期减少"&amp;REPLACE($A22,1,3,""),无形资产明细表!$F:$F),2)</f>
        <v>0</v>
      </c>
      <c r="E22" s="295">
        <f>ROUND(SUMIF(无形资产明细表!$H:$H,E$1&amp;"累计折旧本期减少"&amp;REPLACE($A22,1,3,""),无形资产明细表!$F:$F),2)</f>
        <v>0</v>
      </c>
      <c r="F22" s="295">
        <f>ROUND(SUM(B22:E22),2)</f>
        <v>0</v>
      </c>
    </row>
    <row r="23" spans="1:6" ht="14.4">
      <c r="A23" s="536" t="s">
        <v>459</v>
      </c>
      <c r="B23" s="295">
        <f>ROUND(B15+B16-B20,2)</f>
        <v>0</v>
      </c>
      <c r="C23" s="295">
        <f>ROUND(C15+C16-C20,2)</f>
        <v>0</v>
      </c>
      <c r="D23" s="295">
        <f>ROUND(D15+D16-D20,2)</f>
        <v>0</v>
      </c>
      <c r="E23" s="295">
        <f>ROUND(E15+E16-E20,2)</f>
        <v>0</v>
      </c>
      <c r="F23" s="295">
        <f>ROUND(SUM(B23:E23),2)</f>
        <v>0</v>
      </c>
    </row>
    <row r="24" spans="1:6" ht="14.4">
      <c r="A24" s="74" t="s">
        <v>461</v>
      </c>
      <c r="B24" s="295"/>
      <c r="C24" s="295"/>
      <c r="D24" s="295"/>
      <c r="E24" s="295"/>
      <c r="F24" s="295"/>
    </row>
    <row r="25" spans="1:6" ht="14.4">
      <c r="A25" s="536" t="s">
        <v>497</v>
      </c>
      <c r="B25" s="295">
        <f>ROUND(SUMIF(无形资产明细表!$H:$H,B$1&amp;"减值准备期初数",无形资产明细表!$F:$F),2)</f>
        <v>0</v>
      </c>
      <c r="C25" s="295">
        <f>ROUND(SUMIF(无形资产明细表!$H:$H,C$1&amp;"减值准备期初数",无形资产明细表!$F:$F),2)</f>
        <v>0</v>
      </c>
      <c r="D25" s="295">
        <f>ROUND(SUMIF(无形资产明细表!$H:$H,D$1&amp;"减值准备期初数",无形资产明细表!$F:$F),2)</f>
        <v>0</v>
      </c>
      <c r="E25" s="295">
        <f>ROUND(SUMIF(无形资产明细表!$H:$H,E$1&amp;"减值准备期初数",无形资产明细表!$F:$F),2)</f>
        <v>0</v>
      </c>
      <c r="F25" s="295">
        <f>ROUND(SUM(B25:E25),2)</f>
        <v>0</v>
      </c>
    </row>
    <row r="26" spans="1:6" ht="14.4">
      <c r="A26" s="536" t="s">
        <v>457</v>
      </c>
      <c r="B26" s="295">
        <f>ROUND(SUM(B27:B28),2)</f>
        <v>0</v>
      </c>
      <c r="C26" s="295">
        <f>ROUND(SUM(C27:C28),2)</f>
        <v>0</v>
      </c>
      <c r="D26" s="295">
        <f>ROUND(SUM(D27:D28),2)</f>
        <v>0</v>
      </c>
      <c r="E26" s="295">
        <f>ROUND(SUM(E27:E28),2)</f>
        <v>0</v>
      </c>
      <c r="F26" s="295">
        <f>ROUND(SUM(B26:E26),2)</f>
        <v>0</v>
      </c>
    </row>
    <row r="27" spans="1:6" ht="14.4">
      <c r="A27" s="554" t="s">
        <v>4655</v>
      </c>
      <c r="B27" s="295">
        <f>ROUND(SUMIF(无形资产明细表!$H:$H,B$1&amp;"减值准备本期增加"&amp;REPLACE($A27,1,3,""),无形资产明细表!$F:$F),2)</f>
        <v>0</v>
      </c>
      <c r="C27" s="295">
        <f>ROUND(SUMIF(无形资产明细表!$H:$H,C$1&amp;"减值准备本期增加"&amp;REPLACE($A27,1,3,""),无形资产明细表!$F:$F),2)</f>
        <v>0</v>
      </c>
      <c r="D27" s="295">
        <f>ROUND(SUMIF(无形资产明细表!$H:$H,D$1&amp;"减值准备本期增加"&amp;REPLACE($A27,1,3,""),无形资产明细表!$F:$F),2)</f>
        <v>0</v>
      </c>
      <c r="E27" s="295">
        <f>ROUND(SUMIF(无形资产明细表!$H:$H,E$1&amp;"减值准备本期增加"&amp;REPLACE($A27,1,3,""),无形资产明细表!$F:$F),2)</f>
        <v>0</v>
      </c>
      <c r="F27" s="295">
        <f>ROUND(SUM(B27:E27),2)</f>
        <v>0</v>
      </c>
    </row>
    <row r="28" spans="1:6" ht="14.4">
      <c r="A28" s="554" t="s">
        <v>4667</v>
      </c>
      <c r="B28" s="295">
        <f>ROUND(SUMIF(无形资产明细表!$H:$H,B$1&amp;"减值准备本期增加"&amp;REPLACE($A28,1,3,""),无形资产明细表!$F:$F),2)</f>
        <v>0</v>
      </c>
      <c r="C28" s="295">
        <f>ROUND(SUMIF(无形资产明细表!$H:$H,C$1&amp;"减值准备本期增加"&amp;REPLACE($A28,1,3,""),无形资产明细表!$F:$F),2)</f>
        <v>0</v>
      </c>
      <c r="D28" s="295">
        <f>ROUND(SUMIF(无形资产明细表!$H:$H,D$1&amp;"减值准备本期增加"&amp;REPLACE($A28,1,3,""),无形资产明细表!$F:$F),2)</f>
        <v>0</v>
      </c>
      <c r="E28" s="295">
        <f>ROUND(SUMIF(无形资产明细表!$H:$H,E$1&amp;"减值准备本期增加"&amp;REPLACE($A28,1,3,""),无形资产明细表!$F:$F),2)</f>
        <v>0</v>
      </c>
      <c r="F28" s="295">
        <f>ROUND(SUM(B28:E28),2)</f>
        <v>0</v>
      </c>
    </row>
    <row r="29" spans="1:6" ht="14.4">
      <c r="A29" s="536" t="s">
        <v>458</v>
      </c>
      <c r="B29" s="295">
        <f>ROUND(SUM(B30:B31),2)</f>
        <v>0</v>
      </c>
      <c r="C29" s="295">
        <f>ROUND(SUM(C30:C31),2)</f>
        <v>0</v>
      </c>
      <c r="D29" s="295">
        <f>ROUND(SUM(D30:D31),2)</f>
        <v>0</v>
      </c>
      <c r="E29" s="295">
        <f>ROUND(SUM(E30:E31),2)</f>
        <v>0</v>
      </c>
      <c r="F29" s="295">
        <f>ROUND(SUM(B29:E29),2)</f>
        <v>0</v>
      </c>
    </row>
    <row r="30" spans="1:6" ht="14.4">
      <c r="A30" s="554" t="s">
        <v>4639</v>
      </c>
      <c r="B30" s="295">
        <f>ROUND(SUMIF(无形资产明细表!$H:$H,B$1&amp;"减值准备本期减少"&amp;REPLACE($A30,1,3,""),无形资产明细表!$F:$F),2)</f>
        <v>0</v>
      </c>
      <c r="C30" s="295">
        <f>ROUND(SUMIF(无形资产明细表!$H:$H,C$1&amp;"减值准备本期减少"&amp;REPLACE($A30,1,3,""),无形资产明细表!$F:$F),2)</f>
        <v>0</v>
      </c>
      <c r="D30" s="295">
        <f>ROUND(SUMIF(无形资产明细表!$H:$H,D$1&amp;"减值准备本期减少"&amp;REPLACE($A30,1,3,""),无形资产明细表!$F:$F),2)</f>
        <v>0</v>
      </c>
      <c r="E30" s="295">
        <f>ROUND(SUMIF(无形资产明细表!$H:$H,E$1&amp;"减值准备本期减少"&amp;REPLACE($A30,1,3,""),无形资产明细表!$F:$F),2)</f>
        <v>0</v>
      </c>
      <c r="F30" s="295">
        <f>ROUND(SUM(B30:E30),2)</f>
        <v>0</v>
      </c>
    </row>
    <row r="31" spans="1:6" ht="15.6">
      <c r="A31" s="554" t="s">
        <v>4665</v>
      </c>
      <c r="B31" s="295">
        <f>ROUND(SUMIF(无形资产明细表!$H:$H,B$1&amp;"减值准备本期减少"&amp;REPLACE($A31,1,3,""),无形资产明细表!$F:$F),2)</f>
        <v>0</v>
      </c>
      <c r="C31" s="295">
        <f>ROUND(SUMIF(无形资产明细表!$H:$H,C$1&amp;"减值准备本期减少"&amp;REPLACE($A31,1,3,""),无形资产明细表!$F:$F),2)</f>
        <v>0</v>
      </c>
      <c r="D31" s="295">
        <f>ROUND(SUMIF(无形资产明细表!$H:$H,D$1&amp;"减值准备本期减少"&amp;REPLACE($A31,1,3,""),无形资产明细表!$F:$F),2)</f>
        <v>0</v>
      </c>
      <c r="E31" s="295">
        <f>ROUND(SUMIF(无形资产明细表!$H:$H,E$1&amp;"减值准备本期减少"&amp;REPLACE($A31,1,3,""),无形资产明细表!$F:$F),2)</f>
        <v>0</v>
      </c>
      <c r="F31" s="295">
        <f>ROUND(SUM(B31:E31),2)</f>
        <v>0</v>
      </c>
    </row>
    <row r="32" spans="1:6" ht="14.4">
      <c r="A32" s="536" t="s">
        <v>459</v>
      </c>
      <c r="B32" s="295">
        <f>ROUND(B25+B26-B29,2)</f>
        <v>0</v>
      </c>
      <c r="C32" s="295">
        <f>ROUND(C25+C26-C29,2)</f>
        <v>0</v>
      </c>
      <c r="D32" s="295">
        <f>ROUND(D25+D26-D29,2)</f>
        <v>0</v>
      </c>
      <c r="E32" s="295">
        <f>ROUND(E25+E26-E29,2)</f>
        <v>0</v>
      </c>
      <c r="F32" s="295">
        <f>ROUND(SUM(B32:E32),2)</f>
        <v>0</v>
      </c>
    </row>
    <row r="33" spans="1:6" ht="14.4">
      <c r="A33" s="74" t="s">
        <v>462</v>
      </c>
      <c r="B33" s="295"/>
      <c r="C33" s="295"/>
      <c r="D33" s="295"/>
      <c r="E33" s="295"/>
      <c r="F33" s="295"/>
    </row>
    <row r="34" spans="1:6" ht="14.4">
      <c r="A34" s="536" t="s">
        <v>463</v>
      </c>
      <c r="B34" s="295">
        <f>ROUND(B13-B23-B32,2)</f>
        <v>0</v>
      </c>
      <c r="C34" s="295">
        <f>ROUND(C13-C23-C32,2)</f>
        <v>0</v>
      </c>
      <c r="D34" s="295">
        <f>ROUND(D13-D23-D32,2)</f>
        <v>0</v>
      </c>
      <c r="E34" s="295">
        <f>ROUND(E13-E23-E32,2)</f>
        <v>0</v>
      </c>
      <c r="F34" s="295">
        <f>ROUND(SUM(B34:E34),2)</f>
        <v>0</v>
      </c>
    </row>
    <row r="35" spans="1:6" ht="14.4">
      <c r="A35" s="536" t="s">
        <v>498</v>
      </c>
      <c r="B35" s="295">
        <f>ROUND(B3-B15-B25,2)</f>
        <v>0</v>
      </c>
      <c r="C35" s="295">
        <f>ROUND(C3-C15-C25,2)</f>
        <v>0</v>
      </c>
      <c r="D35" s="295">
        <f>ROUND(D3-D15-D25,2)</f>
        <v>0</v>
      </c>
      <c r="E35" s="295">
        <f>ROUND(E3-E15-E25,2)</f>
        <v>0</v>
      </c>
      <c r="F35" s="295">
        <f>ROUND(SUM(B35:E35),2)</f>
        <v>0</v>
      </c>
    </row>
    <row r="36" spans="1:6" ht="14.4">
      <c r="F36" s="295"/>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sheetPr codeName="Sheet227"/>
  <dimension ref="A1:I119"/>
  <sheetViews>
    <sheetView workbookViewId="0">
      <selection activeCell="A7" sqref="A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2015</v>
      </c>
      <c r="B1" s="313" t="s">
        <v>2016</v>
      </c>
      <c r="C1" s="262" t="s">
        <v>2488</v>
      </c>
      <c r="D1" s="262" t="s">
        <v>2520</v>
      </c>
      <c r="E1" s="262" t="s">
        <v>2521</v>
      </c>
      <c r="F1" s="262" t="s">
        <v>2523</v>
      </c>
      <c r="G1" s="262" t="s">
        <v>2525</v>
      </c>
      <c r="H1" s="264" t="s">
        <v>2526</v>
      </c>
      <c r="I1" s="262" t="s">
        <v>4259</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codeName="Sheet228">
    <tabColor rgb="FFFFC000"/>
  </sheetPr>
  <dimension ref="A1:C4"/>
  <sheetViews>
    <sheetView workbookViewId="0">
      <selection activeCell="B2" sqref="B2"/>
    </sheetView>
  </sheetViews>
  <sheetFormatPr defaultRowHeight="13.8"/>
  <cols>
    <col min="1" max="2" width="8.88671875" style="18"/>
    <col min="3" max="3" width="20.44140625" style="18" bestFit="1" customWidth="1"/>
    <col min="4" max="16384" width="8.88671875" style="18"/>
  </cols>
  <sheetData>
    <row r="1" spans="1:3" ht="14.4">
      <c r="A1" s="19" t="s">
        <v>28</v>
      </c>
      <c r="B1" s="20" t="s">
        <v>4227</v>
      </c>
      <c r="C1" s="20" t="s">
        <v>464</v>
      </c>
    </row>
    <row r="2" spans="1:3" ht="14.4">
      <c r="A2" s="565">
        <f>未办妥产权证书的无形资产明细表!B2</f>
        <v>0</v>
      </c>
      <c r="B2" s="268">
        <f>未办妥产权证书的无形资产明细表!I2</f>
        <v>0</v>
      </c>
      <c r="C2" s="565">
        <f>未办妥产权证书的无形资产明细表!D2</f>
        <v>0</v>
      </c>
    </row>
    <row r="3" spans="1:3" ht="14.4">
      <c r="A3" s="565">
        <f>未办妥产权证书的无形资产明细表!B3</f>
        <v>0</v>
      </c>
      <c r="B3" s="268">
        <f>未办妥产权证书的无形资产明细表!I3</f>
        <v>0</v>
      </c>
      <c r="C3" s="565">
        <f>未办妥产权证书的无形资产明细表!D3</f>
        <v>0</v>
      </c>
    </row>
    <row r="4" spans="1:3" ht="14.4">
      <c r="A4" s="565">
        <f>未办妥产权证书的无形资产明细表!B4</f>
        <v>0</v>
      </c>
      <c r="B4" s="268">
        <f>未办妥产权证书的无形资产明细表!I4</f>
        <v>0</v>
      </c>
      <c r="C4" s="565">
        <f>未办妥产权证书的无形资产明细表!D4</f>
        <v>0</v>
      </c>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sheetPr codeName="Sheet229"/>
  <dimension ref="A1:I26"/>
  <sheetViews>
    <sheetView workbookViewId="0">
      <selection activeCell="A9" sqref="A9"/>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30" customWidth="1"/>
  </cols>
  <sheetData>
    <row r="1" spans="1:9">
      <c r="A1" t="s">
        <v>2427</v>
      </c>
      <c r="B1" t="s">
        <v>95</v>
      </c>
      <c r="C1" t="s">
        <v>4411</v>
      </c>
      <c r="D1" t="s">
        <v>464</v>
      </c>
      <c r="E1" t="s">
        <v>4412</v>
      </c>
      <c r="F1" t="s">
        <v>2522</v>
      </c>
      <c r="G1" t="s">
        <v>782</v>
      </c>
      <c r="H1" t="s">
        <v>4413</v>
      </c>
      <c r="I1" s="230" t="s">
        <v>4414</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6"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D25" s="256"/>
      <c r="E25" s="256"/>
      <c r="F25" s="256"/>
      <c r="G25" s="256"/>
      <c r="H25" s="256"/>
      <c r="I25" s="230">
        <f t="shared" si="0"/>
        <v>0</v>
      </c>
    </row>
    <row r="26" spans="1:9">
      <c r="A26" t="str">
        <f>IF(F26&gt;0,基础信息!$B$1,"")</f>
        <v/>
      </c>
      <c r="B26" s="256"/>
      <c r="D26" s="256"/>
      <c r="E26" s="256"/>
      <c r="F26" s="256"/>
      <c r="G26" s="256"/>
      <c r="H26" s="256"/>
      <c r="I26"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codeName="Sheet23">
    <tabColor rgb="FF00B0F0"/>
  </sheetPr>
  <dimension ref="A1:C23"/>
  <sheetViews>
    <sheetView workbookViewId="0">
      <selection activeCell="I18" sqref="I18"/>
    </sheetView>
  </sheetViews>
  <sheetFormatPr defaultRowHeight="13.8"/>
  <cols>
    <col min="1" max="1" width="22.6640625" bestFit="1" customWidth="1"/>
    <col min="2" max="2" width="18.5546875" style="230" bestFit="1" customWidth="1"/>
    <col min="3" max="3" width="13.88671875" bestFit="1" customWidth="1"/>
  </cols>
  <sheetData>
    <row r="1" spans="1:3">
      <c r="A1" s="262" t="s">
        <v>2569</v>
      </c>
      <c r="B1" s="230" t="s">
        <v>2523</v>
      </c>
    </row>
    <row r="2" spans="1:3">
      <c r="A2" s="262" t="s">
        <v>2561</v>
      </c>
      <c r="B2" s="264">
        <f>SUM(B3:B10)</f>
        <v>4157543400</v>
      </c>
    </row>
    <row r="3" spans="1:3">
      <c r="A3" t="s">
        <v>2565</v>
      </c>
      <c r="B3" s="230">
        <f>负债表!C3</f>
        <v>674000000</v>
      </c>
    </row>
    <row r="4" spans="1:3">
      <c r="A4" t="s">
        <v>2566</v>
      </c>
      <c r="B4" s="230">
        <f>负债表!C33</f>
        <v>0</v>
      </c>
    </row>
    <row r="5" spans="1:3">
      <c r="A5" t="s">
        <v>2567</v>
      </c>
      <c r="B5" s="230">
        <f>负债表!C34</f>
        <v>3483543400</v>
      </c>
    </row>
    <row r="6" spans="1:3">
      <c r="A6" t="s">
        <v>2308</v>
      </c>
      <c r="B6" s="230">
        <f>VLOOKUP(A6,其他流动负债!A:C,3,0)</f>
        <v>0</v>
      </c>
      <c r="C6" t="s">
        <v>2568</v>
      </c>
    </row>
    <row r="7" spans="1:3">
      <c r="A7" t="s">
        <v>568</v>
      </c>
      <c r="B7" s="230">
        <f>VLOOKUP(A7,一年内到期的非流动负债!A:C,3,0)</f>
        <v>0</v>
      </c>
    </row>
    <row r="8" spans="1:3">
      <c r="A8" t="s">
        <v>567</v>
      </c>
      <c r="B8" s="230">
        <f>VLOOKUP(A8,一年内到期的非流动负债!A:C,3,0)</f>
        <v>0</v>
      </c>
    </row>
    <row r="11" spans="1:3">
      <c r="A11" s="262" t="s">
        <v>2562</v>
      </c>
      <c r="B11" s="264">
        <f>SUM(B12:B20)</f>
        <v>4157543400</v>
      </c>
    </row>
    <row r="12" spans="1:3">
      <c r="A12" t="s">
        <v>2565</v>
      </c>
      <c r="B12" s="230">
        <f>负债表!B3</f>
        <v>674000000</v>
      </c>
    </row>
    <row r="13" spans="1:3">
      <c r="A13" t="s">
        <v>2566</v>
      </c>
      <c r="B13" s="230">
        <f>负债表!B33</f>
        <v>0</v>
      </c>
    </row>
    <row r="14" spans="1:3">
      <c r="A14" t="s">
        <v>2567</v>
      </c>
      <c r="B14" s="230">
        <f>负债表!B34</f>
        <v>3483543400</v>
      </c>
    </row>
    <row r="15" spans="1:3">
      <c r="A15" t="s">
        <v>2308</v>
      </c>
      <c r="B15" s="230">
        <f>VLOOKUP(A15,其他流动负债!A:C,2,0)</f>
        <v>0</v>
      </c>
      <c r="C15" t="s">
        <v>2568</v>
      </c>
    </row>
    <row r="16" spans="1:3">
      <c r="A16" t="s">
        <v>568</v>
      </c>
      <c r="B16" s="230">
        <f>VLOOKUP(A16,一年内到期的非流动负债!A:C,2,0)</f>
        <v>0</v>
      </c>
    </row>
    <row r="17" spans="1:2">
      <c r="A17" t="s">
        <v>567</v>
      </c>
      <c r="B17" s="230">
        <f>VLOOKUP(A17,一年内到期的非流动负债!A:C,2,0)</f>
        <v>0</v>
      </c>
    </row>
    <row r="21" spans="1:2">
      <c r="A21" t="s">
        <v>2563</v>
      </c>
      <c r="B21" s="230">
        <f>现金流量表!B47</f>
        <v>0</v>
      </c>
    </row>
    <row r="22" spans="1:2">
      <c r="A22" t="s">
        <v>2564</v>
      </c>
      <c r="B22" s="230">
        <f>现金流量表!B51</f>
        <v>0</v>
      </c>
    </row>
    <row r="23" spans="1:2">
      <c r="A23" t="s">
        <v>2391</v>
      </c>
      <c r="B23" s="230">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codeName="Sheet230">
    <tabColor rgb="FFFFC000"/>
  </sheetPr>
  <dimension ref="A1:H6"/>
  <sheetViews>
    <sheetView workbookViewId="0">
      <selection activeCell="H20" sqref="H19:H20"/>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7" t="s">
        <v>28</v>
      </c>
      <c r="B1" s="537" t="s">
        <v>200</v>
      </c>
      <c r="C1" s="533" t="s">
        <v>505</v>
      </c>
      <c r="D1" s="533" t="s">
        <v>506</v>
      </c>
      <c r="E1" s="537" t="s">
        <v>503</v>
      </c>
      <c r="F1" s="533" t="s">
        <v>504</v>
      </c>
      <c r="G1" s="537" t="s">
        <v>507</v>
      </c>
      <c r="H1" s="537" t="s">
        <v>4216</v>
      </c>
    </row>
    <row r="2" spans="1:8" ht="14.4" customHeight="1">
      <c r="A2" s="561">
        <f>开发支出明细表!B2</f>
        <v>0</v>
      </c>
      <c r="B2" s="561">
        <f>开发支出明细表!C2</f>
        <v>0</v>
      </c>
      <c r="C2" s="561">
        <f>开发支出明细表!D2</f>
        <v>0</v>
      </c>
      <c r="D2" s="561">
        <f>开发支出明细表!E2</f>
        <v>0</v>
      </c>
      <c r="E2" s="561">
        <f>开发支出明细表!F2</f>
        <v>0</v>
      </c>
      <c r="F2" s="561">
        <f>开发支出明细表!G2</f>
        <v>0</v>
      </c>
      <c r="G2" s="561">
        <f>开发支出明细表!H2</f>
        <v>0</v>
      </c>
      <c r="H2" s="537">
        <f>B2+C2+D2-E2-F2-G2</f>
        <v>0</v>
      </c>
    </row>
    <row r="3" spans="1:8" ht="14.4">
      <c r="A3" s="561">
        <f>开发支出明细表!B3</f>
        <v>0</v>
      </c>
      <c r="B3" s="561">
        <f>开发支出明细表!C3</f>
        <v>0</v>
      </c>
      <c r="C3" s="561">
        <f>开发支出明细表!D3</f>
        <v>0</v>
      </c>
      <c r="D3" s="561">
        <f>开发支出明细表!E3</f>
        <v>0</v>
      </c>
      <c r="E3" s="561">
        <f>开发支出明细表!F3</f>
        <v>0</v>
      </c>
      <c r="F3" s="561">
        <f>开发支出明细表!G3</f>
        <v>0</v>
      </c>
      <c r="G3" s="561">
        <f>开发支出明细表!H3</f>
        <v>0</v>
      </c>
      <c r="H3" s="537">
        <f t="shared" ref="H3:H5" si="0">B3+C3+D3-E3-F3-G3</f>
        <v>0</v>
      </c>
    </row>
    <row r="4" spans="1:8" ht="14.4">
      <c r="A4" s="561">
        <f>开发支出明细表!B4</f>
        <v>0</v>
      </c>
      <c r="B4" s="561">
        <f>开发支出明细表!C4</f>
        <v>0</v>
      </c>
      <c r="C4" s="561">
        <f>开发支出明细表!D4</f>
        <v>0</v>
      </c>
      <c r="D4" s="561">
        <f>开发支出明细表!E4</f>
        <v>0</v>
      </c>
      <c r="E4" s="561">
        <f>开发支出明细表!F4</f>
        <v>0</v>
      </c>
      <c r="F4" s="561">
        <f>开发支出明细表!G4</f>
        <v>0</v>
      </c>
      <c r="G4" s="561">
        <f>开发支出明细表!H4</f>
        <v>0</v>
      </c>
      <c r="H4" s="537">
        <f t="shared" si="0"/>
        <v>0</v>
      </c>
    </row>
    <row r="5" spans="1:8" ht="14.4">
      <c r="A5" s="561">
        <f>开发支出明细表!B5</f>
        <v>0</v>
      </c>
      <c r="B5" s="561">
        <f>开发支出明细表!C5</f>
        <v>0</v>
      </c>
      <c r="C5" s="561">
        <f>开发支出明细表!D5</f>
        <v>0</v>
      </c>
      <c r="D5" s="561">
        <f>开发支出明细表!E5</f>
        <v>0</v>
      </c>
      <c r="E5" s="561">
        <f>开发支出明细表!F5</f>
        <v>0</v>
      </c>
      <c r="F5" s="561">
        <f>开发支出明细表!G5</f>
        <v>0</v>
      </c>
      <c r="G5" s="561">
        <f>开发支出明细表!H5</f>
        <v>0</v>
      </c>
      <c r="H5" s="537">
        <f t="shared" si="0"/>
        <v>0</v>
      </c>
    </row>
    <row r="6" spans="1:8" ht="14.4">
      <c r="A6" s="155" t="s">
        <v>204</v>
      </c>
      <c r="B6" s="157">
        <f>SUM(B2:B5)</f>
        <v>0</v>
      </c>
      <c r="C6" s="157">
        <f t="shared" ref="C6:H6" si="1">SUM(C2:C5)</f>
        <v>0</v>
      </c>
      <c r="D6" s="157">
        <f t="shared" si="1"/>
        <v>0</v>
      </c>
      <c r="E6" s="157">
        <f t="shared" si="1"/>
        <v>0</v>
      </c>
      <c r="F6" s="157">
        <f t="shared" si="1"/>
        <v>0</v>
      </c>
      <c r="G6" s="157">
        <f t="shared" si="1"/>
        <v>0</v>
      </c>
      <c r="H6" s="157">
        <f t="shared" si="1"/>
        <v>0</v>
      </c>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sheetPr codeName="Sheet231"/>
  <dimension ref="A1:I11"/>
  <sheetViews>
    <sheetView workbookViewId="0">
      <selection activeCell="A4" sqref="A4"/>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30" bestFit="1" customWidth="1"/>
  </cols>
  <sheetData>
    <row r="1" spans="1:9">
      <c r="A1" t="s">
        <v>2427</v>
      </c>
      <c r="B1" t="s">
        <v>28</v>
      </c>
      <c r="C1" t="s">
        <v>285</v>
      </c>
      <c r="D1" t="s">
        <v>4447</v>
      </c>
      <c r="E1" t="s">
        <v>4448</v>
      </c>
      <c r="F1" t="s">
        <v>503</v>
      </c>
      <c r="G1" t="s">
        <v>504</v>
      </c>
      <c r="H1" t="s">
        <v>4449</v>
      </c>
      <c r="I1" s="230" t="s">
        <v>203</v>
      </c>
    </row>
    <row r="2" spans="1:9">
      <c r="A2" t="str">
        <f>IF(OR(C2&gt;0,I2&gt;0),基础信息!$B$1,"")</f>
        <v/>
      </c>
      <c r="B2" s="256"/>
      <c r="C2" s="256"/>
      <c r="D2" s="256"/>
      <c r="E2" s="256"/>
      <c r="F2" s="256"/>
      <c r="G2" s="256"/>
      <c r="H2" s="256"/>
      <c r="I2" s="230">
        <f>C2+D2+E2-F2-G2-H2</f>
        <v>0</v>
      </c>
    </row>
    <row r="3" spans="1:9">
      <c r="A3" t="str">
        <f>IF(OR(C3&gt;0,I3&gt;0),基础信息!$B$1,"")</f>
        <v/>
      </c>
      <c r="B3" s="256"/>
      <c r="C3" s="256"/>
      <c r="D3" s="256"/>
      <c r="E3" s="256"/>
      <c r="F3" s="256"/>
      <c r="G3" s="256"/>
      <c r="H3" s="256"/>
      <c r="I3" s="230">
        <f t="shared" ref="I3:I11" si="0">C3+D3+E3-F3-G3-H3</f>
        <v>0</v>
      </c>
    </row>
    <row r="4" spans="1:9">
      <c r="A4" t="str">
        <f>IF(OR(C4&gt;0,I4&gt;0),基础信息!$B$1,"")</f>
        <v/>
      </c>
      <c r="B4" s="256"/>
      <c r="C4" s="256"/>
      <c r="D4" s="256"/>
      <c r="E4" s="256"/>
      <c r="F4" s="256"/>
      <c r="G4" s="256"/>
      <c r="H4" s="256"/>
      <c r="I4" s="230">
        <f t="shared" si="0"/>
        <v>0</v>
      </c>
    </row>
    <row r="5" spans="1:9">
      <c r="A5" t="str">
        <f>IF(OR(C5&gt;0,I5&gt;0),基础信息!$B$1,"")</f>
        <v/>
      </c>
      <c r="B5" s="256"/>
      <c r="C5" s="256"/>
      <c r="D5" s="256"/>
      <c r="E5" s="256"/>
      <c r="F5" s="256"/>
      <c r="G5" s="256"/>
      <c r="H5" s="256"/>
      <c r="I5" s="230">
        <f t="shared" si="0"/>
        <v>0</v>
      </c>
    </row>
    <row r="6" spans="1:9">
      <c r="A6" t="str">
        <f>IF(OR(C6&gt;0,I6&gt;0),基础信息!$B$1,"")</f>
        <v/>
      </c>
      <c r="B6" s="256"/>
      <c r="C6" s="256"/>
      <c r="D6" s="256"/>
      <c r="E6" s="256"/>
      <c r="F6" s="256"/>
      <c r="G6" s="256"/>
      <c r="H6" s="256"/>
      <c r="I6" s="230">
        <f t="shared" si="0"/>
        <v>0</v>
      </c>
    </row>
    <row r="7" spans="1:9">
      <c r="A7" t="str">
        <f>IF(OR(C7&gt;0,I7&gt;0),基础信息!$B$1,"")</f>
        <v/>
      </c>
      <c r="B7" s="256"/>
      <c r="C7" s="256"/>
      <c r="D7" s="256"/>
      <c r="E7" s="256"/>
      <c r="F7" s="256"/>
      <c r="G7" s="256"/>
      <c r="H7" s="256"/>
      <c r="I7" s="230">
        <f t="shared" si="0"/>
        <v>0</v>
      </c>
    </row>
    <row r="8" spans="1:9">
      <c r="A8" t="str">
        <f>IF(OR(C8&gt;0,I8&gt;0),基础信息!$B$1,"")</f>
        <v/>
      </c>
      <c r="B8" s="256"/>
      <c r="C8" s="256"/>
      <c r="D8" s="256"/>
      <c r="E8" s="256"/>
      <c r="F8" s="256"/>
      <c r="G8" s="256"/>
      <c r="H8" s="256"/>
      <c r="I8" s="230">
        <f t="shared" si="0"/>
        <v>0</v>
      </c>
    </row>
    <row r="9" spans="1:9">
      <c r="A9" t="str">
        <f>IF(OR(C9&gt;0,I9&gt;0),基础信息!$B$1,"")</f>
        <v/>
      </c>
      <c r="B9" s="256"/>
      <c r="C9" s="256"/>
      <c r="D9" s="256"/>
      <c r="E9" s="256"/>
      <c r="F9" s="256"/>
      <c r="G9" s="256"/>
      <c r="H9" s="256"/>
      <c r="I9" s="230">
        <f t="shared" si="0"/>
        <v>0</v>
      </c>
    </row>
    <row r="10" spans="1:9">
      <c r="A10" t="str">
        <f>IF(OR(C10&gt;0,I10&gt;0),基础信息!$B$1,"")</f>
        <v/>
      </c>
      <c r="B10" s="256"/>
      <c r="C10" s="256"/>
      <c r="D10" s="256"/>
      <c r="E10" s="256"/>
      <c r="F10" s="256"/>
      <c r="G10" s="256"/>
      <c r="H10" s="256"/>
      <c r="I10" s="230">
        <f t="shared" si="0"/>
        <v>0</v>
      </c>
    </row>
    <row r="11" spans="1:9">
      <c r="B11" s="256"/>
      <c r="C11" s="256"/>
      <c r="D11" s="256"/>
      <c r="E11" s="256"/>
      <c r="F11" s="256"/>
      <c r="G11" s="256"/>
      <c r="H11" s="256"/>
      <c r="I11" s="230">
        <f t="shared" si="0"/>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codeName="Sheet232">
    <tabColor rgb="FFFFC000"/>
  </sheetPr>
  <dimension ref="A1:E4"/>
  <sheetViews>
    <sheetView workbookViewId="0">
      <selection activeCell="F12" sqref="F12"/>
    </sheetView>
  </sheetViews>
  <sheetFormatPr defaultRowHeight="13.8"/>
  <cols>
    <col min="1" max="1" width="13" style="18" customWidth="1"/>
    <col min="2" max="5" width="11.77734375" style="18" customWidth="1"/>
    <col min="6" max="16384" width="8.88671875" style="18"/>
  </cols>
  <sheetData>
    <row r="1" spans="1:5" ht="28.8">
      <c r="A1" s="20" t="s">
        <v>508</v>
      </c>
      <c r="B1" s="35" t="s">
        <v>200</v>
      </c>
      <c r="C1" s="35" t="s">
        <v>373</v>
      </c>
      <c r="D1" s="35" t="s">
        <v>366</v>
      </c>
      <c r="E1" s="35" t="s">
        <v>199</v>
      </c>
    </row>
    <row r="2" spans="1:5" ht="14.4">
      <c r="A2" s="324"/>
      <c r="B2" s="325"/>
      <c r="C2" s="265"/>
      <c r="D2" s="265"/>
      <c r="E2" s="265">
        <f>ROUND(B2+C2-D2,2)</f>
        <v>0</v>
      </c>
    </row>
    <row r="3" spans="1:5" ht="14.4">
      <c r="A3" s="324"/>
      <c r="B3" s="325"/>
      <c r="C3" s="265"/>
      <c r="D3" s="265"/>
      <c r="E3" s="265">
        <f>ROUND(B3+C3-D3,2)</f>
        <v>0</v>
      </c>
    </row>
    <row r="4" spans="1:5" ht="14.4">
      <c r="A4" s="49" t="s">
        <v>204</v>
      </c>
      <c r="B4" s="326">
        <f>ROUND(SUM(B2:B3),2)</f>
        <v>0</v>
      </c>
      <c r="C4" s="326">
        <f>ROUND(SUM(C2:C3),2)</f>
        <v>0</v>
      </c>
      <c r="D4" s="326">
        <f>ROUND(SUM(D2:D3),2)</f>
        <v>0</v>
      </c>
      <c r="E4" s="326">
        <f>ROUND(SUM(E2:E3),2)</f>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codeName="Sheet233">
    <tabColor rgb="FFFFC000"/>
  </sheetPr>
  <dimension ref="A1:E4"/>
  <sheetViews>
    <sheetView workbookViewId="0">
      <selection activeCell="H15" sqref="H15"/>
    </sheetView>
  </sheetViews>
  <sheetFormatPr defaultRowHeight="13.8"/>
  <cols>
    <col min="1" max="1" width="16.5546875" style="18" customWidth="1"/>
    <col min="2" max="16384" width="8.88671875" style="18"/>
  </cols>
  <sheetData>
    <row r="1" spans="1:5" ht="14.4">
      <c r="A1" s="20" t="s">
        <v>508</v>
      </c>
      <c r="B1" s="35" t="s">
        <v>200</v>
      </c>
      <c r="C1" s="35" t="s">
        <v>373</v>
      </c>
      <c r="D1" s="35" t="s">
        <v>366</v>
      </c>
      <c r="E1" s="35" t="s">
        <v>199</v>
      </c>
    </row>
    <row r="2" spans="1:5" ht="14.4">
      <c r="A2" s="324"/>
      <c r="B2" s="325"/>
      <c r="C2" s="265"/>
      <c r="D2" s="265"/>
      <c r="E2" s="157">
        <f>ROUND(B2+C2-D2,2)</f>
        <v>0</v>
      </c>
    </row>
    <row r="3" spans="1:5" ht="14.4">
      <c r="A3" s="324"/>
      <c r="B3" s="325"/>
      <c r="C3" s="265"/>
      <c r="D3" s="265"/>
      <c r="E3" s="157">
        <f>ROUND(B3+C3-D3,2)</f>
        <v>0</v>
      </c>
    </row>
    <row r="4" spans="1:5" ht="14.4">
      <c r="A4" s="49" t="s">
        <v>204</v>
      </c>
      <c r="B4" s="326">
        <f>ROUND(SUM(B2:B3),2)</f>
        <v>0</v>
      </c>
      <c r="C4" s="326">
        <f>ROUND(SUM(C2:C3),2)</f>
        <v>0</v>
      </c>
      <c r="D4" s="326">
        <f>ROUND(SUM(D2:D3),2)</f>
        <v>0</v>
      </c>
      <c r="E4" s="326">
        <f>ROUND(SUM(E2:E3),2)</f>
        <v>0</v>
      </c>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sheetPr codeName="Sheet234"/>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30"/>
    <col min="9" max="9" width="18.33203125" style="230" bestFit="1" customWidth="1"/>
    <col min="10" max="10" width="10.6640625" style="230" bestFit="1" customWidth="1"/>
    <col min="11" max="12" width="8.6640625" style="230" bestFit="1" customWidth="1"/>
    <col min="13" max="13" width="8.88671875" style="230"/>
  </cols>
  <sheetData>
    <row r="1" spans="1:12">
      <c r="A1" t="s">
        <v>2427</v>
      </c>
      <c r="B1" t="s">
        <v>3151</v>
      </c>
      <c r="C1" t="s">
        <v>260</v>
      </c>
      <c r="D1" t="s">
        <v>391</v>
      </c>
      <c r="E1" t="s">
        <v>509</v>
      </c>
      <c r="F1" s="230" t="s">
        <v>258</v>
      </c>
      <c r="G1" s="230" t="s">
        <v>4347</v>
      </c>
      <c r="H1" s="230" t="s">
        <v>2389</v>
      </c>
      <c r="I1" s="230" t="s">
        <v>4450</v>
      </c>
      <c r="J1" s="230" t="s">
        <v>4346</v>
      </c>
      <c r="K1" s="230" t="s">
        <v>200</v>
      </c>
      <c r="L1" s="230" t="s">
        <v>199</v>
      </c>
    </row>
    <row r="2" spans="1:12">
      <c r="A2" t="str">
        <f>IF(OR(C2&gt;0,F2&gt;0),基础信息!$B$1,"")</f>
        <v/>
      </c>
      <c r="B2" s="256"/>
      <c r="C2" s="256"/>
      <c r="D2" s="256"/>
      <c r="E2" s="256"/>
      <c r="F2" s="230">
        <f>C2+D2-E2</f>
        <v>0</v>
      </c>
      <c r="G2" s="290"/>
      <c r="H2" s="290"/>
      <c r="I2" s="290"/>
      <c r="J2" s="230">
        <f>G2+H2-I2</f>
        <v>0</v>
      </c>
      <c r="K2" s="230">
        <f>C2-G2</f>
        <v>0</v>
      </c>
      <c r="L2" s="230">
        <f>F2-J2</f>
        <v>0</v>
      </c>
    </row>
    <row r="3" spans="1:12">
      <c r="A3" t="str">
        <f>IF(OR(C3&gt;0,F3&gt;0),基础信息!$B$1,"")</f>
        <v/>
      </c>
      <c r="B3" s="256"/>
      <c r="C3" s="256"/>
      <c r="D3" s="256"/>
      <c r="E3" s="256"/>
      <c r="F3" s="230">
        <f>C3+D3-E3</f>
        <v>0</v>
      </c>
      <c r="G3" s="290"/>
      <c r="H3" s="290"/>
      <c r="I3" s="290"/>
      <c r="J3" s="230">
        <f>G3+H3-I3</f>
        <v>0</v>
      </c>
      <c r="K3" s="230">
        <f>C3-G3</f>
        <v>0</v>
      </c>
      <c r="L3" s="230">
        <f>F3-J3</f>
        <v>0</v>
      </c>
    </row>
    <row r="4" spans="1:12">
      <c r="A4" t="str">
        <f>IF(OR(C4&gt;0,F4&gt;0),基础信息!$B$1,"")</f>
        <v/>
      </c>
      <c r="B4" s="256"/>
      <c r="C4" s="256"/>
      <c r="D4" s="256"/>
      <c r="E4" s="256"/>
      <c r="F4" s="230">
        <f t="shared" ref="F4:F14" si="0">C4+D4-E4</f>
        <v>0</v>
      </c>
      <c r="G4" s="290"/>
      <c r="H4" s="290"/>
      <c r="I4" s="290"/>
      <c r="J4" s="230">
        <f t="shared" ref="J4:J14" si="1">G4+H4-I4</f>
        <v>0</v>
      </c>
      <c r="K4" s="230">
        <f t="shared" ref="K4:K14" si="2">C4-G4</f>
        <v>0</v>
      </c>
      <c r="L4" s="230">
        <f t="shared" ref="L4:L14" si="3">F4-J4</f>
        <v>0</v>
      </c>
    </row>
    <row r="5" spans="1:12">
      <c r="A5" t="str">
        <f>IF(OR(C5&gt;0,F5&gt;0),基础信息!$B$1,"")</f>
        <v/>
      </c>
      <c r="B5" s="256"/>
      <c r="C5" s="256"/>
      <c r="D5" s="256"/>
      <c r="E5" s="256"/>
      <c r="F5" s="230">
        <f t="shared" si="0"/>
        <v>0</v>
      </c>
      <c r="G5" s="290"/>
      <c r="H5" s="290"/>
      <c r="I5" s="290"/>
      <c r="J5" s="230">
        <f t="shared" si="1"/>
        <v>0</v>
      </c>
      <c r="K5" s="230">
        <f t="shared" si="2"/>
        <v>0</v>
      </c>
      <c r="L5" s="230">
        <f t="shared" si="3"/>
        <v>0</v>
      </c>
    </row>
    <row r="6" spans="1:12">
      <c r="A6" t="str">
        <f>IF(OR(C6&gt;0,F6&gt;0),基础信息!$B$1,"")</f>
        <v/>
      </c>
      <c r="B6" s="256"/>
      <c r="C6" s="256"/>
      <c r="D6" s="256"/>
      <c r="E6" s="256"/>
      <c r="F6" s="230">
        <f t="shared" si="0"/>
        <v>0</v>
      </c>
      <c r="G6" s="290"/>
      <c r="H6" s="290"/>
      <c r="I6" s="290"/>
      <c r="J6" s="230">
        <f t="shared" si="1"/>
        <v>0</v>
      </c>
      <c r="K6" s="230">
        <f t="shared" si="2"/>
        <v>0</v>
      </c>
      <c r="L6" s="230">
        <f t="shared" si="3"/>
        <v>0</v>
      </c>
    </row>
    <row r="7" spans="1:12">
      <c r="A7" t="str">
        <f>IF(OR(C7&gt;0,F7&gt;0),基础信息!$B$1,"")</f>
        <v/>
      </c>
      <c r="B7" s="256"/>
      <c r="C7" s="256"/>
      <c r="D7" s="256"/>
      <c r="E7" s="256"/>
      <c r="F7" s="230">
        <f t="shared" si="0"/>
        <v>0</v>
      </c>
      <c r="G7" s="290"/>
      <c r="H7" s="290"/>
      <c r="I7" s="290"/>
      <c r="J7" s="230">
        <f t="shared" si="1"/>
        <v>0</v>
      </c>
      <c r="K7" s="230">
        <f t="shared" si="2"/>
        <v>0</v>
      </c>
      <c r="L7" s="230">
        <f t="shared" si="3"/>
        <v>0</v>
      </c>
    </row>
    <row r="8" spans="1:12">
      <c r="A8" t="str">
        <f>IF(OR(C8&gt;0,F8&gt;0),基础信息!$B$1,"")</f>
        <v/>
      </c>
      <c r="B8" s="256"/>
      <c r="C8" s="256"/>
      <c r="D8" s="256"/>
      <c r="E8" s="256"/>
      <c r="F8" s="230">
        <f t="shared" si="0"/>
        <v>0</v>
      </c>
      <c r="G8" s="290"/>
      <c r="H8" s="290"/>
      <c r="I8" s="290"/>
      <c r="J8" s="230">
        <f t="shared" si="1"/>
        <v>0</v>
      </c>
      <c r="K8" s="230">
        <f t="shared" si="2"/>
        <v>0</v>
      </c>
      <c r="L8" s="230">
        <f t="shared" si="3"/>
        <v>0</v>
      </c>
    </row>
    <row r="9" spans="1:12">
      <c r="A9" t="str">
        <f>IF(OR(C9&gt;0,F9&gt;0),基础信息!$B$1,"")</f>
        <v/>
      </c>
      <c r="B9" s="256"/>
      <c r="C9" s="256"/>
      <c r="D9" s="256"/>
      <c r="E9" s="256"/>
      <c r="F9" s="230">
        <f t="shared" si="0"/>
        <v>0</v>
      </c>
      <c r="G9" s="290"/>
      <c r="H9" s="290"/>
      <c r="I9" s="290"/>
      <c r="J9" s="230">
        <f t="shared" si="1"/>
        <v>0</v>
      </c>
      <c r="K9" s="230">
        <f t="shared" si="2"/>
        <v>0</v>
      </c>
      <c r="L9" s="230">
        <f t="shared" si="3"/>
        <v>0</v>
      </c>
    </row>
    <row r="10" spans="1:12">
      <c r="A10" t="str">
        <f>IF(OR(C10&gt;0,F10&gt;0),基础信息!$B$1,"")</f>
        <v/>
      </c>
      <c r="B10" s="256"/>
      <c r="C10" s="256"/>
      <c r="D10" s="256"/>
      <c r="E10" s="256"/>
      <c r="F10" s="230">
        <f t="shared" si="0"/>
        <v>0</v>
      </c>
      <c r="G10" s="290"/>
      <c r="H10" s="290"/>
      <c r="I10" s="290"/>
      <c r="J10" s="230">
        <f t="shared" si="1"/>
        <v>0</v>
      </c>
      <c r="K10" s="230">
        <f t="shared" si="2"/>
        <v>0</v>
      </c>
      <c r="L10" s="230">
        <f t="shared" si="3"/>
        <v>0</v>
      </c>
    </row>
    <row r="11" spans="1:12">
      <c r="A11" t="str">
        <f>IF(OR(C11&gt;0,F11&gt;0),基础信息!$B$1,"")</f>
        <v/>
      </c>
      <c r="B11" s="256"/>
      <c r="C11" s="256"/>
      <c r="D11" s="256"/>
      <c r="E11" s="256"/>
      <c r="F11" s="230">
        <f t="shared" si="0"/>
        <v>0</v>
      </c>
      <c r="G11" s="290"/>
      <c r="H11" s="290"/>
      <c r="I11" s="290"/>
      <c r="J11" s="230">
        <f t="shared" si="1"/>
        <v>0</v>
      </c>
      <c r="K11" s="230">
        <f t="shared" si="2"/>
        <v>0</v>
      </c>
      <c r="L11" s="230">
        <f t="shared" si="3"/>
        <v>0</v>
      </c>
    </row>
    <row r="12" spans="1:12">
      <c r="A12" t="str">
        <f>IF(OR(C12&gt;0,F12&gt;0),基础信息!$B$1,"")</f>
        <v/>
      </c>
      <c r="B12" s="256"/>
      <c r="C12" s="256"/>
      <c r="D12" s="256"/>
      <c r="E12" s="256"/>
      <c r="F12" s="230">
        <f t="shared" si="0"/>
        <v>0</v>
      </c>
      <c r="G12" s="290"/>
      <c r="H12" s="290"/>
      <c r="I12" s="290"/>
      <c r="J12" s="230">
        <f t="shared" si="1"/>
        <v>0</v>
      </c>
      <c r="K12" s="230">
        <f t="shared" si="2"/>
        <v>0</v>
      </c>
      <c r="L12" s="230">
        <f t="shared" si="3"/>
        <v>0</v>
      </c>
    </row>
    <row r="13" spans="1:12">
      <c r="A13" t="str">
        <f>IF(OR(C13&gt;0,F13&gt;0),基础信息!$B$1,"")</f>
        <v/>
      </c>
      <c r="B13" s="256"/>
      <c r="C13" s="256"/>
      <c r="D13" s="256"/>
      <c r="E13" s="256"/>
      <c r="F13" s="230">
        <f t="shared" si="0"/>
        <v>0</v>
      </c>
      <c r="G13" s="290"/>
      <c r="H13" s="290"/>
      <c r="I13" s="290"/>
      <c r="J13" s="230">
        <f t="shared" si="1"/>
        <v>0</v>
      </c>
      <c r="K13" s="230">
        <f t="shared" si="2"/>
        <v>0</v>
      </c>
      <c r="L13" s="230">
        <f t="shared" si="3"/>
        <v>0</v>
      </c>
    </row>
    <row r="14" spans="1:12">
      <c r="A14" t="str">
        <f>IF(OR(C14&gt;0,F14&gt;0),基础信息!$B$1,"")</f>
        <v/>
      </c>
      <c r="B14" s="256"/>
      <c r="C14" s="256"/>
      <c r="D14" s="256"/>
      <c r="E14" s="256"/>
      <c r="F14" s="230">
        <f t="shared" si="0"/>
        <v>0</v>
      </c>
      <c r="G14" s="290"/>
      <c r="H14" s="290"/>
      <c r="I14" s="290"/>
      <c r="J14" s="230">
        <f t="shared" si="1"/>
        <v>0</v>
      </c>
      <c r="K14" s="230">
        <f t="shared" si="2"/>
        <v>0</v>
      </c>
      <c r="L14" s="230">
        <f t="shared" si="3"/>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codeName="Sheet235">
    <tabColor rgb="FFFFC000"/>
  </sheetPr>
  <dimension ref="A1:G10"/>
  <sheetViews>
    <sheetView workbookViewId="0">
      <selection activeCell="F9" sqref="F8:F9"/>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373</v>
      </c>
      <c r="D1" s="35" t="s">
        <v>511</v>
      </c>
      <c r="E1" s="35" t="s">
        <v>390</v>
      </c>
      <c r="F1" s="35" t="s">
        <v>199</v>
      </c>
      <c r="G1" s="20" t="s">
        <v>510</v>
      </c>
    </row>
    <row r="2" spans="1:7" ht="14.4">
      <c r="A2" s="635"/>
      <c r="B2" s="294">
        <f>ROUND(SUMIF(长期待摊费用明细表!B:B,,长期待摊费用明细表!G:G),2)</f>
        <v>0</v>
      </c>
      <c r="C2" s="294">
        <f>ROUND(SUMIF(长期待摊费用明细表!B:B,A2,长期待摊费用明细表!H:H),2)</f>
        <v>0</v>
      </c>
      <c r="D2" s="294">
        <f>ROUND(SUMIF(长期待摊费用明细表!B:B,A2,长期待摊费用明细表!I:I),2)</f>
        <v>0</v>
      </c>
      <c r="E2" s="294">
        <f>ROUND(SUMIF(长期待摊费用明细表!B:B,A2,长期待摊费用明细表!J:J),2)</f>
        <v>0</v>
      </c>
      <c r="F2" s="291">
        <f>ROUND(B2+C2-D2-E2,2)</f>
        <v>0</v>
      </c>
      <c r="G2" s="567"/>
    </row>
    <row r="3" spans="1:7" ht="14.4">
      <c r="A3" s="635"/>
      <c r="B3" s="294">
        <f>ROUND(SUMIF(长期待摊费用明细表!B:B,,长期待摊费用明细表!G:G),2)</f>
        <v>0</v>
      </c>
      <c r="C3" s="294">
        <f>ROUND(SUMIF(长期待摊费用明细表!B:B,A3,长期待摊费用明细表!H:H),2)</f>
        <v>0</v>
      </c>
      <c r="D3" s="294">
        <f>ROUND(SUMIF(长期待摊费用明细表!B:B,A3,长期待摊费用明细表!I:I),2)</f>
        <v>0</v>
      </c>
      <c r="E3" s="294">
        <f>ROUND(SUMIF(长期待摊费用明细表!B:B,A3,长期待摊费用明细表!J:J),2)</f>
        <v>0</v>
      </c>
      <c r="F3" s="291">
        <f>ROUND(B3+C3-D3-E3,2)</f>
        <v>0</v>
      </c>
      <c r="G3" s="567"/>
    </row>
    <row r="4" spans="1:7" ht="14.4">
      <c r="A4" s="635"/>
      <c r="B4" s="294">
        <f>ROUND(SUMIF(长期待摊费用明细表!B:B,,长期待摊费用明细表!G:G),2)</f>
        <v>0</v>
      </c>
      <c r="C4" s="294">
        <f>ROUND(SUMIF(长期待摊费用明细表!B:B,A4,长期待摊费用明细表!H:H),2)</f>
        <v>0</v>
      </c>
      <c r="D4" s="294">
        <f>ROUND(SUMIF(长期待摊费用明细表!B:B,A4,长期待摊费用明细表!I:I),2)</f>
        <v>0</v>
      </c>
      <c r="E4" s="294">
        <f>ROUND(SUMIF(长期待摊费用明细表!B:B,A4,长期待摊费用明细表!J:J),2)</f>
        <v>0</v>
      </c>
      <c r="F4" s="291">
        <f>ROUND(B4+C4-D4-E4,2)</f>
        <v>0</v>
      </c>
      <c r="G4" s="567"/>
    </row>
    <row r="5" spans="1:7" ht="14.4">
      <c r="A5" s="635"/>
      <c r="B5" s="294">
        <f>ROUND(SUMIF(长期待摊费用明细表!B:B,,长期待摊费用明细表!G:G),2)</f>
        <v>0</v>
      </c>
      <c r="C5" s="294">
        <f>ROUND(SUMIF(长期待摊费用明细表!B:B,A5,长期待摊费用明细表!H:H),2)</f>
        <v>0</v>
      </c>
      <c r="D5" s="294">
        <f>ROUND(SUMIF(长期待摊费用明细表!B:B,A5,长期待摊费用明细表!I:I),2)</f>
        <v>0</v>
      </c>
      <c r="E5" s="294">
        <f>ROUND(SUMIF(长期待摊费用明细表!B:B,A5,长期待摊费用明细表!J:J),2)</f>
        <v>0</v>
      </c>
      <c r="F5" s="291">
        <f>ROUND(B5+C5-D5-E5,2)</f>
        <v>0</v>
      </c>
      <c r="G5" s="567"/>
    </row>
    <row r="6" spans="1:7" ht="14.4">
      <c r="A6" s="635"/>
      <c r="B6" s="294">
        <f>ROUND(SUMIF(长期待摊费用明细表!B:B,,长期待摊费用明细表!G:G),2)</f>
        <v>0</v>
      </c>
      <c r="C6" s="294">
        <f>ROUND(SUMIF(长期待摊费用明细表!B:B,A6,长期待摊费用明细表!H:H),2)</f>
        <v>0</v>
      </c>
      <c r="D6" s="294">
        <f>ROUND(SUMIF(长期待摊费用明细表!B:B,A6,长期待摊费用明细表!I:I),2)</f>
        <v>0</v>
      </c>
      <c r="E6" s="294">
        <f>ROUND(SUMIF(长期待摊费用明细表!B:B,A6,长期待摊费用明细表!J:J),2)</f>
        <v>0</v>
      </c>
      <c r="F6" s="291">
        <f>ROUND(B6+C6-D6-E6,2)</f>
        <v>0</v>
      </c>
      <c r="G6" s="567"/>
    </row>
    <row r="7" spans="1:7" ht="14.4">
      <c r="A7" s="635"/>
      <c r="B7" s="294">
        <f>ROUND(SUMIF(长期待摊费用明细表!B:B,,长期待摊费用明细表!G:G),2)</f>
        <v>0</v>
      </c>
      <c r="C7" s="294">
        <f>ROUND(SUMIF(长期待摊费用明细表!B:B,A7,长期待摊费用明细表!H:H),2)</f>
        <v>0</v>
      </c>
      <c r="D7" s="294">
        <f>ROUND(SUMIF(长期待摊费用明细表!B:B,A7,长期待摊费用明细表!I:I),2)</f>
        <v>0</v>
      </c>
      <c r="E7" s="294">
        <f>ROUND(SUMIF(长期待摊费用明细表!B:B,A7,长期待摊费用明细表!J:J),2)</f>
        <v>0</v>
      </c>
      <c r="F7" s="291">
        <f>ROUND(B7+C7-D7-E7,2)</f>
        <v>0</v>
      </c>
      <c r="G7" s="567"/>
    </row>
    <row r="8" spans="1:7" ht="14.4">
      <c r="A8" s="635"/>
      <c r="B8" s="294">
        <f>ROUND(SUMIF(长期待摊费用明细表!B:B,,长期待摊费用明细表!G:G),2)</f>
        <v>0</v>
      </c>
      <c r="C8" s="294">
        <f>ROUND(SUMIF(长期待摊费用明细表!B:B,A8,长期待摊费用明细表!H:H),2)</f>
        <v>0</v>
      </c>
      <c r="D8" s="294">
        <f>ROUND(SUMIF(长期待摊费用明细表!B:B,A8,长期待摊费用明细表!I:I),2)</f>
        <v>0</v>
      </c>
      <c r="E8" s="294">
        <f>ROUND(SUMIF(长期待摊费用明细表!B:B,A8,长期待摊费用明细表!J:J),2)</f>
        <v>0</v>
      </c>
      <c r="F8" s="291">
        <f>ROUND(B8+C8-D8-E8,2)</f>
        <v>0</v>
      </c>
      <c r="G8" s="567"/>
    </row>
    <row r="9" spans="1:7" ht="14.4">
      <c r="A9" s="635"/>
      <c r="B9" s="294">
        <f>ROUND(SUMIF(长期待摊费用明细表!B:B,,长期待摊费用明细表!G:G),2)</f>
        <v>0</v>
      </c>
      <c r="C9" s="294">
        <f>ROUND(SUMIF(长期待摊费用明细表!B:B,A9,长期待摊费用明细表!H:H),2)</f>
        <v>0</v>
      </c>
      <c r="D9" s="294">
        <f>ROUND(SUMIF(长期待摊费用明细表!B:B,A9,长期待摊费用明细表!I:I),2)</f>
        <v>0</v>
      </c>
      <c r="E9" s="294">
        <f>ROUND(SUMIF(长期待摊费用明细表!B:B,A9,长期待摊费用明细表!J:J),2)</f>
        <v>0</v>
      </c>
      <c r="F9" s="291">
        <f>ROUND(B9+C9-D9-E9,2)</f>
        <v>0</v>
      </c>
      <c r="G9" s="567"/>
    </row>
    <row r="10" spans="1:7" ht="14.4">
      <c r="A10" s="53" t="s">
        <v>204</v>
      </c>
      <c r="B10" s="708">
        <f>ROUND(SUM(B2:B9),2)</f>
        <v>0</v>
      </c>
      <c r="C10" s="708">
        <f>ROUND(SUM(C2:C9),2)</f>
        <v>0</v>
      </c>
      <c r="D10" s="708">
        <f>ROUND(SUM(D2:D9),2)</f>
        <v>0</v>
      </c>
      <c r="E10" s="708">
        <f>ROUND(SUM(E2:E9),2)</f>
        <v>0</v>
      </c>
      <c r="F10" s="708">
        <f>ROUND(SUM(F2:F9),2)</f>
        <v>0</v>
      </c>
      <c r="G10" s="38"/>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sheetPr codeName="Sheet236"/>
  <dimension ref="A1:N9"/>
  <sheetViews>
    <sheetView workbookViewId="0">
      <selection activeCell="I29" sqref="I29"/>
    </sheetView>
  </sheetViews>
  <sheetFormatPr defaultRowHeight="13.8"/>
  <cols>
    <col min="3" max="3" width="11.6640625" bestFit="1" customWidth="1"/>
    <col min="4" max="4" width="13.88671875" bestFit="1" customWidth="1"/>
    <col min="6" max="6" width="13.88671875" bestFit="1" customWidth="1"/>
    <col min="7" max="7" width="7.5546875" style="230" bestFit="1" customWidth="1"/>
    <col min="8" max="10" width="9.5546875" style="230" bestFit="1" customWidth="1"/>
    <col min="11" max="11" width="9.5546875" style="230" customWidth="1"/>
    <col min="12" max="12" width="13.88671875" style="230" bestFit="1" customWidth="1"/>
    <col min="13" max="13" width="7.5546875" style="230" bestFit="1" customWidth="1"/>
    <col min="14" max="14" width="16.109375" style="230" bestFit="1" customWidth="1"/>
  </cols>
  <sheetData>
    <row r="1" spans="1:14">
      <c r="A1" t="s">
        <v>2427</v>
      </c>
      <c r="B1" t="s">
        <v>28</v>
      </c>
      <c r="C1" t="s">
        <v>4452</v>
      </c>
      <c r="D1" t="s">
        <v>4453</v>
      </c>
      <c r="E1" t="s">
        <v>4456</v>
      </c>
      <c r="F1" t="s">
        <v>4451</v>
      </c>
      <c r="G1" s="230" t="s">
        <v>285</v>
      </c>
      <c r="H1" s="230" t="s">
        <v>391</v>
      </c>
      <c r="I1" s="230" t="s">
        <v>392</v>
      </c>
      <c r="J1" s="230" t="s">
        <v>480</v>
      </c>
      <c r="K1" s="230" t="s">
        <v>4454</v>
      </c>
      <c r="L1" s="230" t="s">
        <v>4455</v>
      </c>
      <c r="M1" s="230" t="s">
        <v>203</v>
      </c>
      <c r="N1" s="230" t="s">
        <v>510</v>
      </c>
    </row>
    <row r="2" spans="1:14">
      <c r="A2" t="str">
        <f>IF(OR(G2&gt;0,M2&gt;0),基础信息!$B$1,"")</f>
        <v/>
      </c>
      <c r="B2" s="256"/>
      <c r="C2" s="256"/>
      <c r="D2" s="256"/>
      <c r="E2" s="256"/>
      <c r="F2" s="256"/>
      <c r="G2" s="230">
        <f>E2-F2</f>
        <v>0</v>
      </c>
      <c r="H2" s="290"/>
      <c r="I2" s="230">
        <f>IFERROR(E2*D2/C2,0)</f>
        <v>0</v>
      </c>
      <c r="J2" s="290"/>
      <c r="K2" s="230">
        <f>E2+H2-J2</f>
        <v>0</v>
      </c>
      <c r="L2" s="230">
        <f>F2+I2</f>
        <v>0</v>
      </c>
      <c r="M2" s="230">
        <f>K2-L2</f>
        <v>0</v>
      </c>
      <c r="N2" s="290"/>
    </row>
    <row r="3" spans="1:14">
      <c r="A3" t="str">
        <f>IF(OR(G3&gt;0,M3&gt;0),基础信息!$B$1,"")</f>
        <v/>
      </c>
      <c r="B3" s="256"/>
      <c r="C3" s="256"/>
      <c r="D3" s="256"/>
      <c r="E3" s="256"/>
      <c r="F3" s="256"/>
      <c r="G3" s="230">
        <f t="shared" ref="G3:G9" si="0">E3-F3</f>
        <v>0</v>
      </c>
      <c r="H3" s="290"/>
      <c r="I3" s="230">
        <f t="shared" ref="I3:I9" si="1">IFERROR(E3*D3/C3,0)</f>
        <v>0</v>
      </c>
      <c r="J3" s="290"/>
      <c r="K3" s="230">
        <f t="shared" ref="K3:K9" si="2">E3+H3-J3</f>
        <v>0</v>
      </c>
      <c r="L3" s="230">
        <f t="shared" ref="L3:L9" si="3">F3+I3</f>
        <v>0</v>
      </c>
      <c r="M3" s="230">
        <f t="shared" ref="M3:M9" si="4">K3-L3</f>
        <v>0</v>
      </c>
      <c r="N3" s="290"/>
    </row>
    <row r="4" spans="1:14">
      <c r="A4" t="str">
        <f>IF(OR(G4&gt;0,M4&gt;0),基础信息!$B$1,"")</f>
        <v/>
      </c>
      <c r="B4" s="256"/>
      <c r="C4" s="256"/>
      <c r="D4" s="256"/>
      <c r="E4" s="256"/>
      <c r="F4" s="256"/>
      <c r="G4" s="230">
        <f t="shared" si="0"/>
        <v>0</v>
      </c>
      <c r="H4" s="290"/>
      <c r="I4" s="230">
        <f t="shared" si="1"/>
        <v>0</v>
      </c>
      <c r="J4" s="290"/>
      <c r="K4" s="230">
        <f t="shared" si="2"/>
        <v>0</v>
      </c>
      <c r="L4" s="230">
        <f t="shared" si="3"/>
        <v>0</v>
      </c>
      <c r="M4" s="230">
        <f t="shared" si="4"/>
        <v>0</v>
      </c>
      <c r="N4" s="290"/>
    </row>
    <row r="5" spans="1:14">
      <c r="A5" t="str">
        <f>IF(OR(G5&gt;0,M5&gt;0),基础信息!$B$1,"")</f>
        <v/>
      </c>
      <c r="B5" s="256"/>
      <c r="C5" s="256"/>
      <c r="D5" s="256"/>
      <c r="E5" s="256"/>
      <c r="F5" s="256"/>
      <c r="G5" s="230">
        <f t="shared" si="0"/>
        <v>0</v>
      </c>
      <c r="H5" s="290"/>
      <c r="I5" s="230">
        <f t="shared" si="1"/>
        <v>0</v>
      </c>
      <c r="J5" s="290"/>
      <c r="K5" s="230">
        <f t="shared" si="2"/>
        <v>0</v>
      </c>
      <c r="L5" s="230">
        <f t="shared" si="3"/>
        <v>0</v>
      </c>
      <c r="M5" s="230">
        <f t="shared" si="4"/>
        <v>0</v>
      </c>
      <c r="N5" s="290"/>
    </row>
    <row r="6" spans="1:14">
      <c r="A6" t="str">
        <f>IF(OR(G6&gt;0,M6&gt;0),基础信息!$B$1,"")</f>
        <v/>
      </c>
      <c r="B6" s="256"/>
      <c r="C6" s="256"/>
      <c r="D6" s="256"/>
      <c r="E6" s="256"/>
      <c r="F6" s="256"/>
      <c r="G6" s="230">
        <f t="shared" si="0"/>
        <v>0</v>
      </c>
      <c r="H6" s="290"/>
      <c r="I6" s="230">
        <f t="shared" si="1"/>
        <v>0</v>
      </c>
      <c r="J6" s="290"/>
      <c r="K6" s="230">
        <f t="shared" si="2"/>
        <v>0</v>
      </c>
      <c r="L6" s="230">
        <f t="shared" si="3"/>
        <v>0</v>
      </c>
      <c r="M6" s="230">
        <f t="shared" si="4"/>
        <v>0</v>
      </c>
      <c r="N6" s="290"/>
    </row>
    <row r="7" spans="1:14">
      <c r="A7" t="str">
        <f>IF(OR(G7&gt;0,M7&gt;0),基础信息!$B$1,"")</f>
        <v/>
      </c>
      <c r="B7" s="256"/>
      <c r="C7" s="256"/>
      <c r="D7" s="256"/>
      <c r="E7" s="256"/>
      <c r="F7" s="256"/>
      <c r="G7" s="230">
        <f t="shared" si="0"/>
        <v>0</v>
      </c>
      <c r="H7" s="290"/>
      <c r="I7" s="230">
        <f t="shared" si="1"/>
        <v>0</v>
      </c>
      <c r="J7" s="290"/>
      <c r="K7" s="230">
        <f t="shared" si="2"/>
        <v>0</v>
      </c>
      <c r="L7" s="230">
        <f t="shared" si="3"/>
        <v>0</v>
      </c>
      <c r="M7" s="230">
        <f t="shared" si="4"/>
        <v>0</v>
      </c>
      <c r="N7" s="290"/>
    </row>
    <row r="8" spans="1:14">
      <c r="A8" t="str">
        <f>IF(OR(G8&gt;0,M8&gt;0),基础信息!$B$1,"")</f>
        <v/>
      </c>
      <c r="B8" s="256"/>
      <c r="C8" s="256"/>
      <c r="D8" s="256"/>
      <c r="E8" s="256"/>
      <c r="F8" s="256"/>
      <c r="G8" s="230">
        <f t="shared" si="0"/>
        <v>0</v>
      </c>
      <c r="H8" s="290"/>
      <c r="I8" s="230">
        <f t="shared" si="1"/>
        <v>0</v>
      </c>
      <c r="J8" s="290"/>
      <c r="K8" s="230">
        <f t="shared" si="2"/>
        <v>0</v>
      </c>
      <c r="L8" s="230">
        <f t="shared" si="3"/>
        <v>0</v>
      </c>
      <c r="M8" s="230">
        <f t="shared" si="4"/>
        <v>0</v>
      </c>
      <c r="N8" s="290"/>
    </row>
    <row r="9" spans="1:14">
      <c r="A9" t="str">
        <f>IF(OR(G9&gt;0,M9&gt;0),基础信息!$B$1,"")</f>
        <v/>
      </c>
      <c r="B9" s="256"/>
      <c r="C9" s="256"/>
      <c r="D9" s="256"/>
      <c r="E9" s="256"/>
      <c r="F9" s="256"/>
      <c r="G9" s="230">
        <f t="shared" si="0"/>
        <v>0</v>
      </c>
      <c r="H9" s="290"/>
      <c r="I9" s="230">
        <f t="shared" si="1"/>
        <v>0</v>
      </c>
      <c r="J9" s="290"/>
      <c r="K9" s="230">
        <f t="shared" si="2"/>
        <v>0</v>
      </c>
      <c r="L9" s="230">
        <f t="shared" si="3"/>
        <v>0</v>
      </c>
      <c r="M9" s="230">
        <f t="shared" si="4"/>
        <v>0</v>
      </c>
      <c r="N9" s="290"/>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codeName="Sheet237">
    <tabColor rgb="FFFFC000"/>
  </sheetPr>
  <dimension ref="A1:E53"/>
  <sheetViews>
    <sheetView topLeftCell="A19" workbookViewId="0">
      <selection activeCell="J46" sqref="J46"/>
    </sheetView>
  </sheetViews>
  <sheetFormatPr defaultRowHeight="13.8"/>
  <cols>
    <col min="1" max="1" width="37.77734375" style="18" customWidth="1"/>
    <col min="2" max="16384" width="8.88671875" style="18"/>
  </cols>
  <sheetData>
    <row r="1" spans="1:5" ht="43.2">
      <c r="A1" s="32" t="s">
        <v>28</v>
      </c>
      <c r="B1" s="32" t="s">
        <v>513</v>
      </c>
      <c r="C1" s="32" t="s">
        <v>4230</v>
      </c>
      <c r="D1" s="32" t="s">
        <v>514</v>
      </c>
      <c r="E1" s="32" t="s">
        <v>515</v>
      </c>
    </row>
    <row r="2" spans="1:5" ht="14.4">
      <c r="A2" s="568" t="s">
        <v>57</v>
      </c>
      <c r="B2" s="569">
        <f>ROUND(SUMIF(可抵扣暂时性差异明细表!B:B,A2,可抵扣暂时性差异明细表!Q:Q),2)</f>
        <v>0</v>
      </c>
      <c r="C2" s="569">
        <f>ROUND(SUMIF(可抵扣暂时性差异明细表!B:B,A2,可抵扣暂时性差异明细表!T:T),2)</f>
        <v>0</v>
      </c>
      <c r="D2" s="569">
        <f>ROUND(SUMIF(可抵扣暂时性差异明细表!B:B,A2,可抵扣暂时性差异明细表!D:D),2)</f>
        <v>0</v>
      </c>
      <c r="E2" s="569">
        <f>ROUND(SUMIF(可抵扣暂时性差异明细表!B:B,A2,可抵扣暂时性差异明细表!S:S),2)</f>
        <v>0</v>
      </c>
    </row>
    <row r="3" spans="1:5" ht="14.4">
      <c r="A3" s="568" t="s">
        <v>58</v>
      </c>
      <c r="B3" s="569">
        <f>ROUND(SUMIF(可抵扣暂时性差异明细表!B:B,A3,可抵扣暂时性差异明细表!Q:Q),2)</f>
        <v>0</v>
      </c>
      <c r="C3" s="569">
        <f>ROUND(SUMIF(可抵扣暂时性差异明细表!B:B,A3,可抵扣暂时性差异明细表!T:T),2)</f>
        <v>0</v>
      </c>
      <c r="D3" s="569">
        <f>ROUND(SUMIF(可抵扣暂时性差异明细表!B:B,A3,可抵扣暂时性差异明细表!D:D),2)</f>
        <v>0</v>
      </c>
      <c r="E3" s="569">
        <f>ROUND(SUMIF(可抵扣暂时性差异明细表!B:B,A3,可抵扣暂时性差异明细表!S:S),2)</f>
        <v>0</v>
      </c>
    </row>
    <row r="4" spans="1:5" ht="14.4">
      <c r="A4" s="568" t="s">
        <v>2909</v>
      </c>
      <c r="B4" s="569">
        <f>ROUND(SUMIF(可抵扣暂时性差异明细表!B:B,A4,可抵扣暂时性差异明细表!Q:Q),2)</f>
        <v>0</v>
      </c>
      <c r="C4" s="569">
        <f>ROUND(SUMIF(可抵扣暂时性差异明细表!B:B,A4,可抵扣暂时性差异明细表!T:T),2)</f>
        <v>0</v>
      </c>
      <c r="D4" s="569">
        <f>ROUND(SUMIF(可抵扣暂时性差异明细表!B:B,A4,可抵扣暂时性差异明细表!D:D),2)</f>
        <v>0</v>
      </c>
      <c r="E4" s="569">
        <f>ROUND(SUMIF(可抵扣暂时性差异明细表!B:B,A4,可抵扣暂时性差异明细表!S:S),2)</f>
        <v>0</v>
      </c>
    </row>
    <row r="5" spans="1:5" ht="14.4">
      <c r="A5" s="568" t="s">
        <v>2911</v>
      </c>
      <c r="B5" s="569">
        <f>ROUND(SUMIF(可抵扣暂时性差异明细表!B:B,A5,可抵扣暂时性差异明细表!Q:Q),2)</f>
        <v>0</v>
      </c>
      <c r="C5" s="569">
        <f>ROUND(SUMIF(可抵扣暂时性差异明细表!B:B,A5,可抵扣暂时性差异明细表!T:T),2)</f>
        <v>0</v>
      </c>
      <c r="D5" s="569">
        <f>ROUND(SUMIF(可抵扣暂时性差异明细表!B:B,A5,可抵扣暂时性差异明细表!D:D),2)</f>
        <v>0</v>
      </c>
      <c r="E5" s="569">
        <f>ROUND(SUMIF(可抵扣暂时性差异明细表!B:B,A5,可抵扣暂时性差异明细表!S:S),2)</f>
        <v>0</v>
      </c>
    </row>
    <row r="6" spans="1:5" ht="14.4">
      <c r="A6" s="568" t="s">
        <v>59</v>
      </c>
      <c r="B6" s="569">
        <f>ROUND(SUMIF(可抵扣暂时性差异明细表!B:B,A6,可抵扣暂时性差异明细表!Q:Q),2)</f>
        <v>0</v>
      </c>
      <c r="C6" s="569">
        <f>ROUND(SUMIF(可抵扣暂时性差异明细表!B:B,A6,可抵扣暂时性差异明细表!T:T),2)</f>
        <v>0</v>
      </c>
      <c r="D6" s="569">
        <f>ROUND(SUMIF(可抵扣暂时性差异明细表!B:B,A6,可抵扣暂时性差异明细表!D:D),2)</f>
        <v>0</v>
      </c>
      <c r="E6" s="569">
        <f>ROUND(SUMIF(可抵扣暂时性差异明细表!B:B,A6,可抵扣暂时性差异明细表!S:S),2)</f>
        <v>0</v>
      </c>
    </row>
    <row r="7" spans="1:5" ht="14.4">
      <c r="A7" s="568" t="s">
        <v>61</v>
      </c>
      <c r="B7" s="569">
        <f>ROUND(SUMIF(可抵扣暂时性差异明细表!B:B,A7,可抵扣暂时性差异明细表!Q:Q),2)</f>
        <v>0</v>
      </c>
      <c r="C7" s="569">
        <f>ROUND(SUMIF(可抵扣暂时性差异明细表!B:B,A7,可抵扣暂时性差异明细表!T:T),2)</f>
        <v>0</v>
      </c>
      <c r="D7" s="569">
        <f>ROUND(SUMIF(可抵扣暂时性差异明细表!B:B,A7,可抵扣暂时性差异明细表!D:D),2)</f>
        <v>0</v>
      </c>
      <c r="E7" s="569">
        <f>ROUND(SUMIF(可抵扣暂时性差异明细表!B:B,A7,可抵扣暂时性差异明细表!S:S),2)</f>
        <v>0</v>
      </c>
    </row>
    <row r="8" spans="1:5" ht="14.4">
      <c r="A8" s="568" t="s">
        <v>64</v>
      </c>
      <c r="B8" s="569">
        <f>ROUND(SUMIF(可抵扣暂时性差异明细表!B:B,A8,可抵扣暂时性差异明细表!Q:Q),2)</f>
        <v>0</v>
      </c>
      <c r="C8" s="569">
        <f>ROUND(SUMIF(可抵扣暂时性差异明细表!B:B,A8,可抵扣暂时性差异明细表!T:T),2)</f>
        <v>0</v>
      </c>
      <c r="D8" s="569">
        <f>ROUND(SUMIF(可抵扣暂时性差异明细表!B:B,A8,可抵扣暂时性差异明细表!D:D),2)</f>
        <v>0</v>
      </c>
      <c r="E8" s="569">
        <f>ROUND(SUMIF(可抵扣暂时性差异明细表!B:B,A8,可抵扣暂时性差异明细表!S:S),2)</f>
        <v>0</v>
      </c>
    </row>
    <row r="9" spans="1:5" ht="14.4">
      <c r="A9" s="568" t="s">
        <v>2914</v>
      </c>
      <c r="B9" s="569">
        <f>ROUND(SUMIF(可抵扣暂时性差异明细表!B:B,A9,可抵扣暂时性差异明细表!Q:Q),2)</f>
        <v>0</v>
      </c>
      <c r="C9" s="569">
        <f>ROUND(SUMIF(可抵扣暂时性差异明细表!B:B,A9,可抵扣暂时性差异明细表!T:T),2)</f>
        <v>0</v>
      </c>
      <c r="D9" s="569">
        <f>ROUND(SUMIF(可抵扣暂时性差异明细表!B:B,A9,可抵扣暂时性差异明细表!D:D),2)</f>
        <v>0</v>
      </c>
      <c r="E9" s="569">
        <f>ROUND(SUMIF(可抵扣暂时性差异明细表!B:B,A9,可抵扣暂时性差异明细表!S:S),2)</f>
        <v>0</v>
      </c>
    </row>
    <row r="10" spans="1:5" ht="14.4">
      <c r="A10" s="568" t="s">
        <v>62</v>
      </c>
      <c r="B10" s="569">
        <f>ROUND(SUMIF(可抵扣暂时性差异明细表!B:B,A10,可抵扣暂时性差异明细表!Q:Q),2)</f>
        <v>0</v>
      </c>
      <c r="C10" s="569">
        <f>ROUND(SUMIF(可抵扣暂时性差异明细表!B:B,A10,可抵扣暂时性差异明细表!T:T),2)</f>
        <v>0</v>
      </c>
      <c r="D10" s="569">
        <f>ROUND(SUMIF(可抵扣暂时性差异明细表!B:B,A10,可抵扣暂时性差异明细表!D:D),2)</f>
        <v>0</v>
      </c>
      <c r="E10" s="569">
        <f>ROUND(SUMIF(可抵扣暂时性差异明细表!B:B,A10,可抵扣暂时性差异明细表!S:S),2)</f>
        <v>0</v>
      </c>
    </row>
    <row r="11" spans="1:5" ht="14.4">
      <c r="A11" s="568" t="s">
        <v>2916</v>
      </c>
      <c r="B11" s="569">
        <f>ROUND(SUMIF(可抵扣暂时性差异明细表!B:B,A11,可抵扣暂时性差异明细表!Q:Q),2)</f>
        <v>0</v>
      </c>
      <c r="C11" s="569">
        <f>ROUND(SUMIF(可抵扣暂时性差异明细表!B:B,A11,可抵扣暂时性差异明细表!T:T),2)</f>
        <v>0</v>
      </c>
      <c r="D11" s="569">
        <f>ROUND(SUMIF(可抵扣暂时性差异明细表!B:B,A11,可抵扣暂时性差异明细表!D:D),2)</f>
        <v>0</v>
      </c>
      <c r="E11" s="569">
        <f>ROUND(SUMIF(可抵扣暂时性差异明细表!B:B,A11,可抵扣暂时性差异明细表!S:S),2)</f>
        <v>0</v>
      </c>
    </row>
    <row r="12" spans="1:5" ht="14.4">
      <c r="A12" s="568" t="s">
        <v>2918</v>
      </c>
      <c r="B12" s="569">
        <f>ROUND(SUMIF(可抵扣暂时性差异明细表!B:B,A12,可抵扣暂时性差异明细表!Q:Q),2)</f>
        <v>0</v>
      </c>
      <c r="C12" s="569">
        <f>ROUND(SUMIF(可抵扣暂时性差异明细表!B:B,A12,可抵扣暂时性差异明细表!T:T),2)</f>
        <v>0</v>
      </c>
      <c r="D12" s="569">
        <f>ROUND(SUMIF(可抵扣暂时性差异明细表!B:B,A12,可抵扣暂时性差异明细表!D:D),2)</f>
        <v>0</v>
      </c>
      <c r="E12" s="569">
        <f>ROUND(SUMIF(可抵扣暂时性差异明细表!B:B,A12,可抵扣暂时性差异明细表!S:S),2)</f>
        <v>0</v>
      </c>
    </row>
    <row r="13" spans="1:5" ht="14.4">
      <c r="A13" s="568" t="s">
        <v>937</v>
      </c>
      <c r="B13" s="569">
        <f>ROUND(SUMIF(可抵扣暂时性差异明细表!B:B,A13,可抵扣暂时性差异明细表!Q:Q),2)</f>
        <v>0</v>
      </c>
      <c r="C13" s="569">
        <f>ROUND(SUMIF(可抵扣暂时性差异明细表!B:B,A13,可抵扣暂时性差异明细表!T:T),2)</f>
        <v>0</v>
      </c>
      <c r="D13" s="569">
        <f>ROUND(SUMIF(可抵扣暂时性差异明细表!B:B,A13,可抵扣暂时性差异明细表!D:D),2)</f>
        <v>0</v>
      </c>
      <c r="E13" s="569">
        <f>ROUND(SUMIF(可抵扣暂时性差异明细表!B:B,A13,可抵扣暂时性差异明细表!S:S),2)</f>
        <v>0</v>
      </c>
    </row>
    <row r="14" spans="1:5" ht="14.4">
      <c r="A14" s="568" t="s">
        <v>2922</v>
      </c>
      <c r="B14" s="569">
        <f>ROUND(SUMIF(可抵扣暂时性差异明细表!B:B,A14,可抵扣暂时性差异明细表!Q:Q),2)</f>
        <v>0</v>
      </c>
      <c r="C14" s="569">
        <f>ROUND(SUMIF(可抵扣暂时性差异明细表!B:B,A14,可抵扣暂时性差异明细表!T:T),2)</f>
        <v>0</v>
      </c>
      <c r="D14" s="569">
        <f>ROUND(SUMIF(可抵扣暂时性差异明细表!B:B,A14,可抵扣暂时性差异明细表!D:D),2)</f>
        <v>0</v>
      </c>
      <c r="E14" s="569">
        <f>ROUND(SUMIF(可抵扣暂时性差异明细表!B:B,A14,可抵扣暂时性差异明细表!S:S),2)</f>
        <v>0</v>
      </c>
    </row>
    <row r="15" spans="1:5" ht="14.4">
      <c r="A15" s="568" t="s">
        <v>2872</v>
      </c>
      <c r="B15" s="569">
        <f>ROUND(SUMIF(可抵扣暂时性差异明细表!B:B,A15,可抵扣暂时性差异明细表!Q:Q),2)</f>
        <v>0</v>
      </c>
      <c r="C15" s="569">
        <f>ROUND(SUMIF(可抵扣暂时性差异明细表!B:B,A15,可抵扣暂时性差异明细表!T:T),2)</f>
        <v>0</v>
      </c>
      <c r="D15" s="569">
        <f>ROUND(SUMIF(可抵扣暂时性差异明细表!B:B,A15,可抵扣暂时性差异明细表!D:D),2)</f>
        <v>0</v>
      </c>
      <c r="E15" s="569">
        <f>ROUND(SUMIF(可抵扣暂时性差异明细表!B:B,A15,可抵扣暂时性差异明细表!S:S),2)</f>
        <v>0</v>
      </c>
    </row>
    <row r="16" spans="1:5" ht="14.4">
      <c r="A16" s="568" t="s">
        <v>703</v>
      </c>
      <c r="B16" s="569">
        <f>ROUND(SUMIF(可抵扣暂时性差异明细表!B:B,A16,可抵扣暂时性差异明细表!Q:Q),2)</f>
        <v>0</v>
      </c>
      <c r="C16" s="569">
        <f>ROUND(SUMIF(可抵扣暂时性差异明细表!B:B,A16,可抵扣暂时性差异明细表!T:T),2)</f>
        <v>0</v>
      </c>
      <c r="D16" s="569">
        <f>ROUND(SUMIF(可抵扣暂时性差异明细表!B:B,A16,可抵扣暂时性差异明细表!D:D),2)</f>
        <v>0</v>
      </c>
      <c r="E16" s="569">
        <f>ROUND(SUMIF(可抵扣暂时性差异明细表!B:B,A16,可抵扣暂时性差异明细表!S:S),2)</f>
        <v>0</v>
      </c>
    </row>
    <row r="17" spans="1:5" ht="14.4">
      <c r="A17" s="568" t="s">
        <v>780</v>
      </c>
      <c r="B17" s="569">
        <f>ROUND(SUMIF(可抵扣暂时性差异明细表!B:B,A17,可抵扣暂时性差异明细表!Q:Q),2)</f>
        <v>0</v>
      </c>
      <c r="C17" s="569">
        <f>ROUND(SUMIF(可抵扣暂时性差异明细表!B:B,A17,可抵扣暂时性差异明细表!T:T),2)</f>
        <v>0</v>
      </c>
      <c r="D17" s="569">
        <f>ROUND(SUMIF(可抵扣暂时性差异明细表!B:B,A17,可抵扣暂时性差异明细表!D:D),2)</f>
        <v>0</v>
      </c>
      <c r="E17" s="569">
        <f>ROUND(SUMIF(可抵扣暂时性差异明细表!B:B,A17,可抵扣暂时性差异明细表!S:S),2)</f>
        <v>0</v>
      </c>
    </row>
    <row r="18" spans="1:5" ht="14.4">
      <c r="A18" s="568" t="s">
        <v>777</v>
      </c>
      <c r="B18" s="569">
        <f>ROUND(SUMIF(可抵扣暂时性差异明细表!B:B,A18,可抵扣暂时性差异明细表!Q:Q),2)</f>
        <v>0</v>
      </c>
      <c r="C18" s="569">
        <f>ROUND(SUMIF(可抵扣暂时性差异明细表!B:B,A18,可抵扣暂时性差异明细表!T:T),2)</f>
        <v>0</v>
      </c>
      <c r="D18" s="569">
        <f>ROUND(SUMIF(可抵扣暂时性差异明细表!B:B,A18,可抵扣暂时性差异明细表!D:D),2)</f>
        <v>0</v>
      </c>
      <c r="E18" s="569">
        <f>ROUND(SUMIF(可抵扣暂时性差异明细表!B:B,A18,可抵扣暂时性差异明细表!S:S),2)</f>
        <v>0</v>
      </c>
    </row>
    <row r="19" spans="1:5" ht="14.4">
      <c r="A19" s="568" t="s">
        <v>988</v>
      </c>
      <c r="B19" s="569">
        <f>ROUND(SUMIF(可抵扣暂时性差异明细表!B:B,A19,可抵扣暂时性差异明细表!Q:Q),2)</f>
        <v>0</v>
      </c>
      <c r="C19" s="569">
        <f>ROUND(SUMIF(可抵扣暂时性差异明细表!B:B,A19,可抵扣暂时性差异明细表!T:T),2)</f>
        <v>0</v>
      </c>
      <c r="D19" s="569">
        <f>ROUND(SUMIF(可抵扣暂时性差异明细表!B:B,A19,可抵扣暂时性差异明细表!D:D),2)</f>
        <v>0</v>
      </c>
      <c r="E19" s="569">
        <f>ROUND(SUMIF(可抵扣暂时性差异明细表!B:B,A19,可抵扣暂时性差异明细表!S:S),2)</f>
        <v>0</v>
      </c>
    </row>
    <row r="20" spans="1:5" ht="14.4">
      <c r="A20" s="568" t="s">
        <v>781</v>
      </c>
      <c r="B20" s="569">
        <f>ROUND(SUMIF(可抵扣暂时性差异明细表!B:B,A20,可抵扣暂时性差异明细表!Q:Q),2)</f>
        <v>0</v>
      </c>
      <c r="C20" s="569">
        <f>ROUND(SUMIF(可抵扣暂时性差异明细表!B:B,A20,可抵扣暂时性差异明细表!T:T),2)</f>
        <v>0</v>
      </c>
      <c r="D20" s="569">
        <f>ROUND(SUMIF(可抵扣暂时性差异明细表!B:B,A20,可抵扣暂时性差异明细表!D:D),2)</f>
        <v>0</v>
      </c>
      <c r="E20" s="569">
        <f>ROUND(SUMIF(可抵扣暂时性差异明细表!B:B,A20,可抵扣暂时性差异明细表!S:S),2)</f>
        <v>0</v>
      </c>
    </row>
    <row r="21" spans="1:5" ht="14.4">
      <c r="A21" s="568" t="s">
        <v>2924</v>
      </c>
      <c r="B21" s="569">
        <f>ROUND(SUMIF(可抵扣暂时性差异明细表!B:B,A21,可抵扣暂时性差异明细表!Q:Q),2)</f>
        <v>0</v>
      </c>
      <c r="C21" s="569">
        <f>ROUND(SUMIF(可抵扣暂时性差异明细表!B:B,A21,可抵扣暂时性差异明细表!T:T),2)</f>
        <v>0</v>
      </c>
      <c r="D21" s="569">
        <f>ROUND(SUMIF(可抵扣暂时性差异明细表!B:B,A21,可抵扣暂时性差异明细表!D:D),2)</f>
        <v>0</v>
      </c>
      <c r="E21" s="569">
        <f>ROUND(SUMIF(可抵扣暂时性差异明细表!B:B,A21,可抵扣暂时性差异明细表!S:S),2)</f>
        <v>0</v>
      </c>
    </row>
    <row r="22" spans="1:5" ht="14.4">
      <c r="A22" s="568" t="s">
        <v>2926</v>
      </c>
      <c r="B22" s="569">
        <f>ROUND(SUMIF(可抵扣暂时性差异明细表!B:B,A22,可抵扣暂时性差异明细表!Q:Q),2)</f>
        <v>0</v>
      </c>
      <c r="C22" s="569">
        <f>ROUND(SUMIF(可抵扣暂时性差异明细表!B:B,A22,可抵扣暂时性差异明细表!T:T),2)</f>
        <v>0</v>
      </c>
      <c r="D22" s="569">
        <f>ROUND(SUMIF(可抵扣暂时性差异明细表!B:B,A22,可抵扣暂时性差异明细表!D:D),2)</f>
        <v>0</v>
      </c>
      <c r="E22" s="569">
        <f>ROUND(SUMIF(可抵扣暂时性差异明细表!B:B,A22,可抵扣暂时性差异明细表!S:S),2)</f>
        <v>0</v>
      </c>
    </row>
    <row r="23" spans="1:5" ht="14.4">
      <c r="A23" s="568" t="s">
        <v>1021</v>
      </c>
      <c r="B23" s="569">
        <f>ROUND(SUMIF(可抵扣暂时性差异明细表!B:B,A23,可抵扣暂时性差异明细表!Q:Q),2)</f>
        <v>0</v>
      </c>
      <c r="C23" s="569">
        <f>ROUND(SUMIF(可抵扣暂时性差异明细表!B:B,A23,可抵扣暂时性差异明细表!T:T),2)</f>
        <v>0</v>
      </c>
      <c r="D23" s="569">
        <f>ROUND(SUMIF(可抵扣暂时性差异明细表!B:B,A23,可抵扣暂时性差异明细表!D:D),2)</f>
        <v>0</v>
      </c>
      <c r="E23" s="569">
        <f>ROUND(SUMIF(可抵扣暂时性差异明细表!B:B,A23,可抵扣暂时性差异明细表!S:S),2)</f>
        <v>0</v>
      </c>
    </row>
    <row r="24" spans="1:5" ht="14.4">
      <c r="A24" s="568" t="s">
        <v>1030</v>
      </c>
      <c r="B24" s="569">
        <f>ROUND(SUMIF(可抵扣暂时性差异明细表!B:B,A24,可抵扣暂时性差异明细表!Q:Q),2)</f>
        <v>0</v>
      </c>
      <c r="C24" s="569">
        <f>ROUND(SUMIF(可抵扣暂时性差异明细表!B:B,A24,可抵扣暂时性差异明细表!T:T),2)</f>
        <v>0</v>
      </c>
      <c r="D24" s="569">
        <f>ROUND(SUMIF(可抵扣暂时性差异明细表!B:B,A24,可抵扣暂时性差异明细表!D:D),2)</f>
        <v>0</v>
      </c>
      <c r="E24" s="569">
        <f>ROUND(SUMIF(可抵扣暂时性差异明细表!B:B,A24,可抵扣暂时性差异明细表!S:S),2)</f>
        <v>0</v>
      </c>
    </row>
    <row r="25" spans="1:5" ht="14.4">
      <c r="A25" s="568" t="s">
        <v>2929</v>
      </c>
      <c r="B25" s="569">
        <f>ROUND(SUMIF(可抵扣暂时性差异明细表!B:B,A25,可抵扣暂时性差异明细表!Q:Q),2)</f>
        <v>0</v>
      </c>
      <c r="C25" s="569">
        <f>ROUND(SUMIF(可抵扣暂时性差异明细表!B:B,A25,可抵扣暂时性差异明细表!T:T),2)</f>
        <v>0</v>
      </c>
      <c r="D25" s="569">
        <f>ROUND(SUMIF(可抵扣暂时性差异明细表!B:B,A25,可抵扣暂时性差异明细表!D:D),2)</f>
        <v>0</v>
      </c>
      <c r="E25" s="569">
        <f>ROUND(SUMIF(可抵扣暂时性差异明细表!B:B,A25,可抵扣暂时性差异明细表!S:S),2)</f>
        <v>0</v>
      </c>
    </row>
    <row r="26" spans="1:5" ht="14.4">
      <c r="A26" s="568" t="s">
        <v>2931</v>
      </c>
      <c r="B26" s="569">
        <f>ROUND(SUMIF(可抵扣暂时性差异明细表!B:B,A26,可抵扣暂时性差异明细表!Q:Q),2)</f>
        <v>0</v>
      </c>
      <c r="C26" s="569">
        <f>ROUND(SUMIF(可抵扣暂时性差异明细表!B:B,A26,可抵扣暂时性差异明细表!T:T),2)</f>
        <v>0</v>
      </c>
      <c r="D26" s="569">
        <f>ROUND(SUMIF(可抵扣暂时性差异明细表!B:B,A26,可抵扣暂时性差异明细表!D:D),2)</f>
        <v>0</v>
      </c>
      <c r="E26" s="569">
        <f>ROUND(SUMIF(可抵扣暂时性差异明细表!B:B,A26,可抵扣暂时性差异明细表!S:S),2)</f>
        <v>0</v>
      </c>
    </row>
    <row r="27" spans="1:5" ht="14.4">
      <c r="A27" s="568" t="s">
        <v>1013</v>
      </c>
      <c r="B27" s="569">
        <f>ROUND(SUMIF(可抵扣暂时性差异明细表!B:B,A27,可抵扣暂时性差异明细表!Q:Q),2)</f>
        <v>0</v>
      </c>
      <c r="C27" s="569">
        <f>ROUND(SUMIF(可抵扣暂时性差异明细表!B:B,A27,可抵扣暂时性差异明细表!T:T),2)</f>
        <v>0</v>
      </c>
      <c r="D27" s="569">
        <f>ROUND(SUMIF(可抵扣暂时性差异明细表!B:B,A27,可抵扣暂时性差异明细表!D:D),2)</f>
        <v>0</v>
      </c>
      <c r="E27" s="569">
        <f>ROUND(SUMIF(可抵扣暂时性差异明细表!B:B,A27,可抵扣暂时性差异明细表!S:S),2)</f>
        <v>0</v>
      </c>
    </row>
    <row r="28" spans="1:5" ht="14.4">
      <c r="A28" s="568" t="s">
        <v>4148</v>
      </c>
      <c r="B28" s="569">
        <f>ROUND(SUMIF(可抵扣暂时性差异明细表!B:B,A28,可抵扣暂时性差异明细表!Q:Q),2)</f>
        <v>0</v>
      </c>
      <c r="C28" s="569">
        <f>ROUND(SUMIF(可抵扣暂时性差异明细表!B:B,A28,可抵扣暂时性差异明细表!T:T),2)</f>
        <v>0</v>
      </c>
      <c r="D28" s="569">
        <f>ROUND(SUMIF(可抵扣暂时性差异明细表!B:B,A28,可抵扣暂时性差异明细表!D:D),2)</f>
        <v>0</v>
      </c>
      <c r="E28" s="569">
        <f>ROUND(SUMIF(可抵扣暂时性差异明细表!B:B,A28,可抵扣暂时性差异明细表!S:S),2)</f>
        <v>0</v>
      </c>
    </row>
    <row r="29" spans="1:5" ht="14.4">
      <c r="A29" s="568" t="s">
        <v>4149</v>
      </c>
      <c r="B29" s="569">
        <f>ROUND(SUMIF(可抵扣暂时性差异明细表!B:B,A29,可抵扣暂时性差异明细表!Q:Q),2)</f>
        <v>0</v>
      </c>
      <c r="C29" s="569">
        <f>ROUND(SUMIF(可抵扣暂时性差异明细表!B:B,A29,可抵扣暂时性差异明细表!T:T),2)</f>
        <v>0</v>
      </c>
      <c r="D29" s="569">
        <f>ROUND(SUMIF(可抵扣暂时性差异明细表!B:B,A29,可抵扣暂时性差异明细表!D:D),2)</f>
        <v>0</v>
      </c>
      <c r="E29" s="569">
        <f>ROUND(SUMIF(可抵扣暂时性差异明细表!B:B,A29,可抵扣暂时性差异明细表!S:S),2)</f>
        <v>0</v>
      </c>
    </row>
    <row r="30" spans="1:5" ht="14.4">
      <c r="A30" s="568" t="s">
        <v>4143</v>
      </c>
      <c r="B30" s="569">
        <f>ROUND(SUMIF(可抵扣暂时性差异明细表!B:B,A30,可抵扣暂时性差异明细表!Q:Q),2)</f>
        <v>0</v>
      </c>
      <c r="C30" s="569">
        <f>ROUND(SUMIF(可抵扣暂时性差异明细表!B:B,A30,可抵扣暂时性差异明细表!T:T),2)</f>
        <v>0</v>
      </c>
      <c r="D30" s="569">
        <f>ROUND(SUMIF(可抵扣暂时性差异明细表!B:B,A30,可抵扣暂时性差异明细表!D:D),2)</f>
        <v>0</v>
      </c>
      <c r="E30" s="569">
        <f>ROUND(SUMIF(可抵扣暂时性差异明细表!B:B,A30,可抵扣暂时性差异明细表!S:S),2)</f>
        <v>0</v>
      </c>
    </row>
    <row r="31" spans="1:5" ht="14.4">
      <c r="A31" s="568" t="s">
        <v>788</v>
      </c>
      <c r="B31" s="569">
        <f>ROUND(SUMIF(可抵扣暂时性差异明细表!B:B,A31,可抵扣暂时性差异明细表!Q:Q),2)</f>
        <v>0</v>
      </c>
      <c r="C31" s="569">
        <f>ROUND(SUMIF(可抵扣暂时性差异明细表!B:B,A31,可抵扣暂时性差异明细表!T:T),2)</f>
        <v>0</v>
      </c>
      <c r="D31" s="569">
        <f>ROUND(SUMIF(可抵扣暂时性差异明细表!B:B,A31,可抵扣暂时性差异明细表!D:D),2)</f>
        <v>0</v>
      </c>
      <c r="E31" s="569">
        <f>ROUND(SUMIF(可抵扣暂时性差异明细表!B:B,A31,可抵扣暂时性差异明细表!S:S),2)</f>
        <v>0</v>
      </c>
    </row>
    <row r="32" spans="1:5" ht="14.4">
      <c r="A32" s="568" t="s">
        <v>512</v>
      </c>
      <c r="B32" s="569">
        <f>ROUND(SUMIF(可抵扣暂时性差异明细表!B:B,A32,可抵扣暂时性差异明细表!Q:Q),2)</f>
        <v>0</v>
      </c>
      <c r="C32" s="569">
        <f>ROUND(SUMIF(可抵扣暂时性差异明细表!B:B,A32,可抵扣暂时性差异明细表!T:T),2)</f>
        <v>0</v>
      </c>
      <c r="D32" s="569">
        <f>ROUND(SUMIF(可抵扣暂时性差异明细表!B:B,A32,可抵扣暂时性差异明细表!D:D),2)</f>
        <v>0</v>
      </c>
      <c r="E32" s="569">
        <f>ROUND(SUMIF(可抵扣暂时性差异明细表!B:B,A32,可抵扣暂时性差异明细表!S:S),2)</f>
        <v>0</v>
      </c>
    </row>
    <row r="33" spans="1:5" ht="14.4">
      <c r="A33" s="568" t="s">
        <v>4766</v>
      </c>
      <c r="B33" s="569">
        <f>ROUND(SUMIF(可抵扣暂时性差异明细表!B:B,A33,可抵扣暂时性差异明细表!Q:Q),2)</f>
        <v>0</v>
      </c>
      <c r="C33" s="569">
        <f>ROUND(SUMIF(可抵扣暂时性差异明细表!B:B,A33,可抵扣暂时性差异明细表!T:T),2)</f>
        <v>0</v>
      </c>
      <c r="D33" s="569">
        <f>ROUND(SUMIF(可抵扣暂时性差异明细表!B:B,A33,可抵扣暂时性差异明细表!D:D),2)</f>
        <v>0</v>
      </c>
      <c r="E33" s="569">
        <f>ROUND(SUMIF(可抵扣暂时性差异明细表!B:B,A33,可抵扣暂时性差异明细表!S:S),2)</f>
        <v>0</v>
      </c>
    </row>
    <row r="34" spans="1:5" ht="14.4">
      <c r="A34" s="568" t="s">
        <v>4765</v>
      </c>
      <c r="B34" s="569">
        <f>ROUND(SUMIF(可抵扣暂时性差异明细表!B:B,A34,可抵扣暂时性差异明细表!Q:Q),2)</f>
        <v>0</v>
      </c>
      <c r="C34" s="569">
        <f>ROUND(SUMIF(可抵扣暂时性差异明细表!B:B,A34,可抵扣暂时性差异明细表!T:T),2)</f>
        <v>0</v>
      </c>
      <c r="D34" s="569">
        <f>ROUND(SUMIF(可抵扣暂时性差异明细表!B:B,A34,可抵扣暂时性差异明细表!D:D),2)</f>
        <v>0</v>
      </c>
      <c r="E34" s="569">
        <f>ROUND(SUMIF(可抵扣暂时性差异明细表!B:B,A34,可抵扣暂时性差异明细表!S:S),2)</f>
        <v>0</v>
      </c>
    </row>
    <row r="35" spans="1:5" ht="14.4">
      <c r="A35" s="568" t="s">
        <v>4767</v>
      </c>
      <c r="B35" s="569">
        <f>ROUND(SUMIF(可抵扣暂时性差异明细表!B:B,A35,可抵扣暂时性差异明细表!Q:Q),2)</f>
        <v>0</v>
      </c>
      <c r="C35" s="569">
        <f>ROUND(SUMIF(可抵扣暂时性差异明细表!B:B,A35,可抵扣暂时性差异明细表!T:T),2)</f>
        <v>0</v>
      </c>
      <c r="D35" s="569">
        <f>ROUND(SUMIF(可抵扣暂时性差异明细表!B:B,A35,可抵扣暂时性差异明细表!D:D),2)</f>
        <v>0</v>
      </c>
      <c r="E35" s="569">
        <f>ROUND(SUMIF(可抵扣暂时性差异明细表!B:B,A35,可抵扣暂时性差异明细表!S:S),2)</f>
        <v>0</v>
      </c>
    </row>
    <row r="36" spans="1:5" ht="14.4">
      <c r="A36" s="568" t="s">
        <v>2272</v>
      </c>
      <c r="B36" s="569">
        <f>ROUND(SUMIF(可抵扣暂时性差异明细表!B:B,A36,可抵扣暂时性差异明细表!Q:Q),2)</f>
        <v>0</v>
      </c>
      <c r="C36" s="569">
        <f>ROUND(SUMIF(可抵扣暂时性差异明细表!B:B,A36,可抵扣暂时性差异明细表!T:T),2)</f>
        <v>0</v>
      </c>
      <c r="D36" s="569">
        <f>ROUND(SUMIF(可抵扣暂时性差异明细表!B:B,A36,可抵扣暂时性差异明细表!D:D),2)</f>
        <v>0</v>
      </c>
      <c r="E36" s="569">
        <f>ROUND(SUMIF(可抵扣暂时性差异明细表!B:B,A36,可抵扣暂时性差异明细表!S:S),2)</f>
        <v>0</v>
      </c>
    </row>
    <row r="37" spans="1:5" ht="14.4">
      <c r="A37" s="568" t="s">
        <v>1107</v>
      </c>
      <c r="B37" s="569">
        <f>ROUND(SUMIF(可抵扣暂时性差异明细表!B:B,A37,可抵扣暂时性差异明细表!Q:Q),2)</f>
        <v>0</v>
      </c>
      <c r="C37" s="569">
        <f>ROUND(SUMIF(可抵扣暂时性差异明细表!B:B,A37,可抵扣暂时性差异明细表!T:T),2)</f>
        <v>0</v>
      </c>
      <c r="D37" s="569">
        <f>ROUND(SUMIF(可抵扣暂时性差异明细表!B:B,A37,可抵扣暂时性差异明细表!D:D),2)</f>
        <v>0</v>
      </c>
      <c r="E37" s="569">
        <f>ROUND(SUMIF(可抵扣暂时性差异明细表!B:B,A37,可抵扣暂时性差异明细表!S:S),2)</f>
        <v>0</v>
      </c>
    </row>
    <row r="38" spans="1:5" ht="14.4">
      <c r="A38" s="568" t="s">
        <v>4768</v>
      </c>
      <c r="B38" s="569">
        <f>ROUND(SUMIF(可抵扣暂时性差异明细表!B:B,A38,可抵扣暂时性差异明细表!Q:Q),2)</f>
        <v>0</v>
      </c>
      <c r="C38" s="569">
        <f>ROUND(SUMIF(可抵扣暂时性差异明细表!B:B,A38,可抵扣暂时性差异明细表!T:T),2)</f>
        <v>0</v>
      </c>
      <c r="D38" s="569">
        <f>ROUND(SUMIF(可抵扣暂时性差异明细表!B:B,A38,可抵扣暂时性差异明细表!D:D),2)</f>
        <v>0</v>
      </c>
      <c r="E38" s="569">
        <f>ROUND(SUMIF(可抵扣暂时性差异明细表!B:B,A38,可抵扣暂时性差异明细表!S:S),2)</f>
        <v>0</v>
      </c>
    </row>
    <row r="39" spans="1:5" ht="14.4">
      <c r="A39" s="568"/>
      <c r="B39" s="569">
        <f>ROUND(SUMIF(可抵扣暂时性差异明细表!B:B,A39,可抵扣暂时性差异明细表!Q:Q),2)</f>
        <v>0</v>
      </c>
      <c r="C39" s="569">
        <f>ROUND(SUMIF(可抵扣暂时性差异明细表!B:B,A39,可抵扣暂时性差异明细表!T:T),2)</f>
        <v>0</v>
      </c>
      <c r="D39" s="569">
        <f>ROUND(SUMIF(可抵扣暂时性差异明细表!B:B,A39,可抵扣暂时性差异明细表!D:D),2)</f>
        <v>0</v>
      </c>
      <c r="E39" s="569">
        <f>ROUND(SUMIF(可抵扣暂时性差异明细表!B:B,A39,可抵扣暂时性差异明细表!S:S),2)</f>
        <v>0</v>
      </c>
    </row>
    <row r="40" spans="1:5" ht="14.4">
      <c r="A40" s="568"/>
      <c r="B40" s="569">
        <f>ROUND(SUMIF(可抵扣暂时性差异明细表!B:B,A40,可抵扣暂时性差异明细表!Q:Q),2)</f>
        <v>0</v>
      </c>
      <c r="C40" s="569">
        <f>ROUND(SUMIF(可抵扣暂时性差异明细表!B:B,A40,可抵扣暂时性差异明细表!T:T),2)</f>
        <v>0</v>
      </c>
      <c r="D40" s="569">
        <f>ROUND(SUMIF(可抵扣暂时性差异明细表!B:B,A40,可抵扣暂时性差异明细表!D:D),2)</f>
        <v>0</v>
      </c>
      <c r="E40" s="569">
        <f>ROUND(SUMIF(可抵扣暂时性差异明细表!B:B,A40,可抵扣暂时性差异明细表!S:S),2)</f>
        <v>0</v>
      </c>
    </row>
    <row r="41" spans="1:5" ht="14.4">
      <c r="A41" s="568"/>
      <c r="B41" s="569">
        <f>ROUND(SUMIF(可抵扣暂时性差异明细表!B:B,A41,可抵扣暂时性差异明细表!Q:Q),2)</f>
        <v>0</v>
      </c>
      <c r="C41" s="569">
        <f>ROUND(SUMIF(可抵扣暂时性差异明细表!B:B,A41,可抵扣暂时性差异明细表!T:T),2)</f>
        <v>0</v>
      </c>
      <c r="D41" s="569">
        <f>ROUND(SUMIF(可抵扣暂时性差异明细表!B:B,A41,可抵扣暂时性差异明细表!D:D),2)</f>
        <v>0</v>
      </c>
      <c r="E41" s="569">
        <f>ROUND(SUMIF(可抵扣暂时性差异明细表!B:B,A41,可抵扣暂时性差异明细表!S:S),2)</f>
        <v>0</v>
      </c>
    </row>
    <row r="42" spans="1:5" ht="14.4">
      <c r="A42" s="568"/>
      <c r="B42" s="569">
        <f>ROUND(SUMIF(可抵扣暂时性差异明细表!B:B,A42,可抵扣暂时性差异明细表!Q:Q),2)</f>
        <v>0</v>
      </c>
      <c r="C42" s="569">
        <f>ROUND(SUMIF(可抵扣暂时性差异明细表!B:B,A42,可抵扣暂时性差异明细表!T:T),2)</f>
        <v>0</v>
      </c>
      <c r="D42" s="569">
        <f>ROUND(SUMIF(可抵扣暂时性差异明细表!B:B,A42,可抵扣暂时性差异明细表!D:D),2)</f>
        <v>0</v>
      </c>
      <c r="E42" s="569">
        <f>ROUND(SUMIF(可抵扣暂时性差异明细表!B:B,A42,可抵扣暂时性差异明细表!S:S),2)</f>
        <v>0</v>
      </c>
    </row>
    <row r="43" spans="1:5" ht="14.4">
      <c r="A43" s="568"/>
      <c r="B43" s="569">
        <f>ROUND(SUMIF(可抵扣暂时性差异明细表!B:B,A43,可抵扣暂时性差异明细表!Q:Q),2)</f>
        <v>0</v>
      </c>
      <c r="C43" s="569">
        <f>ROUND(SUMIF(可抵扣暂时性差异明细表!B:B,A43,可抵扣暂时性差异明细表!T:T),2)</f>
        <v>0</v>
      </c>
      <c r="D43" s="569">
        <f>ROUND(SUMIF(可抵扣暂时性差异明细表!B:B,A43,可抵扣暂时性差异明细表!D:D),2)</f>
        <v>0</v>
      </c>
      <c r="E43" s="569">
        <f>ROUND(SUMIF(可抵扣暂时性差异明细表!B:B,A43,可抵扣暂时性差异明细表!S:S),2)</f>
        <v>0</v>
      </c>
    </row>
    <row r="44" spans="1:5" ht="14.4">
      <c r="A44" s="568"/>
      <c r="B44" s="569">
        <f>ROUND(SUMIF(可抵扣暂时性差异明细表!B:B,A44,可抵扣暂时性差异明细表!Q:Q),2)</f>
        <v>0</v>
      </c>
      <c r="C44" s="569">
        <f>ROUND(SUMIF(可抵扣暂时性差异明细表!B:B,A44,可抵扣暂时性差异明细表!T:T),2)</f>
        <v>0</v>
      </c>
      <c r="D44" s="569">
        <f>ROUND(SUMIF(可抵扣暂时性差异明细表!B:B,A44,可抵扣暂时性差异明细表!D:D),2)</f>
        <v>0</v>
      </c>
      <c r="E44" s="569">
        <f>ROUND(SUMIF(可抵扣暂时性差异明细表!B:B,A44,可抵扣暂时性差异明细表!S:S),2)</f>
        <v>0</v>
      </c>
    </row>
    <row r="45" spans="1:5" ht="14.4">
      <c r="A45" s="568"/>
      <c r="B45" s="569"/>
      <c r="C45" s="569"/>
      <c r="D45" s="569"/>
      <c r="E45" s="569"/>
    </row>
    <row r="46" spans="1:5" ht="14.4">
      <c r="A46" s="568"/>
      <c r="B46" s="569"/>
      <c r="C46" s="569"/>
      <c r="D46" s="569"/>
      <c r="E46" s="569"/>
    </row>
    <row r="47" spans="1:5" ht="14.4">
      <c r="A47" s="568"/>
      <c r="B47" s="569"/>
      <c r="C47" s="569"/>
      <c r="D47" s="569"/>
      <c r="E47" s="569"/>
    </row>
    <row r="48" spans="1:5" ht="14.4">
      <c r="A48" s="568"/>
      <c r="B48" s="569"/>
      <c r="C48" s="569"/>
      <c r="D48" s="569"/>
      <c r="E48" s="569"/>
    </row>
    <row r="49" spans="1:5" ht="14.4">
      <c r="A49" s="568"/>
      <c r="B49" s="569"/>
      <c r="C49" s="569"/>
      <c r="D49" s="569"/>
      <c r="E49" s="569"/>
    </row>
    <row r="50" spans="1:5" ht="14.4">
      <c r="A50" s="568"/>
      <c r="B50" s="569"/>
      <c r="C50" s="569"/>
      <c r="D50" s="569"/>
      <c r="E50" s="569"/>
    </row>
    <row r="51" spans="1:5" ht="14.4">
      <c r="A51" s="568"/>
      <c r="B51" s="569"/>
      <c r="C51" s="569"/>
      <c r="D51" s="569"/>
      <c r="E51" s="569"/>
    </row>
    <row r="52" spans="1:5" ht="14.4">
      <c r="A52" s="568"/>
      <c r="B52" s="569"/>
      <c r="C52" s="569"/>
      <c r="D52" s="569"/>
      <c r="E52" s="569"/>
    </row>
    <row r="53" spans="1:5" ht="14.4">
      <c r="A53" s="19" t="s">
        <v>204</v>
      </c>
      <c r="B53" s="709">
        <f>ROUND(SUM(B2:B52),2)</f>
        <v>0</v>
      </c>
      <c r="C53" s="709">
        <f>ROUND(SUM(C2:C52),2)</f>
        <v>0</v>
      </c>
      <c r="D53" s="709">
        <f>ROUND(SUM(D2:D52),2)</f>
        <v>0</v>
      </c>
      <c r="E53" s="709">
        <f>ROUND(SUM(E2:E52),2)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codeName="Sheet238">
    <tabColor rgb="FFFFC000"/>
  </sheetPr>
  <dimension ref="A1:E25"/>
  <sheetViews>
    <sheetView topLeftCell="A10" workbookViewId="0">
      <selection activeCell="B25" sqref="B25"/>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517</v>
      </c>
      <c r="C1" s="32" t="s">
        <v>518</v>
      </c>
      <c r="D1" s="32" t="s">
        <v>519</v>
      </c>
      <c r="E1" s="32" t="s">
        <v>520</v>
      </c>
    </row>
    <row r="2" spans="1:5" ht="14.4">
      <c r="A2" s="568" t="s">
        <v>4769</v>
      </c>
      <c r="B2" s="569">
        <f>ROUND(SUMIF(应纳税暂时性差异明细表!B:B,A2,应纳税暂时性差异明细表!Q:Q),2)</f>
        <v>0</v>
      </c>
      <c r="C2" s="569">
        <f>ROUND(SUMIF(应纳税暂时性差异明细表!B:B,A2,应纳税暂时性差异明细表!T:T),2)</f>
        <v>0</v>
      </c>
      <c r="D2" s="569">
        <f>ROUND(SUMIF(应纳税暂时性差异明细表!B:B,A2,应纳税暂时性差异明细表!D:D),2)</f>
        <v>0</v>
      </c>
      <c r="E2" s="569">
        <f>ROUND(SUMIF(应纳税暂时性差异明细表!B:B,A2,应纳税暂时性差异明细表!S:S),2)</f>
        <v>0</v>
      </c>
    </row>
    <row r="3" spans="1:5" ht="14.4">
      <c r="A3" s="568" t="s">
        <v>4770</v>
      </c>
      <c r="B3" s="569">
        <f>ROUND(SUMIF(应纳税暂时性差异明细表!B:B,A3,应纳税暂时性差异明细表!Q:Q),2)</f>
        <v>0</v>
      </c>
      <c r="C3" s="569">
        <f>ROUND(SUMIF(应纳税暂时性差异明细表!B:B,A3,应纳税暂时性差异明细表!T:T),2)</f>
        <v>0</v>
      </c>
      <c r="D3" s="569">
        <f>ROUND(SUMIF(应纳税暂时性差异明细表!B:B,A3,应纳税暂时性差异明细表!D:D),2)</f>
        <v>0</v>
      </c>
      <c r="E3" s="569">
        <f>ROUND(SUMIF(应纳税暂时性差异明细表!B:B,A3,应纳税暂时性差异明细表!S:S),2)</f>
        <v>0</v>
      </c>
    </row>
    <row r="4" spans="1:5" ht="14.4">
      <c r="A4" s="568" t="s">
        <v>4771</v>
      </c>
      <c r="B4" s="569">
        <f>ROUND(SUMIF(应纳税暂时性差异明细表!B:B,A4,应纳税暂时性差异明细表!Q:Q),2)</f>
        <v>0</v>
      </c>
      <c r="C4" s="569">
        <f>ROUND(SUMIF(应纳税暂时性差异明细表!B:B,A4,应纳税暂时性差异明细表!T:T),2)</f>
        <v>0</v>
      </c>
      <c r="D4" s="569">
        <f>ROUND(SUMIF(应纳税暂时性差异明细表!B:B,A4,应纳税暂时性差异明细表!D:D),2)</f>
        <v>0</v>
      </c>
      <c r="E4" s="569">
        <f>ROUND(SUMIF(应纳税暂时性差异明细表!B:B,A4,应纳税暂时性差异明细表!S:S),2)</f>
        <v>0</v>
      </c>
    </row>
    <row r="5" spans="1:5" ht="14.4">
      <c r="A5" s="568" t="s">
        <v>4772</v>
      </c>
      <c r="B5" s="569">
        <f>ROUND(SUMIF(应纳税暂时性差异明细表!B:B,A5,应纳税暂时性差异明细表!Q:Q),2)</f>
        <v>0</v>
      </c>
      <c r="C5" s="569">
        <f>ROUND(SUMIF(应纳税暂时性差异明细表!B:B,A5,应纳税暂时性差异明细表!T:T),2)</f>
        <v>0</v>
      </c>
      <c r="D5" s="569">
        <f>ROUND(SUMIF(应纳税暂时性差异明细表!B:B,A5,应纳税暂时性差异明细表!D:D),2)</f>
        <v>0</v>
      </c>
      <c r="E5" s="569">
        <f>ROUND(SUMIF(应纳税暂时性差异明细表!B:B,A5,应纳税暂时性差异明细表!S:S),2)</f>
        <v>0</v>
      </c>
    </row>
    <row r="6" spans="1:5" ht="14.4">
      <c r="A6" s="568" t="s">
        <v>4773</v>
      </c>
      <c r="B6" s="569">
        <f>ROUND(SUMIF(应纳税暂时性差异明细表!B:B,A6,应纳税暂时性差异明细表!Q:Q),2)</f>
        <v>0</v>
      </c>
      <c r="C6" s="569">
        <f>ROUND(SUMIF(应纳税暂时性差异明细表!B:B,A6,应纳税暂时性差异明细表!T:T),2)</f>
        <v>0</v>
      </c>
      <c r="D6" s="569">
        <f>ROUND(SUMIF(应纳税暂时性差异明细表!B:B,A6,应纳税暂时性差异明细表!D:D),2)</f>
        <v>0</v>
      </c>
      <c r="E6" s="569">
        <f>ROUND(SUMIF(应纳税暂时性差异明细表!B:B,A6,应纳税暂时性差异明细表!S:S),2)</f>
        <v>0</v>
      </c>
    </row>
    <row r="7" spans="1:5" ht="14.4">
      <c r="A7" s="568" t="s">
        <v>4774</v>
      </c>
      <c r="B7" s="569">
        <f>ROUND(SUMIF(应纳税暂时性差异明细表!B:B,A7,应纳税暂时性差异明细表!Q:Q),2)</f>
        <v>0</v>
      </c>
      <c r="C7" s="569">
        <f>ROUND(SUMIF(应纳税暂时性差异明细表!B:B,A7,应纳税暂时性差异明细表!T:T),2)</f>
        <v>0</v>
      </c>
      <c r="D7" s="569">
        <f>ROUND(SUMIF(应纳税暂时性差异明细表!B:B,A7,应纳税暂时性差异明细表!D:D),2)</f>
        <v>0</v>
      </c>
      <c r="E7" s="569">
        <f>ROUND(SUMIF(应纳税暂时性差异明细表!B:B,A7,应纳税暂时性差异明细表!S:S),2)</f>
        <v>0</v>
      </c>
    </row>
    <row r="8" spans="1:5" ht="14.4">
      <c r="A8" s="568" t="s">
        <v>4457</v>
      </c>
      <c r="B8" s="569">
        <f>ROUND(SUMIF(应纳税暂时性差异明细表!B:B,A8,应纳税暂时性差异明细表!Q:Q),2)</f>
        <v>0</v>
      </c>
      <c r="C8" s="569">
        <f>ROUND(SUMIF(应纳税暂时性差异明细表!B:B,A8,应纳税暂时性差异明细表!T:T),2)</f>
        <v>0</v>
      </c>
      <c r="D8" s="569">
        <f>ROUND(SUMIF(应纳税暂时性差异明细表!B:B,A8,应纳税暂时性差异明细表!D:D),2)</f>
        <v>0</v>
      </c>
      <c r="E8" s="569">
        <f>ROUND(SUMIF(应纳税暂时性差异明细表!B:B,A8,应纳税暂时性差异明细表!S:S),2)</f>
        <v>0</v>
      </c>
    </row>
    <row r="9" spans="1:5" ht="14.4">
      <c r="A9" s="568" t="s">
        <v>4458</v>
      </c>
      <c r="B9" s="569">
        <f>ROUND(SUMIF(应纳税暂时性差异明细表!B:B,A9,应纳税暂时性差异明细表!Q:Q),2)</f>
        <v>0</v>
      </c>
      <c r="C9" s="569">
        <f>ROUND(SUMIF(应纳税暂时性差异明细表!B:B,A9,应纳税暂时性差异明细表!T:T),2)</f>
        <v>0</v>
      </c>
      <c r="D9" s="569">
        <f>ROUND(SUMIF(应纳税暂时性差异明细表!B:B,A9,应纳税暂时性差异明细表!D:D),2)</f>
        <v>0</v>
      </c>
      <c r="E9" s="569">
        <f>ROUND(SUMIF(应纳税暂时性差异明细表!B:B,A9,应纳税暂时性差异明细表!S:S),2)</f>
        <v>0</v>
      </c>
    </row>
    <row r="10" spans="1:5" ht="14.4">
      <c r="A10" s="568" t="s">
        <v>4459</v>
      </c>
      <c r="B10" s="569">
        <f>ROUND(SUMIF(应纳税暂时性差异明细表!B:B,A10,应纳税暂时性差异明细表!Q:Q),2)</f>
        <v>0</v>
      </c>
      <c r="C10" s="569">
        <f>ROUND(SUMIF(应纳税暂时性差异明细表!B:B,A10,应纳税暂时性差异明细表!T:T),2)</f>
        <v>0</v>
      </c>
      <c r="D10" s="569">
        <f>ROUND(SUMIF(应纳税暂时性差异明细表!B:B,A10,应纳税暂时性差异明细表!D:D),2)</f>
        <v>0</v>
      </c>
      <c r="E10" s="569">
        <f>ROUND(SUMIF(应纳税暂时性差异明细表!B:B,A10,应纳税暂时性差异明细表!S:S),2)</f>
        <v>0</v>
      </c>
    </row>
    <row r="11" spans="1:5" ht="14.4">
      <c r="A11" s="568"/>
      <c r="B11" s="569">
        <f>ROUND(SUMIF(应纳税暂时性差异明细表!B:B,A11,应纳税暂时性差异明细表!Q:Q),2)</f>
        <v>0</v>
      </c>
      <c r="C11" s="569">
        <f>ROUND(SUMIF(应纳税暂时性差异明细表!B:B,A11,应纳税暂时性差异明细表!T:T),2)</f>
        <v>0</v>
      </c>
      <c r="D11" s="569">
        <f>ROUND(SUMIF(应纳税暂时性差异明细表!B:B,A11,应纳税暂时性差异明细表!D:D),2)</f>
        <v>0</v>
      </c>
      <c r="E11" s="569">
        <f>ROUND(SUMIF(应纳税暂时性差异明细表!B:B,A11,应纳税暂时性差异明细表!S:S),2)</f>
        <v>0</v>
      </c>
    </row>
    <row r="12" spans="1:5" ht="14.4">
      <c r="A12" s="568"/>
      <c r="B12" s="569">
        <f>ROUND(SUMIF(应纳税暂时性差异明细表!B:B,A12,应纳税暂时性差异明细表!Q:Q),2)</f>
        <v>0</v>
      </c>
      <c r="C12" s="569">
        <f>ROUND(SUMIF(应纳税暂时性差异明细表!B:B,A12,应纳税暂时性差异明细表!T:T),2)</f>
        <v>0</v>
      </c>
      <c r="D12" s="569">
        <f>ROUND(SUMIF(应纳税暂时性差异明细表!B:B,A12,应纳税暂时性差异明细表!D:D),2)</f>
        <v>0</v>
      </c>
      <c r="E12" s="569">
        <f>ROUND(SUMIF(应纳税暂时性差异明细表!B:B,A12,应纳税暂时性差异明细表!S:S),2)</f>
        <v>0</v>
      </c>
    </row>
    <row r="13" spans="1:5" ht="14.4">
      <c r="A13" s="568"/>
      <c r="B13" s="569">
        <f>ROUND(SUMIF(应纳税暂时性差异明细表!B:B,A13,应纳税暂时性差异明细表!Q:Q),2)</f>
        <v>0</v>
      </c>
      <c r="C13" s="569">
        <f>ROUND(SUMIF(应纳税暂时性差异明细表!B:B,A13,应纳税暂时性差异明细表!T:T),2)</f>
        <v>0</v>
      </c>
      <c r="D13" s="569">
        <f>ROUND(SUMIF(应纳税暂时性差异明细表!B:B,A13,应纳税暂时性差异明细表!D:D),2)</f>
        <v>0</v>
      </c>
      <c r="E13" s="569">
        <f>ROUND(SUMIF(应纳税暂时性差异明细表!B:B,A13,应纳税暂时性差异明细表!S:S),2)</f>
        <v>0</v>
      </c>
    </row>
    <row r="14" spans="1:5" ht="14.4">
      <c r="A14" s="568"/>
      <c r="B14" s="569">
        <f>ROUND(SUMIF(应纳税暂时性差异明细表!B:B,A14,应纳税暂时性差异明细表!Q:Q),2)</f>
        <v>0</v>
      </c>
      <c r="C14" s="569">
        <f>ROUND(SUMIF(应纳税暂时性差异明细表!B:B,A14,应纳税暂时性差异明细表!T:T),2)</f>
        <v>0</v>
      </c>
      <c r="D14" s="569">
        <f>ROUND(SUMIF(应纳税暂时性差异明细表!B:B,A14,应纳税暂时性差异明细表!D:D),2)</f>
        <v>0</v>
      </c>
      <c r="E14" s="569">
        <f>ROUND(SUMIF(应纳税暂时性差异明细表!B:B,A14,应纳税暂时性差异明细表!S:S),2)</f>
        <v>0</v>
      </c>
    </row>
    <row r="15" spans="1:5" ht="14.4">
      <c r="A15" s="568"/>
      <c r="B15" s="569">
        <f>ROUND(SUMIF(应纳税暂时性差异明细表!B:B,A15,应纳税暂时性差异明细表!Q:Q),2)</f>
        <v>0</v>
      </c>
      <c r="C15" s="569">
        <f>ROUND(SUMIF(应纳税暂时性差异明细表!B:B,A15,应纳税暂时性差异明细表!T:T),2)</f>
        <v>0</v>
      </c>
      <c r="D15" s="569">
        <f>ROUND(SUMIF(应纳税暂时性差异明细表!B:B,A15,应纳税暂时性差异明细表!D:D),2)</f>
        <v>0</v>
      </c>
      <c r="E15" s="569">
        <f>ROUND(SUMIF(应纳税暂时性差异明细表!B:B,A15,应纳税暂时性差异明细表!S:S),2)</f>
        <v>0</v>
      </c>
    </row>
    <row r="16" spans="1:5" ht="14.4">
      <c r="A16" s="568"/>
      <c r="B16" s="569">
        <f>ROUND(SUMIF(应纳税暂时性差异明细表!B:B,A16,应纳税暂时性差异明细表!Q:Q),2)</f>
        <v>0</v>
      </c>
      <c r="C16" s="569">
        <f>ROUND(SUMIF(应纳税暂时性差异明细表!B:B,A16,应纳税暂时性差异明细表!T:T),2)</f>
        <v>0</v>
      </c>
      <c r="D16" s="569">
        <f>ROUND(SUMIF(应纳税暂时性差异明细表!B:B,A16,应纳税暂时性差异明细表!D:D),2)</f>
        <v>0</v>
      </c>
      <c r="E16" s="569">
        <f>ROUND(SUMIF(应纳税暂时性差异明细表!B:B,A16,应纳税暂时性差异明细表!S:S),2)</f>
        <v>0</v>
      </c>
    </row>
    <row r="17" spans="1:5" ht="14.4">
      <c r="A17" s="568"/>
      <c r="B17" s="569">
        <f>ROUND(SUMIF(应纳税暂时性差异明细表!B:B,A17,应纳税暂时性差异明细表!Q:Q),2)</f>
        <v>0</v>
      </c>
      <c r="C17" s="569">
        <f>ROUND(SUMIF(应纳税暂时性差异明细表!B:B,A17,应纳税暂时性差异明细表!T:T),2)</f>
        <v>0</v>
      </c>
      <c r="D17" s="569">
        <f>ROUND(SUMIF(应纳税暂时性差异明细表!B:B,A17,应纳税暂时性差异明细表!D:D),2)</f>
        <v>0</v>
      </c>
      <c r="E17" s="569">
        <f>ROUND(SUMIF(应纳税暂时性差异明细表!B:B,A17,应纳税暂时性差异明细表!S:S),2)</f>
        <v>0</v>
      </c>
    </row>
    <row r="18" spans="1:5" ht="14.4">
      <c r="A18" s="568"/>
      <c r="B18" s="569">
        <f>ROUND(SUMIF(应纳税暂时性差异明细表!B:B,A18,应纳税暂时性差异明细表!Q:Q),2)</f>
        <v>0</v>
      </c>
      <c r="C18" s="569">
        <f>ROUND(SUMIF(应纳税暂时性差异明细表!B:B,A18,应纳税暂时性差异明细表!T:T),2)</f>
        <v>0</v>
      </c>
      <c r="D18" s="569">
        <f>ROUND(SUMIF(应纳税暂时性差异明细表!B:B,A18,应纳税暂时性差异明细表!D:D),2)</f>
        <v>0</v>
      </c>
      <c r="E18" s="569">
        <f>ROUND(SUMIF(应纳税暂时性差异明细表!B:B,A18,应纳税暂时性差异明细表!S:S),2)</f>
        <v>0</v>
      </c>
    </row>
    <row r="19" spans="1:5" ht="14.4">
      <c r="A19" s="568"/>
      <c r="B19" s="569">
        <f>ROUND(SUMIF(应纳税暂时性差异明细表!B:B,A19,应纳税暂时性差异明细表!Q:Q),2)</f>
        <v>0</v>
      </c>
      <c r="C19" s="569">
        <f>ROUND(SUMIF(应纳税暂时性差异明细表!B:B,A19,应纳税暂时性差异明细表!T:T),2)</f>
        <v>0</v>
      </c>
      <c r="D19" s="569">
        <f>ROUND(SUMIF(应纳税暂时性差异明细表!B:B,A19,应纳税暂时性差异明细表!D:D),2)</f>
        <v>0</v>
      </c>
      <c r="E19" s="569">
        <f>ROUND(SUMIF(应纳税暂时性差异明细表!B:B,A19,应纳税暂时性差异明细表!S:S),2)</f>
        <v>0</v>
      </c>
    </row>
    <row r="20" spans="1:5" ht="14.4">
      <c r="A20" s="568"/>
      <c r="B20" s="569">
        <f>ROUND(SUMIF(应纳税暂时性差异明细表!B:B,A20,应纳税暂时性差异明细表!Q:Q),2)</f>
        <v>0</v>
      </c>
      <c r="C20" s="569">
        <f>ROUND(SUMIF(应纳税暂时性差异明细表!B:B,A20,应纳税暂时性差异明细表!T:T),2)</f>
        <v>0</v>
      </c>
      <c r="D20" s="569">
        <f>ROUND(SUMIF(应纳税暂时性差异明细表!B:B,A20,应纳税暂时性差异明细表!D:D),2)</f>
        <v>0</v>
      </c>
      <c r="E20" s="569">
        <f>ROUND(SUMIF(应纳税暂时性差异明细表!B:B,A20,应纳税暂时性差异明细表!S:S),2)</f>
        <v>0</v>
      </c>
    </row>
    <row r="21" spans="1:5" ht="14.4">
      <c r="A21" s="568"/>
      <c r="B21" s="569">
        <f>ROUND(SUMIF(应纳税暂时性差异明细表!B:B,A21,应纳税暂时性差异明细表!Q:Q),2)</f>
        <v>0</v>
      </c>
      <c r="C21" s="569">
        <f>ROUND(SUMIF(应纳税暂时性差异明细表!B:B,A21,应纳税暂时性差异明细表!T:T),2)</f>
        <v>0</v>
      </c>
      <c r="D21" s="569">
        <f>ROUND(SUMIF(应纳税暂时性差异明细表!B:B,A21,应纳税暂时性差异明细表!D:D),2)</f>
        <v>0</v>
      </c>
      <c r="E21" s="569">
        <f>ROUND(SUMIF(应纳税暂时性差异明细表!B:B,A21,应纳税暂时性差异明细表!S:S),2)</f>
        <v>0</v>
      </c>
    </row>
    <row r="22" spans="1:5" ht="14.4">
      <c r="A22" s="568"/>
      <c r="B22" s="569">
        <f>ROUND(SUMIF(应纳税暂时性差异明细表!B:B,A22,应纳税暂时性差异明细表!Q:Q),2)</f>
        <v>0</v>
      </c>
      <c r="C22" s="569">
        <f>ROUND(SUMIF(应纳税暂时性差异明细表!B:B,A22,应纳税暂时性差异明细表!T:T),2)</f>
        <v>0</v>
      </c>
      <c r="D22" s="569">
        <f>ROUND(SUMIF(应纳税暂时性差异明细表!B:B,A22,应纳税暂时性差异明细表!D:D),2)</f>
        <v>0</v>
      </c>
      <c r="E22" s="569">
        <f>ROUND(SUMIF(应纳税暂时性差异明细表!B:B,A22,应纳税暂时性差异明细表!S:S),2)</f>
        <v>0</v>
      </c>
    </row>
    <row r="23" spans="1:5" ht="14.4">
      <c r="A23" s="568"/>
      <c r="B23" s="569">
        <f>ROUND(SUMIF(应纳税暂时性差异明细表!B:B,A23,应纳税暂时性差异明细表!Q:Q),2)</f>
        <v>0</v>
      </c>
      <c r="C23" s="569">
        <f>ROUND(SUMIF(应纳税暂时性差异明细表!B:B,A23,应纳税暂时性差异明细表!T:T),2)</f>
        <v>0</v>
      </c>
      <c r="D23" s="569">
        <f>ROUND(SUMIF(应纳税暂时性差异明细表!B:B,A23,应纳税暂时性差异明细表!D:D),2)</f>
        <v>0</v>
      </c>
      <c r="E23" s="569">
        <f>ROUND(SUMIF(应纳税暂时性差异明细表!B:B,A23,应纳税暂时性差异明细表!S:S),2)</f>
        <v>0</v>
      </c>
    </row>
    <row r="24" spans="1:5" ht="14.4">
      <c r="A24" s="568"/>
      <c r="B24" s="569">
        <f>ROUND(SUMIF(应纳税暂时性差异明细表!B:B,A24,应纳税暂时性差异明细表!Q:Q),2)</f>
        <v>0</v>
      </c>
      <c r="C24" s="569">
        <f>ROUND(SUMIF(应纳税暂时性差异明细表!B:B,A24,应纳税暂时性差异明细表!T:T),2)</f>
        <v>0</v>
      </c>
      <c r="D24" s="569">
        <f>ROUND(SUMIF(应纳税暂时性差异明细表!B:B,A24,应纳税暂时性差异明细表!D:D),2)</f>
        <v>0</v>
      </c>
      <c r="E24" s="569">
        <f>ROUND(SUMIF(应纳税暂时性差异明细表!B:B,A24,应纳税暂时性差异明细表!S:S),2)</f>
        <v>0</v>
      </c>
    </row>
    <row r="25" spans="1:5" ht="14.4">
      <c r="A25" s="19" t="s">
        <v>204</v>
      </c>
      <c r="B25" s="709">
        <f>ROUND(SUM(B2:B24),2)</f>
        <v>0</v>
      </c>
      <c r="C25" s="709">
        <f>ROUND(SUM(C2:C24),2)</f>
        <v>0</v>
      </c>
      <c r="D25" s="709">
        <f>ROUND(SUM(D2:D24),2)</f>
        <v>0</v>
      </c>
      <c r="E25" s="709">
        <f>ROUND(SUM(E2:E24),2)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codeName="Sheet239">
    <tabColor rgb="FFFFC000"/>
  </sheetPr>
  <dimension ref="A1:C4"/>
  <sheetViews>
    <sheetView workbookViewId="0">
      <selection activeCell="F14" sqref="F1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521</v>
      </c>
      <c r="B2" s="295">
        <f>ROUND(SUM(可抵扣暂时性差异明细表!R:R)-B3,2)</f>
        <v>0</v>
      </c>
      <c r="C2" s="295">
        <f>ROUND(SUM(可抵扣暂时性差异明细表!E:E)-C3,2)</f>
        <v>0</v>
      </c>
    </row>
    <row r="3" spans="1:3" ht="14.4">
      <c r="A3" s="32" t="s">
        <v>512</v>
      </c>
      <c r="B3" s="295">
        <f>ROUND(SUMIF(可抵扣暂时性差异明细表!B:B,A3,可抵扣暂时性差异明细表!R:R),2)</f>
        <v>0</v>
      </c>
      <c r="C3" s="295">
        <f>ROUND(SUMIF(可抵扣暂时性差异明细表!B:B,A3,可抵扣暂时性差异明细表!E:E),2)</f>
        <v>0</v>
      </c>
    </row>
    <row r="4" spans="1:3" ht="14.4">
      <c r="A4" s="31" t="s">
        <v>282</v>
      </c>
      <c r="B4" s="69">
        <f>ROUND(SUM(B2:B3),2)</f>
        <v>0</v>
      </c>
      <c r="C4" s="69">
        <f>ROUND(SUM(C2:C3),2)</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codeName="Sheet24">
    <tabColor rgb="FF00B0F0"/>
  </sheetPr>
  <dimension ref="A1:D15"/>
  <sheetViews>
    <sheetView workbookViewId="0">
      <selection activeCell="L24" sqref="L24"/>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4" t="s">
        <v>2543</v>
      </c>
      <c r="B1" s="345" t="s">
        <v>2544</v>
      </c>
      <c r="C1" s="345" t="s">
        <v>2545</v>
      </c>
      <c r="D1" s="346" t="s">
        <v>2546</v>
      </c>
    </row>
    <row r="2" spans="1:4">
      <c r="A2" s="18" t="str">
        <f>税金及附加!A2</f>
        <v>城市维护建设税</v>
      </c>
      <c r="B2" s="1">
        <f>_xlfn.IFNA(VLOOKUP(A2,应交税费!A:C,3,0),0)</f>
        <v>0</v>
      </c>
      <c r="C2" s="1">
        <f>_xlfn.IFNA(VLOOKUP(A2,税金及附加!A:B,2,0),0)</f>
        <v>0</v>
      </c>
      <c r="D2" s="134">
        <f t="shared" ref="D2:D12" si="0">B2-C2</f>
        <v>0</v>
      </c>
    </row>
    <row r="3" spans="1:4">
      <c r="A3" s="18" t="str">
        <f>税金及附加!A3</f>
        <v>房产税</v>
      </c>
      <c r="B3" s="1">
        <f>_xlfn.IFNA(VLOOKUP(A3,应交税费!A:C,3,0),0)</f>
        <v>0</v>
      </c>
      <c r="C3" s="1">
        <f>_xlfn.IFNA(VLOOKUP(A3,税金及附加!A:B,2,0),0)</f>
        <v>0</v>
      </c>
      <c r="D3" s="134">
        <f t="shared" si="0"/>
        <v>0</v>
      </c>
    </row>
    <row r="4" spans="1:4">
      <c r="A4" s="18" t="str">
        <f>税金及附加!A4</f>
        <v>土地增值税</v>
      </c>
      <c r="B4" s="1">
        <f>_xlfn.IFNA(VLOOKUP(A4,应交税费!A:C,3,0),0)</f>
        <v>0</v>
      </c>
      <c r="C4" s="1">
        <f>_xlfn.IFNA(VLOOKUP(A4,税金及附加!A:B,2,0),0)</f>
        <v>0</v>
      </c>
      <c r="D4" s="134">
        <f t="shared" si="0"/>
        <v>0</v>
      </c>
    </row>
    <row r="5" spans="1:4">
      <c r="A5" s="18" t="str">
        <f>税金及附加!A5</f>
        <v>土地使用税</v>
      </c>
      <c r="B5" s="1">
        <f>_xlfn.IFNA(VLOOKUP(A5,应交税费!A:C,3,0),0)</f>
        <v>0</v>
      </c>
      <c r="C5" s="1">
        <f>_xlfn.IFNA(VLOOKUP(A5,税金及附加!A:B,2,0),0)</f>
        <v>0</v>
      </c>
      <c r="D5" s="134">
        <f t="shared" si="0"/>
        <v>0</v>
      </c>
    </row>
    <row r="6" spans="1:4">
      <c r="A6" s="18" t="str">
        <f>税金及附加!A6</f>
        <v>教育费附加</v>
      </c>
      <c r="B6" s="1">
        <f>_xlfn.IFNA(VLOOKUP(A6,应交税费!A:C,3,0),0)</f>
        <v>0</v>
      </c>
      <c r="C6" s="1">
        <f>_xlfn.IFNA(VLOOKUP(A6,税金及附加!A:B,2,0),0)</f>
        <v>0</v>
      </c>
      <c r="D6" s="134">
        <f t="shared" si="0"/>
        <v>0</v>
      </c>
    </row>
    <row r="7" spans="1:4">
      <c r="A7" s="18" t="str">
        <f>税金及附加!A7</f>
        <v>地方教育费附加</v>
      </c>
      <c r="B7" s="1">
        <f>_xlfn.IFNA(VLOOKUP(A7,应交税费!A:C,3,0),0)</f>
        <v>0</v>
      </c>
      <c r="C7" s="1">
        <f>_xlfn.IFNA(VLOOKUP(A7,税金及附加!A:B,2,0),0)</f>
        <v>0</v>
      </c>
      <c r="D7" s="134">
        <f t="shared" si="0"/>
        <v>0</v>
      </c>
    </row>
    <row r="8" spans="1:4">
      <c r="A8" s="18" t="str">
        <f>税金及附加!A8</f>
        <v>文化事业维护费</v>
      </c>
      <c r="B8" s="1">
        <f>_xlfn.IFNA(VLOOKUP(A8,应交税费!A:C,3,0),0)</f>
        <v>0</v>
      </c>
      <c r="C8" s="1">
        <f>_xlfn.IFNA(VLOOKUP(A8,税金及附加!A:B,2,0),0)</f>
        <v>0</v>
      </c>
      <c r="D8" s="134">
        <f t="shared" si="0"/>
        <v>0</v>
      </c>
    </row>
    <row r="9" spans="1:4">
      <c r="A9" s="18" t="str">
        <f>税金及附加!A9</f>
        <v>车船使用税</v>
      </c>
      <c r="B9" s="1">
        <f>_xlfn.IFNA(VLOOKUP(A9,应交税费!A:C,3,0),0)</f>
        <v>0</v>
      </c>
      <c r="C9" s="1">
        <f>_xlfn.IFNA(VLOOKUP(A9,税金及附加!A:B,2,0),0)</f>
        <v>0</v>
      </c>
      <c r="D9" s="134">
        <f t="shared" si="0"/>
        <v>0</v>
      </c>
    </row>
    <row r="10" spans="1:4">
      <c r="A10" s="18" t="str">
        <f>税金及附加!A10</f>
        <v>水利建设基金</v>
      </c>
      <c r="B10" s="1">
        <f>_xlfn.IFNA(VLOOKUP(A10,应交税费!A:C,3,0),0)</f>
        <v>0</v>
      </c>
      <c r="C10" s="1">
        <f>_xlfn.IFNA(VLOOKUP(A10,税金及附加!A:B,2,0),0)</f>
        <v>0</v>
      </c>
      <c r="D10" s="134">
        <f t="shared" si="0"/>
        <v>0</v>
      </c>
    </row>
    <row r="11" spans="1:4">
      <c r="A11" s="18" t="str">
        <f>税金及附加!A11</f>
        <v>印花税</v>
      </c>
      <c r="B11" s="1">
        <f>_xlfn.IFNA(VLOOKUP(A11,应交税费!A:C,3,0),0)</f>
        <v>0</v>
      </c>
      <c r="C11" s="1">
        <f>_xlfn.IFNA(VLOOKUP(A11,税金及附加!A:B,2,0),0)</f>
        <v>0</v>
      </c>
      <c r="D11" s="134">
        <f t="shared" si="0"/>
        <v>0</v>
      </c>
    </row>
    <row r="12" spans="1:4">
      <c r="A12" s="18" t="str">
        <f>税金及附加!A12</f>
        <v>合计</v>
      </c>
      <c r="B12" s="1">
        <f>_xlfn.IFNA(VLOOKUP(A12,应交税费!A:C,3,0),0)</f>
        <v>0</v>
      </c>
      <c r="C12" s="1">
        <f>税金及附加!B12</f>
        <v>0</v>
      </c>
      <c r="D12" s="134">
        <f t="shared" si="0"/>
        <v>0</v>
      </c>
    </row>
    <row r="13" spans="1:4">
      <c r="A13" s="18">
        <f>税金及附加!A13</f>
        <v>0</v>
      </c>
      <c r="B13" s="1">
        <f>_xlfn.IFNA(VLOOKUP(A13,应交税费!A:C,3,0),0)</f>
        <v>0</v>
      </c>
      <c r="C13" s="1">
        <f>税金及附加!B13</f>
        <v>0</v>
      </c>
      <c r="D13" s="134">
        <f t="shared" ref="D13:D15" si="1">B13-C13</f>
        <v>0</v>
      </c>
    </row>
    <row r="14" spans="1:4">
      <c r="A14" s="18">
        <f>税金及附加!A14</f>
        <v>0</v>
      </c>
      <c r="B14" s="1">
        <f>_xlfn.IFNA(VLOOKUP(A14,应交税费!A:C,3,0),0)</f>
        <v>0</v>
      </c>
      <c r="C14" s="1">
        <f>税金及附加!B14</f>
        <v>0</v>
      </c>
      <c r="D14" s="134">
        <f t="shared" si="1"/>
        <v>0</v>
      </c>
    </row>
    <row r="15" spans="1:4">
      <c r="A15" s="18">
        <f>税金及附加!A15</f>
        <v>0</v>
      </c>
      <c r="B15" s="1">
        <f>_xlfn.IFNA(VLOOKUP(A15,应交税费!A:C,3,0),0)</f>
        <v>0</v>
      </c>
      <c r="C15" s="1">
        <f>税金及附加!B15</f>
        <v>0</v>
      </c>
      <c r="D15" s="134">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codeName="Sheet240">
    <tabColor rgb="FFFFC000"/>
  </sheetPr>
  <dimension ref="A1:D12"/>
  <sheetViews>
    <sheetView workbookViewId="0">
      <selection activeCell="E9" sqref="E9"/>
    </sheetView>
  </sheetViews>
  <sheetFormatPr defaultRowHeight="13.8"/>
  <cols>
    <col min="1" max="16384" width="8.88671875" style="18"/>
  </cols>
  <sheetData>
    <row r="1" spans="1:4" ht="14.4">
      <c r="A1" s="31" t="s">
        <v>4185</v>
      </c>
      <c r="B1" s="20" t="s">
        <v>203</v>
      </c>
      <c r="C1" s="20" t="s">
        <v>285</v>
      </c>
      <c r="D1" s="20" t="s">
        <v>470</v>
      </c>
    </row>
    <row r="2" spans="1:4" ht="14.4">
      <c r="A2" s="296">
        <f>可抵扣亏损!A2</f>
        <v>0</v>
      </c>
      <c r="B2" s="569">
        <f>可抵扣亏损!E2</f>
        <v>0</v>
      </c>
      <c r="C2" s="569">
        <f>可抵扣亏损!G2</f>
        <v>0</v>
      </c>
      <c r="D2" s="32"/>
    </row>
    <row r="3" spans="1:4" ht="14.4">
      <c r="A3" s="296">
        <f>可抵扣亏损!A3</f>
        <v>0</v>
      </c>
      <c r="B3" s="569">
        <f>可抵扣亏损!E3</f>
        <v>0</v>
      </c>
      <c r="C3" s="569">
        <f>可抵扣亏损!G3</f>
        <v>0</v>
      </c>
      <c r="D3" s="32"/>
    </row>
    <row r="4" spans="1:4" ht="14.4">
      <c r="A4" s="296">
        <f>可抵扣亏损!A4</f>
        <v>0</v>
      </c>
      <c r="B4" s="569">
        <f>可抵扣亏损!E4</f>
        <v>0</v>
      </c>
      <c r="C4" s="569">
        <f>可抵扣亏损!G4</f>
        <v>0</v>
      </c>
      <c r="D4" s="32"/>
    </row>
    <row r="5" spans="1:4" ht="14.4">
      <c r="A5" s="296">
        <f>可抵扣亏损!A5</f>
        <v>0</v>
      </c>
      <c r="B5" s="569">
        <f>可抵扣亏损!E5</f>
        <v>0</v>
      </c>
      <c r="C5" s="569">
        <f>可抵扣亏损!G5</f>
        <v>0</v>
      </c>
      <c r="D5" s="32"/>
    </row>
    <row r="6" spans="1:4" ht="14.4">
      <c r="A6" s="296">
        <f>可抵扣亏损!A6</f>
        <v>0</v>
      </c>
      <c r="B6" s="569">
        <f>可抵扣亏损!E6</f>
        <v>0</v>
      </c>
      <c r="C6" s="569">
        <f>可抵扣亏损!G6</f>
        <v>0</v>
      </c>
      <c r="D6" s="32"/>
    </row>
    <row r="7" spans="1:4" ht="14.4">
      <c r="A7" s="296">
        <f>可抵扣亏损!A7</f>
        <v>0</v>
      </c>
      <c r="B7" s="569">
        <f>可抵扣亏损!E7</f>
        <v>0</v>
      </c>
      <c r="C7" s="569">
        <f>可抵扣亏损!G7</f>
        <v>0</v>
      </c>
      <c r="D7" s="32"/>
    </row>
    <row r="8" spans="1:4" ht="14.4">
      <c r="A8" s="296">
        <f>可抵扣亏损!A8</f>
        <v>0</v>
      </c>
      <c r="B8" s="569">
        <f>可抵扣亏损!E8</f>
        <v>0</v>
      </c>
      <c r="C8" s="569">
        <f>可抵扣亏损!G8</f>
        <v>0</v>
      </c>
      <c r="D8" s="32"/>
    </row>
    <row r="9" spans="1:4" ht="14.4">
      <c r="A9" s="296">
        <f>可抵扣亏损!A9</f>
        <v>0</v>
      </c>
      <c r="B9" s="569">
        <f>可抵扣亏损!E9</f>
        <v>0</v>
      </c>
      <c r="C9" s="569">
        <f>可抵扣亏损!G9</f>
        <v>0</v>
      </c>
      <c r="D9" s="32"/>
    </row>
    <row r="10" spans="1:4" ht="14.4">
      <c r="A10" s="296">
        <f>可抵扣亏损!A10</f>
        <v>0</v>
      </c>
      <c r="B10" s="569">
        <f>可抵扣亏损!E10</f>
        <v>0</v>
      </c>
      <c r="C10" s="569">
        <f>可抵扣亏损!G10</f>
        <v>0</v>
      </c>
      <c r="D10" s="32"/>
    </row>
    <row r="11" spans="1:4" ht="14.4">
      <c r="A11" s="296">
        <f>可抵扣亏损!A11</f>
        <v>0</v>
      </c>
      <c r="B11" s="569">
        <f>可抵扣亏损!E11</f>
        <v>0</v>
      </c>
      <c r="C11" s="569">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codeName="Sheet241">
    <tabColor rgb="FFFFC000"/>
  </sheetPr>
  <dimension ref="A1:C8"/>
  <sheetViews>
    <sheetView workbookViewId="0">
      <selection activeCell="F13" sqref="F13"/>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79" t="s">
        <v>4466</v>
      </c>
      <c r="B2" s="268">
        <f>ROUND(SUMIF(其他非流动资产明细表!C:C,其他非流动资产!A2,其他非流动资产明细表!H:H),2)</f>
        <v>0</v>
      </c>
      <c r="C2" s="268">
        <f>ROUND(SUMIF(其他非流动资产明细表!C:C,其他非流动资产!A2,其他非流动资产明细表!D:D),2)</f>
        <v>0</v>
      </c>
    </row>
    <row r="3" spans="1:3" ht="14.4">
      <c r="A3" s="379" t="s">
        <v>4467</v>
      </c>
      <c r="B3" s="268">
        <f>ROUND(SUMIF(其他非流动资产明细表!C:C,其他非流动资产!A3,其他非流动资产明细表!H:H),2)</f>
        <v>0</v>
      </c>
      <c r="C3" s="268">
        <f>ROUND(SUMIF(其他非流动资产明细表!C:C,其他非流动资产!A3,其他非流动资产明细表!D:D),2)</f>
        <v>0</v>
      </c>
    </row>
    <row r="4" spans="1:3" ht="14.4">
      <c r="A4" s="379"/>
      <c r="B4" s="268">
        <f>ROUND(SUMIF(其他非流动资产明细表!C:C,其他非流动资产!A4,其他非流动资产明细表!H:H),2)</f>
        <v>0</v>
      </c>
      <c r="C4" s="268">
        <f>ROUND(SUMIF(其他非流动资产明细表!C:C,其他非流动资产!A4,其他非流动资产明细表!D:D),2)</f>
        <v>0</v>
      </c>
    </row>
    <row r="5" spans="1:3" ht="14.4">
      <c r="A5" s="379"/>
      <c r="B5" s="268">
        <f>ROUND(SUMIF(其他非流动资产明细表!C:C,其他非流动资产!A5,其他非流动资产明细表!H:H),2)</f>
        <v>0</v>
      </c>
      <c r="C5" s="268">
        <f>ROUND(SUMIF(其他非流动资产明细表!C:C,其他非流动资产!A5,其他非流动资产明细表!D:D),2)</f>
        <v>0</v>
      </c>
    </row>
    <row r="6" spans="1:3" ht="14.4">
      <c r="A6" s="379"/>
      <c r="B6" s="268">
        <f>ROUND(SUMIF(其他非流动资产明细表!C:C,其他非流动资产!A6,其他非流动资产明细表!H:H),2)</f>
        <v>0</v>
      </c>
      <c r="C6" s="268">
        <f>ROUND(SUMIF(其他非流动资产明细表!C:C,其他非流动资产!A6,其他非流动资产明细表!D:D),2)</f>
        <v>0</v>
      </c>
    </row>
    <row r="7" spans="1:3" ht="14.4">
      <c r="A7" s="379"/>
      <c r="B7" s="268">
        <f>ROUND(SUMIF(其他非流动资产明细表!C:C,其他非流动资产!A7,其他非流动资产明细表!H:H),2)</f>
        <v>0</v>
      </c>
      <c r="C7" s="268">
        <f>ROUND(SUMIF(其他非流动资产明细表!C:C,其他非流动资产!A7,其他非流动资产明细表!D:D),2)</f>
        <v>0</v>
      </c>
    </row>
    <row r="8" spans="1:3" ht="14.4">
      <c r="A8" s="31" t="s">
        <v>204</v>
      </c>
      <c r="B8" s="69">
        <f>ROUND(SUM(B2:B7),2)</f>
        <v>0</v>
      </c>
      <c r="C8" s="69">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sheetPr codeName="Sheet242"/>
  <dimension ref="A1:H23"/>
  <sheetViews>
    <sheetView workbookViewId="0">
      <selection activeCell="F29" sqref="F29"/>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30" bestFit="1" customWidth="1"/>
  </cols>
  <sheetData>
    <row r="1" spans="1:8">
      <c r="A1" t="s">
        <v>2427</v>
      </c>
      <c r="B1" t="s">
        <v>4464</v>
      </c>
      <c r="C1" s="237" t="s">
        <v>4272</v>
      </c>
      <c r="D1" t="s">
        <v>285</v>
      </c>
      <c r="E1" t="s">
        <v>4465</v>
      </c>
      <c r="F1" t="s">
        <v>391</v>
      </c>
      <c r="G1" t="s">
        <v>509</v>
      </c>
      <c r="H1" s="230" t="s">
        <v>203</v>
      </c>
    </row>
    <row r="2" spans="1:8">
      <c r="A2" t="str">
        <f>IF(OR(D2&gt;0,H2&gt;0),基础信息!B1,"")</f>
        <v/>
      </c>
      <c r="B2" s="256"/>
      <c r="C2" s="277"/>
      <c r="D2" s="256"/>
      <c r="E2" s="256"/>
      <c r="F2" s="256"/>
      <c r="G2" s="256"/>
      <c r="H2" s="230">
        <f>D2+E2+F2-G2</f>
        <v>0</v>
      </c>
    </row>
    <row r="3" spans="1:8">
      <c r="A3" t="str">
        <f>IF(OR(D3&gt;0,H3&gt;0),基础信息!B2,"")</f>
        <v/>
      </c>
      <c r="B3" s="256"/>
      <c r="C3" s="277"/>
      <c r="D3" s="256"/>
      <c r="E3" s="256"/>
      <c r="F3" s="256"/>
      <c r="G3" s="256"/>
      <c r="H3" s="230">
        <f>D3+E3+F3-G3</f>
        <v>0</v>
      </c>
    </row>
    <row r="4" spans="1:8">
      <c r="A4" t="str">
        <f>IF(OR(D4&gt;0,H4&gt;0),基础信息!B3,"")</f>
        <v/>
      </c>
      <c r="B4" s="256"/>
      <c r="C4" s="277"/>
      <c r="D4" s="256"/>
      <c r="E4" s="256"/>
      <c r="F4" s="256"/>
      <c r="G4" s="256"/>
      <c r="H4" s="230">
        <f>D4+E4+F4-G4</f>
        <v>0</v>
      </c>
    </row>
    <row r="5" spans="1:8">
      <c r="A5" t="str">
        <f>IF(OR(D5&gt;0,H5&gt;0),基础信息!B4,"")</f>
        <v/>
      </c>
      <c r="B5" s="256"/>
      <c r="C5" s="277"/>
      <c r="D5" s="256"/>
      <c r="E5" s="256"/>
      <c r="F5" s="256"/>
      <c r="G5" s="256"/>
      <c r="H5" s="230">
        <f>D5+E5+F5-G5</f>
        <v>0</v>
      </c>
    </row>
    <row r="6" spans="1:8">
      <c r="A6" t="str">
        <f>IF(OR(D6&gt;0,H6&gt;0),基础信息!B5,"")</f>
        <v/>
      </c>
      <c r="B6" s="256"/>
      <c r="C6" s="277"/>
      <c r="D6" s="256"/>
      <c r="E6" s="256"/>
      <c r="F6" s="256"/>
      <c r="G6" s="256"/>
      <c r="H6" s="230">
        <f t="shared" ref="H6:H23" si="0">D6+E6+F6-G6</f>
        <v>0</v>
      </c>
    </row>
    <row r="7" spans="1:8">
      <c r="A7" t="str">
        <f>IF(OR(D7&gt;0,H7&gt;0),基础信息!B6,"")</f>
        <v/>
      </c>
      <c r="B7" s="256"/>
      <c r="C7" s="277"/>
      <c r="D7" s="256"/>
      <c r="E7" s="256"/>
      <c r="F7" s="256"/>
      <c r="G7" s="256"/>
      <c r="H7" s="230">
        <f t="shared" si="0"/>
        <v>0</v>
      </c>
    </row>
    <row r="8" spans="1:8">
      <c r="A8" t="str">
        <f>IF(OR(D8&gt;0,H8&gt;0),基础信息!B7,"")</f>
        <v/>
      </c>
      <c r="B8" s="256"/>
      <c r="C8" s="277"/>
      <c r="D8" s="256"/>
      <c r="E8" s="256"/>
      <c r="F8" s="256"/>
      <c r="G8" s="256"/>
      <c r="H8" s="230">
        <f t="shared" si="0"/>
        <v>0</v>
      </c>
    </row>
    <row r="9" spans="1:8">
      <c r="A9" t="str">
        <f>IF(OR(D9&gt;0,H9&gt;0),基础信息!B8,"")</f>
        <v/>
      </c>
      <c r="B9" s="256"/>
      <c r="C9" s="277"/>
      <c r="D9" s="256"/>
      <c r="E9" s="256"/>
      <c r="F9" s="256"/>
      <c r="G9" s="256"/>
      <c r="H9" s="230">
        <f t="shared" si="0"/>
        <v>0</v>
      </c>
    </row>
    <row r="10" spans="1:8">
      <c r="A10" t="str">
        <f>IF(OR(D10&gt;0,H10&gt;0),基础信息!B9,"")</f>
        <v/>
      </c>
      <c r="B10" s="256"/>
      <c r="C10" s="277"/>
      <c r="D10" s="256"/>
      <c r="E10" s="256"/>
      <c r="F10" s="256"/>
      <c r="G10" s="256"/>
      <c r="H10" s="230">
        <f t="shared" si="0"/>
        <v>0</v>
      </c>
    </row>
    <row r="11" spans="1:8">
      <c r="A11" t="str">
        <f>IF(OR(D11&gt;0,H11&gt;0),基础信息!B10,"")</f>
        <v/>
      </c>
      <c r="B11" s="256"/>
      <c r="C11" s="277"/>
      <c r="D11" s="256"/>
      <c r="E11" s="256"/>
      <c r="F11" s="256"/>
      <c r="G11" s="256"/>
      <c r="H11" s="230">
        <f t="shared" si="0"/>
        <v>0</v>
      </c>
    </row>
    <row r="12" spans="1:8">
      <c r="A12" t="str">
        <f>IF(OR(D12&gt;0,H12&gt;0),基础信息!B11,"")</f>
        <v/>
      </c>
      <c r="B12" s="256"/>
      <c r="C12" s="277"/>
      <c r="D12" s="256"/>
      <c r="E12" s="256"/>
      <c r="F12" s="256"/>
      <c r="G12" s="256"/>
      <c r="H12" s="230">
        <f t="shared" si="0"/>
        <v>0</v>
      </c>
    </row>
    <row r="13" spans="1:8">
      <c r="A13" t="str">
        <f>IF(OR(D13&gt;0,H13&gt;0),基础信息!B12,"")</f>
        <v/>
      </c>
      <c r="B13" s="256"/>
      <c r="C13" s="277"/>
      <c r="D13" s="256"/>
      <c r="E13" s="256"/>
      <c r="F13" s="256"/>
      <c r="G13" s="256"/>
      <c r="H13" s="230">
        <f t="shared" si="0"/>
        <v>0</v>
      </c>
    </row>
    <row r="14" spans="1:8">
      <c r="A14" t="str">
        <f>IF(OR(D14&gt;0,H14&gt;0),基础信息!B13,"")</f>
        <v/>
      </c>
      <c r="B14" s="256"/>
      <c r="C14" s="277"/>
      <c r="D14" s="256"/>
      <c r="E14" s="256"/>
      <c r="F14" s="256"/>
      <c r="G14" s="256"/>
      <c r="H14" s="230">
        <f t="shared" si="0"/>
        <v>0</v>
      </c>
    </row>
    <row r="15" spans="1:8">
      <c r="A15" t="str">
        <f>IF(OR(D15&gt;0,H15&gt;0),基础信息!B14,"")</f>
        <v/>
      </c>
      <c r="B15" s="256"/>
      <c r="C15" s="277"/>
      <c r="D15" s="256"/>
      <c r="E15" s="256"/>
      <c r="F15" s="256"/>
      <c r="G15" s="256"/>
      <c r="H15" s="230">
        <f t="shared" si="0"/>
        <v>0</v>
      </c>
    </row>
    <row r="16" spans="1:8">
      <c r="A16" t="str">
        <f>IF(OR(D16&gt;0,H16&gt;0),基础信息!B15,"")</f>
        <v/>
      </c>
      <c r="B16" s="256"/>
      <c r="C16" s="277"/>
      <c r="D16" s="256"/>
      <c r="E16" s="256"/>
      <c r="F16" s="256"/>
      <c r="G16" s="256"/>
      <c r="H16" s="230">
        <f t="shared" si="0"/>
        <v>0</v>
      </c>
    </row>
    <row r="17" spans="1:8">
      <c r="A17" t="str">
        <f>IF(OR(D17&gt;0,H17&gt;0),基础信息!B16,"")</f>
        <v/>
      </c>
      <c r="B17" s="256"/>
      <c r="C17" s="277"/>
      <c r="D17" s="256"/>
      <c r="E17" s="256"/>
      <c r="F17" s="256"/>
      <c r="G17" s="256"/>
      <c r="H17" s="230">
        <f t="shared" si="0"/>
        <v>0</v>
      </c>
    </row>
    <row r="18" spans="1:8">
      <c r="A18" t="str">
        <f>IF(OR(D18&gt;0,H18&gt;0),基础信息!B17,"")</f>
        <v/>
      </c>
      <c r="B18" s="256"/>
      <c r="C18" s="277"/>
      <c r="D18" s="256"/>
      <c r="E18" s="256"/>
      <c r="F18" s="256"/>
      <c r="G18" s="256"/>
      <c r="H18" s="230">
        <f t="shared" si="0"/>
        <v>0</v>
      </c>
    </row>
    <row r="19" spans="1:8">
      <c r="A19" t="str">
        <f>IF(OR(D19&gt;0,H19&gt;0),基础信息!B18,"")</f>
        <v/>
      </c>
      <c r="B19" s="256"/>
      <c r="C19" s="277"/>
      <c r="D19" s="256"/>
      <c r="E19" s="256"/>
      <c r="F19" s="256"/>
      <c r="G19" s="256"/>
      <c r="H19" s="230">
        <f t="shared" si="0"/>
        <v>0</v>
      </c>
    </row>
    <row r="20" spans="1:8">
      <c r="A20" t="str">
        <f>IF(OR(D20&gt;0,H20&gt;0),基础信息!B19,"")</f>
        <v/>
      </c>
      <c r="B20" s="256"/>
      <c r="C20" s="277"/>
      <c r="D20" s="256"/>
      <c r="E20" s="256"/>
      <c r="F20" s="256"/>
      <c r="G20" s="256"/>
      <c r="H20" s="230">
        <f t="shared" si="0"/>
        <v>0</v>
      </c>
    </row>
    <row r="21" spans="1:8">
      <c r="A21" t="str">
        <f>IF(OR(D21&gt;0,H21&gt;0),基础信息!B20,"")</f>
        <v/>
      </c>
      <c r="B21" s="256"/>
      <c r="C21" s="277"/>
      <c r="D21" s="256"/>
      <c r="E21" s="256"/>
      <c r="F21" s="256"/>
      <c r="G21" s="256"/>
      <c r="H21" s="230">
        <f t="shared" si="0"/>
        <v>0</v>
      </c>
    </row>
    <row r="22" spans="1:8">
      <c r="A22" t="str">
        <f>IF(OR(D22&gt;0,H22&gt;0),基础信息!B21,"")</f>
        <v/>
      </c>
      <c r="B22" s="256"/>
      <c r="C22" s="277"/>
      <c r="D22" s="256"/>
      <c r="E22" s="256"/>
      <c r="F22" s="256"/>
      <c r="G22" s="256"/>
      <c r="H22" s="230">
        <f t="shared" si="0"/>
        <v>0</v>
      </c>
    </row>
    <row r="23" spans="1:8">
      <c r="A23" t="str">
        <f>IF(OR(D23&gt;0,H23&gt;0),基础信息!B22,"")</f>
        <v/>
      </c>
      <c r="B23" s="256"/>
      <c r="C23" s="277"/>
      <c r="D23" s="256"/>
      <c r="E23" s="256"/>
      <c r="F23" s="256"/>
      <c r="G23" s="256"/>
      <c r="H23"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codeName="Sheet243">
    <tabColor rgb="FFFFC000"/>
  </sheetPr>
  <dimension ref="A1:C7"/>
  <sheetViews>
    <sheetView workbookViewId="0">
      <selection activeCell="G13" sqref="G13"/>
    </sheetView>
  </sheetViews>
  <sheetFormatPr defaultRowHeight="13.8"/>
  <cols>
    <col min="1" max="16384" width="8.88671875" style="18"/>
  </cols>
  <sheetData>
    <row r="1" spans="1:3" ht="14.4">
      <c r="A1" s="31" t="s">
        <v>28</v>
      </c>
      <c r="B1" s="20" t="s">
        <v>203</v>
      </c>
      <c r="C1" s="20" t="s">
        <v>285</v>
      </c>
    </row>
    <row r="2" spans="1:3" ht="14.4">
      <c r="A2" s="379" t="s">
        <v>522</v>
      </c>
      <c r="B2" s="295">
        <f>ROUND(SUMIF(短期借款明细表!D:D,A2,短期借款明细表!R:R),2)</f>
        <v>0</v>
      </c>
      <c r="C2" s="295">
        <f>ROUND(SUMIF(短期借款明细表!D:D,短期借款明细情况!A2,短期借款明细表!L:L),2)</f>
        <v>0</v>
      </c>
    </row>
    <row r="3" spans="1:3" ht="14.4">
      <c r="A3" s="379" t="s">
        <v>523</v>
      </c>
      <c r="B3" s="295">
        <f>ROUND(SUMIF(短期借款明细表!D:D,A3,短期借款明细表!R:R),2)</f>
        <v>0</v>
      </c>
      <c r="C3" s="295">
        <f>ROUND(SUMIF(短期借款明细表!D:D,短期借款明细情况!A3,短期借款明细表!L:L),2)</f>
        <v>0</v>
      </c>
    </row>
    <row r="4" spans="1:3" ht="14.4">
      <c r="A4" s="379" t="s">
        <v>524</v>
      </c>
      <c r="B4" s="295">
        <f>ROUND(SUMIF(短期借款明细表!D:D,A4,短期借款明细表!R:R),2)</f>
        <v>0</v>
      </c>
      <c r="C4" s="295">
        <f>ROUND(SUMIF(短期借款明细表!D:D,短期借款明细情况!A4,短期借款明细表!L:L),2)</f>
        <v>0</v>
      </c>
    </row>
    <row r="5" spans="1:3" ht="14.4">
      <c r="A5" s="379" t="s">
        <v>525</v>
      </c>
      <c r="B5" s="295">
        <f>ROUND(SUMIF(短期借款明细表!D:D,A5,短期借款明细表!R:R),2)</f>
        <v>0</v>
      </c>
      <c r="C5" s="295">
        <f>ROUND(SUMIF(短期借款明细表!D:D,短期借款明细情况!A5,短期借款明细表!L:L),2)</f>
        <v>0</v>
      </c>
    </row>
    <row r="6" spans="1:3" ht="14.4">
      <c r="A6" s="379"/>
      <c r="B6" s="295"/>
      <c r="C6" s="295"/>
    </row>
    <row r="7" spans="1:3" ht="14.4">
      <c r="A7" s="31" t="s">
        <v>204</v>
      </c>
      <c r="B7" s="69">
        <f>ROUND(SUM(B2:B6),2)</f>
        <v>0</v>
      </c>
      <c r="C7" s="69">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codeName="Sheet244">
    <tabColor rgb="FFFFC000"/>
  </sheetPr>
  <dimension ref="A1:E4"/>
  <sheetViews>
    <sheetView workbookViewId="0">
      <selection activeCell="B4" sqref="B4"/>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4" t="s">
        <v>4216</v>
      </c>
      <c r="C1" s="20" t="s">
        <v>526</v>
      </c>
      <c r="D1" s="20" t="s">
        <v>309</v>
      </c>
      <c r="E1" s="20" t="s">
        <v>527</v>
      </c>
    </row>
    <row r="2" spans="1:5">
      <c r="A2" s="276"/>
      <c r="B2" s="279"/>
      <c r="C2" s="280"/>
      <c r="D2" s="283"/>
      <c r="E2" s="283"/>
    </row>
    <row r="3" spans="1:5">
      <c r="A3" s="276"/>
      <c r="B3" s="279"/>
      <c r="C3" s="280"/>
      <c r="D3" s="283"/>
      <c r="E3" s="283"/>
    </row>
    <row r="4" spans="1:5" ht="14.4">
      <c r="A4" s="20" t="s">
        <v>204</v>
      </c>
      <c r="B4" s="152">
        <f>ROUND(SUM(B2:B3),2)</f>
        <v>0</v>
      </c>
      <c r="C4" s="54" t="s">
        <v>38</v>
      </c>
      <c r="D4" s="54" t="s">
        <v>38</v>
      </c>
      <c r="E4" s="54" t="s">
        <v>38</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sheetPr codeName="Sheet245"/>
  <dimension ref="A1:W99"/>
  <sheetViews>
    <sheetView workbookViewId="0">
      <pane xSplit="1" ySplit="1" topLeftCell="B2" activePane="bottomRight" state="frozen"/>
      <selection pane="topRight" activeCell="B1" sqref="B1"/>
      <selection pane="bottomLeft" activeCell="A2" sqref="A2"/>
      <selection pane="bottomRight" activeCell="A2" sqref="A2:A99"/>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30" bestFit="1" customWidth="1"/>
    <col min="19" max="19" width="9.5546875" bestFit="1" customWidth="1"/>
    <col min="20" max="20" width="13.88671875" bestFit="1" customWidth="1"/>
    <col min="21" max="21" width="9.5546875" bestFit="1" customWidth="1"/>
    <col min="22" max="23" width="13.88671875" bestFit="1" customWidth="1"/>
  </cols>
  <sheetData>
    <row r="1" spans="1:23">
      <c r="A1" t="s">
        <v>2483</v>
      </c>
      <c r="B1" t="s">
        <v>4468</v>
      </c>
      <c r="C1" t="s">
        <v>4469</v>
      </c>
      <c r="D1" t="s">
        <v>4470</v>
      </c>
      <c r="E1" t="s">
        <v>4471</v>
      </c>
      <c r="F1" t="s">
        <v>4472</v>
      </c>
      <c r="G1" t="s">
        <v>4473</v>
      </c>
      <c r="H1" t="s">
        <v>4474</v>
      </c>
      <c r="I1" t="s">
        <v>4475</v>
      </c>
      <c r="J1" t="s">
        <v>4476</v>
      </c>
      <c r="K1" t="s">
        <v>4477</v>
      </c>
      <c r="L1" t="s">
        <v>610</v>
      </c>
      <c r="M1" t="s">
        <v>4446</v>
      </c>
      <c r="N1" t="s">
        <v>4478</v>
      </c>
      <c r="O1" t="s">
        <v>577</v>
      </c>
      <c r="P1" t="s">
        <v>4479</v>
      </c>
      <c r="Q1" t="s">
        <v>4430</v>
      </c>
      <c r="R1" s="230" t="s">
        <v>422</v>
      </c>
      <c r="S1" t="s">
        <v>4269</v>
      </c>
      <c r="T1" t="s">
        <v>4480</v>
      </c>
      <c r="U1" t="s">
        <v>4483</v>
      </c>
      <c r="V1" t="s">
        <v>4481</v>
      </c>
      <c r="W1" t="s">
        <v>4482</v>
      </c>
    </row>
    <row r="2" spans="1:23">
      <c r="A2" t="str">
        <f>IF(OR(R2&gt;0,L2&gt;0),基础信息!$B$1,"")</f>
        <v/>
      </c>
      <c r="B2" s="256"/>
      <c r="C2" s="256"/>
      <c r="D2" s="277"/>
      <c r="E2" s="277"/>
      <c r="F2" s="256"/>
      <c r="G2" s="256"/>
      <c r="H2" s="256"/>
      <c r="I2" s="256"/>
      <c r="J2" s="256"/>
      <c r="K2" s="256"/>
      <c r="L2" s="256"/>
      <c r="M2" s="256"/>
      <c r="N2" s="256"/>
      <c r="O2" s="256"/>
      <c r="P2" s="256"/>
      <c r="Q2" s="256"/>
      <c r="R2" s="230">
        <f>L2+M2+N2-O2-Q2</f>
        <v>0</v>
      </c>
      <c r="S2" s="256"/>
      <c r="T2" s="256"/>
      <c r="U2" s="256"/>
      <c r="V2" s="256"/>
      <c r="W2" s="256"/>
    </row>
    <row r="3" spans="1:23">
      <c r="A3" t="str">
        <f>IF(OR(R3&gt;0,L3&gt;0),基础信息!$B$1,"")</f>
        <v/>
      </c>
      <c r="B3" s="256"/>
      <c r="C3" s="256"/>
      <c r="D3" s="277"/>
      <c r="E3" s="277"/>
      <c r="F3" s="256"/>
      <c r="G3" s="256"/>
      <c r="H3" s="256"/>
      <c r="I3" s="256"/>
      <c r="J3" s="256"/>
      <c r="K3" s="256"/>
      <c r="L3" s="256"/>
      <c r="M3" s="256"/>
      <c r="N3" s="256"/>
      <c r="O3" s="256"/>
      <c r="P3" s="256"/>
      <c r="Q3" s="256"/>
      <c r="R3" s="230">
        <f t="shared" ref="R3:R66" si="0">L3+M3+N3-O3-Q3</f>
        <v>0</v>
      </c>
      <c r="S3" s="256"/>
      <c r="T3" s="256"/>
      <c r="U3" s="256"/>
      <c r="V3" s="256"/>
      <c r="W3" s="256"/>
    </row>
    <row r="4" spans="1:23">
      <c r="A4" t="str">
        <f>IF(OR(R4&gt;0,L4&gt;0),基础信息!$B$1,"")</f>
        <v/>
      </c>
      <c r="B4" s="256"/>
      <c r="C4" s="256"/>
      <c r="D4" s="277"/>
      <c r="E4" s="277"/>
      <c r="F4" s="256"/>
      <c r="G4" s="256"/>
      <c r="H4" s="256"/>
      <c r="I4" s="256"/>
      <c r="J4" s="256"/>
      <c r="K4" s="256"/>
      <c r="L4" s="256"/>
      <c r="M4" s="256"/>
      <c r="N4" s="256"/>
      <c r="O4" s="256"/>
      <c r="P4" s="256"/>
      <c r="Q4" s="256"/>
      <c r="R4" s="230">
        <f t="shared" si="0"/>
        <v>0</v>
      </c>
      <c r="S4" s="256"/>
      <c r="T4" s="256"/>
      <c r="U4" s="256"/>
      <c r="V4" s="256"/>
      <c r="W4" s="256"/>
    </row>
    <row r="5" spans="1:23">
      <c r="A5" t="str">
        <f>IF(OR(R5&gt;0,L5&gt;0),基础信息!$B$1,"")</f>
        <v/>
      </c>
      <c r="B5" s="256"/>
      <c r="C5" s="256"/>
      <c r="D5" s="277"/>
      <c r="E5" s="277"/>
      <c r="F5" s="256"/>
      <c r="G5" s="256"/>
      <c r="H5" s="256"/>
      <c r="I5" s="256"/>
      <c r="J5" s="256"/>
      <c r="K5" s="256"/>
      <c r="L5" s="256"/>
      <c r="M5" s="256"/>
      <c r="N5" s="256"/>
      <c r="O5" s="256"/>
      <c r="P5" s="256"/>
      <c r="Q5" s="256"/>
      <c r="R5" s="230">
        <f t="shared" si="0"/>
        <v>0</v>
      </c>
      <c r="S5" s="256"/>
      <c r="T5" s="256"/>
      <c r="U5" s="256"/>
      <c r="V5" s="256"/>
      <c r="W5" s="256"/>
    </row>
    <row r="6" spans="1:23">
      <c r="A6" t="str">
        <f>IF(OR(R6&gt;0,L6&gt;0),基础信息!$B$1,"")</f>
        <v/>
      </c>
      <c r="B6" s="256"/>
      <c r="C6" s="256"/>
      <c r="D6" s="277"/>
      <c r="E6" s="277"/>
      <c r="F6" s="256"/>
      <c r="G6" s="256"/>
      <c r="H6" s="256"/>
      <c r="I6" s="256"/>
      <c r="J6" s="256"/>
      <c r="K6" s="256"/>
      <c r="L6" s="256"/>
      <c r="M6" s="256"/>
      <c r="N6" s="256"/>
      <c r="O6" s="256"/>
      <c r="P6" s="256"/>
      <c r="Q6" s="256"/>
      <c r="R6" s="230">
        <f t="shared" si="0"/>
        <v>0</v>
      </c>
      <c r="S6" s="256"/>
      <c r="T6" s="256"/>
      <c r="U6" s="256"/>
      <c r="V6" s="256"/>
      <c r="W6" s="256"/>
    </row>
    <row r="7" spans="1:23">
      <c r="A7" t="str">
        <f>IF(OR(R7&gt;0,L7&gt;0),基础信息!$B$1,"")</f>
        <v/>
      </c>
      <c r="B7" s="256"/>
      <c r="C7" s="256"/>
      <c r="D7" s="277"/>
      <c r="E7" s="277"/>
      <c r="F7" s="256"/>
      <c r="G7" s="256"/>
      <c r="H7" s="256"/>
      <c r="I7" s="256"/>
      <c r="J7" s="256"/>
      <c r="K7" s="256"/>
      <c r="L7" s="256"/>
      <c r="M7" s="256"/>
      <c r="N7" s="256"/>
      <c r="O7" s="256"/>
      <c r="P7" s="256"/>
      <c r="Q7" s="256"/>
      <c r="R7" s="230">
        <f t="shared" si="0"/>
        <v>0</v>
      </c>
      <c r="S7" s="256"/>
      <c r="T7" s="256"/>
      <c r="U7" s="256"/>
      <c r="V7" s="256"/>
      <c r="W7" s="256"/>
    </row>
    <row r="8" spans="1:23">
      <c r="A8" t="str">
        <f>IF(OR(R8&gt;0,L8&gt;0),基础信息!$B$1,"")</f>
        <v/>
      </c>
      <c r="B8" s="256"/>
      <c r="C8" s="256"/>
      <c r="D8" s="277"/>
      <c r="E8" s="277"/>
      <c r="F8" s="256"/>
      <c r="G8" s="256"/>
      <c r="H8" s="256"/>
      <c r="I8" s="256"/>
      <c r="J8" s="256"/>
      <c r="K8" s="256"/>
      <c r="L8" s="256"/>
      <c r="M8" s="256"/>
      <c r="N8" s="256"/>
      <c r="O8" s="256"/>
      <c r="P8" s="256"/>
      <c r="Q8" s="256"/>
      <c r="R8" s="230">
        <f t="shared" si="0"/>
        <v>0</v>
      </c>
      <c r="S8" s="256"/>
      <c r="T8" s="256"/>
      <c r="U8" s="256"/>
      <c r="V8" s="256"/>
      <c r="W8" s="256"/>
    </row>
    <row r="9" spans="1:23">
      <c r="A9" t="str">
        <f>IF(OR(R9&gt;0,L9&gt;0),基础信息!$B$1,"")</f>
        <v/>
      </c>
      <c r="B9" s="256"/>
      <c r="C9" s="256"/>
      <c r="D9" s="277"/>
      <c r="E9" s="277"/>
      <c r="F9" s="256"/>
      <c r="G9" s="256"/>
      <c r="H9" s="256"/>
      <c r="I9" s="256"/>
      <c r="J9" s="256"/>
      <c r="K9" s="256"/>
      <c r="L9" s="256"/>
      <c r="M9" s="256"/>
      <c r="N9" s="256"/>
      <c r="O9" s="256"/>
      <c r="P9" s="256"/>
      <c r="Q9" s="256"/>
      <c r="R9" s="230">
        <f t="shared" si="0"/>
        <v>0</v>
      </c>
      <c r="S9" s="256"/>
      <c r="T9" s="256"/>
      <c r="U9" s="256"/>
      <c r="V9" s="256"/>
      <c r="W9" s="256"/>
    </row>
    <row r="10" spans="1:23">
      <c r="A10" t="str">
        <f>IF(OR(R10&gt;0,L10&gt;0),基础信息!$B$1,"")</f>
        <v/>
      </c>
      <c r="B10" s="256"/>
      <c r="C10" s="256"/>
      <c r="D10" s="277"/>
      <c r="E10" s="277"/>
      <c r="F10" s="256"/>
      <c r="G10" s="256"/>
      <c r="H10" s="256"/>
      <c r="I10" s="256"/>
      <c r="J10" s="256"/>
      <c r="K10" s="256"/>
      <c r="L10" s="256"/>
      <c r="M10" s="256"/>
      <c r="N10" s="256"/>
      <c r="O10" s="256"/>
      <c r="P10" s="256"/>
      <c r="Q10" s="256"/>
      <c r="R10" s="230">
        <f t="shared" si="0"/>
        <v>0</v>
      </c>
      <c r="S10" s="256"/>
      <c r="T10" s="256"/>
      <c r="U10" s="256"/>
      <c r="V10" s="256"/>
      <c r="W10" s="256"/>
    </row>
    <row r="11" spans="1:23">
      <c r="A11" t="str">
        <f>IF(OR(R11&gt;0,L11&gt;0),基础信息!$B$1,"")</f>
        <v/>
      </c>
      <c r="B11" s="256"/>
      <c r="C11" s="256"/>
      <c r="D11" s="277"/>
      <c r="E11" s="277"/>
      <c r="F11" s="256"/>
      <c r="G11" s="256"/>
      <c r="H11" s="256"/>
      <c r="I11" s="256"/>
      <c r="J11" s="256"/>
      <c r="K11" s="256"/>
      <c r="L11" s="256"/>
      <c r="M11" s="256"/>
      <c r="N11" s="256"/>
      <c r="O11" s="256"/>
      <c r="P11" s="256"/>
      <c r="Q11" s="256"/>
      <c r="R11" s="230">
        <f t="shared" si="0"/>
        <v>0</v>
      </c>
      <c r="S11" s="256"/>
      <c r="T11" s="256"/>
      <c r="U11" s="256"/>
      <c r="V11" s="256"/>
      <c r="W11" s="256"/>
    </row>
    <row r="12" spans="1:23">
      <c r="A12" t="str">
        <f>IF(OR(R12&gt;0,L12&gt;0),基础信息!$B$1,"")</f>
        <v/>
      </c>
      <c r="B12" s="256"/>
      <c r="C12" s="256"/>
      <c r="D12" s="277"/>
      <c r="E12" s="277"/>
      <c r="F12" s="256"/>
      <c r="G12" s="256"/>
      <c r="H12" s="256"/>
      <c r="I12" s="256"/>
      <c r="J12" s="256"/>
      <c r="K12" s="256"/>
      <c r="L12" s="256"/>
      <c r="M12" s="256"/>
      <c r="N12" s="256"/>
      <c r="O12" s="256"/>
      <c r="P12" s="256"/>
      <c r="Q12" s="256"/>
      <c r="R12" s="230">
        <f t="shared" si="0"/>
        <v>0</v>
      </c>
      <c r="S12" s="256"/>
      <c r="T12" s="256"/>
      <c r="U12" s="256"/>
      <c r="V12" s="256"/>
      <c r="W12" s="256"/>
    </row>
    <row r="13" spans="1:23">
      <c r="A13" t="str">
        <f>IF(OR(R13&gt;0,L13&gt;0),基础信息!$B$1,"")</f>
        <v/>
      </c>
      <c r="B13" s="256"/>
      <c r="C13" s="256"/>
      <c r="D13" s="277"/>
      <c r="E13" s="277"/>
      <c r="F13" s="256"/>
      <c r="G13" s="256"/>
      <c r="H13" s="256"/>
      <c r="I13" s="256"/>
      <c r="J13" s="256"/>
      <c r="K13" s="256"/>
      <c r="L13" s="256"/>
      <c r="M13" s="256"/>
      <c r="N13" s="256"/>
      <c r="O13" s="256"/>
      <c r="P13" s="256"/>
      <c r="Q13" s="256"/>
      <c r="R13" s="230">
        <f t="shared" si="0"/>
        <v>0</v>
      </c>
      <c r="S13" s="256"/>
      <c r="T13" s="256"/>
      <c r="U13" s="256"/>
      <c r="V13" s="256"/>
      <c r="W13" s="256"/>
    </row>
    <row r="14" spans="1:23">
      <c r="A14" t="str">
        <f>IF(OR(R14&gt;0,L14&gt;0),基础信息!$B$1,"")</f>
        <v/>
      </c>
      <c r="B14" s="256"/>
      <c r="C14" s="256"/>
      <c r="D14" s="277"/>
      <c r="E14" s="277"/>
      <c r="F14" s="256"/>
      <c r="G14" s="256"/>
      <c r="H14" s="256"/>
      <c r="I14" s="256"/>
      <c r="J14" s="256"/>
      <c r="K14" s="256"/>
      <c r="L14" s="256"/>
      <c r="M14" s="256"/>
      <c r="N14" s="256"/>
      <c r="O14" s="256"/>
      <c r="P14" s="256"/>
      <c r="Q14" s="256"/>
      <c r="R14" s="230">
        <f t="shared" si="0"/>
        <v>0</v>
      </c>
      <c r="S14" s="256"/>
      <c r="T14" s="256"/>
      <c r="U14" s="256"/>
      <c r="V14" s="256"/>
      <c r="W14" s="256"/>
    </row>
    <row r="15" spans="1:23">
      <c r="A15" t="str">
        <f>IF(OR(R15&gt;0,L15&gt;0),基础信息!$B$1,"")</f>
        <v/>
      </c>
      <c r="B15" s="256"/>
      <c r="C15" s="256"/>
      <c r="D15" s="277"/>
      <c r="E15" s="277"/>
      <c r="F15" s="256"/>
      <c r="G15" s="256"/>
      <c r="H15" s="256"/>
      <c r="I15" s="256"/>
      <c r="J15" s="256"/>
      <c r="K15" s="256"/>
      <c r="L15" s="256"/>
      <c r="M15" s="256"/>
      <c r="N15" s="256"/>
      <c r="O15" s="256"/>
      <c r="P15" s="256"/>
      <c r="Q15" s="256"/>
      <c r="R15" s="230">
        <f t="shared" si="0"/>
        <v>0</v>
      </c>
      <c r="S15" s="256"/>
      <c r="T15" s="256"/>
      <c r="U15" s="256"/>
      <c r="V15" s="256"/>
      <c r="W15" s="256"/>
    </row>
    <row r="16" spans="1:23">
      <c r="A16" t="str">
        <f>IF(OR(R16&gt;0,L16&gt;0),基础信息!$B$1,"")</f>
        <v/>
      </c>
      <c r="B16" s="256"/>
      <c r="C16" s="256"/>
      <c r="D16" s="277"/>
      <c r="E16" s="277"/>
      <c r="F16" s="256"/>
      <c r="G16" s="256"/>
      <c r="H16" s="256"/>
      <c r="I16" s="256"/>
      <c r="J16" s="256"/>
      <c r="K16" s="256"/>
      <c r="L16" s="256"/>
      <c r="M16" s="256"/>
      <c r="N16" s="256"/>
      <c r="O16" s="256"/>
      <c r="P16" s="256"/>
      <c r="Q16" s="256"/>
      <c r="R16" s="230">
        <f t="shared" si="0"/>
        <v>0</v>
      </c>
      <c r="S16" s="256"/>
      <c r="T16" s="256"/>
      <c r="U16" s="256"/>
      <c r="V16" s="256"/>
      <c r="W16" s="256"/>
    </row>
    <row r="17" spans="1:23">
      <c r="A17" t="str">
        <f>IF(OR(R17&gt;0,L17&gt;0),基础信息!$B$1,"")</f>
        <v/>
      </c>
      <c r="B17" s="256"/>
      <c r="C17" s="256"/>
      <c r="D17" s="277"/>
      <c r="E17" s="277"/>
      <c r="F17" s="256"/>
      <c r="G17" s="256"/>
      <c r="H17" s="256"/>
      <c r="I17" s="256"/>
      <c r="J17" s="256"/>
      <c r="K17" s="256"/>
      <c r="L17" s="256"/>
      <c r="M17" s="256"/>
      <c r="N17" s="256"/>
      <c r="O17" s="256"/>
      <c r="P17" s="256"/>
      <c r="Q17" s="256"/>
      <c r="R17" s="230">
        <f t="shared" si="0"/>
        <v>0</v>
      </c>
      <c r="S17" s="256"/>
      <c r="T17" s="256"/>
      <c r="U17" s="256"/>
      <c r="V17" s="256"/>
      <c r="W17" s="256"/>
    </row>
    <row r="18" spans="1:23">
      <c r="A18" t="str">
        <f>IF(OR(R18&gt;0,L18&gt;0),基础信息!$B$1,"")</f>
        <v/>
      </c>
      <c r="B18" s="256"/>
      <c r="C18" s="256"/>
      <c r="D18" s="277"/>
      <c r="E18" s="277"/>
      <c r="F18" s="256"/>
      <c r="G18" s="256"/>
      <c r="H18" s="256"/>
      <c r="I18" s="256"/>
      <c r="J18" s="256"/>
      <c r="K18" s="256"/>
      <c r="L18" s="256"/>
      <c r="M18" s="256"/>
      <c r="N18" s="256"/>
      <c r="O18" s="256"/>
      <c r="P18" s="256"/>
      <c r="Q18" s="256"/>
      <c r="R18" s="230">
        <f t="shared" si="0"/>
        <v>0</v>
      </c>
      <c r="S18" s="256"/>
      <c r="T18" s="256"/>
      <c r="U18" s="256"/>
      <c r="V18" s="256"/>
      <c r="W18" s="256"/>
    </row>
    <row r="19" spans="1:23">
      <c r="A19" t="str">
        <f>IF(OR(R19&gt;0,L19&gt;0),基础信息!$B$1,"")</f>
        <v/>
      </c>
      <c r="B19" s="256"/>
      <c r="C19" s="256"/>
      <c r="D19" s="277"/>
      <c r="E19" s="277"/>
      <c r="F19" s="256"/>
      <c r="G19" s="256"/>
      <c r="H19" s="256"/>
      <c r="I19" s="256"/>
      <c r="J19" s="256"/>
      <c r="K19" s="256"/>
      <c r="L19" s="256"/>
      <c r="M19" s="256"/>
      <c r="N19" s="256"/>
      <c r="O19" s="256"/>
      <c r="P19" s="256"/>
      <c r="Q19" s="256"/>
      <c r="R19" s="230">
        <f t="shared" si="0"/>
        <v>0</v>
      </c>
      <c r="S19" s="256"/>
      <c r="T19" s="256"/>
      <c r="U19" s="256"/>
      <c r="V19" s="256"/>
      <c r="W19" s="256"/>
    </row>
    <row r="20" spans="1:23">
      <c r="A20" t="str">
        <f>IF(OR(R20&gt;0,L20&gt;0),基础信息!$B$1,"")</f>
        <v/>
      </c>
      <c r="B20" s="256"/>
      <c r="C20" s="256"/>
      <c r="D20" s="277"/>
      <c r="E20" s="277"/>
      <c r="F20" s="256"/>
      <c r="G20" s="256"/>
      <c r="H20" s="256"/>
      <c r="I20" s="256"/>
      <c r="J20" s="256"/>
      <c r="K20" s="256"/>
      <c r="L20" s="256"/>
      <c r="M20" s="256"/>
      <c r="N20" s="256"/>
      <c r="O20" s="256"/>
      <c r="P20" s="256"/>
      <c r="Q20" s="256"/>
      <c r="R20" s="230">
        <f t="shared" si="0"/>
        <v>0</v>
      </c>
      <c r="S20" s="256"/>
      <c r="T20" s="256"/>
      <c r="U20" s="256"/>
      <c r="V20" s="256"/>
      <c r="W20" s="256"/>
    </row>
    <row r="21" spans="1:23">
      <c r="A21" t="str">
        <f>IF(OR(R21&gt;0,L21&gt;0),基础信息!$B$1,"")</f>
        <v/>
      </c>
      <c r="B21" s="256"/>
      <c r="C21" s="256"/>
      <c r="D21" s="277"/>
      <c r="E21" s="277"/>
      <c r="F21" s="256"/>
      <c r="G21" s="256"/>
      <c r="H21" s="256"/>
      <c r="I21" s="256"/>
      <c r="J21" s="256"/>
      <c r="K21" s="256"/>
      <c r="L21" s="256"/>
      <c r="M21" s="256"/>
      <c r="N21" s="256"/>
      <c r="O21" s="256"/>
      <c r="P21" s="256"/>
      <c r="Q21" s="256"/>
      <c r="R21" s="230">
        <f t="shared" si="0"/>
        <v>0</v>
      </c>
      <c r="S21" s="256"/>
      <c r="T21" s="256"/>
      <c r="U21" s="256"/>
      <c r="V21" s="256"/>
      <c r="W21" s="256"/>
    </row>
    <row r="22" spans="1:23">
      <c r="A22" t="str">
        <f>IF(OR(R22&gt;0,L22&gt;0),基础信息!$B$1,"")</f>
        <v/>
      </c>
      <c r="B22" s="256"/>
      <c r="C22" s="256"/>
      <c r="D22" s="277"/>
      <c r="E22" s="277"/>
      <c r="F22" s="256"/>
      <c r="G22" s="256"/>
      <c r="H22" s="256"/>
      <c r="I22" s="256"/>
      <c r="J22" s="256"/>
      <c r="K22" s="256"/>
      <c r="L22" s="256"/>
      <c r="M22" s="256"/>
      <c r="N22" s="256"/>
      <c r="O22" s="256"/>
      <c r="P22" s="256"/>
      <c r="Q22" s="256"/>
      <c r="R22" s="230">
        <f t="shared" si="0"/>
        <v>0</v>
      </c>
      <c r="S22" s="256"/>
      <c r="T22" s="256"/>
      <c r="U22" s="256"/>
      <c r="V22" s="256"/>
      <c r="W22" s="256"/>
    </row>
    <row r="23" spans="1:23">
      <c r="A23" t="str">
        <f>IF(OR(R23&gt;0,L23&gt;0),基础信息!$B$1,"")</f>
        <v/>
      </c>
      <c r="B23" s="256"/>
      <c r="C23" s="256"/>
      <c r="D23" s="277"/>
      <c r="E23" s="277"/>
      <c r="F23" s="256"/>
      <c r="G23" s="256"/>
      <c r="H23" s="256"/>
      <c r="I23" s="256"/>
      <c r="J23" s="256"/>
      <c r="K23" s="256"/>
      <c r="L23" s="256"/>
      <c r="M23" s="256"/>
      <c r="N23" s="256"/>
      <c r="O23" s="256"/>
      <c r="P23" s="256"/>
      <c r="Q23" s="256"/>
      <c r="R23" s="230">
        <f t="shared" si="0"/>
        <v>0</v>
      </c>
      <c r="S23" s="256"/>
      <c r="T23" s="256"/>
      <c r="U23" s="256"/>
      <c r="V23" s="256"/>
      <c r="W23" s="256"/>
    </row>
    <row r="24" spans="1:23">
      <c r="A24" t="str">
        <f>IF(OR(R24&gt;0,L24&gt;0),基础信息!$B$1,"")</f>
        <v/>
      </c>
      <c r="B24" s="256"/>
      <c r="C24" s="256"/>
      <c r="D24" s="277"/>
      <c r="E24" s="277"/>
      <c r="F24" s="256"/>
      <c r="G24" s="256"/>
      <c r="H24" s="256"/>
      <c r="I24" s="256"/>
      <c r="J24" s="256"/>
      <c r="K24" s="256"/>
      <c r="L24" s="256"/>
      <c r="M24" s="256"/>
      <c r="N24" s="256"/>
      <c r="O24" s="256"/>
      <c r="P24" s="256"/>
      <c r="Q24" s="256"/>
      <c r="R24" s="230">
        <f t="shared" si="0"/>
        <v>0</v>
      </c>
      <c r="S24" s="256"/>
      <c r="T24" s="256"/>
      <c r="U24" s="256"/>
      <c r="V24" s="256"/>
      <c r="W24" s="256"/>
    </row>
    <row r="25" spans="1:23">
      <c r="A25" t="str">
        <f>IF(OR(R25&gt;0,L25&gt;0),基础信息!$B$1,"")</f>
        <v/>
      </c>
      <c r="B25" s="256"/>
      <c r="C25" s="256"/>
      <c r="D25" s="277"/>
      <c r="E25" s="277"/>
      <c r="F25" s="256"/>
      <c r="G25" s="256"/>
      <c r="H25" s="256"/>
      <c r="I25" s="256"/>
      <c r="J25" s="256"/>
      <c r="K25" s="256"/>
      <c r="L25" s="256"/>
      <c r="M25" s="256"/>
      <c r="N25" s="256"/>
      <c r="O25" s="256"/>
      <c r="P25" s="256"/>
      <c r="Q25" s="256"/>
      <c r="R25" s="230">
        <f t="shared" si="0"/>
        <v>0</v>
      </c>
      <c r="S25" s="256"/>
      <c r="T25" s="256"/>
      <c r="U25" s="256"/>
      <c r="V25" s="256"/>
      <c r="W25" s="256"/>
    </row>
    <row r="26" spans="1:23">
      <c r="A26" t="str">
        <f>IF(OR(R26&gt;0,L26&gt;0),基础信息!$B$1,"")</f>
        <v/>
      </c>
      <c r="B26" s="256"/>
      <c r="C26" s="256"/>
      <c r="D26" s="277"/>
      <c r="E26" s="277"/>
      <c r="F26" s="256"/>
      <c r="G26" s="256"/>
      <c r="H26" s="256"/>
      <c r="I26" s="256"/>
      <c r="J26" s="256"/>
      <c r="K26" s="256"/>
      <c r="L26" s="256"/>
      <c r="M26" s="256"/>
      <c r="N26" s="256"/>
      <c r="O26" s="256"/>
      <c r="P26" s="256"/>
      <c r="Q26" s="256"/>
      <c r="R26" s="230">
        <f t="shared" si="0"/>
        <v>0</v>
      </c>
      <c r="S26" s="256"/>
      <c r="T26" s="256"/>
      <c r="U26" s="256"/>
      <c r="V26" s="256"/>
      <c r="W26" s="256"/>
    </row>
    <row r="27" spans="1:23">
      <c r="A27" t="str">
        <f>IF(OR(R27&gt;0,L27&gt;0),基础信息!$B$1,"")</f>
        <v/>
      </c>
      <c r="B27" s="256"/>
      <c r="C27" s="256"/>
      <c r="D27" s="277"/>
      <c r="E27" s="277"/>
      <c r="R27" s="230">
        <f t="shared" si="0"/>
        <v>0</v>
      </c>
    </row>
    <row r="28" spans="1:23">
      <c r="A28" t="str">
        <f>IF(OR(R28&gt;0,L28&gt;0),基础信息!$B$1,"")</f>
        <v/>
      </c>
      <c r="B28" s="256"/>
      <c r="C28" s="256"/>
      <c r="D28" s="277"/>
      <c r="E28" s="277"/>
      <c r="R28" s="230">
        <f t="shared" si="0"/>
        <v>0</v>
      </c>
    </row>
    <row r="29" spans="1:23">
      <c r="A29" t="str">
        <f>IF(OR(R29&gt;0,L29&gt;0),基础信息!$B$1,"")</f>
        <v/>
      </c>
      <c r="B29" s="256"/>
      <c r="C29" s="256"/>
      <c r="D29" s="277"/>
      <c r="E29" s="277"/>
      <c r="R29" s="230">
        <f t="shared" si="0"/>
        <v>0</v>
      </c>
    </row>
    <row r="30" spans="1:23">
      <c r="A30" t="str">
        <f>IF(OR(R30&gt;0,L30&gt;0),基础信息!$B$1,"")</f>
        <v/>
      </c>
      <c r="B30" s="256"/>
      <c r="C30" s="256"/>
      <c r="D30" s="277"/>
      <c r="E30" s="277"/>
      <c r="R30" s="230">
        <f t="shared" si="0"/>
        <v>0</v>
      </c>
    </row>
    <row r="31" spans="1:23">
      <c r="A31" t="str">
        <f>IF(OR(R31&gt;0,L31&gt;0),基础信息!$B$1,"")</f>
        <v/>
      </c>
      <c r="B31" s="256"/>
      <c r="C31" s="256"/>
      <c r="D31" s="277"/>
      <c r="E31" s="277"/>
      <c r="R31" s="230">
        <f t="shared" si="0"/>
        <v>0</v>
      </c>
    </row>
    <row r="32" spans="1:23">
      <c r="A32" t="str">
        <f>IF(OR(R32&gt;0,L32&gt;0),基础信息!$B$1,"")</f>
        <v/>
      </c>
      <c r="B32" s="256"/>
      <c r="C32" s="256"/>
      <c r="D32" s="277"/>
      <c r="E32" s="277"/>
      <c r="R32" s="230">
        <f t="shared" si="0"/>
        <v>0</v>
      </c>
    </row>
    <row r="33" spans="1:18">
      <c r="A33" t="str">
        <f>IF(OR(R33&gt;0,L33&gt;0),基础信息!$B$1,"")</f>
        <v/>
      </c>
      <c r="B33" s="256"/>
      <c r="C33" s="256"/>
      <c r="D33" s="277"/>
      <c r="E33" s="277"/>
      <c r="R33" s="230">
        <f t="shared" si="0"/>
        <v>0</v>
      </c>
    </row>
    <row r="34" spans="1:18">
      <c r="A34" t="str">
        <f>IF(OR(R34&gt;0,L34&gt;0),基础信息!$B$1,"")</f>
        <v/>
      </c>
      <c r="D34" s="277"/>
      <c r="E34" s="277"/>
      <c r="R34" s="230">
        <f t="shared" si="0"/>
        <v>0</v>
      </c>
    </row>
    <row r="35" spans="1:18">
      <c r="A35" t="str">
        <f>IF(OR(R35&gt;0,L35&gt;0),基础信息!$B$1,"")</f>
        <v/>
      </c>
      <c r="D35" s="277"/>
      <c r="E35" s="277"/>
      <c r="R35" s="230">
        <f t="shared" si="0"/>
        <v>0</v>
      </c>
    </row>
    <row r="36" spans="1:18">
      <c r="A36" t="str">
        <f>IF(OR(R36&gt;0,L36&gt;0),基础信息!$B$1,"")</f>
        <v/>
      </c>
      <c r="R36" s="230">
        <f t="shared" si="0"/>
        <v>0</v>
      </c>
    </row>
    <row r="37" spans="1:18">
      <c r="A37" t="str">
        <f>IF(OR(R37&gt;0,L37&gt;0),基础信息!$B$1,"")</f>
        <v/>
      </c>
      <c r="R37" s="230">
        <f t="shared" si="0"/>
        <v>0</v>
      </c>
    </row>
    <row r="38" spans="1:18">
      <c r="A38" t="str">
        <f>IF(OR(R38&gt;0,L38&gt;0),基础信息!$B$1,"")</f>
        <v/>
      </c>
      <c r="R38" s="230">
        <f t="shared" si="0"/>
        <v>0</v>
      </c>
    </row>
    <row r="39" spans="1:18">
      <c r="A39" t="str">
        <f>IF(OR(R39&gt;0,L39&gt;0),基础信息!$B$1,"")</f>
        <v/>
      </c>
      <c r="R39" s="230">
        <f t="shared" si="0"/>
        <v>0</v>
      </c>
    </row>
    <row r="40" spans="1:18">
      <c r="A40" t="str">
        <f>IF(OR(R40&gt;0,L40&gt;0),基础信息!$B$1,"")</f>
        <v/>
      </c>
      <c r="R40" s="230">
        <f t="shared" si="0"/>
        <v>0</v>
      </c>
    </row>
    <row r="41" spans="1:18">
      <c r="A41" t="str">
        <f>IF(OR(R41&gt;0,L41&gt;0),基础信息!$B$1,"")</f>
        <v/>
      </c>
      <c r="R41" s="230">
        <f t="shared" si="0"/>
        <v>0</v>
      </c>
    </row>
    <row r="42" spans="1:18">
      <c r="A42" t="str">
        <f>IF(OR(R42&gt;0,L42&gt;0),基础信息!$B$1,"")</f>
        <v/>
      </c>
      <c r="R42" s="230">
        <f t="shared" si="0"/>
        <v>0</v>
      </c>
    </row>
    <row r="43" spans="1:18">
      <c r="A43" t="str">
        <f>IF(OR(R43&gt;0,L43&gt;0),基础信息!$B$1,"")</f>
        <v/>
      </c>
      <c r="R43" s="230">
        <f t="shared" si="0"/>
        <v>0</v>
      </c>
    </row>
    <row r="44" spans="1:18">
      <c r="A44" t="str">
        <f>IF(OR(R44&gt;0,L44&gt;0),基础信息!$B$1,"")</f>
        <v/>
      </c>
      <c r="R44" s="230">
        <f t="shared" si="0"/>
        <v>0</v>
      </c>
    </row>
    <row r="45" spans="1:18">
      <c r="A45" t="str">
        <f>IF(OR(R45&gt;0,L45&gt;0),基础信息!$B$1,"")</f>
        <v/>
      </c>
      <c r="R45" s="230">
        <f t="shared" si="0"/>
        <v>0</v>
      </c>
    </row>
    <row r="46" spans="1:18">
      <c r="A46" t="str">
        <f>IF(OR(R46&gt;0,L46&gt;0),基础信息!$B$1,"")</f>
        <v/>
      </c>
      <c r="R46" s="230">
        <f t="shared" si="0"/>
        <v>0</v>
      </c>
    </row>
    <row r="47" spans="1:18">
      <c r="A47" t="str">
        <f>IF(OR(R47&gt;0,L47&gt;0),基础信息!$B$1,"")</f>
        <v/>
      </c>
      <c r="R47" s="230">
        <f t="shared" si="0"/>
        <v>0</v>
      </c>
    </row>
    <row r="48" spans="1:18">
      <c r="A48" t="str">
        <f>IF(OR(R48&gt;0,L48&gt;0),基础信息!$B$1,"")</f>
        <v/>
      </c>
      <c r="R48" s="230">
        <f t="shared" si="0"/>
        <v>0</v>
      </c>
    </row>
    <row r="49" spans="1:18">
      <c r="A49" t="str">
        <f>IF(OR(R49&gt;0,L49&gt;0),基础信息!$B$1,"")</f>
        <v/>
      </c>
      <c r="R49" s="230">
        <f t="shared" si="0"/>
        <v>0</v>
      </c>
    </row>
    <row r="50" spans="1:18">
      <c r="A50" t="str">
        <f>IF(OR(R50&gt;0,L50&gt;0),基础信息!$B$1,"")</f>
        <v/>
      </c>
      <c r="R50" s="230">
        <f t="shared" si="0"/>
        <v>0</v>
      </c>
    </row>
    <row r="51" spans="1:18">
      <c r="A51" t="str">
        <f>IF(OR(R51&gt;0,L51&gt;0),基础信息!$B$1,"")</f>
        <v/>
      </c>
      <c r="R51" s="230">
        <f t="shared" si="0"/>
        <v>0</v>
      </c>
    </row>
    <row r="52" spans="1:18">
      <c r="A52" t="str">
        <f>IF(OR(R52&gt;0,L52&gt;0),基础信息!$B$1,"")</f>
        <v/>
      </c>
      <c r="R52" s="230">
        <f t="shared" si="0"/>
        <v>0</v>
      </c>
    </row>
    <row r="53" spans="1:18">
      <c r="A53" t="str">
        <f>IF(OR(R53&gt;0,L53&gt;0),基础信息!$B$1,"")</f>
        <v/>
      </c>
      <c r="R53" s="230">
        <f t="shared" si="0"/>
        <v>0</v>
      </c>
    </row>
    <row r="54" spans="1:18">
      <c r="A54" t="str">
        <f>IF(OR(R54&gt;0,L54&gt;0),基础信息!$B$1,"")</f>
        <v/>
      </c>
      <c r="R54" s="230">
        <f t="shared" si="0"/>
        <v>0</v>
      </c>
    </row>
    <row r="55" spans="1:18">
      <c r="A55" t="str">
        <f>IF(OR(R55&gt;0,L55&gt;0),基础信息!$B$1,"")</f>
        <v/>
      </c>
      <c r="R55" s="230">
        <f t="shared" si="0"/>
        <v>0</v>
      </c>
    </row>
    <row r="56" spans="1:18">
      <c r="A56" t="str">
        <f>IF(OR(R56&gt;0,L56&gt;0),基础信息!$B$1,"")</f>
        <v/>
      </c>
      <c r="R56" s="230">
        <f t="shared" si="0"/>
        <v>0</v>
      </c>
    </row>
    <row r="57" spans="1:18">
      <c r="A57" t="str">
        <f>IF(OR(R57&gt;0,L57&gt;0),基础信息!$B$1,"")</f>
        <v/>
      </c>
      <c r="R57" s="230">
        <f t="shared" si="0"/>
        <v>0</v>
      </c>
    </row>
    <row r="58" spans="1:18">
      <c r="A58" t="str">
        <f>IF(OR(R58&gt;0,L58&gt;0),基础信息!$B$1,"")</f>
        <v/>
      </c>
      <c r="R58" s="230">
        <f t="shared" si="0"/>
        <v>0</v>
      </c>
    </row>
    <row r="59" spans="1:18">
      <c r="A59" t="str">
        <f>IF(OR(R59&gt;0,L59&gt;0),基础信息!$B$1,"")</f>
        <v/>
      </c>
      <c r="R59" s="230">
        <f t="shared" si="0"/>
        <v>0</v>
      </c>
    </row>
    <row r="60" spans="1:18">
      <c r="A60" t="str">
        <f>IF(OR(R60&gt;0,L60&gt;0),基础信息!$B$1,"")</f>
        <v/>
      </c>
      <c r="R60" s="230">
        <f t="shared" si="0"/>
        <v>0</v>
      </c>
    </row>
    <row r="61" spans="1:18">
      <c r="A61" t="str">
        <f>IF(OR(R61&gt;0,L61&gt;0),基础信息!$B$1,"")</f>
        <v/>
      </c>
      <c r="R61" s="230">
        <f t="shared" si="0"/>
        <v>0</v>
      </c>
    </row>
    <row r="62" spans="1:18">
      <c r="A62" t="str">
        <f>IF(OR(R62&gt;0,L62&gt;0),基础信息!$B$1,"")</f>
        <v/>
      </c>
      <c r="R62" s="230">
        <f t="shared" si="0"/>
        <v>0</v>
      </c>
    </row>
    <row r="63" spans="1:18">
      <c r="A63" t="str">
        <f>IF(OR(R63&gt;0,L63&gt;0),基础信息!$B$1,"")</f>
        <v/>
      </c>
      <c r="R63" s="230">
        <f t="shared" si="0"/>
        <v>0</v>
      </c>
    </row>
    <row r="64" spans="1:18">
      <c r="A64" t="str">
        <f>IF(OR(R64&gt;0,L64&gt;0),基础信息!$B$1,"")</f>
        <v/>
      </c>
      <c r="R64" s="230">
        <f t="shared" si="0"/>
        <v>0</v>
      </c>
    </row>
    <row r="65" spans="1:18">
      <c r="A65" t="str">
        <f>IF(OR(R65&gt;0,L65&gt;0),基础信息!$B$1,"")</f>
        <v/>
      </c>
      <c r="R65" s="230">
        <f t="shared" si="0"/>
        <v>0</v>
      </c>
    </row>
    <row r="66" spans="1:18">
      <c r="A66" t="str">
        <f>IF(OR(R66&gt;0,L66&gt;0),基础信息!$B$1,"")</f>
        <v/>
      </c>
      <c r="R66" s="230">
        <f t="shared" si="0"/>
        <v>0</v>
      </c>
    </row>
    <row r="67" spans="1:18">
      <c r="A67" t="str">
        <f>IF(OR(R67&gt;0,L67&gt;0),基础信息!$B$1,"")</f>
        <v/>
      </c>
      <c r="R67" s="230">
        <f t="shared" ref="R67:R99" si="1">L67+M67+N67-O67-Q67</f>
        <v>0</v>
      </c>
    </row>
    <row r="68" spans="1:18">
      <c r="A68" t="str">
        <f>IF(OR(R68&gt;0,L68&gt;0),基础信息!$B$1,"")</f>
        <v/>
      </c>
      <c r="R68" s="230">
        <f t="shared" si="1"/>
        <v>0</v>
      </c>
    </row>
    <row r="69" spans="1:18">
      <c r="A69" t="str">
        <f>IF(OR(R69&gt;0,L69&gt;0),基础信息!$B$1,"")</f>
        <v/>
      </c>
      <c r="R69" s="230">
        <f t="shared" si="1"/>
        <v>0</v>
      </c>
    </row>
    <row r="70" spans="1:18">
      <c r="A70" t="str">
        <f>IF(OR(R70&gt;0,L70&gt;0),基础信息!$B$1,"")</f>
        <v/>
      </c>
      <c r="R70" s="230">
        <f t="shared" si="1"/>
        <v>0</v>
      </c>
    </row>
    <row r="71" spans="1:18">
      <c r="A71" t="str">
        <f>IF(OR(R71&gt;0,L71&gt;0),基础信息!$B$1,"")</f>
        <v/>
      </c>
      <c r="R71" s="230">
        <f t="shared" si="1"/>
        <v>0</v>
      </c>
    </row>
    <row r="72" spans="1:18">
      <c r="A72" t="str">
        <f>IF(OR(R72&gt;0,L72&gt;0),基础信息!$B$1,"")</f>
        <v/>
      </c>
      <c r="R72" s="230">
        <f t="shared" si="1"/>
        <v>0</v>
      </c>
    </row>
    <row r="73" spans="1:18">
      <c r="A73" t="str">
        <f>IF(OR(R73&gt;0,L73&gt;0),基础信息!$B$1,"")</f>
        <v/>
      </c>
      <c r="R73" s="230">
        <f t="shared" si="1"/>
        <v>0</v>
      </c>
    </row>
    <row r="74" spans="1:18">
      <c r="A74" t="str">
        <f>IF(OR(R74&gt;0,L74&gt;0),基础信息!$B$1,"")</f>
        <v/>
      </c>
      <c r="R74" s="230">
        <f t="shared" si="1"/>
        <v>0</v>
      </c>
    </row>
    <row r="75" spans="1:18">
      <c r="A75" t="str">
        <f>IF(OR(R75&gt;0,L75&gt;0),基础信息!$B$1,"")</f>
        <v/>
      </c>
      <c r="R75" s="230">
        <f t="shared" si="1"/>
        <v>0</v>
      </c>
    </row>
    <row r="76" spans="1:18">
      <c r="A76" t="str">
        <f>IF(OR(R76&gt;0,L76&gt;0),基础信息!$B$1,"")</f>
        <v/>
      </c>
      <c r="R76" s="230">
        <f t="shared" si="1"/>
        <v>0</v>
      </c>
    </row>
    <row r="77" spans="1:18">
      <c r="A77" t="str">
        <f>IF(OR(R77&gt;0,L77&gt;0),基础信息!$B$1,"")</f>
        <v/>
      </c>
      <c r="R77" s="230">
        <f t="shared" si="1"/>
        <v>0</v>
      </c>
    </row>
    <row r="78" spans="1:18">
      <c r="A78" t="str">
        <f>IF(OR(R78&gt;0,L78&gt;0),基础信息!$B$1,"")</f>
        <v/>
      </c>
      <c r="R78" s="230">
        <f t="shared" si="1"/>
        <v>0</v>
      </c>
    </row>
    <row r="79" spans="1:18">
      <c r="A79" t="str">
        <f>IF(OR(R79&gt;0,L79&gt;0),基础信息!$B$1,"")</f>
        <v/>
      </c>
      <c r="R79" s="230">
        <f t="shared" si="1"/>
        <v>0</v>
      </c>
    </row>
    <row r="80" spans="1:18">
      <c r="A80" t="str">
        <f>IF(OR(R80&gt;0,L80&gt;0),基础信息!$B$1,"")</f>
        <v/>
      </c>
      <c r="R80" s="230">
        <f t="shared" si="1"/>
        <v>0</v>
      </c>
    </row>
    <row r="81" spans="1:18">
      <c r="A81" t="str">
        <f>IF(OR(R81&gt;0,L81&gt;0),基础信息!$B$1,"")</f>
        <v/>
      </c>
      <c r="R81" s="230">
        <f t="shared" si="1"/>
        <v>0</v>
      </c>
    </row>
    <row r="82" spans="1:18">
      <c r="A82" t="str">
        <f>IF(OR(R82&gt;0,L82&gt;0),基础信息!$B$1,"")</f>
        <v/>
      </c>
      <c r="R82" s="230">
        <f t="shared" si="1"/>
        <v>0</v>
      </c>
    </row>
    <row r="83" spans="1:18">
      <c r="A83" t="str">
        <f>IF(OR(R83&gt;0,L83&gt;0),基础信息!$B$1,"")</f>
        <v/>
      </c>
      <c r="R83" s="230">
        <f t="shared" si="1"/>
        <v>0</v>
      </c>
    </row>
    <row r="84" spans="1:18">
      <c r="A84" t="str">
        <f>IF(OR(R84&gt;0,L84&gt;0),基础信息!$B$1,"")</f>
        <v/>
      </c>
      <c r="R84" s="230">
        <f t="shared" si="1"/>
        <v>0</v>
      </c>
    </row>
    <row r="85" spans="1:18">
      <c r="A85" t="str">
        <f>IF(OR(R85&gt;0,L85&gt;0),基础信息!$B$1,"")</f>
        <v/>
      </c>
      <c r="R85" s="230">
        <f t="shared" si="1"/>
        <v>0</v>
      </c>
    </row>
    <row r="86" spans="1:18">
      <c r="A86" t="str">
        <f>IF(OR(R86&gt;0,L86&gt;0),基础信息!$B$1,"")</f>
        <v/>
      </c>
      <c r="R86" s="230">
        <f t="shared" si="1"/>
        <v>0</v>
      </c>
    </row>
    <row r="87" spans="1:18">
      <c r="A87" t="str">
        <f>IF(OR(R87&gt;0,L87&gt;0),基础信息!$B$1,"")</f>
        <v/>
      </c>
      <c r="R87" s="230">
        <f t="shared" si="1"/>
        <v>0</v>
      </c>
    </row>
    <row r="88" spans="1:18">
      <c r="A88" t="str">
        <f>IF(OR(R88&gt;0,L88&gt;0),基础信息!$B$1,"")</f>
        <v/>
      </c>
      <c r="R88" s="230">
        <f t="shared" si="1"/>
        <v>0</v>
      </c>
    </row>
    <row r="89" spans="1:18">
      <c r="A89" t="str">
        <f>IF(OR(R89&gt;0,L89&gt;0),基础信息!$B$1,"")</f>
        <v/>
      </c>
      <c r="R89" s="230">
        <f t="shared" si="1"/>
        <v>0</v>
      </c>
    </row>
    <row r="90" spans="1:18">
      <c r="A90" t="str">
        <f>IF(OR(R90&gt;0,L90&gt;0),基础信息!$B$1,"")</f>
        <v/>
      </c>
      <c r="R90" s="230">
        <f t="shared" si="1"/>
        <v>0</v>
      </c>
    </row>
    <row r="91" spans="1:18">
      <c r="A91" t="str">
        <f>IF(OR(R91&gt;0,L91&gt;0),基础信息!$B$1,"")</f>
        <v/>
      </c>
      <c r="R91" s="230">
        <f t="shared" si="1"/>
        <v>0</v>
      </c>
    </row>
    <row r="92" spans="1:18">
      <c r="A92" t="str">
        <f>IF(OR(R92&gt;0,L92&gt;0),基础信息!$B$1,"")</f>
        <v/>
      </c>
      <c r="R92" s="230">
        <f t="shared" si="1"/>
        <v>0</v>
      </c>
    </row>
    <row r="93" spans="1:18">
      <c r="A93" t="str">
        <f>IF(OR(R93&gt;0,L93&gt;0),基础信息!$B$1,"")</f>
        <v/>
      </c>
      <c r="R93" s="230">
        <f t="shared" si="1"/>
        <v>0</v>
      </c>
    </row>
    <row r="94" spans="1:18">
      <c r="A94" t="str">
        <f>IF(OR(R94&gt;0,L94&gt;0),基础信息!$B$1,"")</f>
        <v/>
      </c>
      <c r="R94" s="230">
        <f t="shared" si="1"/>
        <v>0</v>
      </c>
    </row>
    <row r="95" spans="1:18">
      <c r="A95" t="str">
        <f>IF(OR(R95&gt;0,L95&gt;0),基础信息!$B$1,"")</f>
        <v/>
      </c>
      <c r="R95" s="230">
        <f t="shared" si="1"/>
        <v>0</v>
      </c>
    </row>
    <row r="96" spans="1:18">
      <c r="A96" t="str">
        <f>IF(OR(R96&gt;0,L96&gt;0),基础信息!$B$1,"")</f>
        <v/>
      </c>
      <c r="R96" s="230">
        <f t="shared" si="1"/>
        <v>0</v>
      </c>
    </row>
    <row r="97" spans="1:18">
      <c r="A97" t="str">
        <f>IF(OR(R97&gt;0,L97&gt;0),基础信息!$B$1,"")</f>
        <v/>
      </c>
      <c r="R97" s="230">
        <f t="shared" si="1"/>
        <v>0</v>
      </c>
    </row>
    <row r="98" spans="1:18">
      <c r="A98" t="str">
        <f>IF(OR(R98&gt;0,L98&gt;0),基础信息!$B$1,"")</f>
        <v/>
      </c>
      <c r="R98" s="230">
        <f t="shared" si="1"/>
        <v>0</v>
      </c>
    </row>
    <row r="99" spans="1:18">
      <c r="A99" t="str">
        <f>IF(OR(R99&gt;0,L99&gt;0),基础信息!$B$1,"")</f>
        <v/>
      </c>
      <c r="R99"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codeName="Sheet246">
    <tabColor rgb="FFFFC000"/>
  </sheetPr>
  <dimension ref="A1:E10"/>
  <sheetViews>
    <sheetView workbookViewId="0">
      <selection activeCell="E22" sqref="E22"/>
    </sheetView>
  </sheetViews>
  <sheetFormatPr defaultRowHeight="13.8"/>
  <cols>
    <col min="1" max="1" width="74.21875" style="18" bestFit="1" customWidth="1"/>
    <col min="2" max="3" width="8.88671875" style="18"/>
    <col min="4" max="4" width="8.88671875" style="151"/>
    <col min="5" max="16384" width="8.88671875" style="18"/>
  </cols>
  <sheetData>
    <row r="1" spans="1:5" ht="14.4">
      <c r="A1" s="35" t="s">
        <v>28</v>
      </c>
      <c r="B1" s="35" t="s">
        <v>199</v>
      </c>
      <c r="C1" s="20" t="s">
        <v>4484</v>
      </c>
      <c r="D1" s="242"/>
      <c r="E1" s="35"/>
    </row>
    <row r="2" spans="1:5" ht="14.4">
      <c r="A2" s="266"/>
      <c r="B2" s="570"/>
      <c r="C2" s="306"/>
      <c r="D2" s="307"/>
      <c r="E2" s="155"/>
    </row>
    <row r="3" spans="1:5" ht="14.4">
      <c r="A3" s="266"/>
      <c r="B3" s="570"/>
      <c r="C3" s="306"/>
      <c r="D3" s="307"/>
      <c r="E3" s="155"/>
    </row>
    <row r="4" spans="1:5" ht="14.4">
      <c r="A4" s="266"/>
      <c r="B4" s="570"/>
      <c r="C4" s="306"/>
      <c r="D4" s="307"/>
      <c r="E4" s="155"/>
    </row>
    <row r="5" spans="1:5" ht="14.4">
      <c r="A5" s="266"/>
      <c r="B5" s="570"/>
      <c r="C5" s="306"/>
      <c r="D5" s="307"/>
      <c r="E5" s="155"/>
    </row>
    <row r="6" spans="1:5" ht="14.4">
      <c r="A6" s="266"/>
      <c r="B6" s="267"/>
      <c r="C6" s="268"/>
      <c r="D6" s="295"/>
      <c r="E6" s="155"/>
    </row>
    <row r="7" spans="1:5" ht="14.4">
      <c r="A7" s="266"/>
      <c r="B7" s="267"/>
      <c r="C7" s="268"/>
      <c r="D7" s="295"/>
      <c r="E7" s="155"/>
    </row>
    <row r="8" spans="1:5" ht="14.4">
      <c r="A8" s="538"/>
      <c r="B8" s="267"/>
      <c r="C8" s="268"/>
      <c r="D8" s="295"/>
      <c r="E8" s="155"/>
    </row>
    <row r="9" spans="1:5" ht="14.4">
      <c r="A9" s="266"/>
      <c r="B9" s="267"/>
      <c r="C9" s="268"/>
      <c r="D9" s="295"/>
      <c r="E9" s="155"/>
    </row>
    <row r="10" spans="1:5" ht="14.4">
      <c r="A10" s="35" t="s">
        <v>204</v>
      </c>
      <c r="B10" s="156">
        <f>ROUND(SUM(B2:B9),2)</f>
        <v>0</v>
      </c>
      <c r="C10" s="156">
        <f>ROUND(SUM(C2:C9),2)</f>
        <v>0</v>
      </c>
      <c r="D10" s="294"/>
      <c r="E10" s="156"/>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codeName="Sheet247">
    <tabColor rgb="FFFFC000"/>
  </sheetPr>
  <dimension ref="A1:C8"/>
  <sheetViews>
    <sheetView workbookViewId="0">
      <selection activeCell="F18" sqref="F18"/>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6"/>
      <c r="B2" s="539"/>
      <c r="C2" s="247"/>
    </row>
    <row r="3" spans="1:3" ht="14.4">
      <c r="A3" s="266"/>
      <c r="B3" s="539"/>
      <c r="C3" s="247"/>
    </row>
    <row r="4" spans="1:3">
      <c r="A4" s="284"/>
      <c r="B4" s="539"/>
      <c r="C4" s="247"/>
    </row>
    <row r="5" spans="1:3">
      <c r="A5" s="284"/>
      <c r="B5" s="539"/>
      <c r="C5" s="247"/>
    </row>
    <row r="6" spans="1:3" ht="14.4">
      <c r="A6" s="266"/>
      <c r="B6" s="539"/>
      <c r="C6" s="247"/>
    </row>
    <row r="7" spans="1:3" ht="14.4">
      <c r="A7" s="266"/>
      <c r="B7" s="539"/>
      <c r="C7" s="247"/>
    </row>
    <row r="8" spans="1:3" ht="14.4">
      <c r="A8" s="35" t="s">
        <v>204</v>
      </c>
      <c r="B8" s="39">
        <f>ROUND(SUM(B2:B7),2)</f>
        <v>0</v>
      </c>
      <c r="C8" s="39">
        <f>ROUND(SUM(C2:C7),2)</f>
        <v>0</v>
      </c>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codeName="Sheet248">
    <tabColor rgb="FFFFC000"/>
  </sheetPr>
  <dimension ref="A1:C6"/>
  <sheetViews>
    <sheetView workbookViewId="0">
      <selection activeCell="F17" sqref="F17"/>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69" t="s">
        <v>529</v>
      </c>
      <c r="B2" s="281"/>
      <c r="C2" s="281"/>
    </row>
    <row r="3" spans="1:3" ht="14.4">
      <c r="A3" s="269" t="s">
        <v>530</v>
      </c>
      <c r="B3" s="281"/>
      <c r="C3" s="281"/>
    </row>
    <row r="4" spans="1:3" ht="14.4">
      <c r="A4" s="269" t="s">
        <v>531</v>
      </c>
      <c r="B4" s="281"/>
      <c r="C4" s="281"/>
    </row>
    <row r="5" spans="1:3" ht="14.4">
      <c r="A5" s="269" t="s">
        <v>13</v>
      </c>
      <c r="B5" s="281"/>
      <c r="C5" s="281"/>
    </row>
    <row r="6" spans="1:3" ht="14.4">
      <c r="A6" s="19" t="s">
        <v>204</v>
      </c>
      <c r="B6" s="21">
        <f>ROUND(SUM(B2:B5),2)</f>
        <v>0</v>
      </c>
      <c r="C6" s="21">
        <f>ROUND(SUM(C2:C5),2)</f>
        <v>0</v>
      </c>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codeName="Sheet249">
    <tabColor rgb="FFFFC000"/>
  </sheetPr>
  <dimension ref="A1:C4"/>
  <sheetViews>
    <sheetView workbookViewId="0">
      <selection activeCell="I17" sqref="I17:I18"/>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81"/>
      <c r="C2" s="281"/>
    </row>
    <row r="3" spans="1:3" ht="14.4">
      <c r="A3" s="19" t="s">
        <v>206</v>
      </c>
      <c r="B3" s="281"/>
      <c r="C3" s="281"/>
    </row>
    <row r="4" spans="1:3" ht="14.4">
      <c r="A4" s="19" t="s">
        <v>204</v>
      </c>
      <c r="B4" s="21">
        <f>ROUND(SUM(B2:B3),2)</f>
        <v>0</v>
      </c>
      <c r="C4" s="21">
        <f>ROUND(SUM(C2:C3),2)</f>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codeName="Sheet25">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6" t="s">
        <v>2542</v>
      </c>
      <c r="B1" s="345" t="s">
        <v>2523</v>
      </c>
    </row>
    <row r="2" spans="1:2">
      <c r="A2" s="18" t="s">
        <v>2547</v>
      </c>
      <c r="B2" s="18">
        <f>VLOOKUP("职工薪酬",管理费用!A:B,2,0)</f>
        <v>0</v>
      </c>
    </row>
    <row r="3" spans="1:2">
      <c r="A3" s="18" t="s">
        <v>2548</v>
      </c>
      <c r="B3" s="18">
        <f>VLOOKUP("职工薪酬",销售费用!A:B,2,0)</f>
        <v>0</v>
      </c>
    </row>
    <row r="4" spans="1:2">
      <c r="A4" s="18" t="s">
        <v>2555</v>
      </c>
      <c r="B4" s="139"/>
    </row>
    <row r="5" spans="1:2">
      <c r="A5" s="151" t="s">
        <v>2550</v>
      </c>
      <c r="B5" s="139"/>
    </row>
    <row r="6" spans="1:2">
      <c r="A6" s="151" t="s">
        <v>2549</v>
      </c>
      <c r="B6" s="139"/>
    </row>
    <row r="7" spans="1:2">
      <c r="A7" s="151" t="s">
        <v>2551</v>
      </c>
      <c r="B7" s="139"/>
    </row>
    <row r="8" spans="1:2">
      <c r="A8" s="151"/>
      <c r="B8" s="139"/>
    </row>
    <row r="9" spans="1:2">
      <c r="A9" s="151"/>
      <c r="B9" s="1"/>
    </row>
    <row r="10" spans="1:2">
      <c r="A10" s="151" t="s">
        <v>2552</v>
      </c>
      <c r="B10" s="1">
        <f>应付职工薪酬明细情况!C7</f>
        <v>0</v>
      </c>
    </row>
    <row r="11" spans="1:2">
      <c r="A11" s="247" t="s">
        <v>2546</v>
      </c>
      <c r="B11" s="139">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codeName="Sheet250">
    <tabColor rgb="FFFFC000"/>
  </sheetPr>
  <dimension ref="A1:C6"/>
  <sheetViews>
    <sheetView workbookViewId="0">
      <selection activeCell="F14" sqref="F14"/>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2" t="s">
        <v>532</v>
      </c>
      <c r="B2" s="152">
        <f>ROUND(SUM(应付账款明细表!E:E),2)</f>
        <v>0</v>
      </c>
      <c r="C2" s="279"/>
    </row>
    <row r="3" spans="1:3" ht="14.4">
      <c r="A3" s="42" t="s">
        <v>533</v>
      </c>
      <c r="B3" s="152">
        <f>ROUND(SUM(应付账款明细表!F:F),2)</f>
        <v>0</v>
      </c>
      <c r="C3" s="279"/>
    </row>
    <row r="4" spans="1:3" ht="14.4">
      <c r="A4" s="42" t="s">
        <v>534</v>
      </c>
      <c r="B4" s="152">
        <f>ROUND(SUM(应付账款明细表!G:G),2)</f>
        <v>0</v>
      </c>
      <c r="C4" s="279"/>
    </row>
    <row r="5" spans="1:3" ht="14.4">
      <c r="A5" s="42" t="s">
        <v>535</v>
      </c>
      <c r="B5" s="152">
        <f>ROUND(SUM(应付账款明细表!H:H),2)</f>
        <v>0</v>
      </c>
      <c r="C5" s="279"/>
    </row>
    <row r="6" spans="1:3" ht="14.4">
      <c r="A6" s="20" t="s">
        <v>204</v>
      </c>
      <c r="B6" s="152">
        <f>ROUND(SUM(B2:B5),2)</f>
        <v>0</v>
      </c>
      <c r="C6" s="152">
        <f>ROUND(SUM(C2:C5),2)</f>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codeName="Sheet251">
    <tabColor rgb="FFFFC000"/>
  </sheetPr>
  <dimension ref="A1:C5"/>
  <sheetViews>
    <sheetView workbookViewId="0">
      <selection activeCell="I18" sqref="I1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536</v>
      </c>
      <c r="B1" s="35" t="s">
        <v>199</v>
      </c>
      <c r="C1" s="35" t="s">
        <v>537</v>
      </c>
    </row>
    <row r="2" spans="1:3" ht="14.4">
      <c r="A2" s="330"/>
      <c r="B2" s="316"/>
      <c r="C2" s="330"/>
    </row>
    <row r="3" spans="1:3" ht="14.4">
      <c r="A3" s="330"/>
      <c r="B3" s="316"/>
      <c r="C3" s="330"/>
    </row>
    <row r="4" spans="1:3" ht="14.4">
      <c r="A4" s="331"/>
      <c r="B4" s="316"/>
      <c r="C4" s="330"/>
    </row>
    <row r="5" spans="1:3" ht="14.4">
      <c r="A5" s="35" t="s">
        <v>204</v>
      </c>
      <c r="B5" s="39">
        <f>ROUND(SUM(B2:B4),2)</f>
        <v>0</v>
      </c>
      <c r="C5" s="41" t="s">
        <v>239</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sheetPr codeName="Sheet252"/>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7" t="s">
        <v>2015</v>
      </c>
      <c r="B1" s="327" t="s">
        <v>2536</v>
      </c>
      <c r="C1" s="328" t="s">
        <v>183</v>
      </c>
      <c r="D1" s="328" t="s">
        <v>2537</v>
      </c>
      <c r="E1" s="328" t="s">
        <v>2538</v>
      </c>
      <c r="F1" s="328" t="s">
        <v>278</v>
      </c>
      <c r="G1" s="328" t="s">
        <v>279</v>
      </c>
      <c r="H1" s="328" t="s">
        <v>280</v>
      </c>
      <c r="I1" s="329" t="s">
        <v>204</v>
      </c>
      <c r="J1" s="328" t="s">
        <v>2391</v>
      </c>
    </row>
    <row r="2" spans="1:10">
      <c r="A2" s="230" t="str">
        <f>IF(C2&gt;0,基础信息!$B$1,"")</f>
        <v/>
      </c>
      <c r="B2" s="256"/>
      <c r="C2" s="256"/>
      <c r="D2" s="256"/>
      <c r="E2" s="256"/>
      <c r="F2" s="256"/>
      <c r="G2" s="256"/>
      <c r="H2" s="256"/>
      <c r="I2" s="230">
        <f>SUM(E2:H2)</f>
        <v>0</v>
      </c>
      <c r="J2" s="231">
        <f>C2-I2</f>
        <v>0</v>
      </c>
    </row>
    <row r="3" spans="1:10">
      <c r="A3" s="230" t="str">
        <f>IF(C3&gt;0,基础信息!$B$1,"")</f>
        <v/>
      </c>
      <c r="B3" s="256"/>
      <c r="C3" s="256"/>
      <c r="D3" s="256"/>
      <c r="E3" s="256"/>
      <c r="F3" s="256"/>
      <c r="G3" s="256"/>
      <c r="H3" s="256"/>
      <c r="I3" s="230">
        <f t="shared" ref="I3:I21" si="0">SUM(E3:H3)</f>
        <v>0</v>
      </c>
      <c r="J3" s="231">
        <f t="shared" ref="J3:J21" si="1">C3-I3</f>
        <v>0</v>
      </c>
    </row>
    <row r="4" spans="1:10">
      <c r="A4" s="230" t="str">
        <f>IF(C4&gt;0,基础信息!$B$1,"")</f>
        <v/>
      </c>
      <c r="B4" s="256"/>
      <c r="C4" s="256"/>
      <c r="D4" s="256"/>
      <c r="E4" s="256"/>
      <c r="F4" s="256"/>
      <c r="G4" s="256"/>
      <c r="H4" s="256"/>
      <c r="I4" s="230">
        <f t="shared" si="0"/>
        <v>0</v>
      </c>
      <c r="J4" s="231">
        <f t="shared" si="1"/>
        <v>0</v>
      </c>
    </row>
    <row r="5" spans="1:10">
      <c r="A5" s="230" t="str">
        <f>IF(C5&gt;0,基础信息!$B$1,"")</f>
        <v/>
      </c>
      <c r="B5" s="256"/>
      <c r="C5" s="256"/>
      <c r="D5" s="256"/>
      <c r="E5" s="256"/>
      <c r="F5" s="256"/>
      <c r="G5" s="256"/>
      <c r="H5" s="256"/>
      <c r="I5" s="230">
        <f t="shared" si="0"/>
        <v>0</v>
      </c>
      <c r="J5" s="231">
        <f t="shared" si="1"/>
        <v>0</v>
      </c>
    </row>
    <row r="6" spans="1:10">
      <c r="A6" s="230" t="str">
        <f>IF(C6&gt;0,基础信息!$B$1,"")</f>
        <v/>
      </c>
      <c r="B6" s="256"/>
      <c r="C6" s="256"/>
      <c r="D6" s="256"/>
      <c r="E6" s="256"/>
      <c r="F6" s="256"/>
      <c r="G6" s="256"/>
      <c r="H6" s="256"/>
      <c r="I6" s="230">
        <f t="shared" si="0"/>
        <v>0</v>
      </c>
      <c r="J6" s="231">
        <f t="shared" si="1"/>
        <v>0</v>
      </c>
    </row>
    <row r="7" spans="1:10">
      <c r="A7" s="230" t="str">
        <f>IF(C7&gt;0,基础信息!$B$1,"")</f>
        <v/>
      </c>
      <c r="B7" s="256"/>
      <c r="C7" s="256"/>
      <c r="D7" s="256"/>
      <c r="E7" s="256"/>
      <c r="F7" s="256"/>
      <c r="G7" s="256"/>
      <c r="H7" s="256"/>
      <c r="I7" s="230">
        <f t="shared" si="0"/>
        <v>0</v>
      </c>
      <c r="J7" s="231">
        <f t="shared" si="1"/>
        <v>0</v>
      </c>
    </row>
    <row r="8" spans="1:10">
      <c r="A8" s="230" t="str">
        <f>IF(C8&gt;0,基础信息!$B$1,"")</f>
        <v/>
      </c>
      <c r="B8" s="256"/>
      <c r="C8" s="256"/>
      <c r="D8" s="256"/>
      <c r="E8" s="256"/>
      <c r="F8" s="256"/>
      <c r="G8" s="256"/>
      <c r="H8" s="256"/>
      <c r="I8" s="230">
        <f t="shared" si="0"/>
        <v>0</v>
      </c>
      <c r="J8" s="231">
        <f t="shared" si="1"/>
        <v>0</v>
      </c>
    </row>
    <row r="9" spans="1:10">
      <c r="A9" s="230" t="str">
        <f>IF(C9&gt;0,基础信息!$B$1,"")</f>
        <v/>
      </c>
      <c r="B9" s="256"/>
      <c r="C9" s="256"/>
      <c r="D9" s="256"/>
      <c r="E9" s="256"/>
      <c r="F9" s="256"/>
      <c r="G9" s="256"/>
      <c r="H9" s="256"/>
      <c r="I9" s="230">
        <f t="shared" si="0"/>
        <v>0</v>
      </c>
      <c r="J9" s="231">
        <f t="shared" si="1"/>
        <v>0</v>
      </c>
    </row>
    <row r="10" spans="1:10">
      <c r="A10" s="230" t="str">
        <f>IF(C10&gt;0,基础信息!$B$1,"")</f>
        <v/>
      </c>
      <c r="B10" s="256"/>
      <c r="C10" s="256"/>
      <c r="D10" s="256"/>
      <c r="E10" s="256"/>
      <c r="F10" s="256"/>
      <c r="G10" s="256"/>
      <c r="H10" s="256"/>
      <c r="I10" s="230">
        <f t="shared" si="0"/>
        <v>0</v>
      </c>
      <c r="J10" s="231">
        <f t="shared" si="1"/>
        <v>0</v>
      </c>
    </row>
    <row r="11" spans="1:10">
      <c r="A11" s="230" t="str">
        <f>IF(C11&gt;0,基础信息!$B$1,"")</f>
        <v/>
      </c>
      <c r="B11" s="256"/>
      <c r="C11" s="256"/>
      <c r="D11" s="256"/>
      <c r="E11" s="256"/>
      <c r="F11" s="256"/>
      <c r="G11" s="256"/>
      <c r="H11" s="256"/>
      <c r="I11" s="230">
        <f t="shared" si="0"/>
        <v>0</v>
      </c>
      <c r="J11" s="231">
        <f t="shared" si="1"/>
        <v>0</v>
      </c>
    </row>
    <row r="12" spans="1:10">
      <c r="A12" s="230" t="str">
        <f>IF(C12&gt;0,基础信息!$B$1,"")</f>
        <v/>
      </c>
      <c r="B12" s="256"/>
      <c r="C12" s="256"/>
      <c r="D12" s="256"/>
      <c r="E12" s="256"/>
      <c r="F12" s="256"/>
      <c r="G12" s="256"/>
      <c r="H12" s="256"/>
      <c r="I12" s="230">
        <f t="shared" si="0"/>
        <v>0</v>
      </c>
      <c r="J12" s="231">
        <f t="shared" si="1"/>
        <v>0</v>
      </c>
    </row>
    <row r="13" spans="1:10">
      <c r="A13" s="230" t="str">
        <f>IF(C13&gt;0,基础信息!$B$1,"")</f>
        <v/>
      </c>
      <c r="B13" s="256"/>
      <c r="C13" s="256"/>
      <c r="D13" s="256"/>
      <c r="E13" s="256"/>
      <c r="F13" s="256"/>
      <c r="G13" s="256"/>
      <c r="H13" s="256"/>
      <c r="I13" s="230">
        <f t="shared" si="0"/>
        <v>0</v>
      </c>
      <c r="J13" s="231">
        <f t="shared" si="1"/>
        <v>0</v>
      </c>
    </row>
    <row r="14" spans="1:10">
      <c r="A14" s="230" t="str">
        <f>IF(C14&gt;0,基础信息!$B$1,"")</f>
        <v/>
      </c>
      <c r="B14" s="256"/>
      <c r="C14" s="256"/>
      <c r="D14" s="256"/>
      <c r="E14" s="256"/>
      <c r="F14" s="256"/>
      <c r="G14" s="256"/>
      <c r="H14" s="256"/>
      <c r="I14" s="230">
        <f t="shared" si="0"/>
        <v>0</v>
      </c>
      <c r="J14" s="231">
        <f t="shared" si="1"/>
        <v>0</v>
      </c>
    </row>
    <row r="15" spans="1:10">
      <c r="A15" s="230" t="str">
        <f>IF(C15&gt;0,基础信息!$B$1,"")</f>
        <v/>
      </c>
      <c r="B15" s="256"/>
      <c r="C15" s="256"/>
      <c r="D15" s="256"/>
      <c r="E15" s="256"/>
      <c r="F15" s="256"/>
      <c r="G15" s="256"/>
      <c r="H15" s="256"/>
      <c r="I15" s="230">
        <f t="shared" si="0"/>
        <v>0</v>
      </c>
      <c r="J15" s="231">
        <f t="shared" si="1"/>
        <v>0</v>
      </c>
    </row>
    <row r="16" spans="1:10">
      <c r="A16" s="230" t="str">
        <f>IF(C16&gt;0,基础信息!$B$1,"")</f>
        <v/>
      </c>
      <c r="B16" s="256"/>
      <c r="C16" s="256"/>
      <c r="D16" s="256"/>
      <c r="E16" s="256"/>
      <c r="F16" s="256"/>
      <c r="G16" s="256"/>
      <c r="H16" s="256"/>
      <c r="I16" s="230">
        <f t="shared" si="0"/>
        <v>0</v>
      </c>
      <c r="J16" s="231">
        <f t="shared" si="1"/>
        <v>0</v>
      </c>
    </row>
    <row r="17" spans="1:10">
      <c r="A17" s="230" t="str">
        <f>IF(C17&gt;0,基础信息!$B$1,"")</f>
        <v/>
      </c>
      <c r="B17" s="256"/>
      <c r="C17" s="256"/>
      <c r="D17" s="256"/>
      <c r="E17" s="256"/>
      <c r="F17" s="256"/>
      <c r="G17" s="256"/>
      <c r="H17" s="256"/>
      <c r="I17" s="230">
        <f t="shared" si="0"/>
        <v>0</v>
      </c>
      <c r="J17" s="231">
        <f t="shared" si="1"/>
        <v>0</v>
      </c>
    </row>
    <row r="18" spans="1:10">
      <c r="A18" s="230" t="str">
        <f>IF(C18&gt;0,基础信息!$B$1,"")</f>
        <v/>
      </c>
      <c r="B18" s="256"/>
      <c r="C18" s="256"/>
      <c r="D18" s="256"/>
      <c r="E18" s="256"/>
      <c r="F18" s="256"/>
      <c r="G18" s="256"/>
      <c r="H18" s="256"/>
      <c r="I18" s="230">
        <f t="shared" si="0"/>
        <v>0</v>
      </c>
      <c r="J18" s="231">
        <f t="shared" si="1"/>
        <v>0</v>
      </c>
    </row>
    <row r="19" spans="1:10">
      <c r="A19" s="230" t="str">
        <f>IF(C19&gt;0,基础信息!$B$1,"")</f>
        <v/>
      </c>
      <c r="B19" s="256"/>
      <c r="C19" s="256"/>
      <c r="D19" s="256"/>
      <c r="E19" s="256"/>
      <c r="F19" s="256"/>
      <c r="G19" s="256"/>
      <c r="H19" s="256"/>
      <c r="I19" s="230">
        <f t="shared" si="0"/>
        <v>0</v>
      </c>
      <c r="J19" s="231">
        <f t="shared" si="1"/>
        <v>0</v>
      </c>
    </row>
    <row r="20" spans="1:10">
      <c r="A20" s="230" t="str">
        <f>IF(C20&gt;0,基础信息!$B$1,"")</f>
        <v/>
      </c>
      <c r="B20" s="256"/>
      <c r="C20" s="256"/>
      <c r="D20" s="256"/>
      <c r="E20" s="256"/>
      <c r="F20" s="256"/>
      <c r="G20" s="256"/>
      <c r="H20" s="256"/>
      <c r="I20" s="230">
        <f t="shared" si="0"/>
        <v>0</v>
      </c>
      <c r="J20" s="231">
        <f t="shared" si="1"/>
        <v>0</v>
      </c>
    </row>
    <row r="21" spans="1:10">
      <c r="A21" s="230" t="str">
        <f>IF(C21&gt;0,基础信息!$B$1,"")</f>
        <v/>
      </c>
      <c r="B21" s="256"/>
      <c r="C21" s="256"/>
      <c r="D21" s="256"/>
      <c r="E21" s="256"/>
      <c r="F21" s="256"/>
      <c r="G21" s="256"/>
      <c r="H21" s="256"/>
      <c r="I21" s="230">
        <f t="shared" si="0"/>
        <v>0</v>
      </c>
      <c r="J21" s="231">
        <f t="shared" si="1"/>
        <v>0</v>
      </c>
    </row>
    <row r="22" spans="1:10">
      <c r="A22" s="230" t="str">
        <f>IF(C22&gt;0,基础信息!$B$1,"")</f>
        <v/>
      </c>
    </row>
    <row r="23" spans="1:10">
      <c r="A23" s="230" t="str">
        <f>IF(C23&gt;0,基础信息!$B$1,"")</f>
        <v/>
      </c>
    </row>
    <row r="24" spans="1:10">
      <c r="A24" s="230" t="str">
        <f>IF(C24&gt;0,基础信息!$B$1,"")</f>
        <v/>
      </c>
    </row>
    <row r="25" spans="1:10">
      <c r="A25" s="230" t="str">
        <f>IF(C25&gt;0,基础信息!$B$1,"")</f>
        <v/>
      </c>
    </row>
    <row r="26" spans="1:10">
      <c r="A26" s="230" t="str">
        <f>IF(C26&gt;0,基础信息!$B$1,"")</f>
        <v/>
      </c>
    </row>
    <row r="27" spans="1:10">
      <c r="A27" s="230" t="str">
        <f>IF(C27&gt;0,基础信息!$B$1,"")</f>
        <v/>
      </c>
    </row>
    <row r="28" spans="1:10">
      <c r="A28" s="230" t="str">
        <f>IF(C28&gt;0,基础信息!$B$1,"")</f>
        <v/>
      </c>
    </row>
    <row r="29" spans="1:10">
      <c r="A29" s="230" t="str">
        <f>IF(C29&gt;0,基础信息!$B$1,"")</f>
        <v/>
      </c>
    </row>
    <row r="30" spans="1:10">
      <c r="A30" s="230" t="str">
        <f>IF(C30&gt;0,基础信息!$B$1,"")</f>
        <v/>
      </c>
    </row>
    <row r="31" spans="1:10">
      <c r="A31" s="230" t="str">
        <f>IF(C31&gt;0,基础信息!$B$1,"")</f>
        <v/>
      </c>
    </row>
    <row r="32" spans="1:10">
      <c r="A32" s="230" t="str">
        <f>IF(C32&gt;0,基础信息!$B$1,"")</f>
        <v/>
      </c>
    </row>
    <row r="33" spans="1:1">
      <c r="A33" s="230" t="str">
        <f>IF(C33&gt;0,基础信息!$B$1,"")</f>
        <v/>
      </c>
    </row>
    <row r="34" spans="1:1">
      <c r="A34" s="230" t="str">
        <f>IF(C34&gt;0,基础信息!$B$1,"")</f>
        <v/>
      </c>
    </row>
    <row r="35" spans="1:1">
      <c r="A35" s="230" t="str">
        <f>IF(C35&gt;0,基础信息!$B$1,"")</f>
        <v/>
      </c>
    </row>
    <row r="36" spans="1:1">
      <c r="A36" s="230" t="str">
        <f>IF(C36&gt;0,基础信息!$B$1,"")</f>
        <v/>
      </c>
    </row>
    <row r="37" spans="1:1">
      <c r="A37" s="230" t="str">
        <f>IF(C37&gt;0,基础信息!$B$1,"")</f>
        <v/>
      </c>
    </row>
    <row r="38" spans="1:1">
      <c r="A38" s="230" t="str">
        <f>IF(C38&gt;0,基础信息!$B$1,"")</f>
        <v/>
      </c>
    </row>
    <row r="39" spans="1:1">
      <c r="A39" s="230" t="str">
        <f>IF(C39&gt;0,基础信息!$B$1,"")</f>
        <v/>
      </c>
    </row>
    <row r="40" spans="1:1">
      <c r="A40" s="230" t="str">
        <f>IF(C40&gt;0,基础信息!$B$1,"")</f>
        <v/>
      </c>
    </row>
    <row r="41" spans="1:1">
      <c r="A41" s="230" t="str">
        <f>IF(C41&gt;0,基础信息!$B$1,"")</f>
        <v/>
      </c>
    </row>
    <row r="42" spans="1:1">
      <c r="A42" s="230" t="str">
        <f>IF(C42&gt;0,基础信息!$B$1,"")</f>
        <v/>
      </c>
    </row>
    <row r="43" spans="1:1">
      <c r="A43" s="230" t="str">
        <f>IF(C43&gt;0,基础信息!$B$1,"")</f>
        <v/>
      </c>
    </row>
    <row r="44" spans="1:1">
      <c r="A44" s="230" t="str">
        <f>IF(C44&gt;0,基础信息!$B$1,"")</f>
        <v/>
      </c>
    </row>
    <row r="45" spans="1:1">
      <c r="A45" s="230" t="str">
        <f>IF(C45&gt;0,基础信息!$B$1,"")</f>
        <v/>
      </c>
    </row>
    <row r="46" spans="1:1">
      <c r="A46" s="230" t="str">
        <f>IF(C46&gt;0,基础信息!$B$1,"")</f>
        <v/>
      </c>
    </row>
    <row r="47" spans="1:1">
      <c r="A47" s="230" t="str">
        <f>IF(C47&gt;0,基础信息!$B$1,"")</f>
        <v/>
      </c>
    </row>
    <row r="48" spans="1:1">
      <c r="A48" s="230" t="str">
        <f>IF(C48&gt;0,基础信息!$B$1,"")</f>
        <v/>
      </c>
    </row>
    <row r="49" spans="1:1">
      <c r="A49" s="230" t="str">
        <f>IF(C49&gt;0,基础信息!$B$1,"")</f>
        <v/>
      </c>
    </row>
    <row r="50" spans="1:1">
      <c r="A50" s="230" t="str">
        <f>IF(C50&gt;0,基础信息!$B$1,"")</f>
        <v/>
      </c>
    </row>
    <row r="51" spans="1:1">
      <c r="A51" s="230" t="str">
        <f>IF(C51&gt;0,基础信息!$B$1,"")</f>
        <v/>
      </c>
    </row>
    <row r="52" spans="1:1">
      <c r="A52" s="230" t="str">
        <f>IF(C52&gt;0,基础信息!$B$1,"")</f>
        <v/>
      </c>
    </row>
    <row r="53" spans="1:1">
      <c r="A53" s="230" t="str">
        <f>IF(C53&gt;0,基础信息!$B$1,"")</f>
        <v/>
      </c>
    </row>
    <row r="54" spans="1:1">
      <c r="A54" s="230" t="str">
        <f>IF(C54&gt;0,基础信息!$B$1,"")</f>
        <v/>
      </c>
    </row>
    <row r="55" spans="1:1">
      <c r="A55" s="230" t="str">
        <f>IF(C55&gt;0,基础信息!$B$1,"")</f>
        <v/>
      </c>
    </row>
    <row r="56" spans="1:1">
      <c r="A56" s="230" t="str">
        <f>IF(C56&gt;0,基础信息!$B$1,"")</f>
        <v/>
      </c>
    </row>
    <row r="57" spans="1:1">
      <c r="A57" s="230" t="str">
        <f>IF(C57&gt;0,基础信息!$B$1,"")</f>
        <v/>
      </c>
    </row>
    <row r="58" spans="1:1">
      <c r="A58" s="230" t="str">
        <f>IF(C58&gt;0,基础信息!$B$1,"")</f>
        <v/>
      </c>
    </row>
    <row r="59" spans="1:1">
      <c r="A59" s="230" t="str">
        <f>IF(C59&gt;0,基础信息!$B$1,"")</f>
        <v/>
      </c>
    </row>
    <row r="60" spans="1:1">
      <c r="A60" s="230" t="str">
        <f>IF(C60&gt;0,基础信息!$B$1,"")</f>
        <v/>
      </c>
    </row>
    <row r="61" spans="1:1">
      <c r="A61" s="230" t="str">
        <f>IF(C61&gt;0,基础信息!$B$1,"")</f>
        <v/>
      </c>
    </row>
    <row r="62" spans="1:1">
      <c r="A62" s="230" t="str">
        <f>IF(C62&gt;0,基础信息!$B$1,"")</f>
        <v/>
      </c>
    </row>
    <row r="63" spans="1:1">
      <c r="A63" s="230" t="str">
        <f>IF(C63&gt;0,基础信息!$B$1,"")</f>
        <v/>
      </c>
    </row>
    <row r="64" spans="1:1">
      <c r="A64" s="230" t="str">
        <f>IF(C64&gt;0,基础信息!$B$1,"")</f>
        <v/>
      </c>
    </row>
    <row r="65" spans="1:1">
      <c r="A65" s="230" t="str">
        <f>IF(C65&gt;0,基础信息!$B$1,"")</f>
        <v/>
      </c>
    </row>
    <row r="66" spans="1:1">
      <c r="A66" s="230" t="str">
        <f>IF(C66&gt;0,基础信息!$B$1,"")</f>
        <v/>
      </c>
    </row>
    <row r="67" spans="1:1">
      <c r="A67" s="230" t="str">
        <f>IF(C67&gt;0,基础信息!$B$1,"")</f>
        <v/>
      </c>
    </row>
    <row r="68" spans="1:1">
      <c r="A68" s="230" t="str">
        <f>IF(C68&gt;0,基础信息!$B$1,"")</f>
        <v/>
      </c>
    </row>
    <row r="69" spans="1:1">
      <c r="A69" s="230" t="str">
        <f>IF(C69&gt;0,基础信息!$B$1,"")</f>
        <v/>
      </c>
    </row>
    <row r="70" spans="1:1">
      <c r="A70" s="230" t="str">
        <f>IF(C70&gt;0,基础信息!$B$1,"")</f>
        <v/>
      </c>
    </row>
    <row r="71" spans="1:1">
      <c r="A71" s="230" t="str">
        <f>IF(C71&gt;0,基础信息!$B$1,"")</f>
        <v/>
      </c>
    </row>
    <row r="72" spans="1:1">
      <c r="A72" s="230" t="str">
        <f>IF(C72&gt;0,基础信息!$B$1,"")</f>
        <v/>
      </c>
    </row>
    <row r="73" spans="1:1">
      <c r="A73" s="230" t="str">
        <f>IF(C73&gt;0,基础信息!$B$1,"")</f>
        <v/>
      </c>
    </row>
    <row r="74" spans="1:1">
      <c r="A74" s="230" t="str">
        <f>IF(C74&gt;0,基础信息!$B$1,"")</f>
        <v/>
      </c>
    </row>
    <row r="75" spans="1:1">
      <c r="A75" s="230" t="str">
        <f>IF(C75&gt;0,基础信息!$B$1,"")</f>
        <v/>
      </c>
    </row>
    <row r="76" spans="1:1">
      <c r="A76" s="230" t="str">
        <f>IF(C76&gt;0,基础信息!$B$1,"")</f>
        <v/>
      </c>
    </row>
    <row r="77" spans="1:1">
      <c r="A77" s="230" t="str">
        <f>IF(C77&gt;0,基础信息!$B$1,"")</f>
        <v/>
      </c>
    </row>
    <row r="78" spans="1:1">
      <c r="A78" s="230" t="str">
        <f>IF(C78&gt;0,基础信息!$B$1,"")</f>
        <v/>
      </c>
    </row>
    <row r="79" spans="1:1">
      <c r="A79" s="230" t="str">
        <f>IF(C79&gt;0,基础信息!$B$1,"")</f>
        <v/>
      </c>
    </row>
    <row r="80" spans="1:1">
      <c r="A80" s="230" t="str">
        <f>IF(C80&gt;0,基础信息!$B$1,"")</f>
        <v/>
      </c>
    </row>
    <row r="81" spans="1:1">
      <c r="A81" s="230" t="str">
        <f>IF(C81&gt;0,基础信息!$B$1,"")</f>
        <v/>
      </c>
    </row>
    <row r="82" spans="1:1">
      <c r="A82" s="230" t="str">
        <f>IF(C82&gt;0,基础信息!$B$1,"")</f>
        <v/>
      </c>
    </row>
    <row r="83" spans="1:1">
      <c r="A83" s="230" t="str">
        <f>IF(C83&gt;0,基础信息!$B$1,"")</f>
        <v/>
      </c>
    </row>
    <row r="84" spans="1:1">
      <c r="A84" s="230" t="str">
        <f>IF(C84&gt;0,基础信息!$B$1,"")</f>
        <v/>
      </c>
    </row>
    <row r="85" spans="1:1">
      <c r="A85" s="230" t="str">
        <f>IF(C85&gt;0,基础信息!$B$1,"")</f>
        <v/>
      </c>
    </row>
    <row r="86" spans="1:1">
      <c r="A86" s="230" t="str">
        <f>IF(C86&gt;0,基础信息!$B$1,"")</f>
        <v/>
      </c>
    </row>
    <row r="87" spans="1:1">
      <c r="A87" s="230" t="str">
        <f>IF(C87&gt;0,基础信息!$B$1,"")</f>
        <v/>
      </c>
    </row>
    <row r="88" spans="1:1">
      <c r="A88" s="230" t="str">
        <f>IF(C88&gt;0,基础信息!$B$1,"")</f>
        <v/>
      </c>
    </row>
    <row r="89" spans="1:1">
      <c r="A89" s="230" t="str">
        <f>IF(C89&gt;0,基础信息!$B$1,"")</f>
        <v/>
      </c>
    </row>
    <row r="90" spans="1:1">
      <c r="A90" s="230"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codeName="Sheet253">
    <tabColor rgb="FFFFC000"/>
  </sheetPr>
  <dimension ref="A1:C4"/>
  <sheetViews>
    <sheetView workbookViewId="0">
      <selection activeCell="L29" sqref="L29"/>
    </sheetView>
  </sheetViews>
  <sheetFormatPr defaultRowHeight="13.8"/>
  <cols>
    <col min="1" max="16384" width="8.88671875" style="18"/>
  </cols>
  <sheetData>
    <row r="1" spans="1:3" ht="14.4">
      <c r="A1" s="19" t="s">
        <v>28</v>
      </c>
      <c r="B1" s="20" t="s">
        <v>203</v>
      </c>
      <c r="C1" s="20" t="s">
        <v>285</v>
      </c>
    </row>
    <row r="2" spans="1:3" ht="14.4">
      <c r="A2" s="347" t="s">
        <v>2209</v>
      </c>
      <c r="B2" s="69">
        <f>ROUND(SUMIF(预收账款明细表!D:D,预收款项!A2,预收账款明细表!I:I),2)</f>
        <v>0</v>
      </c>
      <c r="C2" s="268"/>
    </row>
    <row r="3" spans="1:3" ht="14.4">
      <c r="A3" s="347" t="s">
        <v>4485</v>
      </c>
      <c r="B3" s="69">
        <f>ROUND(SUMIF(预收账款明细表!D:D,预收款项!A3,预收账款明细表!I:I),2)</f>
        <v>0</v>
      </c>
      <c r="C3" s="268"/>
    </row>
    <row r="4" spans="1:3" ht="14.4">
      <c r="A4" s="19" t="s">
        <v>204</v>
      </c>
      <c r="B4" s="69">
        <f>ROUND(SUM(B2:B3),2)</f>
        <v>0</v>
      </c>
      <c r="C4" s="69">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codeName="Sheet254">
    <tabColor rgb="FFFFC000"/>
  </sheetPr>
  <dimension ref="A1:C6"/>
  <sheetViews>
    <sheetView workbookViewId="0">
      <selection activeCell="G17" sqref="G17"/>
    </sheetView>
  </sheetViews>
  <sheetFormatPr defaultRowHeight="13.8"/>
  <cols>
    <col min="1" max="1" width="21.88671875" customWidth="1"/>
  </cols>
  <sheetData>
    <row r="1" spans="1:3" ht="14.4">
      <c r="A1" s="19" t="s">
        <v>28</v>
      </c>
      <c r="B1" s="20" t="s">
        <v>203</v>
      </c>
      <c r="C1" s="20" t="s">
        <v>285</v>
      </c>
    </row>
    <row r="2" spans="1:3" ht="14.4">
      <c r="A2" s="42" t="s">
        <v>532</v>
      </c>
      <c r="B2" s="69">
        <f>ROUND(SUM(预收账款明细表!E:E),2)</f>
        <v>0</v>
      </c>
      <c r="C2" s="268"/>
    </row>
    <row r="3" spans="1:3" ht="14.4">
      <c r="A3" s="42" t="s">
        <v>533</v>
      </c>
      <c r="B3" s="69">
        <f>ROUND(SUM(预收账款明细表!F:F),2)</f>
        <v>0</v>
      </c>
      <c r="C3" s="268"/>
    </row>
    <row r="4" spans="1:3" ht="14.4">
      <c r="A4" s="42" t="s">
        <v>534</v>
      </c>
      <c r="B4" s="69">
        <f>ROUND(SUM(预收账款明细表!G:G),2)</f>
        <v>0</v>
      </c>
      <c r="C4" s="268"/>
    </row>
    <row r="5" spans="1:3" ht="14.4">
      <c r="A5" s="42" t="s">
        <v>535</v>
      </c>
      <c r="B5" s="69">
        <f>ROUND(SUM(预收账款明细表!H:H),2)</f>
        <v>0</v>
      </c>
      <c r="C5" s="268"/>
    </row>
    <row r="6" spans="1:3" ht="14.4">
      <c r="A6" s="19" t="s">
        <v>204</v>
      </c>
      <c r="B6" s="69">
        <f>ROUND(SUM(B2:B5),2)</f>
        <v>0</v>
      </c>
      <c r="C6" s="69">
        <f>ROUND(SUM(C2:C5),2)</f>
        <v>0</v>
      </c>
    </row>
  </sheetData>
  <phoneticPr fontId="1"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codeName="Sheet255">
    <tabColor rgb="FFFFC000"/>
  </sheetPr>
  <dimension ref="A1:C5"/>
  <sheetViews>
    <sheetView workbookViewId="0">
      <selection activeCell="K19" sqref="K19"/>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536</v>
      </c>
      <c r="B1" s="35" t="s">
        <v>199</v>
      </c>
      <c r="C1" s="35" t="s">
        <v>538</v>
      </c>
    </row>
    <row r="2" spans="1:3" ht="14.4">
      <c r="A2" s="330"/>
      <c r="B2" s="330"/>
      <c r="C2" s="316"/>
    </row>
    <row r="3" spans="1:3" ht="14.4">
      <c r="A3" s="330"/>
      <c r="B3" s="330"/>
      <c r="C3" s="316"/>
    </row>
    <row r="4" spans="1:3" ht="14.4">
      <c r="A4" s="331"/>
      <c r="B4" s="330"/>
      <c r="C4" s="316"/>
    </row>
    <row r="5" spans="1:3" ht="14.4">
      <c r="A5" s="35" t="s">
        <v>204</v>
      </c>
      <c r="B5" s="43">
        <f>ROUND(SUM(B2:B4),2)</f>
        <v>0</v>
      </c>
      <c r="C5" s="41" t="s">
        <v>239</v>
      </c>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sheetPr codeName="Sheet256"/>
  <dimension ref="A1:J46"/>
  <sheetViews>
    <sheetView workbookViewId="0">
      <selection activeCell="D7" sqref="D7"/>
    </sheetView>
  </sheetViews>
  <sheetFormatPr defaultRowHeight="13.8"/>
  <cols>
    <col min="1" max="1" width="14.44140625" customWidth="1"/>
    <col min="2" max="2" width="16.33203125" customWidth="1"/>
    <col min="4" max="4" width="9.5546875" bestFit="1" customWidth="1"/>
  </cols>
  <sheetData>
    <row r="1" spans="1:10">
      <c r="A1" s="332" t="s">
        <v>2015</v>
      </c>
      <c r="B1" s="332" t="s">
        <v>125</v>
      </c>
      <c r="C1" s="333" t="s">
        <v>183</v>
      </c>
      <c r="D1" s="333" t="s">
        <v>2537</v>
      </c>
      <c r="E1" s="333" t="s">
        <v>2538</v>
      </c>
      <c r="F1" s="333" t="s">
        <v>278</v>
      </c>
      <c r="G1" s="333" t="s">
        <v>279</v>
      </c>
      <c r="H1" s="333" t="s">
        <v>280</v>
      </c>
      <c r="I1" s="334" t="s">
        <v>204</v>
      </c>
      <c r="J1" s="333" t="s">
        <v>2391</v>
      </c>
    </row>
    <row r="2" spans="1:10">
      <c r="A2" s="230" t="str">
        <f>IF(C2&gt;0,基础信息!$B$1,"")</f>
        <v/>
      </c>
      <c r="B2" s="256"/>
      <c r="C2" s="256"/>
      <c r="D2" s="256"/>
      <c r="E2" s="256"/>
      <c r="F2" s="256"/>
      <c r="G2" s="256"/>
      <c r="H2" s="256"/>
      <c r="I2" s="230">
        <f>SUM(E2:H2)</f>
        <v>0</v>
      </c>
      <c r="J2" s="231">
        <f>C2-I2</f>
        <v>0</v>
      </c>
    </row>
    <row r="3" spans="1:10">
      <c r="A3" s="230" t="str">
        <f>IF(C3&gt;0,基础信息!$B$1,"")</f>
        <v/>
      </c>
      <c r="B3" s="256"/>
      <c r="C3" s="256"/>
      <c r="D3" s="256"/>
      <c r="E3" s="256"/>
      <c r="F3" s="256"/>
      <c r="G3" s="256"/>
      <c r="H3" s="256"/>
      <c r="I3" s="230">
        <f t="shared" ref="I3:I21" si="0">SUM(E3:H3)</f>
        <v>0</v>
      </c>
      <c r="J3" s="231">
        <f t="shared" ref="J3:J21" si="1">C3-I3</f>
        <v>0</v>
      </c>
    </row>
    <row r="4" spans="1:10">
      <c r="A4" s="230" t="str">
        <f>IF(C4&gt;0,基础信息!$B$1,"")</f>
        <v/>
      </c>
      <c r="B4" s="256"/>
      <c r="C4" s="256"/>
      <c r="D4" s="256"/>
      <c r="E4" s="256"/>
      <c r="F4" s="256"/>
      <c r="G4" s="256"/>
      <c r="H4" s="256"/>
      <c r="I4" s="230">
        <f t="shared" si="0"/>
        <v>0</v>
      </c>
      <c r="J4" s="231">
        <f t="shared" si="1"/>
        <v>0</v>
      </c>
    </row>
    <row r="5" spans="1:10">
      <c r="A5" s="230" t="str">
        <f>IF(C5&gt;0,基础信息!$B$1,"")</f>
        <v/>
      </c>
      <c r="B5" s="256"/>
      <c r="C5" s="256"/>
      <c r="D5" s="256"/>
      <c r="E5" s="256"/>
      <c r="F5" s="256"/>
      <c r="G5" s="256"/>
      <c r="H5" s="256"/>
      <c r="I5" s="230">
        <f t="shared" si="0"/>
        <v>0</v>
      </c>
      <c r="J5" s="231">
        <f t="shared" si="1"/>
        <v>0</v>
      </c>
    </row>
    <row r="6" spans="1:10">
      <c r="A6" s="230" t="str">
        <f>IF(C6&gt;0,基础信息!$B$1,"")</f>
        <v/>
      </c>
      <c r="B6" s="256"/>
      <c r="C6" s="256"/>
      <c r="D6" s="256"/>
      <c r="E6" s="256"/>
      <c r="F6" s="256"/>
      <c r="G6" s="256"/>
      <c r="H6" s="256"/>
      <c r="I6" s="230">
        <f t="shared" si="0"/>
        <v>0</v>
      </c>
      <c r="J6" s="231">
        <f t="shared" si="1"/>
        <v>0</v>
      </c>
    </row>
    <row r="7" spans="1:10">
      <c r="A7" s="230" t="str">
        <f>IF(C7&gt;0,基础信息!$B$1,"")</f>
        <v/>
      </c>
      <c r="B7" s="256"/>
      <c r="C7" s="256"/>
      <c r="D7" s="256"/>
      <c r="E7" s="256"/>
      <c r="F7" s="256"/>
      <c r="G7" s="256"/>
      <c r="H7" s="256"/>
      <c r="I7" s="230">
        <f t="shared" si="0"/>
        <v>0</v>
      </c>
      <c r="J7" s="231">
        <f t="shared" si="1"/>
        <v>0</v>
      </c>
    </row>
    <row r="8" spans="1:10">
      <c r="A8" s="230" t="str">
        <f>IF(C8&gt;0,基础信息!$B$1,"")</f>
        <v/>
      </c>
      <c r="B8" s="256"/>
      <c r="C8" s="256"/>
      <c r="D8" s="256"/>
      <c r="E8" s="256"/>
      <c r="F8" s="256"/>
      <c r="G8" s="256"/>
      <c r="H8" s="256"/>
      <c r="I8" s="230">
        <f t="shared" si="0"/>
        <v>0</v>
      </c>
      <c r="J8" s="231">
        <f t="shared" si="1"/>
        <v>0</v>
      </c>
    </row>
    <row r="9" spans="1:10">
      <c r="A9" s="230" t="str">
        <f>IF(C9&gt;0,基础信息!$B$1,"")</f>
        <v/>
      </c>
      <c r="B9" s="256"/>
      <c r="C9" s="256"/>
      <c r="D9" s="256"/>
      <c r="E9" s="256"/>
      <c r="F9" s="256"/>
      <c r="G9" s="256"/>
      <c r="H9" s="256"/>
      <c r="I9" s="230">
        <f t="shared" si="0"/>
        <v>0</v>
      </c>
      <c r="J9" s="231">
        <f t="shared" si="1"/>
        <v>0</v>
      </c>
    </row>
    <row r="10" spans="1:10">
      <c r="A10" s="230" t="str">
        <f>IF(C10&gt;0,基础信息!$B$1,"")</f>
        <v/>
      </c>
      <c r="B10" s="256"/>
      <c r="C10" s="256"/>
      <c r="D10" s="256"/>
      <c r="E10" s="256"/>
      <c r="F10" s="256"/>
      <c r="G10" s="256"/>
      <c r="H10" s="256"/>
      <c r="I10" s="230">
        <f t="shared" si="0"/>
        <v>0</v>
      </c>
      <c r="J10" s="231">
        <f t="shared" si="1"/>
        <v>0</v>
      </c>
    </row>
    <row r="11" spans="1:10">
      <c r="A11" s="230" t="str">
        <f>IF(C11&gt;0,基础信息!$B$1,"")</f>
        <v/>
      </c>
      <c r="B11" s="256"/>
      <c r="C11" s="256"/>
      <c r="D11" s="256"/>
      <c r="E11" s="256"/>
      <c r="F11" s="256"/>
      <c r="G11" s="256"/>
      <c r="H11" s="256"/>
      <c r="I11" s="230">
        <f t="shared" si="0"/>
        <v>0</v>
      </c>
      <c r="J11" s="231">
        <f t="shared" si="1"/>
        <v>0</v>
      </c>
    </row>
    <row r="12" spans="1:10">
      <c r="A12" s="230" t="str">
        <f>IF(C12&gt;0,基础信息!$B$1,"")</f>
        <v/>
      </c>
      <c r="B12" s="256"/>
      <c r="C12" s="256"/>
      <c r="D12" s="256"/>
      <c r="E12" s="256"/>
      <c r="F12" s="256"/>
      <c r="G12" s="256"/>
      <c r="H12" s="256"/>
      <c r="I12" s="230">
        <f t="shared" si="0"/>
        <v>0</v>
      </c>
      <c r="J12" s="231">
        <f t="shared" si="1"/>
        <v>0</v>
      </c>
    </row>
    <row r="13" spans="1:10">
      <c r="A13" s="230" t="str">
        <f>IF(C13&gt;0,基础信息!$B$1,"")</f>
        <v/>
      </c>
      <c r="B13" s="256"/>
      <c r="C13" s="256"/>
      <c r="D13" s="256"/>
      <c r="E13" s="256"/>
      <c r="F13" s="256"/>
      <c r="G13" s="256"/>
      <c r="H13" s="256"/>
      <c r="I13" s="230">
        <f t="shared" si="0"/>
        <v>0</v>
      </c>
      <c r="J13" s="231">
        <f t="shared" si="1"/>
        <v>0</v>
      </c>
    </row>
    <row r="14" spans="1:10">
      <c r="A14" s="230" t="str">
        <f>IF(C14&gt;0,基础信息!$B$1,"")</f>
        <v/>
      </c>
      <c r="B14" s="256"/>
      <c r="C14" s="256"/>
      <c r="D14" s="256"/>
      <c r="E14" s="256"/>
      <c r="F14" s="256"/>
      <c r="G14" s="256"/>
      <c r="H14" s="256"/>
      <c r="I14" s="230">
        <f t="shared" si="0"/>
        <v>0</v>
      </c>
      <c r="J14" s="231">
        <f t="shared" si="1"/>
        <v>0</v>
      </c>
    </row>
    <row r="15" spans="1:10">
      <c r="A15" s="230" t="str">
        <f>IF(C15&gt;0,基础信息!$B$1,"")</f>
        <v/>
      </c>
      <c r="B15" s="256"/>
      <c r="C15" s="256"/>
      <c r="D15" s="256"/>
      <c r="E15" s="256"/>
      <c r="F15" s="256"/>
      <c r="G15" s="256"/>
      <c r="H15" s="256"/>
      <c r="I15" s="230">
        <f t="shared" si="0"/>
        <v>0</v>
      </c>
      <c r="J15" s="231">
        <f t="shared" si="1"/>
        <v>0</v>
      </c>
    </row>
    <row r="16" spans="1:10">
      <c r="A16" s="230" t="str">
        <f>IF(C16&gt;0,基础信息!$B$1,"")</f>
        <v/>
      </c>
      <c r="B16" s="256"/>
      <c r="C16" s="256"/>
      <c r="D16" s="256"/>
      <c r="E16" s="256"/>
      <c r="F16" s="256"/>
      <c r="G16" s="256"/>
      <c r="H16" s="256"/>
      <c r="I16" s="230">
        <f t="shared" si="0"/>
        <v>0</v>
      </c>
      <c r="J16" s="231">
        <f t="shared" si="1"/>
        <v>0</v>
      </c>
    </row>
    <row r="17" spans="1:10">
      <c r="A17" s="230" t="str">
        <f>IF(C17&gt;0,基础信息!$B$1,"")</f>
        <v/>
      </c>
      <c r="B17" s="256"/>
      <c r="C17" s="256"/>
      <c r="D17" s="256"/>
      <c r="E17" s="256"/>
      <c r="F17" s="256"/>
      <c r="G17" s="256"/>
      <c r="H17" s="256"/>
      <c r="I17" s="230">
        <f t="shared" si="0"/>
        <v>0</v>
      </c>
      <c r="J17" s="231">
        <f t="shared" si="1"/>
        <v>0</v>
      </c>
    </row>
    <row r="18" spans="1:10">
      <c r="A18" s="230" t="str">
        <f>IF(C18&gt;0,基础信息!$B$1,"")</f>
        <v/>
      </c>
      <c r="B18" s="256"/>
      <c r="C18" s="256"/>
      <c r="D18" s="256"/>
      <c r="E18" s="256"/>
      <c r="F18" s="256"/>
      <c r="G18" s="256"/>
      <c r="H18" s="256"/>
      <c r="I18" s="230">
        <f t="shared" si="0"/>
        <v>0</v>
      </c>
      <c r="J18" s="231">
        <f t="shared" si="1"/>
        <v>0</v>
      </c>
    </row>
    <row r="19" spans="1:10">
      <c r="A19" s="230" t="str">
        <f>IF(C19&gt;0,基础信息!$B$1,"")</f>
        <v/>
      </c>
      <c r="B19" s="256"/>
      <c r="C19" s="256"/>
      <c r="D19" s="256"/>
      <c r="E19" s="256"/>
      <c r="F19" s="256"/>
      <c r="G19" s="256"/>
      <c r="H19" s="256"/>
      <c r="I19" s="230">
        <f t="shared" si="0"/>
        <v>0</v>
      </c>
      <c r="J19" s="231">
        <f t="shared" si="1"/>
        <v>0</v>
      </c>
    </row>
    <row r="20" spans="1:10">
      <c r="A20" s="230" t="str">
        <f>IF(C20&gt;0,基础信息!$B$1,"")</f>
        <v/>
      </c>
      <c r="B20" s="256"/>
      <c r="C20" s="256"/>
      <c r="D20" s="256"/>
      <c r="E20" s="256"/>
      <c r="F20" s="256"/>
      <c r="G20" s="256"/>
      <c r="H20" s="256"/>
      <c r="I20" s="230">
        <f t="shared" si="0"/>
        <v>0</v>
      </c>
      <c r="J20" s="231">
        <f t="shared" si="1"/>
        <v>0</v>
      </c>
    </row>
    <row r="21" spans="1:10">
      <c r="A21" s="230" t="str">
        <f>IF(C21&gt;0,基础信息!$B$1,"")</f>
        <v/>
      </c>
      <c r="B21" s="256"/>
      <c r="C21" s="256"/>
      <c r="D21" s="256"/>
      <c r="E21" s="256"/>
      <c r="F21" s="256"/>
      <c r="G21" s="256"/>
      <c r="H21" s="256"/>
      <c r="I21" s="230">
        <f t="shared" si="0"/>
        <v>0</v>
      </c>
      <c r="J21" s="231">
        <f t="shared" si="1"/>
        <v>0</v>
      </c>
    </row>
    <row r="22" spans="1:10">
      <c r="A22" s="230" t="str">
        <f>IF(C22&gt;0,基础信息!$B$1,"")</f>
        <v/>
      </c>
    </row>
    <row r="23" spans="1:10">
      <c r="A23" s="230" t="str">
        <f>IF(C23&gt;0,基础信息!$B$1,"")</f>
        <v/>
      </c>
    </row>
    <row r="24" spans="1:10">
      <c r="A24" s="230" t="str">
        <f>IF(C24&gt;0,基础信息!$B$1,"")</f>
        <v/>
      </c>
    </row>
    <row r="25" spans="1:10">
      <c r="A25" s="230" t="str">
        <f>IF(C25&gt;0,基础信息!$B$1,"")</f>
        <v/>
      </c>
    </row>
    <row r="26" spans="1:10">
      <c r="A26" s="230" t="str">
        <f>IF(C26&gt;0,基础信息!$B$1,"")</f>
        <v/>
      </c>
    </row>
    <row r="27" spans="1:10">
      <c r="A27" s="230" t="str">
        <f>IF(C27&gt;0,基础信息!$B$1,"")</f>
        <v/>
      </c>
    </row>
    <row r="28" spans="1:10">
      <c r="A28" s="230" t="str">
        <f>IF(C28&gt;0,基础信息!$B$1,"")</f>
        <v/>
      </c>
    </row>
    <row r="29" spans="1:10">
      <c r="A29" s="230" t="str">
        <f>IF(C29&gt;0,基础信息!$B$1,"")</f>
        <v/>
      </c>
    </row>
    <row r="30" spans="1:10">
      <c r="A30" s="230" t="str">
        <f>IF(C30&gt;0,基础信息!$B$1,"")</f>
        <v/>
      </c>
    </row>
    <row r="31" spans="1:10">
      <c r="A31" s="230" t="str">
        <f>IF(C31&gt;0,基础信息!$B$1,"")</f>
        <v/>
      </c>
    </row>
    <row r="32" spans="1:10">
      <c r="A32" s="230" t="str">
        <f>IF(C32&gt;0,基础信息!$B$1,"")</f>
        <v/>
      </c>
    </row>
    <row r="33" spans="1:1">
      <c r="A33" s="230" t="str">
        <f>IF(C33&gt;0,基础信息!$B$1,"")</f>
        <v/>
      </c>
    </row>
    <row r="34" spans="1:1">
      <c r="A34" s="230" t="str">
        <f>IF(C34&gt;0,基础信息!$B$1,"")</f>
        <v/>
      </c>
    </row>
    <row r="35" spans="1:1">
      <c r="A35" s="230" t="str">
        <f>IF(C35&gt;0,基础信息!$B$1,"")</f>
        <v/>
      </c>
    </row>
    <row r="36" spans="1:1">
      <c r="A36" s="230" t="str">
        <f>IF(C36&gt;0,基础信息!$B$1,"")</f>
        <v/>
      </c>
    </row>
    <row r="37" spans="1:1">
      <c r="A37" s="230" t="str">
        <f>IF(C37&gt;0,基础信息!$B$1,"")</f>
        <v/>
      </c>
    </row>
    <row r="38" spans="1:1">
      <c r="A38" s="230" t="str">
        <f>IF(C38&gt;0,基础信息!$B$1,"")</f>
        <v/>
      </c>
    </row>
    <row r="39" spans="1:1">
      <c r="A39" s="230" t="str">
        <f>IF(C39&gt;0,基础信息!$B$1,"")</f>
        <v/>
      </c>
    </row>
    <row r="40" spans="1:1">
      <c r="A40" s="230" t="str">
        <f>IF(C40&gt;0,基础信息!$B$1,"")</f>
        <v/>
      </c>
    </row>
    <row r="41" spans="1:1">
      <c r="A41" s="230" t="str">
        <f>IF(C41&gt;0,基础信息!$B$1,"")</f>
        <v/>
      </c>
    </row>
    <row r="42" spans="1:1">
      <c r="A42" s="230" t="str">
        <f>IF(C42&gt;0,基础信息!$B$1,"")</f>
        <v/>
      </c>
    </row>
    <row r="43" spans="1:1">
      <c r="A43" s="230" t="str">
        <f>IF(C43&gt;0,基础信息!$B$1,"")</f>
        <v/>
      </c>
    </row>
    <row r="44" spans="1:1">
      <c r="A44" s="230" t="str">
        <f>IF(C44&gt;0,基础信息!$B$1,"")</f>
        <v/>
      </c>
    </row>
    <row r="45" spans="1:1">
      <c r="A45" s="230" t="str">
        <f>IF(C45&gt;0,基础信息!$B$1,"")</f>
        <v/>
      </c>
    </row>
    <row r="46" spans="1:1">
      <c r="A46" s="230"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codeName="Sheet257">
    <tabColor rgb="FFFFC000"/>
  </sheetPr>
  <dimension ref="A1:C4"/>
  <sheetViews>
    <sheetView workbookViewId="0">
      <selection activeCell="I15" sqref="I15"/>
    </sheetView>
  </sheetViews>
  <sheetFormatPr defaultRowHeight="13.8"/>
  <cols>
    <col min="1" max="16384" width="8.88671875" style="18"/>
  </cols>
  <sheetData>
    <row r="1" spans="1:3" ht="14.4">
      <c r="A1" s="35" t="s">
        <v>28</v>
      </c>
      <c r="B1" s="35" t="s">
        <v>199</v>
      </c>
      <c r="C1" s="35" t="s">
        <v>200</v>
      </c>
    </row>
    <row r="2" spans="1:3" ht="14.4">
      <c r="A2" s="330"/>
      <c r="B2" s="316"/>
      <c r="C2" s="316"/>
    </row>
    <row r="3" spans="1:3" ht="14.4">
      <c r="A3" s="331"/>
      <c r="B3" s="316"/>
      <c r="C3" s="316"/>
    </row>
    <row r="4" spans="1:3" ht="14.4">
      <c r="A4" s="35" t="s">
        <v>204</v>
      </c>
      <c r="B4" s="39">
        <f>ROUND(SUM(B2:B3),2)</f>
        <v>0</v>
      </c>
      <c r="C4" s="39">
        <f>ROUND(SUM(C2:C3),2)</f>
        <v>0</v>
      </c>
    </row>
  </sheetData>
  <phoneticPr fontId="1" type="noConversion"/>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codeName="Sheet258">
    <tabColor rgb="FFFFC000"/>
  </sheetPr>
  <dimension ref="A1:F7"/>
  <sheetViews>
    <sheetView workbookViewId="0">
      <selection activeCell="F18" sqref="F18"/>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5" t="s">
        <v>200</v>
      </c>
      <c r="C1" s="155" t="s">
        <v>373</v>
      </c>
      <c r="D1" s="154" t="s">
        <v>366</v>
      </c>
      <c r="E1" s="155" t="s">
        <v>199</v>
      </c>
    </row>
    <row r="2" spans="1:5" ht="14.4">
      <c r="A2" s="19" t="s">
        <v>539</v>
      </c>
      <c r="B2" s="291">
        <f>ROUND(短期薪酬列示!B14,2)</f>
        <v>0</v>
      </c>
      <c r="C2" s="291">
        <f>ROUND(短期薪酬列示!C14,2)</f>
        <v>0</v>
      </c>
      <c r="D2" s="291">
        <f>ROUND(短期薪酬列示!D14,2)</f>
        <v>0</v>
      </c>
      <c r="E2" s="157">
        <f>ROUND(B2+C2-D2,2)</f>
        <v>0</v>
      </c>
    </row>
    <row r="3" spans="1:5" ht="14.4">
      <c r="A3" s="19" t="s">
        <v>540</v>
      </c>
      <c r="B3" s="291">
        <f>ROUND(设定提存计划列示!B5,2)</f>
        <v>0</v>
      </c>
      <c r="C3" s="291">
        <f>ROUND(设定提存计划列示!C5,2)</f>
        <v>0</v>
      </c>
      <c r="D3" s="291">
        <f>ROUND(设定提存计划列示!D5,2)</f>
        <v>0</v>
      </c>
      <c r="E3" s="157">
        <f>ROUND(B3+C3-D3,2)</f>
        <v>0</v>
      </c>
    </row>
    <row r="4" spans="1:5" ht="14.4">
      <c r="A4" s="19" t="s">
        <v>541</v>
      </c>
      <c r="B4" s="265"/>
      <c r="C4" s="265"/>
      <c r="D4" s="265"/>
      <c r="E4" s="157">
        <f>ROUND(B4+C4-D4,2)</f>
        <v>0</v>
      </c>
    </row>
    <row r="5" spans="1:5" ht="14.4">
      <c r="A5" s="19" t="s">
        <v>542</v>
      </c>
      <c r="B5" s="265"/>
      <c r="C5" s="265"/>
      <c r="D5" s="265"/>
      <c r="E5" s="157">
        <f>ROUND(B5+C5-D5,2)</f>
        <v>0</v>
      </c>
    </row>
    <row r="6" spans="1:5" ht="14.4">
      <c r="A6" s="44" t="s">
        <v>543</v>
      </c>
      <c r="B6" s="265"/>
      <c r="C6" s="265"/>
      <c r="D6" s="265"/>
      <c r="E6" s="157">
        <f>ROUND(B6+C6-D6,2)</f>
        <v>0</v>
      </c>
    </row>
    <row r="7" spans="1:5" ht="14.4">
      <c r="A7" s="20" t="s">
        <v>204</v>
      </c>
      <c r="B7" s="157">
        <f>ROUND(SUM(B2:B6),2)</f>
        <v>0</v>
      </c>
      <c r="C7" s="157">
        <f>ROUND(SUM(C2:C6),2)</f>
        <v>0</v>
      </c>
      <c r="D7" s="157">
        <f>ROUND(SUM(D2:D6),2)</f>
        <v>0</v>
      </c>
      <c r="E7" s="157">
        <f>ROUND(SUM(E2:E6),2)</f>
        <v>0</v>
      </c>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codeName="Sheet259">
    <tabColor rgb="FFFFC000"/>
  </sheetPr>
  <dimension ref="A1:E14"/>
  <sheetViews>
    <sheetView workbookViewId="0">
      <selection activeCell="I18" sqref="I18"/>
    </sheetView>
  </sheetViews>
  <sheetFormatPr defaultRowHeight="13.8"/>
  <cols>
    <col min="1" max="1" width="29.21875" style="18" bestFit="1" customWidth="1"/>
    <col min="2" max="16384" width="8.88671875" style="18"/>
  </cols>
  <sheetData>
    <row r="1" spans="1:5" ht="14.4">
      <c r="A1" s="41" t="s">
        <v>28</v>
      </c>
      <c r="B1" s="35" t="s">
        <v>200</v>
      </c>
      <c r="C1" s="35" t="s">
        <v>373</v>
      </c>
      <c r="D1" s="20" t="s">
        <v>366</v>
      </c>
      <c r="E1" s="35" t="s">
        <v>199</v>
      </c>
    </row>
    <row r="2" spans="1:5" ht="14.4">
      <c r="A2" s="51" t="s">
        <v>544</v>
      </c>
      <c r="B2" s="291">
        <f>ROUND(SUMIF(应付职工薪酬明细表!B:B,A2,应付职工薪酬明细表!C:C),2)</f>
        <v>0</v>
      </c>
      <c r="C2" s="291">
        <f>ROUND(SUMIF(应付职工薪酬明细表!B:B,短期薪酬列示!A2,应付职工薪酬明细表!L:L),2)</f>
        <v>0</v>
      </c>
      <c r="D2" s="291">
        <f>ROUND(SUMIF(应付职工薪酬明细表!B:B,短期薪酬列示!A2,应付职工薪酬明细表!M:M),2)</f>
        <v>0</v>
      </c>
      <c r="E2" s="291">
        <f>ROUND(B2+C2-D2,2)</f>
        <v>0</v>
      </c>
    </row>
    <row r="3" spans="1:5" ht="14.4">
      <c r="A3" s="51" t="s">
        <v>545</v>
      </c>
      <c r="B3" s="291">
        <f>ROUND(SUMIF(应付职工薪酬明细表!B:B,A3,应付职工薪酬明细表!C:C),2)</f>
        <v>0</v>
      </c>
      <c r="C3" s="291">
        <f>ROUND(SUMIF(应付职工薪酬明细表!B:B,短期薪酬列示!A3,应付职工薪酬明细表!L:L),2)</f>
        <v>0</v>
      </c>
      <c r="D3" s="291">
        <f>ROUND(SUMIF(应付职工薪酬明细表!B:B,短期薪酬列示!A3,应付职工薪酬明细表!M:M),2)</f>
        <v>0</v>
      </c>
      <c r="E3" s="291">
        <f>ROUND(B3+C3-D3,2)</f>
        <v>0</v>
      </c>
    </row>
    <row r="4" spans="1:5" ht="14.4">
      <c r="A4" s="51" t="s">
        <v>546</v>
      </c>
      <c r="B4" s="291">
        <f>ROUND(SUM(B5:B8),2)</f>
        <v>0</v>
      </c>
      <c r="C4" s="291">
        <f>ROUND(SUM(C5:C8),2)</f>
        <v>0</v>
      </c>
      <c r="D4" s="291">
        <f>ROUND(SUM(D5:D8),2)</f>
        <v>0</v>
      </c>
      <c r="E4" s="291">
        <f>ROUND(B4+C4-D4,2)</f>
        <v>0</v>
      </c>
    </row>
    <row r="5" spans="1:5" ht="14.4">
      <c r="A5" s="51" t="s">
        <v>547</v>
      </c>
      <c r="B5" s="291">
        <f>ROUND(SUMIF(应付职工薪酬明细表!B:B,A5,应付职工薪酬明细表!C:C),2)</f>
        <v>0</v>
      </c>
      <c r="C5" s="291">
        <f>ROUND(SUMIF(应付职工薪酬明细表!B:B,短期薪酬列示!A5,应付职工薪酬明细表!L:L),2)</f>
        <v>0</v>
      </c>
      <c r="D5" s="291">
        <f>ROUND(SUMIF(应付职工薪酬明细表!B:B,短期薪酬列示!A5,应付职工薪酬明细表!M:M),2)</f>
        <v>0</v>
      </c>
      <c r="E5" s="291">
        <f>ROUND(B5+C5-D5,2)</f>
        <v>0</v>
      </c>
    </row>
    <row r="6" spans="1:5">
      <c r="A6" s="52" t="s">
        <v>2291</v>
      </c>
      <c r="B6" s="291">
        <f>ROUND(SUMIF(应付职工薪酬明细表!B:B,A6,应付职工薪酬明细表!C:C),2)</f>
        <v>0</v>
      </c>
      <c r="C6" s="291">
        <f>ROUND(SUMIF(应付职工薪酬明细表!B:B,短期薪酬列示!A6,应付职工薪酬明细表!L:L),2)</f>
        <v>0</v>
      </c>
      <c r="D6" s="291">
        <f>ROUND(SUMIF(应付职工薪酬明细表!B:B,短期薪酬列示!A6,应付职工薪酬明细表!M:M),2)</f>
        <v>0</v>
      </c>
      <c r="E6" s="291">
        <f>ROUND(B6+C6-D6,2)</f>
        <v>0</v>
      </c>
    </row>
    <row r="7" spans="1:5">
      <c r="A7" s="52" t="s">
        <v>2292</v>
      </c>
      <c r="B7" s="291">
        <f>ROUND(SUMIF(应付职工薪酬明细表!B:B,A7,应付职工薪酬明细表!C:C),2)</f>
        <v>0</v>
      </c>
      <c r="C7" s="291">
        <f>ROUND(SUMIF(应付职工薪酬明细表!B:B,短期薪酬列示!A7,应付职工薪酬明细表!L:L),2)</f>
        <v>0</v>
      </c>
      <c r="D7" s="291">
        <f>ROUND(SUMIF(应付职工薪酬明细表!B:B,短期薪酬列示!A7,应付职工薪酬明细表!M:M),2)</f>
        <v>0</v>
      </c>
      <c r="E7" s="291">
        <f>ROUND(B7+C7-D7,2)</f>
        <v>0</v>
      </c>
    </row>
    <row r="8" spans="1:5">
      <c r="A8" s="52" t="s">
        <v>202</v>
      </c>
      <c r="B8" s="291">
        <f>ROUND(SUMIF(应付职工薪酬明细表!B:B,A8,应付职工薪酬明细表!C:C),2)</f>
        <v>0</v>
      </c>
      <c r="C8" s="291">
        <f>ROUND(SUMIF(应付职工薪酬明细表!B:B,短期薪酬列示!A8,应付职工薪酬明细表!L:L),2)</f>
        <v>0</v>
      </c>
      <c r="D8" s="291">
        <f>ROUND(SUMIF(应付职工薪酬明细表!B:B,短期薪酬列示!A8,应付职工薪酬明细表!M:M),2)</f>
        <v>0</v>
      </c>
      <c r="E8" s="291">
        <f>ROUND(B8+C8-D8,2)</f>
        <v>0</v>
      </c>
    </row>
    <row r="9" spans="1:5" ht="14.4">
      <c r="A9" s="51" t="s">
        <v>548</v>
      </c>
      <c r="B9" s="291">
        <f>ROUND(SUMIF(应付职工薪酬明细表!B:B,A9,应付职工薪酬明细表!C:C),2)</f>
        <v>0</v>
      </c>
      <c r="C9" s="291">
        <f>ROUND(SUMIF(应付职工薪酬明细表!B:B,短期薪酬列示!A9,应付职工薪酬明细表!L:L),2)</f>
        <v>0</v>
      </c>
      <c r="D9" s="291">
        <f>ROUND(SUMIF(应付职工薪酬明细表!B:B,短期薪酬列示!A9,应付职工薪酬明细表!M:M),2)</f>
        <v>0</v>
      </c>
      <c r="E9" s="291">
        <f>ROUND(B9+C9-D9,2)</f>
        <v>0</v>
      </c>
    </row>
    <row r="10" spans="1:5" ht="14.4">
      <c r="A10" s="51" t="s">
        <v>549</v>
      </c>
      <c r="B10" s="291">
        <f>ROUND(SUMIF(应付职工薪酬明细表!B:B,A10,应付职工薪酬明细表!C:C),2)</f>
        <v>0</v>
      </c>
      <c r="C10" s="291">
        <f>ROUND(SUMIF(应付职工薪酬明细表!B:B,短期薪酬列示!A10,应付职工薪酬明细表!L:L),2)</f>
        <v>0</v>
      </c>
      <c r="D10" s="291">
        <f>ROUND(SUMIF(应付职工薪酬明细表!B:B,短期薪酬列示!A10,应付职工薪酬明细表!M:M),2)</f>
        <v>0</v>
      </c>
      <c r="E10" s="291">
        <f>ROUND(B10+C10-D10,2)</f>
        <v>0</v>
      </c>
    </row>
    <row r="11" spans="1:5" ht="14.4">
      <c r="A11" s="51" t="s">
        <v>550</v>
      </c>
      <c r="B11" s="291">
        <f>ROUND(SUMIF(应付职工薪酬明细表!B:B,A11,应付职工薪酬明细表!C:C),2)</f>
        <v>0</v>
      </c>
      <c r="C11" s="291">
        <f>ROUND(SUMIF(应付职工薪酬明细表!B:B,短期薪酬列示!A11,应付职工薪酬明细表!L:L),2)</f>
        <v>0</v>
      </c>
      <c r="D11" s="291">
        <f>ROUND(SUMIF(应付职工薪酬明细表!B:B,短期薪酬列示!A11,应付职工薪酬明细表!M:M),2)</f>
        <v>0</v>
      </c>
      <c r="E11" s="291">
        <f>ROUND(B11+C11-D11,2)</f>
        <v>0</v>
      </c>
    </row>
    <row r="12" spans="1:5" ht="14.4">
      <c r="A12" s="51" t="s">
        <v>551</v>
      </c>
      <c r="B12" s="291">
        <f>ROUND(SUMIF(应付职工薪酬明细表!B:B,A12,应付职工薪酬明细表!C:C),2)</f>
        <v>0</v>
      </c>
      <c r="C12" s="291">
        <f>ROUND(SUMIF(应付职工薪酬明细表!B:B,短期薪酬列示!A12,应付职工薪酬明细表!L:L),2)</f>
        <v>0</v>
      </c>
      <c r="D12" s="291">
        <f>ROUND(SUMIF(应付职工薪酬明细表!B:B,短期薪酬列示!A12,应付职工薪酬明细表!M:M),2)</f>
        <v>0</v>
      </c>
      <c r="E12" s="291">
        <f>ROUND(B12+C12-D12,2)</f>
        <v>0</v>
      </c>
    </row>
    <row r="13" spans="1:5" ht="14.4">
      <c r="A13" s="51" t="s">
        <v>552</v>
      </c>
      <c r="B13" s="291">
        <f>ROUND(SUMIF(应付职工薪酬明细表!B:B,A13,应付职工薪酬明细表!C:C),2)</f>
        <v>0</v>
      </c>
      <c r="C13" s="291">
        <f>ROUND(SUMIF(应付职工薪酬明细表!B:B,短期薪酬列示!A13,应付职工薪酬明细表!L:L),2)</f>
        <v>0</v>
      </c>
      <c r="D13" s="291">
        <f>ROUND(SUMIF(应付职工薪酬明细表!B:B,短期薪酬列示!A13,应付职工薪酬明细表!M:M),2)</f>
        <v>0</v>
      </c>
      <c r="E13" s="291">
        <f>ROUND(B13+C13-D13,2)</f>
        <v>0</v>
      </c>
    </row>
    <row r="14" spans="1:5" ht="14.4">
      <c r="A14" s="35" t="s">
        <v>204</v>
      </c>
      <c r="B14" s="291">
        <f>ROUND(SUM(B2:B13,-B4),2)</f>
        <v>0</v>
      </c>
      <c r="C14" s="291">
        <f>ROUND(SUM(C2:C13,-C4),2)</f>
        <v>0</v>
      </c>
      <c r="D14" s="291">
        <f>ROUND(SUM(D2:D13,-D4),2)</f>
        <v>0</v>
      </c>
      <c r="E14" s="291">
        <f>ROUND(SUM(E2:E13,-E4),2)</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codeName="Sheet26">
    <tabColor rgb="FF00B0F0"/>
  </sheetPr>
  <dimension ref="A1:B48"/>
  <sheetViews>
    <sheetView topLeftCell="A22" workbookViewId="0">
      <selection activeCell="K24" sqref="K24"/>
    </sheetView>
  </sheetViews>
  <sheetFormatPr defaultRowHeight="13.8"/>
  <cols>
    <col min="1" max="1" width="28.109375" bestFit="1" customWidth="1"/>
    <col min="2" max="2" width="8.88671875" style="230"/>
  </cols>
  <sheetData>
    <row r="1" spans="1:2">
      <c r="A1" s="262" t="s">
        <v>2560</v>
      </c>
      <c r="B1" s="264" t="s">
        <v>2523</v>
      </c>
    </row>
    <row r="2" spans="1:2">
      <c r="A2" t="s">
        <v>2572</v>
      </c>
      <c r="B2" s="264" t="e">
        <f>SUMIF(固定资产明细表!I:I,"累计折旧本期增加计提",[4]固定资产明细表!F:F)</f>
        <v>#VALUE!</v>
      </c>
    </row>
    <row r="3" spans="1:2">
      <c r="A3" t="s">
        <v>2570</v>
      </c>
      <c r="B3" s="230">
        <f>将净利润调节为经营活动现金流量!B5</f>
        <v>0</v>
      </c>
    </row>
    <row r="4" spans="1:2">
      <c r="A4" t="s">
        <v>2553</v>
      </c>
      <c r="B4" s="230">
        <f>_xlfn.IFNA(VLOOKUP("折旧费",管理费用!A:C,2,0),0)</f>
        <v>0</v>
      </c>
    </row>
    <row r="5" spans="1:2">
      <c r="A5" t="s">
        <v>2554</v>
      </c>
      <c r="B5" s="230">
        <f>_xlfn.IFNA(VLOOKUP("折旧费",销售费用!A:C,2,0),0)</f>
        <v>0</v>
      </c>
    </row>
    <row r="6" spans="1:2">
      <c r="A6" t="s">
        <v>2556</v>
      </c>
      <c r="B6" s="290"/>
    </row>
    <row r="7" spans="1:2">
      <c r="A7" t="s">
        <v>2557</v>
      </c>
      <c r="B7" s="290"/>
    </row>
    <row r="8" spans="1:2">
      <c r="A8" t="s">
        <v>2558</v>
      </c>
      <c r="B8" s="290"/>
    </row>
    <row r="9" spans="1:2">
      <c r="A9" t="s">
        <v>2559</v>
      </c>
      <c r="B9" s="290"/>
    </row>
    <row r="10" spans="1:2">
      <c r="B10" s="290"/>
    </row>
    <row r="11" spans="1:2">
      <c r="A11" t="s">
        <v>2571</v>
      </c>
      <c r="B11" s="230">
        <f>SUM(B4:B10)</f>
        <v>0</v>
      </c>
    </row>
    <row r="12" spans="1:2">
      <c r="A12" t="s">
        <v>2573</v>
      </c>
      <c r="B12" s="230">
        <f>B3-B11</f>
        <v>0</v>
      </c>
    </row>
    <row r="13" spans="1:2">
      <c r="A13" t="s">
        <v>2574</v>
      </c>
      <c r="B13" s="230" t="e">
        <f>B2-B3</f>
        <v>#VALUE!</v>
      </c>
    </row>
    <row r="16" spans="1:2">
      <c r="A16" s="262" t="s">
        <v>2575</v>
      </c>
      <c r="B16" s="264"/>
    </row>
    <row r="17" spans="1:2">
      <c r="A17" t="s">
        <v>1673</v>
      </c>
      <c r="B17" s="230">
        <f>SUMIF(成本法核算投资性房地产明细表!I:I,"累计折旧本期增加计提或摊销",成本法核算投资性房地产明细表!F:F)</f>
        <v>0</v>
      </c>
    </row>
    <row r="18" spans="1:2">
      <c r="A18" t="s">
        <v>2570</v>
      </c>
      <c r="B18" s="230">
        <f>将净利润调节为经营活动现金流量!B8</f>
        <v>0</v>
      </c>
    </row>
    <row r="19" spans="1:2">
      <c r="A19" t="s">
        <v>2576</v>
      </c>
    </row>
    <row r="21" spans="1:2">
      <c r="A21" t="s">
        <v>2583</v>
      </c>
      <c r="B21" s="230">
        <f>SUM(B19:B20)</f>
        <v>0</v>
      </c>
    </row>
    <row r="22" spans="1:2">
      <c r="A22" t="s">
        <v>2579</v>
      </c>
      <c r="B22" s="230">
        <f>B17-B21</f>
        <v>0</v>
      </c>
    </row>
    <row r="23" spans="1:2">
      <c r="A23" t="s">
        <v>2580</v>
      </c>
      <c r="B23" s="230">
        <f>B17-B18</f>
        <v>0</v>
      </c>
    </row>
    <row r="25" spans="1:2">
      <c r="A25" s="262" t="s">
        <v>2577</v>
      </c>
      <c r="B25" s="264"/>
    </row>
    <row r="26" spans="1:2">
      <c r="A26" t="s">
        <v>2578</v>
      </c>
      <c r="B26" s="230">
        <f>长期待摊费用!D10</f>
        <v>0</v>
      </c>
    </row>
    <row r="27" spans="1:2">
      <c r="A27" t="s">
        <v>2570</v>
      </c>
      <c r="B27" s="230">
        <f>将净利润调节为经营活动现金流量!B10</f>
        <v>0</v>
      </c>
    </row>
    <row r="28" spans="1:2">
      <c r="A28" t="s">
        <v>2581</v>
      </c>
      <c r="B28" s="230">
        <f>_xlfn.IFNA(VLOOKUP("长期待摊费用摊销",管理费用!A:B,2,0),0)</f>
        <v>0</v>
      </c>
    </row>
    <row r="29" spans="1:2">
      <c r="A29" t="s">
        <v>2582</v>
      </c>
      <c r="B29" s="230">
        <f>_xlfn.IFNA(VLOOKUP("长期待摊费用摊销",销售费用!A:B,2,0),0)</f>
        <v>0</v>
      </c>
    </row>
    <row r="30" spans="1:2">
      <c r="A30" t="s">
        <v>2584</v>
      </c>
      <c r="B30" s="290"/>
    </row>
    <row r="31" spans="1:2">
      <c r="B31" s="290"/>
    </row>
    <row r="32" spans="1:2">
      <c r="B32" s="290"/>
    </row>
    <row r="33" spans="1:2">
      <c r="B33" s="290"/>
    </row>
    <row r="34" spans="1:2">
      <c r="A34" t="s">
        <v>2585</v>
      </c>
      <c r="B34" s="230">
        <f>SUM(B28:B33)</f>
        <v>0</v>
      </c>
    </row>
    <row r="35" spans="1:2">
      <c r="A35" t="s">
        <v>2579</v>
      </c>
      <c r="B35" s="230">
        <f>B26-B34</f>
        <v>0</v>
      </c>
    </row>
    <row r="36" spans="1:2">
      <c r="A36" t="s">
        <v>2580</v>
      </c>
      <c r="B36" s="230">
        <f>B26-B27</f>
        <v>0</v>
      </c>
    </row>
    <row r="39" spans="1:2">
      <c r="A39" s="262" t="s">
        <v>2586</v>
      </c>
      <c r="B39" s="264"/>
    </row>
    <row r="40" spans="1:2">
      <c r="A40" t="s">
        <v>2587</v>
      </c>
      <c r="B40" s="230">
        <f>SUMIF(无形资产明细表!I:I,"累计折旧本期增加计提",无形资产明细表!F:F)</f>
        <v>0</v>
      </c>
    </row>
    <row r="41" spans="1:2">
      <c r="A41" t="s">
        <v>2570</v>
      </c>
      <c r="B41" s="230">
        <f>将净利润调节为经营活动现金流量!B9</f>
        <v>0</v>
      </c>
    </row>
    <row r="42" spans="1:2">
      <c r="A42" t="s">
        <v>2588</v>
      </c>
      <c r="B42" s="230">
        <f>_xlfn.IFNA(VLOOKUP("无形资产摊销",管理费用!A:B,2,0),0)</f>
        <v>0</v>
      </c>
    </row>
    <row r="43" spans="1:2">
      <c r="A43" t="s">
        <v>2589</v>
      </c>
      <c r="B43" s="230">
        <f>_xlfn.IFNA(VLOOKUP("无形资产摊销",销售费用!A:B,2,0),0)</f>
        <v>0</v>
      </c>
    </row>
    <row r="44" spans="1:2">
      <c r="B44" s="290"/>
    </row>
    <row r="45" spans="1:2">
      <c r="B45" s="290"/>
    </row>
    <row r="46" spans="1:2">
      <c r="A46" t="s">
        <v>2590</v>
      </c>
      <c r="B46" s="230">
        <f>SUM(B42:B45)</f>
        <v>0</v>
      </c>
    </row>
    <row r="47" spans="1:2">
      <c r="A47" t="s">
        <v>2579</v>
      </c>
      <c r="B47" s="230">
        <f>B40-B41</f>
        <v>0</v>
      </c>
    </row>
    <row r="48" spans="1:2">
      <c r="A48" t="s">
        <v>2580</v>
      </c>
      <c r="B48" s="230">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codeName="Sheet260">
    <tabColor rgb="FFFFC000"/>
  </sheetPr>
  <dimension ref="A1:E5"/>
  <sheetViews>
    <sheetView workbookViewId="0">
      <selection activeCell="H16" sqref="H16"/>
    </sheetView>
  </sheetViews>
  <sheetFormatPr defaultRowHeight="13.8"/>
  <cols>
    <col min="1" max="1" width="22.6640625" style="18" customWidth="1"/>
    <col min="2" max="16384" width="8.88671875" style="18"/>
  </cols>
  <sheetData>
    <row r="1" spans="1:5">
      <c r="A1" s="24" t="s">
        <v>28</v>
      </c>
      <c r="B1" s="24" t="s">
        <v>2489</v>
      </c>
      <c r="C1" s="24" t="s">
        <v>2490</v>
      </c>
      <c r="D1" s="24" t="s">
        <v>2491</v>
      </c>
      <c r="E1" s="24" t="s">
        <v>2492</v>
      </c>
    </row>
    <row r="2" spans="1:5">
      <c r="A2" s="70" t="s">
        <v>2533</v>
      </c>
      <c r="B2" s="588">
        <f>ROUND(SUMIF(应付职工薪酬明细表!B:B,设定提存计划列示!A2,应付职工薪酬明细表!C:C),2)</f>
        <v>0</v>
      </c>
      <c r="C2" s="588">
        <f>ROUND(SUMIF(应付职工薪酬明细表!B:B,设定提存计划列示!A2,应付职工薪酬明细表!L:L),2)</f>
        <v>0</v>
      </c>
      <c r="D2" s="588">
        <f>ROUND(SUMIF(应付职工薪酬明细表!B:B,A2,应付职工薪酬明细表!M:M),2)</f>
        <v>0</v>
      </c>
      <c r="E2" s="78">
        <f>ROUND(B2+C2-D2,2)</f>
        <v>0</v>
      </c>
    </row>
    <row r="3" spans="1:5">
      <c r="A3" s="70" t="s">
        <v>2534</v>
      </c>
      <c r="B3" s="588">
        <f>ROUND(SUMIF(应付职工薪酬明细表!B:B,设定提存计划列示!A3,应付职工薪酬明细表!C:C),2)</f>
        <v>0</v>
      </c>
      <c r="C3" s="588">
        <f>ROUND(SUMIF(应付职工薪酬明细表!B:B,设定提存计划列示!A3,应付职工薪酬明细表!L:L),2)</f>
        <v>0</v>
      </c>
      <c r="D3" s="588">
        <f>ROUND(SUMIF(应付职工薪酬明细表!B:B,A3,应付职工薪酬明细表!M:M),2)</f>
        <v>0</v>
      </c>
      <c r="E3" s="78">
        <f>ROUND(B3+C3-D3,2)</f>
        <v>0</v>
      </c>
    </row>
    <row r="4" spans="1:5">
      <c r="A4" s="70" t="s">
        <v>2535</v>
      </c>
      <c r="B4" s="588">
        <f>ROUND(SUMIF(应付职工薪酬明细表!B:B,设定提存计划列示!A4,应付职工薪酬明细表!C:C),2)</f>
        <v>0</v>
      </c>
      <c r="C4" s="588">
        <f>ROUND(SUMIF(应付职工薪酬明细表!B:B,设定提存计划列示!A4,应付职工薪酬明细表!L:L),2)</f>
        <v>0</v>
      </c>
      <c r="D4" s="588">
        <f>ROUND(SUMIF(应付职工薪酬明细表!B:B,A4,应付职工薪酬明细表!M:M),2)</f>
        <v>0</v>
      </c>
      <c r="E4" s="78">
        <f>ROUND(B4+C4-D4,2)</f>
        <v>0</v>
      </c>
    </row>
    <row r="5" spans="1:5">
      <c r="A5" s="24" t="s">
        <v>204</v>
      </c>
      <c r="B5" s="78">
        <f>ROUND(SUM(B2:B4),2)</f>
        <v>0</v>
      </c>
      <c r="C5" s="78">
        <f>ROUND(SUM(C2:C4),2)</f>
        <v>0</v>
      </c>
      <c r="D5" s="78">
        <f>ROUND(SUM(D2:D4),2)</f>
        <v>0</v>
      </c>
      <c r="E5" s="78">
        <f>ROUND(SUM(E2:E4),2)</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sheetPr codeName="Sheet261"/>
  <dimension ref="A1:P37"/>
  <sheetViews>
    <sheetView workbookViewId="0">
      <selection activeCell="I22" sqref="I22"/>
    </sheetView>
  </sheetViews>
  <sheetFormatPr defaultRowHeight="14.4"/>
  <cols>
    <col min="1" max="1" width="9.5546875" style="495" bestFit="1" customWidth="1"/>
    <col min="2" max="2" width="13.44140625" style="495" customWidth="1"/>
    <col min="3" max="3" width="16.109375" style="495" bestFit="1" customWidth="1"/>
    <col min="4" max="4" width="29.77734375" style="495" bestFit="1" customWidth="1"/>
    <col min="5" max="8" width="9.109375" style="495" bestFit="1" customWidth="1"/>
    <col min="9" max="9" width="17.21875" style="495" bestFit="1" customWidth="1"/>
    <col min="10" max="10" width="9.109375" style="495" bestFit="1" customWidth="1"/>
    <col min="11" max="11" width="17.21875" style="495" bestFit="1" customWidth="1"/>
    <col min="12" max="12" width="17.21875" style="579" bestFit="1" customWidth="1"/>
    <col min="13" max="13" width="17.21875" style="495" bestFit="1" customWidth="1"/>
    <col min="14" max="14" width="15.21875" style="495" bestFit="1" customWidth="1"/>
    <col min="15" max="15" width="16.109375" style="495" bestFit="1" customWidth="1"/>
    <col min="16" max="16" width="15.21875" style="495" bestFit="1" customWidth="1"/>
    <col min="17" max="16384" width="8.88671875" style="495"/>
  </cols>
  <sheetData>
    <row r="1" spans="1:16">
      <c r="A1" s="495" t="s">
        <v>2427</v>
      </c>
      <c r="B1" s="573" t="s">
        <v>28</v>
      </c>
      <c r="C1" s="573" t="s">
        <v>4487</v>
      </c>
      <c r="D1" s="576" t="s">
        <v>4488</v>
      </c>
      <c r="E1" s="572" t="s">
        <v>4493</v>
      </c>
      <c r="F1" s="572" t="s">
        <v>4494</v>
      </c>
      <c r="G1" s="572" t="s">
        <v>4495</v>
      </c>
      <c r="H1" s="572" t="s">
        <v>4496</v>
      </c>
      <c r="I1" s="572" t="s">
        <v>4497</v>
      </c>
      <c r="J1" s="572" t="s">
        <v>4498</v>
      </c>
      <c r="K1" s="572" t="s">
        <v>4499</v>
      </c>
      <c r="L1" s="577" t="s">
        <v>4492</v>
      </c>
      <c r="M1" s="575" t="s">
        <v>4489</v>
      </c>
      <c r="N1" s="575" t="s">
        <v>4490</v>
      </c>
      <c r="O1" s="573" t="s">
        <v>4491</v>
      </c>
      <c r="P1" s="575"/>
    </row>
    <row r="2" spans="1:16">
      <c r="A2" s="495" t="str">
        <f>IF(OR(C2&gt;0,L2&gt;0,M2&gt;0,O2&lt;0),基础信息!$B$1,"")</f>
        <v/>
      </c>
      <c r="B2" s="580"/>
      <c r="C2" s="581"/>
      <c r="D2" s="582"/>
      <c r="E2" s="583"/>
      <c r="F2" s="583"/>
      <c r="G2" s="583"/>
      <c r="H2" s="583"/>
      <c r="I2" s="583"/>
      <c r="J2" s="583"/>
      <c r="K2" s="583"/>
      <c r="L2" s="578">
        <f>SUM(E2:K2)</f>
        <v>0</v>
      </c>
      <c r="M2" s="587"/>
      <c r="N2" s="587"/>
      <c r="O2" s="573">
        <f>C2+D2+L2-M2-N2</f>
        <v>0</v>
      </c>
      <c r="P2" s="575"/>
    </row>
    <row r="3" spans="1:16">
      <c r="A3" s="495" t="str">
        <f>IF(OR(C3&gt;0,L3&gt;0,M3&gt;0,O3&lt;0),基础信息!$B$1,"")</f>
        <v/>
      </c>
      <c r="B3" s="580"/>
      <c r="C3" s="584"/>
      <c r="D3" s="584"/>
      <c r="E3" s="585"/>
      <c r="F3" s="585"/>
      <c r="G3" s="585"/>
      <c r="H3" s="585"/>
      <c r="I3" s="585"/>
      <c r="J3" s="585"/>
      <c r="K3" s="585"/>
      <c r="L3" s="578">
        <f t="shared" ref="L3:L25" si="0">SUM(E3:K3)</f>
        <v>0</v>
      </c>
      <c r="M3" s="584"/>
      <c r="N3" s="584"/>
      <c r="O3" s="573">
        <f t="shared" ref="O3:O25" si="1">C3+D3+L3-M3-N3</f>
        <v>0</v>
      </c>
      <c r="P3" s="571"/>
    </row>
    <row r="4" spans="1:16">
      <c r="A4" s="495" t="str">
        <f>IF(OR(C4&gt;0,L4&gt;0,M4&gt;0,O4&lt;0),基础信息!$B$1,"")</f>
        <v/>
      </c>
      <c r="B4" s="580"/>
      <c r="C4" s="586"/>
      <c r="D4" s="586"/>
      <c r="E4" s="586"/>
      <c r="F4" s="586"/>
      <c r="G4" s="586"/>
      <c r="H4" s="586"/>
      <c r="I4" s="586"/>
      <c r="J4" s="586"/>
      <c r="K4" s="586"/>
      <c r="L4" s="578">
        <f t="shared" si="0"/>
        <v>0</v>
      </c>
      <c r="M4" s="586"/>
      <c r="N4" s="586"/>
      <c r="O4" s="573">
        <f t="shared" si="1"/>
        <v>0</v>
      </c>
      <c r="P4" s="574"/>
    </row>
    <row r="5" spans="1:16">
      <c r="A5" s="495" t="str">
        <f>IF(OR(C5&gt;0,L5&gt;0,M5&gt;0,O5&lt;0),基础信息!$B$1,"")</f>
        <v/>
      </c>
      <c r="B5" s="580"/>
      <c r="C5" s="584"/>
      <c r="D5" s="584"/>
      <c r="E5" s="585"/>
      <c r="F5" s="585"/>
      <c r="G5" s="585"/>
      <c r="H5" s="585"/>
      <c r="I5" s="585"/>
      <c r="J5" s="585"/>
      <c r="K5" s="585"/>
      <c r="L5" s="578">
        <f t="shared" si="0"/>
        <v>0</v>
      </c>
      <c r="M5" s="584"/>
      <c r="N5" s="584"/>
      <c r="O5" s="573">
        <f t="shared" si="1"/>
        <v>0</v>
      </c>
      <c r="P5" s="571"/>
    </row>
    <row r="6" spans="1:16">
      <c r="A6" s="495" t="str">
        <f>IF(OR(C6&gt;0,L6&gt;0,M6&gt;0,O6&lt;0),基础信息!$B$1,"")</f>
        <v/>
      </c>
      <c r="B6" s="580"/>
      <c r="C6" s="584"/>
      <c r="D6" s="584"/>
      <c r="E6" s="585"/>
      <c r="F6" s="585"/>
      <c r="G6" s="585"/>
      <c r="H6" s="585"/>
      <c r="I6" s="585"/>
      <c r="J6" s="585"/>
      <c r="K6" s="585"/>
      <c r="L6" s="578">
        <f t="shared" si="0"/>
        <v>0</v>
      </c>
      <c r="M6" s="584"/>
      <c r="N6" s="584"/>
      <c r="O6" s="573">
        <f t="shared" si="1"/>
        <v>0</v>
      </c>
      <c r="P6" s="571"/>
    </row>
    <row r="7" spans="1:16">
      <c r="A7" s="495" t="str">
        <f>IF(OR(C7&gt;0,L7&gt;0,M7&gt;0,O7&lt;0),基础信息!$B$1,"")</f>
        <v/>
      </c>
      <c r="B7" s="580"/>
      <c r="C7" s="584"/>
      <c r="D7" s="584"/>
      <c r="E7" s="585"/>
      <c r="F7" s="585"/>
      <c r="G7" s="585"/>
      <c r="H7" s="585"/>
      <c r="I7" s="585"/>
      <c r="J7" s="585"/>
      <c r="K7" s="585"/>
      <c r="L7" s="578">
        <f t="shared" si="0"/>
        <v>0</v>
      </c>
      <c r="M7" s="584"/>
      <c r="N7" s="584"/>
      <c r="O7" s="573">
        <f t="shared" si="1"/>
        <v>0</v>
      </c>
      <c r="P7" s="571"/>
    </row>
    <row r="8" spans="1:16">
      <c r="A8" s="495" t="str">
        <f>IF(OR(C8&gt;0,L8&gt;0,M8&gt;0,O8&lt;0),基础信息!$B$1,"")</f>
        <v/>
      </c>
      <c r="B8" s="580"/>
      <c r="C8" s="586"/>
      <c r="D8" s="586"/>
      <c r="E8" s="586"/>
      <c r="F8" s="586"/>
      <c r="G8" s="586"/>
      <c r="H8" s="586"/>
      <c r="I8" s="586"/>
      <c r="J8" s="586"/>
      <c r="K8" s="586"/>
      <c r="L8" s="578">
        <f t="shared" si="0"/>
        <v>0</v>
      </c>
      <c r="M8" s="586"/>
      <c r="N8" s="586"/>
      <c r="O8" s="573">
        <f t="shared" si="1"/>
        <v>0</v>
      </c>
      <c r="P8" s="574"/>
    </row>
    <row r="9" spans="1:16">
      <c r="A9" s="495" t="str">
        <f>IF(OR(C9&gt;0,L9&gt;0,M9&gt;0,O9&lt;0),基础信息!$B$1,"")</f>
        <v/>
      </c>
      <c r="B9" s="580"/>
      <c r="C9" s="584"/>
      <c r="D9" s="584"/>
      <c r="E9" s="585"/>
      <c r="F9" s="585"/>
      <c r="G9" s="585"/>
      <c r="H9" s="585"/>
      <c r="I9" s="585"/>
      <c r="J9" s="585"/>
      <c r="K9" s="585"/>
      <c r="L9" s="578">
        <f t="shared" si="0"/>
        <v>0</v>
      </c>
      <c r="M9" s="584"/>
      <c r="N9" s="584"/>
      <c r="O9" s="573">
        <f t="shared" si="1"/>
        <v>0</v>
      </c>
      <c r="P9" s="571"/>
    </row>
    <row r="10" spans="1:16">
      <c r="A10" s="495" t="str">
        <f>IF(OR(C10&gt;0,L10&gt;0,M10&gt;0,O10&lt;0),基础信息!$B$1,"")</f>
        <v/>
      </c>
      <c r="B10" s="580"/>
      <c r="C10" s="584"/>
      <c r="D10" s="584"/>
      <c r="E10" s="585"/>
      <c r="F10" s="585"/>
      <c r="G10" s="585"/>
      <c r="H10" s="585"/>
      <c r="I10" s="585"/>
      <c r="J10" s="585"/>
      <c r="K10" s="585"/>
      <c r="L10" s="578">
        <f t="shared" si="0"/>
        <v>0</v>
      </c>
      <c r="M10" s="584"/>
      <c r="N10" s="584"/>
      <c r="O10" s="573">
        <f t="shared" si="1"/>
        <v>0</v>
      </c>
      <c r="P10" s="571"/>
    </row>
    <row r="11" spans="1:16">
      <c r="A11" s="495" t="str">
        <f>IF(OR(C11&gt;0,L11&gt;0,M11&gt;0,O11&lt;0),基础信息!$B$1,"")</f>
        <v/>
      </c>
      <c r="B11" s="580"/>
      <c r="C11" s="584"/>
      <c r="D11" s="584"/>
      <c r="E11" s="585"/>
      <c r="F11" s="585"/>
      <c r="G11" s="585"/>
      <c r="H11" s="585"/>
      <c r="I11" s="585"/>
      <c r="J11" s="585"/>
      <c r="K11" s="585"/>
      <c r="L11" s="578">
        <f t="shared" si="0"/>
        <v>0</v>
      </c>
      <c r="M11" s="584"/>
      <c r="N11" s="584"/>
      <c r="O11" s="573">
        <f t="shared" si="1"/>
        <v>0</v>
      </c>
      <c r="P11" s="571"/>
    </row>
    <row r="12" spans="1:16">
      <c r="A12" s="495" t="str">
        <f>IF(OR(C12&gt;0,L12&gt;0,M12&gt;0,O12&lt;0),基础信息!$B$1,"")</f>
        <v/>
      </c>
      <c r="B12" s="580"/>
      <c r="C12" s="584"/>
      <c r="D12" s="584"/>
      <c r="E12" s="585"/>
      <c r="F12" s="585"/>
      <c r="G12" s="585"/>
      <c r="H12" s="585"/>
      <c r="I12" s="585"/>
      <c r="J12" s="585"/>
      <c r="K12" s="585"/>
      <c r="L12" s="578">
        <f t="shared" si="0"/>
        <v>0</v>
      </c>
      <c r="M12" s="584"/>
      <c r="N12" s="584"/>
      <c r="O12" s="573">
        <f t="shared" si="1"/>
        <v>0</v>
      </c>
      <c r="P12" s="571"/>
    </row>
    <row r="13" spans="1:16">
      <c r="A13" s="495" t="str">
        <f>IF(OR(C13&gt;0,L13&gt;0,M13&gt;0,O13&lt;0),基础信息!$B$1,"")</f>
        <v/>
      </c>
      <c r="B13" s="580"/>
      <c r="C13" s="584"/>
      <c r="D13" s="584"/>
      <c r="E13" s="585"/>
      <c r="F13" s="585"/>
      <c r="G13" s="585"/>
      <c r="H13" s="585"/>
      <c r="I13" s="585"/>
      <c r="J13" s="585"/>
      <c r="K13" s="585"/>
      <c r="L13" s="578">
        <f t="shared" si="0"/>
        <v>0</v>
      </c>
      <c r="M13" s="584"/>
      <c r="N13" s="584"/>
      <c r="O13" s="573">
        <f t="shared" si="1"/>
        <v>0</v>
      </c>
      <c r="P13" s="571"/>
    </row>
    <row r="14" spans="1:16">
      <c r="A14" s="495" t="str">
        <f>IF(OR(C14&gt;0,L14&gt;0,M14&gt;0,O14&lt;0),基础信息!$B$1,"")</f>
        <v/>
      </c>
      <c r="B14" s="580"/>
      <c r="C14" s="584"/>
      <c r="D14" s="584"/>
      <c r="E14" s="585"/>
      <c r="F14" s="585"/>
      <c r="G14" s="585"/>
      <c r="H14" s="585"/>
      <c r="I14" s="585"/>
      <c r="J14" s="585"/>
      <c r="K14" s="585"/>
      <c r="L14" s="578">
        <f t="shared" si="0"/>
        <v>0</v>
      </c>
      <c r="M14" s="584"/>
      <c r="N14" s="584"/>
      <c r="O14" s="573">
        <f t="shared" si="1"/>
        <v>0</v>
      </c>
      <c r="P14" s="571"/>
    </row>
    <row r="15" spans="1:16">
      <c r="A15" s="495" t="str">
        <f>IF(OR(C15&gt;0,L15&gt;0,M15&gt;0,O15&lt;0),基础信息!$B$1,"")</f>
        <v/>
      </c>
      <c r="B15" s="580"/>
      <c r="C15" s="584"/>
      <c r="D15" s="584"/>
      <c r="E15" s="585"/>
      <c r="F15" s="585"/>
      <c r="G15" s="585"/>
      <c r="H15" s="585"/>
      <c r="I15" s="585"/>
      <c r="J15" s="585"/>
      <c r="K15" s="585"/>
      <c r="L15" s="578">
        <f t="shared" si="0"/>
        <v>0</v>
      </c>
      <c r="M15" s="584"/>
      <c r="N15" s="584"/>
      <c r="O15" s="573">
        <f t="shared" si="1"/>
        <v>0</v>
      </c>
      <c r="P15" s="571"/>
    </row>
    <row r="16" spans="1:16">
      <c r="A16" s="495" t="str">
        <f>IF(OR(C16&gt;0,L16&gt;0,M16&gt;0,O16&lt;0),基础信息!$B$1,"")</f>
        <v/>
      </c>
      <c r="B16" s="580"/>
      <c r="C16" s="584"/>
      <c r="D16" s="584"/>
      <c r="E16" s="585"/>
      <c r="F16" s="585"/>
      <c r="G16" s="585"/>
      <c r="H16" s="585"/>
      <c r="I16" s="585"/>
      <c r="J16" s="585"/>
      <c r="K16" s="585"/>
      <c r="L16" s="578">
        <f t="shared" si="0"/>
        <v>0</v>
      </c>
      <c r="M16" s="584"/>
      <c r="N16" s="584"/>
      <c r="O16" s="573">
        <f t="shared" si="1"/>
        <v>0</v>
      </c>
      <c r="P16" s="571"/>
    </row>
    <row r="17" spans="1:16">
      <c r="A17" s="495" t="str">
        <f>IF(OR(C17&gt;0,L17&gt;0,M17&gt;0,O17&lt;0),基础信息!$B$1,"")</f>
        <v/>
      </c>
      <c r="B17" s="580"/>
      <c r="C17" s="584"/>
      <c r="D17" s="584"/>
      <c r="E17" s="585"/>
      <c r="F17" s="585"/>
      <c r="G17" s="585"/>
      <c r="H17" s="585"/>
      <c r="I17" s="585"/>
      <c r="J17" s="585"/>
      <c r="K17" s="585"/>
      <c r="L17" s="578">
        <f t="shared" si="0"/>
        <v>0</v>
      </c>
      <c r="M17" s="584"/>
      <c r="N17" s="584"/>
      <c r="O17" s="573">
        <f t="shared" si="1"/>
        <v>0</v>
      </c>
      <c r="P17" s="571"/>
    </row>
    <row r="18" spans="1:16">
      <c r="A18" s="495" t="str">
        <f>IF(OR(C18&gt;0,L18&gt;0,M18&gt;0,O18&lt;0),基础信息!$B$1,"")</f>
        <v/>
      </c>
      <c r="B18" s="580"/>
      <c r="C18" s="584"/>
      <c r="D18" s="584"/>
      <c r="E18" s="585"/>
      <c r="F18" s="585"/>
      <c r="G18" s="585"/>
      <c r="H18" s="585"/>
      <c r="I18" s="585"/>
      <c r="J18" s="585"/>
      <c r="K18" s="585"/>
      <c r="L18" s="578">
        <f t="shared" si="0"/>
        <v>0</v>
      </c>
      <c r="M18" s="584"/>
      <c r="N18" s="584"/>
      <c r="O18" s="573">
        <f t="shared" si="1"/>
        <v>0</v>
      </c>
      <c r="P18" s="571"/>
    </row>
    <row r="19" spans="1:16">
      <c r="A19" s="495" t="str">
        <f>IF(OR(C19&gt;0,L19&gt;0,M19&gt;0,O19&lt;0),基础信息!$B$1,"")</f>
        <v/>
      </c>
      <c r="B19" s="580"/>
      <c r="C19" s="586"/>
      <c r="D19" s="586"/>
      <c r="E19" s="586"/>
      <c r="F19" s="586"/>
      <c r="G19" s="586"/>
      <c r="H19" s="586"/>
      <c r="I19" s="586"/>
      <c r="J19" s="586"/>
      <c r="K19" s="586"/>
      <c r="L19" s="578">
        <f t="shared" si="0"/>
        <v>0</v>
      </c>
      <c r="M19" s="586"/>
      <c r="N19" s="586"/>
      <c r="O19" s="573">
        <f t="shared" si="1"/>
        <v>0</v>
      </c>
      <c r="P19" s="574"/>
    </row>
    <row r="20" spans="1:16">
      <c r="A20" s="495" t="str">
        <f>IF(OR(C20&gt;0,L20&gt;0,M20&gt;0,O20&lt;0),基础信息!$B$1,"")</f>
        <v/>
      </c>
      <c r="B20" s="580"/>
      <c r="C20" s="584"/>
      <c r="D20" s="584"/>
      <c r="E20" s="585"/>
      <c r="F20" s="585"/>
      <c r="G20" s="585"/>
      <c r="H20" s="585"/>
      <c r="I20" s="585"/>
      <c r="J20" s="585"/>
      <c r="K20" s="585"/>
      <c r="L20" s="578">
        <f t="shared" si="0"/>
        <v>0</v>
      </c>
      <c r="M20" s="584"/>
      <c r="N20" s="584"/>
      <c r="O20" s="573">
        <f t="shared" si="1"/>
        <v>0</v>
      </c>
      <c r="P20" s="571"/>
    </row>
    <row r="21" spans="1:16">
      <c r="A21" s="495" t="str">
        <f>IF(OR(C21&gt;0,L21&gt;0,M21&gt;0,O21&lt;0),基础信息!$B$1,"")</f>
        <v/>
      </c>
      <c r="B21" s="580"/>
      <c r="C21" s="584"/>
      <c r="D21" s="584"/>
      <c r="E21" s="585"/>
      <c r="F21" s="585"/>
      <c r="G21" s="585"/>
      <c r="H21" s="585"/>
      <c r="I21" s="585"/>
      <c r="J21" s="585"/>
      <c r="K21" s="585"/>
      <c r="L21" s="578">
        <f t="shared" si="0"/>
        <v>0</v>
      </c>
      <c r="M21" s="584"/>
      <c r="N21" s="584"/>
      <c r="O21" s="573">
        <f t="shared" si="1"/>
        <v>0</v>
      </c>
      <c r="P21" s="571"/>
    </row>
    <row r="22" spans="1:16">
      <c r="A22" s="495" t="str">
        <f>IF(OR(C22&gt;0,L22&gt;0,M22&gt;0,O22&lt;0),基础信息!$B$1,"")</f>
        <v/>
      </c>
      <c r="B22" s="580"/>
      <c r="C22" s="584"/>
      <c r="D22" s="584"/>
      <c r="E22" s="585"/>
      <c r="F22" s="585"/>
      <c r="G22" s="585"/>
      <c r="H22" s="585"/>
      <c r="I22" s="585"/>
      <c r="J22" s="585"/>
      <c r="K22" s="585"/>
      <c r="L22" s="578">
        <f t="shared" si="0"/>
        <v>0</v>
      </c>
      <c r="M22" s="584"/>
      <c r="N22" s="584"/>
      <c r="O22" s="573">
        <f t="shared" si="1"/>
        <v>0</v>
      </c>
      <c r="P22" s="571"/>
    </row>
    <row r="23" spans="1:16">
      <c r="A23" s="495" t="str">
        <f>IF(OR(C23&gt;0,L23&gt;0,M23&gt;0,O23&lt;0),基础信息!$B$1,"")</f>
        <v/>
      </c>
      <c r="B23" s="580"/>
      <c r="C23" s="584"/>
      <c r="D23" s="584"/>
      <c r="E23" s="585"/>
      <c r="F23" s="585"/>
      <c r="G23" s="585"/>
      <c r="H23" s="585"/>
      <c r="I23" s="585"/>
      <c r="J23" s="585"/>
      <c r="K23" s="585"/>
      <c r="L23" s="578">
        <f t="shared" si="0"/>
        <v>0</v>
      </c>
      <c r="M23" s="584"/>
      <c r="N23" s="584"/>
      <c r="O23" s="573">
        <f t="shared" si="1"/>
        <v>0</v>
      </c>
      <c r="P23" s="571"/>
    </row>
    <row r="24" spans="1:16">
      <c r="A24" s="495" t="str">
        <f>IF(OR(C24&gt;0,L24&gt;0,M24&gt;0,O24&lt;0),基础信息!$B$1,"")</f>
        <v/>
      </c>
      <c r="B24" s="580"/>
      <c r="C24" s="584"/>
      <c r="D24" s="584"/>
      <c r="E24" s="585"/>
      <c r="F24" s="585"/>
      <c r="G24" s="585"/>
      <c r="H24" s="585"/>
      <c r="I24" s="585"/>
      <c r="J24" s="585"/>
      <c r="K24" s="585"/>
      <c r="L24" s="578">
        <f t="shared" si="0"/>
        <v>0</v>
      </c>
      <c r="M24" s="584"/>
      <c r="N24" s="584"/>
      <c r="O24" s="573">
        <f t="shared" si="1"/>
        <v>0</v>
      </c>
      <c r="P24" s="571"/>
    </row>
    <row r="25" spans="1:16">
      <c r="A25" s="495" t="str">
        <f>IF(OR(C25&gt;0,L25&gt;0,M25&gt;0,O25&lt;0),基础信息!$B$1,"")</f>
        <v/>
      </c>
      <c r="B25" s="580"/>
      <c r="C25" s="586"/>
      <c r="D25" s="586"/>
      <c r="E25" s="586"/>
      <c r="F25" s="586"/>
      <c r="G25" s="586"/>
      <c r="H25" s="586"/>
      <c r="I25" s="586"/>
      <c r="J25" s="586"/>
      <c r="K25" s="586"/>
      <c r="L25" s="578">
        <f t="shared" si="0"/>
        <v>0</v>
      </c>
      <c r="M25" s="586"/>
      <c r="N25" s="586"/>
      <c r="O25" s="573">
        <f t="shared" si="1"/>
        <v>0</v>
      </c>
      <c r="P25" s="574"/>
    </row>
    <row r="26" spans="1:16">
      <c r="B26" s="580"/>
      <c r="C26" s="510"/>
      <c r="D26" s="510"/>
      <c r="E26" s="510"/>
      <c r="F26" s="510"/>
      <c r="G26" s="510"/>
      <c r="H26" s="510"/>
      <c r="I26" s="510"/>
      <c r="J26" s="510"/>
      <c r="K26" s="510"/>
    </row>
    <row r="27" spans="1:16">
      <c r="B27" s="573"/>
    </row>
    <row r="28" spans="1:16">
      <c r="B28" s="573"/>
    </row>
    <row r="29" spans="1:16">
      <c r="B29" s="573"/>
    </row>
    <row r="30" spans="1:16">
      <c r="B30" s="573"/>
    </row>
    <row r="31" spans="1:16">
      <c r="B31" s="573"/>
    </row>
    <row r="32" spans="1:16">
      <c r="B32" s="573"/>
    </row>
    <row r="33" spans="2:2">
      <c r="B33" s="573"/>
    </row>
    <row r="34" spans="2:2">
      <c r="B34" s="573"/>
    </row>
    <row r="35" spans="2:2">
      <c r="B35" s="573"/>
    </row>
    <row r="36" spans="2:2">
      <c r="B36" s="573"/>
    </row>
    <row r="37" spans="2:2">
      <c r="B37" s="57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codeName="Sheet262">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I20" sqref="I20"/>
    </sheetView>
  </sheetViews>
  <sheetFormatPr defaultRowHeight="13.8"/>
  <cols>
    <col min="1" max="1" width="40.21875" style="18" customWidth="1"/>
    <col min="2" max="16384" width="8.88671875" style="18"/>
  </cols>
  <sheetData>
    <row r="1" spans="1:5" ht="14.4">
      <c r="A1" s="35" t="s">
        <v>28</v>
      </c>
      <c r="B1" s="35" t="s">
        <v>200</v>
      </c>
      <c r="C1" s="35" t="s">
        <v>557</v>
      </c>
      <c r="D1" s="35" t="s">
        <v>556</v>
      </c>
      <c r="E1" s="35" t="s">
        <v>199</v>
      </c>
    </row>
    <row r="2" spans="1:5" ht="14.4">
      <c r="A2" s="34" t="s">
        <v>103</v>
      </c>
      <c r="B2" s="291">
        <f>ROUND(SUMIF(应交税费明细表!$B:$B,应交税费!$A2,应交税费明细表!C:C),2)</f>
        <v>0</v>
      </c>
      <c r="C2" s="291">
        <f>ROUND(SUMIF(应交税费明细表!$B:$B,应交税费!$A2,应交税费明细表!D:D),2)</f>
        <v>0</v>
      </c>
      <c r="D2" s="291">
        <f>ROUND(SUMIF(应交税费明细表!$B:$B,应交税费!$A2,应交税费明细表!E:E),2)</f>
        <v>0</v>
      </c>
      <c r="E2" s="157">
        <f>ROUND(B2+C2-D2,2)</f>
        <v>0</v>
      </c>
    </row>
    <row r="3" spans="1:5" ht="14.4">
      <c r="A3" s="34" t="s">
        <v>106</v>
      </c>
      <c r="B3" s="291">
        <f>ROUND(SUMIF(应交税费明细表!$B:$B,应交税费!$A3,应交税费明细表!C:C),2)</f>
        <v>0</v>
      </c>
      <c r="C3" s="291">
        <f>ROUND(SUMIF(应交税费明细表!$B:$B,应交税费!$A3,应交税费明细表!D:D),2)</f>
        <v>0</v>
      </c>
      <c r="D3" s="291">
        <f>ROUND(SUMIF(应交税费明细表!$B:$B,应交税费!$A3,应交税费明细表!E:E),2)</f>
        <v>0</v>
      </c>
      <c r="E3" s="589">
        <f>ROUND(B3+C3-D3,2)</f>
        <v>0</v>
      </c>
    </row>
    <row r="4" spans="1:5" ht="14.4">
      <c r="A4" s="34" t="s">
        <v>105</v>
      </c>
      <c r="B4" s="291">
        <f>ROUND(SUMIF(应交税费明细表!$B:$B,应交税费!$A4,应交税费明细表!C:C),2)</f>
        <v>0</v>
      </c>
      <c r="C4" s="291">
        <f>ROUND(SUMIF(应交税费明细表!$B:$B,应交税费!$A4,应交税费明细表!D:D),2)</f>
        <v>0</v>
      </c>
      <c r="D4" s="291">
        <f>ROUND(SUMIF(应交税费明细表!$B:$B,应交税费!$A4,应交税费明细表!E:E),2)</f>
        <v>0</v>
      </c>
      <c r="E4" s="589">
        <f>ROUND(B4+C4-D4,2)</f>
        <v>0</v>
      </c>
    </row>
    <row r="5" spans="1:5" ht="14.4">
      <c r="A5" s="34" t="s">
        <v>553</v>
      </c>
      <c r="B5" s="291">
        <f>ROUND(SUMIF(应交税费明细表!$B:$B,应交税费!$A5,应交税费明细表!C:C),2)</f>
        <v>0</v>
      </c>
      <c r="C5" s="291">
        <f>ROUND(SUMIF(应交税费明细表!$B:$B,应交税费!$A5,应交税费明细表!D:D),2)</f>
        <v>0</v>
      </c>
      <c r="D5" s="291">
        <f>ROUND(SUMIF(应交税费明细表!$B:$B,应交税费!$A5,应交税费明细表!E:E),2)</f>
        <v>0</v>
      </c>
      <c r="E5" s="589">
        <f>ROUND(B5+C5-D5,2)</f>
        <v>0</v>
      </c>
    </row>
    <row r="6" spans="1:5" ht="14.4">
      <c r="A6" s="34" t="s">
        <v>108</v>
      </c>
      <c r="B6" s="291">
        <f>ROUND(SUMIF(应交税费明细表!$B:$B,应交税费!$A6,应交税费明细表!C:C),2)</f>
        <v>0</v>
      </c>
      <c r="C6" s="291">
        <f>ROUND(SUMIF(应交税费明细表!$B:$B,应交税费!$A6,应交税费明细表!D:D),2)</f>
        <v>0</v>
      </c>
      <c r="D6" s="291">
        <f>ROUND(SUMIF(应交税费明细表!$B:$B,应交税费!$A6,应交税费明细表!E:E),2)</f>
        <v>0</v>
      </c>
      <c r="E6" s="589">
        <f>ROUND(B6+C6-D6,2)</f>
        <v>0</v>
      </c>
    </row>
    <row r="7" spans="1:5" ht="14.4">
      <c r="A7" s="34" t="s">
        <v>554</v>
      </c>
      <c r="B7" s="291">
        <f>ROUND(SUMIF(应交税费明细表!$B:$B,应交税费!$A7,应交税费明细表!C:C),2)</f>
        <v>0</v>
      </c>
      <c r="C7" s="291">
        <f>ROUND(SUMIF(应交税费明细表!$B:$B,应交税费!$A7,应交税费明细表!D:D),2)</f>
        <v>0</v>
      </c>
      <c r="D7" s="291">
        <f>ROUND(SUMIF(应交税费明细表!$B:$B,应交税费!$A7,应交税费明细表!E:E),2)</f>
        <v>0</v>
      </c>
      <c r="E7" s="589">
        <f>ROUND(B7+C7-D7,2)</f>
        <v>0</v>
      </c>
    </row>
    <row r="8" spans="1:5" ht="14.4">
      <c r="A8" s="34" t="s">
        <v>555</v>
      </c>
      <c r="B8" s="291">
        <f>ROUND(SUMIF(应交税费明细表!$B:$B,应交税费!$A8,应交税费明细表!C:C),2)</f>
        <v>0</v>
      </c>
      <c r="C8" s="291">
        <f>ROUND(SUMIF(应交税费明细表!$B:$B,应交税费!$A8,应交税费明细表!D:D),2)</f>
        <v>0</v>
      </c>
      <c r="D8" s="291">
        <f>ROUND(SUMIF(应交税费明细表!$B:$B,应交税费!$A8,应交税费明细表!E:E),2)</f>
        <v>0</v>
      </c>
      <c r="E8" s="589">
        <f>ROUND(B8+C8-D8,2)</f>
        <v>0</v>
      </c>
    </row>
    <row r="9" spans="1:5" ht="14.4">
      <c r="A9" s="34" t="s">
        <v>1930</v>
      </c>
      <c r="B9" s="291">
        <f>ROUND(SUMIF(应交税费明细表!$B:$B,应交税费!$A9,应交税费明细表!C:C),2)</f>
        <v>0</v>
      </c>
      <c r="C9" s="291">
        <f>ROUND(SUMIF(应交税费明细表!$B:$B,应交税费!$A9,应交税费明细表!D:D),2)</f>
        <v>0</v>
      </c>
      <c r="D9" s="291">
        <f>ROUND(SUMIF(应交税费明细表!$B:$B,应交税费!$A9,应交税费明细表!E:E),2)</f>
        <v>0</v>
      </c>
      <c r="E9" s="589">
        <f>ROUND(B9+C9-D9,2)</f>
        <v>0</v>
      </c>
    </row>
    <row r="10" spans="1:5" ht="14.4">
      <c r="A10" s="34" t="s">
        <v>680</v>
      </c>
      <c r="B10" s="291">
        <f>ROUND(SUMIF(应交税费明细表!$B:$B,应交税费!$A10,应交税费明细表!C:C),2)</f>
        <v>0</v>
      </c>
      <c r="C10" s="291">
        <f>ROUND(SUMIF(应交税费明细表!$B:$B,应交税费!$A10,应交税费明细表!D:D),2)</f>
        <v>0</v>
      </c>
      <c r="D10" s="291">
        <f>ROUND(SUMIF(应交税费明细表!$B:$B,应交税费!$A10,应交税费明细表!E:E),2)</f>
        <v>0</v>
      </c>
      <c r="E10" s="589">
        <f>ROUND(B10+C10-D10,2)</f>
        <v>0</v>
      </c>
    </row>
    <row r="11" spans="1:5" ht="14.4">
      <c r="A11" s="34" t="s">
        <v>679</v>
      </c>
      <c r="B11" s="291">
        <f>ROUND(SUMIF(应交税费明细表!$B:$B,应交税费!$A11,应交税费明细表!C:C),2)</f>
        <v>0</v>
      </c>
      <c r="C11" s="291">
        <f>ROUND(SUMIF(应交税费明细表!$B:$B,应交税费!$A11,应交税费明细表!D:D),2)</f>
        <v>0</v>
      </c>
      <c r="D11" s="291">
        <f>ROUND(SUMIF(应交税费明细表!$B:$B,应交税费!$A11,应交税费明细表!E:E),2)</f>
        <v>0</v>
      </c>
      <c r="E11" s="589">
        <f>ROUND(B11+C11-D11,2)</f>
        <v>0</v>
      </c>
    </row>
    <row r="12" spans="1:5" ht="14.4">
      <c r="A12" s="34" t="s">
        <v>2296</v>
      </c>
      <c r="B12" s="291">
        <f>ROUND(SUMIF(应交税费明细表!$B:$B,应交税费!$A12,应交税费明细表!C:C),2)</f>
        <v>0</v>
      </c>
      <c r="C12" s="291">
        <f>ROUND(SUMIF(应交税费明细表!$B:$B,应交税费!$A12,应交税费明细表!D:D),2)</f>
        <v>0</v>
      </c>
      <c r="D12" s="291">
        <f>ROUND(SUMIF(应交税费明细表!$B:$B,应交税费!$A12,应交税费明细表!E:E),2)</f>
        <v>0</v>
      </c>
      <c r="E12" s="589">
        <f>ROUND(B12+C12-D12,2)</f>
        <v>0</v>
      </c>
    </row>
    <row r="13" spans="1:5" ht="14.4">
      <c r="A13" s="34" t="s">
        <v>1929</v>
      </c>
      <c r="B13" s="291">
        <f>ROUND(SUMIF(应交税费明细表!$B:$B,应交税费!$A13,应交税费明细表!C:C),2)</f>
        <v>0</v>
      </c>
      <c r="C13" s="291">
        <f>ROUND(SUMIF(应交税费明细表!$B:$B,应交税费!$A13,应交税费明细表!D:D),2)</f>
        <v>0</v>
      </c>
      <c r="D13" s="291">
        <f>ROUND(SUMIF(应交税费明细表!$B:$B,应交税费!$A13,应交税费明细表!E:E),2)</f>
        <v>0</v>
      </c>
      <c r="E13" s="589">
        <f>ROUND(B13+C13-D13,2)</f>
        <v>0</v>
      </c>
    </row>
    <row r="14" spans="1:5" ht="14.4">
      <c r="A14" s="34" t="s">
        <v>1931</v>
      </c>
      <c r="B14" s="291">
        <f>ROUND(SUMIF(应交税费明细表!$B:$B,应交税费!$A14,应交税费明细表!C:C),2)</f>
        <v>0</v>
      </c>
      <c r="C14" s="291">
        <f>ROUND(SUMIF(应交税费明细表!$B:$B,应交税费!$A14,应交税费明细表!D:D),2)</f>
        <v>0</v>
      </c>
      <c r="D14" s="291">
        <f>ROUND(SUMIF(应交税费明细表!$B:$B,应交税费!$A14,应交税费明细表!E:E),2)</f>
        <v>0</v>
      </c>
      <c r="E14" s="589">
        <f>ROUND(B14+C14-D14,2)</f>
        <v>0</v>
      </c>
    </row>
    <row r="15" spans="1:5" ht="14.4">
      <c r="A15" s="34" t="s">
        <v>1932</v>
      </c>
      <c r="B15" s="291">
        <f>ROUND(SUMIF(应交税费明细表!$B:$B,应交税费!$A15,应交税费明细表!C:C),2)</f>
        <v>0</v>
      </c>
      <c r="C15" s="291">
        <f>ROUND(SUMIF(应交税费明细表!$B:$B,应交税费!$A15,应交税费明细表!D:D),2)</f>
        <v>0</v>
      </c>
      <c r="D15" s="291">
        <f>ROUND(SUMIF(应交税费明细表!$B:$B,应交税费!$A15,应交税费明细表!E:E),2)</f>
        <v>0</v>
      </c>
      <c r="E15" s="589">
        <f>ROUND(B15+C15-D15,2)</f>
        <v>0</v>
      </c>
    </row>
    <row r="16" spans="1:5" ht="14.4">
      <c r="A16" s="34" t="s">
        <v>202</v>
      </c>
      <c r="B16" s="291">
        <f>ROUND(SUMIF(应交税费明细表!$B:$B,应交税费!$A16,应交税费明细表!C:C),2)</f>
        <v>0</v>
      </c>
      <c r="C16" s="291">
        <f>ROUND(SUMIF(应交税费明细表!$B:$B,应交税费!$A16,应交税费明细表!D:D),2)</f>
        <v>0</v>
      </c>
      <c r="D16" s="291">
        <f>ROUND(SUMIF(应交税费明细表!$B:$B,应交税费!$A16,应交税费明细表!E:E),2)</f>
        <v>0</v>
      </c>
      <c r="E16" s="589">
        <f>ROUND(B16+C16-D16,2)</f>
        <v>0</v>
      </c>
    </row>
    <row r="17" spans="1:5" ht="14.4">
      <c r="A17" s="35" t="s">
        <v>204</v>
      </c>
      <c r="B17" s="157">
        <f>ROUND(SUM(B2:B16),2)</f>
        <v>0</v>
      </c>
      <c r="C17" s="157">
        <f>ROUND(SUM(C2:C16),2)</f>
        <v>0</v>
      </c>
      <c r="D17" s="157">
        <f>ROUND(SUM(D2:D16),2)</f>
        <v>0</v>
      </c>
      <c r="E17" s="157">
        <f>ROUND(SUM(E2:E16),2)</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sheetPr codeName="Sheet263"/>
  <dimension ref="A1:F25"/>
  <sheetViews>
    <sheetView workbookViewId="0">
      <selection activeCell="E9" sqref="E9"/>
    </sheetView>
  </sheetViews>
  <sheetFormatPr defaultRowHeight="13.8"/>
  <cols>
    <col min="6" max="6" width="8.88671875" style="230"/>
  </cols>
  <sheetData>
    <row r="1" spans="1:6">
      <c r="A1" t="s">
        <v>2483</v>
      </c>
      <c r="B1" t="s">
        <v>28</v>
      </c>
      <c r="C1" t="s">
        <v>285</v>
      </c>
      <c r="D1" t="s">
        <v>329</v>
      </c>
      <c r="E1" t="s">
        <v>4486</v>
      </c>
      <c r="F1" s="230" t="s">
        <v>203</v>
      </c>
    </row>
    <row r="2" spans="1:6">
      <c r="A2" t="str">
        <f>IF(OR(ABS(C2)&gt;0,ABS(D2)&gt;0,ABS(E2)&gt;0,ABS(F2)&gt;0),基础信息!$B$1,"")</f>
        <v/>
      </c>
      <c r="B2" s="277"/>
      <c r="F2" s="230">
        <f>C2+D2-E2</f>
        <v>0</v>
      </c>
    </row>
    <row r="3" spans="1:6">
      <c r="A3" t="str">
        <f>IF(OR(ABS(C3)&gt;0,ABS(D3)&gt;0,ABS(E3)&gt;0,ABS(F3)&gt;0),基础信息!$B$1,"")</f>
        <v/>
      </c>
      <c r="B3" s="277"/>
      <c r="F3" s="230">
        <f t="shared" ref="F3:F17" si="0">C3+D3-E3</f>
        <v>0</v>
      </c>
    </row>
    <row r="4" spans="1:6">
      <c r="A4" t="str">
        <f>IF(OR(ABS(C4)&gt;0,ABS(D4)&gt;0,ABS(E4)&gt;0,ABS(F4)&gt;0),基础信息!$B$1,"")</f>
        <v/>
      </c>
      <c r="B4" s="277"/>
      <c r="F4" s="230">
        <f t="shared" si="0"/>
        <v>0</v>
      </c>
    </row>
    <row r="5" spans="1:6">
      <c r="A5" t="str">
        <f>IF(OR(ABS(C5)&gt;0,ABS(D5)&gt;0,ABS(E5)&gt;0,ABS(F5)&gt;0),基础信息!$B$1,"")</f>
        <v/>
      </c>
      <c r="B5" s="277"/>
      <c r="F5" s="230">
        <f t="shared" si="0"/>
        <v>0</v>
      </c>
    </row>
    <row r="6" spans="1:6">
      <c r="A6" t="str">
        <f>IF(OR(ABS(C6)&gt;0,ABS(D6)&gt;0,ABS(E6)&gt;0,ABS(F6)&gt;0),基础信息!$B$1,"")</f>
        <v/>
      </c>
      <c r="B6" s="277"/>
      <c r="F6" s="230">
        <f t="shared" si="0"/>
        <v>0</v>
      </c>
    </row>
    <row r="7" spans="1:6">
      <c r="A7" t="str">
        <f>IF(OR(ABS(C7)&gt;0,ABS(D7)&gt;0,ABS(E7)&gt;0,ABS(F7)&gt;0),基础信息!$B$1,"")</f>
        <v/>
      </c>
      <c r="B7" s="277"/>
      <c r="F7" s="230">
        <f t="shared" si="0"/>
        <v>0</v>
      </c>
    </row>
    <row r="8" spans="1:6">
      <c r="A8" t="str">
        <f>IF(OR(ABS(C8)&gt;0,ABS(D8)&gt;0,ABS(E8)&gt;0,ABS(F8)&gt;0),基础信息!$B$1,"")</f>
        <v/>
      </c>
      <c r="B8" s="277"/>
      <c r="F8" s="230">
        <f t="shared" si="0"/>
        <v>0</v>
      </c>
    </row>
    <row r="9" spans="1:6">
      <c r="A9" t="str">
        <f>IF(OR(ABS(C9)&gt;0,ABS(D9)&gt;0,ABS(E9)&gt;0,ABS(F9)&gt;0),基础信息!$B$1,"")</f>
        <v/>
      </c>
      <c r="B9" s="277"/>
      <c r="F9" s="230">
        <f t="shared" si="0"/>
        <v>0</v>
      </c>
    </row>
    <row r="10" spans="1:6">
      <c r="A10" t="str">
        <f>IF(OR(ABS(C10)&gt;0,ABS(D10)&gt;0,ABS(E10)&gt;0,ABS(F10)&gt;0),基础信息!$B$1,"")</f>
        <v/>
      </c>
      <c r="B10" s="277"/>
      <c r="F10" s="230">
        <f t="shared" si="0"/>
        <v>0</v>
      </c>
    </row>
    <row r="11" spans="1:6">
      <c r="A11" t="str">
        <f>IF(OR(ABS(C11)&gt;0,ABS(D11)&gt;0,ABS(E11)&gt;0,ABS(F11)&gt;0),基础信息!$B$1,"")</f>
        <v/>
      </c>
      <c r="B11" s="277"/>
      <c r="F11" s="230">
        <f t="shared" si="0"/>
        <v>0</v>
      </c>
    </row>
    <row r="12" spans="1:6">
      <c r="A12" t="str">
        <f>IF(OR(ABS(C12)&gt;0,ABS(D12)&gt;0,ABS(E12)&gt;0,ABS(F12)&gt;0),基础信息!$B$1,"")</f>
        <v/>
      </c>
      <c r="B12" s="277"/>
      <c r="F12" s="230">
        <f t="shared" si="0"/>
        <v>0</v>
      </c>
    </row>
    <row r="13" spans="1:6">
      <c r="A13" t="str">
        <f>IF(OR(ABS(C13)&gt;0,ABS(D13)&gt;0,ABS(E13)&gt;0,ABS(F13)&gt;0),基础信息!$B$1,"")</f>
        <v/>
      </c>
      <c r="B13" s="277"/>
      <c r="F13" s="230">
        <f t="shared" si="0"/>
        <v>0</v>
      </c>
    </row>
    <row r="14" spans="1:6">
      <c r="A14" t="str">
        <f>IF(OR(ABS(C14)&gt;0,ABS(D14)&gt;0,ABS(E14)&gt;0,ABS(F14)&gt;0),基础信息!$B$1,"")</f>
        <v/>
      </c>
      <c r="B14" s="277"/>
      <c r="F14" s="230">
        <f t="shared" si="0"/>
        <v>0</v>
      </c>
    </row>
    <row r="15" spans="1:6">
      <c r="A15" t="str">
        <f>IF(OR(ABS(C15)&gt;0,ABS(D15)&gt;0,ABS(E15)&gt;0,ABS(F15)&gt;0),基础信息!$B$1,"")</f>
        <v/>
      </c>
      <c r="B15" s="277"/>
      <c r="F15" s="230">
        <f t="shared" si="0"/>
        <v>0</v>
      </c>
    </row>
    <row r="16" spans="1:6">
      <c r="A16" t="str">
        <f>IF(OR(ABS(C16)&gt;0,ABS(D16)&gt;0,ABS(E16)&gt;0,ABS(F16)&gt;0),基础信息!$B$1,"")</f>
        <v/>
      </c>
      <c r="B16" s="277"/>
      <c r="F16" s="230">
        <f t="shared" si="0"/>
        <v>0</v>
      </c>
    </row>
    <row r="17" spans="1:6">
      <c r="A17" t="str">
        <f>IF(OR(ABS(C17)&gt;0,ABS(D17)&gt;0,ABS(E17)&gt;0,ABS(F17)&gt;0),基础信息!$B$1,"")</f>
        <v/>
      </c>
      <c r="B17" s="277"/>
      <c r="F17" s="230">
        <f t="shared" si="0"/>
        <v>0</v>
      </c>
    </row>
    <row r="18" spans="1:6">
      <c r="A18" t="str">
        <f>IF(OR(ABS(C18)&gt;0,ABS(D18)&gt;0,ABS(E18)&gt;0,ABS(F18)&gt;0),基础信息!$B$1,"")</f>
        <v/>
      </c>
      <c r="B18" s="277"/>
    </row>
    <row r="19" spans="1:6">
      <c r="A19" t="str">
        <f>IF(OR(ABS(C19)&gt;0,ABS(D19)&gt;0,ABS(E19)&gt;0,ABS(F19)&gt;0),基础信息!$B$1,"")</f>
        <v/>
      </c>
      <c r="B19" s="277"/>
    </row>
    <row r="20" spans="1:6">
      <c r="A20" t="str">
        <f>IF(OR(ABS(C20)&gt;0,ABS(D20)&gt;0,ABS(E20)&gt;0,ABS(F20)&gt;0),基础信息!$B$1,"")</f>
        <v/>
      </c>
      <c r="B20" s="277"/>
    </row>
    <row r="21" spans="1:6">
      <c r="A21" t="str">
        <f>IF(OR(ABS(C21)&gt;0,ABS(D21)&gt;0,ABS(E21)&gt;0,ABS(F21)&gt;0),基础信息!$B$1,"")</f>
        <v/>
      </c>
      <c r="B21" s="277"/>
    </row>
    <row r="22" spans="1:6">
      <c r="A22" t="str">
        <f>IF(OR(ABS(C22)&gt;0,ABS(D22)&gt;0,ABS(E22)&gt;0,ABS(F22)&gt;0),基础信息!$B$1,"")</f>
        <v/>
      </c>
      <c r="B22" s="277"/>
    </row>
    <row r="23" spans="1:6">
      <c r="A23" t="str">
        <f>IF(OR(ABS(C23)&gt;0,ABS(D23)&gt;0,ABS(E23)&gt;0,ABS(F23)&gt;0),基础信息!$B$1,"")</f>
        <v/>
      </c>
    </row>
    <row r="24" spans="1:6">
      <c r="A24" t="str">
        <f>IF(OR(ABS(C24)&gt;0,ABS(D24)&gt;0,ABS(E24)&gt;0,ABS(F24)&gt;0),基础信息!$B$1,"")</f>
        <v/>
      </c>
    </row>
    <row r="25" spans="1:6">
      <c r="A25" t="str">
        <f>IF(OR(ABS(C25)&gt;0,ABS(D25)&gt;0,ABS(E25)&gt;0,ABS(F25)&gt;0),基础信息!$B$1,"")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sheetPr codeName="Sheet264"/>
  <dimension ref="A1:B26"/>
  <sheetViews>
    <sheetView workbookViewId="0">
      <selection activeCell="H29" sqref="H29"/>
    </sheetView>
  </sheetViews>
  <sheetFormatPr defaultRowHeight="13.8"/>
  <cols>
    <col min="1" max="1" width="46.33203125" bestFit="1" customWidth="1"/>
    <col min="2" max="2" width="13.5546875" style="230" customWidth="1"/>
  </cols>
  <sheetData>
    <row r="1" spans="1:2">
      <c r="A1" t="s">
        <v>28</v>
      </c>
      <c r="B1" s="377" t="s">
        <v>183</v>
      </c>
    </row>
    <row r="2" spans="1:2">
      <c r="A2" t="s">
        <v>4500</v>
      </c>
      <c r="B2" s="230">
        <f>SUM(B3:B4,-B5)</f>
        <v>0</v>
      </c>
    </row>
    <row r="3" spans="1:2">
      <c r="A3" t="s">
        <v>4501</v>
      </c>
    </row>
    <row r="4" spans="1:2">
      <c r="A4" t="s">
        <v>4502</v>
      </c>
    </row>
    <row r="5" spans="1:2">
      <c r="A5" t="s">
        <v>4522</v>
      </c>
    </row>
    <row r="6" spans="1:2">
      <c r="A6" t="s">
        <v>4503</v>
      </c>
      <c r="B6" s="230">
        <f>SUM(B7:B11)</f>
        <v>0</v>
      </c>
    </row>
    <row r="7" spans="1:2">
      <c r="A7" t="s">
        <v>4504</v>
      </c>
    </row>
    <row r="8" spans="1:2">
      <c r="A8" t="s">
        <v>4505</v>
      </c>
    </row>
    <row r="9" spans="1:2">
      <c r="A9" t="s">
        <v>4506</v>
      </c>
    </row>
    <row r="10" spans="1:2">
      <c r="A10" t="s">
        <v>4507</v>
      </c>
    </row>
    <row r="11" spans="1:2">
      <c r="A11" t="s">
        <v>4523</v>
      </c>
    </row>
    <row r="12" spans="1:2">
      <c r="A12" t="s">
        <v>4508</v>
      </c>
    </row>
    <row r="13" spans="1:2">
      <c r="A13" t="s">
        <v>4509</v>
      </c>
    </row>
    <row r="14" spans="1:2">
      <c r="A14" t="s">
        <v>4510</v>
      </c>
      <c r="B14" s="230">
        <f>应交税费!D2</f>
        <v>0</v>
      </c>
    </row>
    <row r="15" spans="1:2">
      <c r="A15" t="s">
        <v>4511</v>
      </c>
    </row>
    <row r="16" spans="1:2">
      <c r="A16" t="s">
        <v>4512</v>
      </c>
    </row>
    <row r="17" spans="1:2">
      <c r="A17" t="s">
        <v>4513</v>
      </c>
      <c r="B17" s="230">
        <f>IF(B2-B6+B12-B13-B14-B15+B16&gt;0,B2-B6+B12-B13-B14-B15+B16,0)</f>
        <v>0</v>
      </c>
    </row>
    <row r="18" spans="1:2">
      <c r="A18" t="s">
        <v>4514</v>
      </c>
      <c r="B18" s="230">
        <f>IF(B2-B6+B12-B13-B14-B15+B16&lt;0,-(B2-B6+B12-B13-B14-B15+B16),0)</f>
        <v>0</v>
      </c>
    </row>
    <row r="19" spans="1:2">
      <c r="A19" t="s">
        <v>4515</v>
      </c>
      <c r="B19" s="230">
        <f>IF(B17&gt;0,B17,-B18)-B20</f>
        <v>0</v>
      </c>
    </row>
    <row r="20" spans="1:2">
      <c r="A20" t="s">
        <v>4516</v>
      </c>
    </row>
    <row r="21" spans="1:2">
      <c r="A21" t="s">
        <v>4517</v>
      </c>
    </row>
    <row r="22" spans="1:2">
      <c r="A22" t="s">
        <v>4518</v>
      </c>
    </row>
    <row r="23" spans="1:2">
      <c r="A23" t="s">
        <v>4519</v>
      </c>
    </row>
    <row r="24" spans="1:2">
      <c r="A24" t="s">
        <v>4520</v>
      </c>
    </row>
    <row r="25" spans="1:2">
      <c r="A25" t="s">
        <v>4521</v>
      </c>
      <c r="B25" s="230">
        <f>B19+B21+B22+B23+B24</f>
        <v>0</v>
      </c>
    </row>
    <row r="26" spans="1:2">
      <c r="A26" s="262" t="s">
        <v>2391</v>
      </c>
      <c r="B26" s="264">
        <f>B25-应交税费!C2</f>
        <v>0</v>
      </c>
    </row>
  </sheetData>
  <phoneticPr fontId="1"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codeName="Sheet265">
    <tabColor rgb="FFFFC000"/>
  </sheetPr>
  <dimension ref="A1:C5"/>
  <sheetViews>
    <sheetView workbookViewId="0">
      <selection activeCell="H15" sqref="H1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558</v>
      </c>
      <c r="B2" s="569">
        <f>ROUND(应付利息!B7,2)</f>
        <v>0</v>
      </c>
      <c r="C2" s="569">
        <f>ROUND(应付利息!C7,2)</f>
        <v>0</v>
      </c>
    </row>
    <row r="3" spans="1:3" ht="14.4">
      <c r="A3" s="32" t="s">
        <v>559</v>
      </c>
      <c r="B3" s="569">
        <f>ROUND(应付股利!B5,2)</f>
        <v>0</v>
      </c>
      <c r="C3" s="569">
        <f>ROUND(应付股利!C5,2)</f>
        <v>0</v>
      </c>
    </row>
    <row r="4" spans="1:3" ht="14.4">
      <c r="A4" s="32" t="s">
        <v>560</v>
      </c>
      <c r="B4" s="300">
        <f>ROUND(其他应付款项!B6,2)</f>
        <v>0</v>
      </c>
      <c r="C4" s="300">
        <f>ROUND(其他应付款项!C6,2)</f>
        <v>0</v>
      </c>
    </row>
    <row r="5" spans="1:3" ht="14.4">
      <c r="A5" s="31" t="s">
        <v>204</v>
      </c>
      <c r="B5" s="709">
        <f>ROUND(SUM(B2:B4),2)</f>
        <v>0</v>
      </c>
      <c r="C5" s="709">
        <f>ROUND(SUM(C2:C4),2)</f>
        <v>0</v>
      </c>
    </row>
  </sheetData>
  <phoneticPr fontId="1"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codeName="Sheet266">
    <tabColor rgb="FFFFC000"/>
  </sheetPr>
  <dimension ref="A1:C7"/>
  <sheetViews>
    <sheetView workbookViewId="0">
      <selection activeCell="E14" sqref="E14"/>
    </sheetView>
  </sheetViews>
  <sheetFormatPr defaultRowHeight="13.8"/>
  <cols>
    <col min="1" max="1" width="36.44140625" style="18" bestFit="1" customWidth="1"/>
    <col min="2" max="3" width="8.88671875" style="1"/>
    <col min="4" max="16384" width="8.88671875" style="18"/>
  </cols>
  <sheetData>
    <row r="1" spans="1:3" ht="14.4">
      <c r="A1" s="35" t="s">
        <v>28</v>
      </c>
      <c r="B1" s="154" t="s">
        <v>203</v>
      </c>
      <c r="C1" s="154" t="s">
        <v>285</v>
      </c>
    </row>
    <row r="2" spans="1:3" ht="14.4">
      <c r="A2" s="530" t="s">
        <v>561</v>
      </c>
      <c r="B2" s="566">
        <f>ROUND(SUMIF(应付利息明细表!D:D,应付利息!A2,应付利息明细表!C:C),2)</f>
        <v>0</v>
      </c>
      <c r="C2" s="267"/>
    </row>
    <row r="3" spans="1:3" ht="14.4">
      <c r="A3" s="530" t="s">
        <v>562</v>
      </c>
      <c r="B3" s="566">
        <f>ROUND(SUMIF(应付利息明细表!D:D,应付利息!A3,应付利息明细表!C:C),2)</f>
        <v>0</v>
      </c>
      <c r="C3" s="267"/>
    </row>
    <row r="4" spans="1:3" ht="14.4">
      <c r="A4" s="530" t="s">
        <v>563</v>
      </c>
      <c r="B4" s="566">
        <f>ROUND(SUMIF(应付利息明细表!D:D,应付利息!A4,应付利息明细表!C:C),2)</f>
        <v>0</v>
      </c>
      <c r="C4" s="267"/>
    </row>
    <row r="5" spans="1:3" ht="14.4">
      <c r="A5" s="530" t="s">
        <v>4526</v>
      </c>
      <c r="B5" s="566">
        <f>ROUND(SUMIF(应付利息明细表!D:D,应付利息!A5,应付利息明细表!C:C),2)</f>
        <v>0</v>
      </c>
      <c r="C5" s="267"/>
    </row>
    <row r="6" spans="1:3" ht="14.4">
      <c r="A6" s="530" t="s">
        <v>564</v>
      </c>
      <c r="B6" s="566">
        <f>ROUND(SUMIF(应付利息明细表!D:D,应付利息!A6,应付利息明细表!C:C),2)</f>
        <v>0</v>
      </c>
      <c r="C6" s="265"/>
    </row>
    <row r="7" spans="1:3" ht="14.4">
      <c r="A7" s="35" t="s">
        <v>204</v>
      </c>
      <c r="B7" s="566">
        <f>ROUND(SUM(B2:B6),2)</f>
        <v>0</v>
      </c>
      <c r="C7" s="590">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codeName="Sheet267">
    <tabColor rgb="FFFFC000"/>
  </sheetPr>
  <dimension ref="A1:C7"/>
  <sheetViews>
    <sheetView workbookViewId="0">
      <selection activeCell="K19" sqref="K19"/>
    </sheetView>
  </sheetViews>
  <sheetFormatPr defaultRowHeight="13.8"/>
  <cols>
    <col min="1" max="16384" width="8.88671875" style="18"/>
  </cols>
  <sheetData>
    <row r="1" spans="1:3" ht="14.4">
      <c r="A1" s="35" t="s">
        <v>297</v>
      </c>
      <c r="B1" s="35" t="s">
        <v>4231</v>
      </c>
      <c r="C1" s="35" t="s">
        <v>310</v>
      </c>
    </row>
    <row r="2" spans="1:3" ht="14.4">
      <c r="A2" s="309"/>
      <c r="B2" s="309"/>
      <c r="C2" s="316"/>
    </row>
    <row r="3" spans="1:3" ht="14.4">
      <c r="A3" s="309"/>
      <c r="B3" s="309"/>
      <c r="C3" s="316"/>
    </row>
    <row r="4" spans="1:3" ht="14.4">
      <c r="A4" s="309"/>
      <c r="B4" s="309"/>
      <c r="C4" s="316"/>
    </row>
    <row r="5" spans="1:3" ht="14.4">
      <c r="A5" s="309"/>
      <c r="B5" s="309"/>
      <c r="C5" s="316"/>
    </row>
    <row r="6" spans="1:3" ht="14.4">
      <c r="A6" s="309"/>
      <c r="B6" s="309"/>
      <c r="C6" s="316"/>
    </row>
    <row r="7" spans="1:3" ht="14.4">
      <c r="A7" s="35" t="s">
        <v>204</v>
      </c>
      <c r="B7" s="43"/>
      <c r="C7" s="41"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sheetPr codeName="Sheet268"/>
  <dimension ref="A1:L24"/>
  <sheetViews>
    <sheetView workbookViewId="0">
      <selection activeCell="D2" sqref="D2"/>
    </sheetView>
  </sheetViews>
  <sheetFormatPr defaultRowHeight="13.8"/>
  <cols>
    <col min="5" max="5" width="15" style="230" bestFit="1" customWidth="1"/>
    <col min="6" max="7" width="6.5546875" style="230" bestFit="1" customWidth="1"/>
    <col min="8" max="8" width="8.5546875" style="230" bestFit="1" customWidth="1"/>
    <col min="9" max="9" width="5.5546875" style="230" bestFit="1" customWidth="1"/>
    <col min="10" max="11" width="10.6640625" bestFit="1" customWidth="1"/>
    <col min="12" max="12" width="5.5546875" style="230" bestFit="1" customWidth="1"/>
  </cols>
  <sheetData>
    <row r="1" spans="1:12">
      <c r="A1" t="s">
        <v>2483</v>
      </c>
      <c r="B1" t="s">
        <v>223</v>
      </c>
      <c r="C1" t="s">
        <v>183</v>
      </c>
      <c r="D1" t="s">
        <v>4525</v>
      </c>
      <c r="E1" s="230" t="s">
        <v>2538</v>
      </c>
      <c r="F1" s="230" t="s">
        <v>278</v>
      </c>
      <c r="G1" s="230" t="s">
        <v>279</v>
      </c>
      <c r="H1" s="230" t="s">
        <v>280</v>
      </c>
      <c r="I1" s="230" t="s">
        <v>204</v>
      </c>
      <c r="J1" s="230" t="s">
        <v>4527</v>
      </c>
      <c r="K1" s="230" t="s">
        <v>4528</v>
      </c>
      <c r="L1" s="230" t="s">
        <v>4524</v>
      </c>
    </row>
    <row r="2" spans="1:12">
      <c r="A2" t="str">
        <f>IF(C2&gt;0,基础信息!$B$1,"")</f>
        <v/>
      </c>
      <c r="B2" s="256"/>
      <c r="C2" s="256"/>
      <c r="D2" s="277"/>
      <c r="E2" s="290"/>
      <c r="F2" s="290"/>
      <c r="G2" s="290"/>
      <c r="H2" s="290"/>
      <c r="I2" s="230">
        <f>SUM(E2:H2)</f>
        <v>0</v>
      </c>
      <c r="L2" s="230">
        <f t="shared" ref="L2:L24" si="0">C2-I2</f>
        <v>0</v>
      </c>
    </row>
    <row r="3" spans="1:12">
      <c r="A3" t="str">
        <f>IF(C3&gt;0,基础信息!$B$1,"")</f>
        <v/>
      </c>
      <c r="B3" s="256"/>
      <c r="C3" s="256"/>
      <c r="D3" s="277"/>
      <c r="E3" s="290"/>
      <c r="F3" s="290"/>
      <c r="G3" s="290"/>
      <c r="H3" s="290"/>
      <c r="I3" s="230">
        <f t="shared" ref="I3:I4" si="1">SUM(E3:H3)</f>
        <v>0</v>
      </c>
      <c r="L3" s="230">
        <f t="shared" si="0"/>
        <v>0</v>
      </c>
    </row>
    <row r="4" spans="1:12">
      <c r="A4" t="str">
        <f>IF(C4&gt;0,基础信息!$B$1,"")</f>
        <v/>
      </c>
      <c r="B4" s="256"/>
      <c r="C4" s="256"/>
      <c r="D4" s="277"/>
      <c r="E4" s="290"/>
      <c r="F4" s="290"/>
      <c r="G4" s="290"/>
      <c r="H4" s="290"/>
      <c r="I4" s="230">
        <f t="shared" si="1"/>
        <v>0</v>
      </c>
      <c r="L4" s="230">
        <f t="shared" si="0"/>
        <v>0</v>
      </c>
    </row>
    <row r="5" spans="1:12">
      <c r="A5" t="str">
        <f>IF(C5&gt;0,基础信息!$B$1,"")</f>
        <v/>
      </c>
      <c r="B5" s="256"/>
      <c r="C5" s="256"/>
      <c r="D5" s="277"/>
      <c r="E5" s="290"/>
      <c r="F5" s="290"/>
      <c r="G5" s="290"/>
      <c r="H5" s="290"/>
      <c r="I5" s="230">
        <f t="shared" ref="I5:I16" si="2">SUM(E5:H5)</f>
        <v>0</v>
      </c>
      <c r="L5" s="230">
        <f t="shared" si="0"/>
        <v>0</v>
      </c>
    </row>
    <row r="6" spans="1:12">
      <c r="A6" t="str">
        <f>IF(C6&gt;0,基础信息!$B$1,"")</f>
        <v/>
      </c>
      <c r="B6" s="256"/>
      <c r="C6" s="256"/>
      <c r="D6" s="277"/>
      <c r="E6" s="290"/>
      <c r="F6" s="290"/>
      <c r="G6" s="290"/>
      <c r="H6" s="290"/>
      <c r="I6" s="230">
        <f t="shared" si="2"/>
        <v>0</v>
      </c>
      <c r="L6" s="230">
        <f t="shared" si="0"/>
        <v>0</v>
      </c>
    </row>
    <row r="7" spans="1:12">
      <c r="A7" t="str">
        <f>IF(C7&gt;0,基础信息!$B$1,"")</f>
        <v/>
      </c>
      <c r="B7" s="256"/>
      <c r="C7" s="256"/>
      <c r="D7" s="277"/>
      <c r="E7" s="290"/>
      <c r="F7" s="290"/>
      <c r="G7" s="290"/>
      <c r="H7" s="290"/>
      <c r="I7" s="230">
        <f t="shared" si="2"/>
        <v>0</v>
      </c>
      <c r="L7" s="230">
        <f t="shared" si="0"/>
        <v>0</v>
      </c>
    </row>
    <row r="8" spans="1:12">
      <c r="A8" t="str">
        <f>IF(C8&gt;0,基础信息!$B$1,"")</f>
        <v/>
      </c>
      <c r="B8" s="256"/>
      <c r="C8" s="256"/>
      <c r="D8" s="277"/>
      <c r="E8" s="290"/>
      <c r="F8" s="290"/>
      <c r="G8" s="290"/>
      <c r="H8" s="290"/>
      <c r="I8" s="230">
        <f t="shared" si="2"/>
        <v>0</v>
      </c>
      <c r="L8" s="230">
        <f t="shared" si="0"/>
        <v>0</v>
      </c>
    </row>
    <row r="9" spans="1:12">
      <c r="A9" t="str">
        <f>IF(C9&gt;0,基础信息!$B$1,"")</f>
        <v/>
      </c>
      <c r="B9" s="256"/>
      <c r="C9" s="256"/>
      <c r="D9" s="277"/>
      <c r="E9" s="290"/>
      <c r="F9" s="290"/>
      <c r="G9" s="290"/>
      <c r="H9" s="290"/>
      <c r="I9" s="230">
        <f t="shared" si="2"/>
        <v>0</v>
      </c>
      <c r="L9" s="230">
        <f t="shared" si="0"/>
        <v>0</v>
      </c>
    </row>
    <row r="10" spans="1:12">
      <c r="A10" t="str">
        <f>IF(C10&gt;0,基础信息!$B$1,"")</f>
        <v/>
      </c>
      <c r="B10" s="256"/>
      <c r="C10" s="256"/>
      <c r="D10" s="277"/>
      <c r="E10" s="290"/>
      <c r="F10" s="290"/>
      <c r="G10" s="290"/>
      <c r="H10" s="290"/>
      <c r="I10" s="230">
        <f t="shared" si="2"/>
        <v>0</v>
      </c>
      <c r="L10" s="230">
        <f t="shared" si="0"/>
        <v>0</v>
      </c>
    </row>
    <row r="11" spans="1:12">
      <c r="A11" t="str">
        <f>IF(C11&gt;0,基础信息!$B$1,"")</f>
        <v/>
      </c>
      <c r="B11" s="256"/>
      <c r="C11" s="256"/>
      <c r="D11" s="277"/>
      <c r="E11" s="290"/>
      <c r="F11" s="290"/>
      <c r="G11" s="290"/>
      <c r="H11" s="290"/>
      <c r="I11" s="230">
        <f t="shared" si="2"/>
        <v>0</v>
      </c>
      <c r="L11" s="230">
        <f t="shared" si="0"/>
        <v>0</v>
      </c>
    </row>
    <row r="12" spans="1:12">
      <c r="A12" t="str">
        <f>IF(C12&gt;0,基础信息!$B$1,"")</f>
        <v/>
      </c>
      <c r="B12" s="256"/>
      <c r="C12" s="256"/>
      <c r="D12" s="277"/>
      <c r="E12" s="290"/>
      <c r="F12" s="290"/>
      <c r="G12" s="290"/>
      <c r="H12" s="290"/>
      <c r="I12" s="230">
        <f t="shared" si="2"/>
        <v>0</v>
      </c>
      <c r="L12" s="230">
        <f t="shared" si="0"/>
        <v>0</v>
      </c>
    </row>
    <row r="13" spans="1:12">
      <c r="A13" t="str">
        <f>IF(C13&gt;0,基础信息!$B$1,"")</f>
        <v/>
      </c>
      <c r="B13" s="256"/>
      <c r="C13" s="256"/>
      <c r="D13" s="277"/>
      <c r="E13" s="290"/>
      <c r="F13" s="290"/>
      <c r="G13" s="290"/>
      <c r="H13" s="290"/>
      <c r="I13" s="230">
        <f t="shared" si="2"/>
        <v>0</v>
      </c>
      <c r="L13" s="230">
        <f t="shared" si="0"/>
        <v>0</v>
      </c>
    </row>
    <row r="14" spans="1:12">
      <c r="A14" t="str">
        <f>IF(C14&gt;0,基础信息!$B$1,"")</f>
        <v/>
      </c>
      <c r="B14" s="256"/>
      <c r="C14" s="256"/>
      <c r="D14" s="277"/>
      <c r="E14" s="290"/>
      <c r="F14" s="290"/>
      <c r="G14" s="290"/>
      <c r="H14" s="290"/>
      <c r="I14" s="230">
        <f t="shared" si="2"/>
        <v>0</v>
      </c>
      <c r="L14" s="230">
        <f t="shared" si="0"/>
        <v>0</v>
      </c>
    </row>
    <row r="15" spans="1:12">
      <c r="A15" t="str">
        <f>IF(C15&gt;0,基础信息!$B$1,"")</f>
        <v/>
      </c>
      <c r="B15" s="256"/>
      <c r="C15" s="256"/>
      <c r="D15" s="277"/>
      <c r="E15" s="290"/>
      <c r="F15" s="290"/>
      <c r="G15" s="290"/>
      <c r="H15" s="290"/>
      <c r="I15" s="230">
        <f t="shared" si="2"/>
        <v>0</v>
      </c>
      <c r="L15" s="230">
        <f t="shared" si="0"/>
        <v>0</v>
      </c>
    </row>
    <row r="16" spans="1:12">
      <c r="A16" t="str">
        <f>IF(C16&gt;0,基础信息!$B$1,"")</f>
        <v/>
      </c>
      <c r="B16" s="256"/>
      <c r="C16" s="256"/>
      <c r="D16" s="277"/>
      <c r="E16" s="290"/>
      <c r="F16" s="290"/>
      <c r="G16" s="290"/>
      <c r="H16" s="290"/>
      <c r="I16" s="230">
        <f t="shared" si="2"/>
        <v>0</v>
      </c>
      <c r="L16" s="230">
        <f t="shared" si="0"/>
        <v>0</v>
      </c>
    </row>
    <row r="17" spans="2:12">
      <c r="B17" s="256"/>
      <c r="C17" s="256"/>
      <c r="D17" s="277"/>
      <c r="E17" s="290"/>
      <c r="F17" s="290"/>
      <c r="G17" s="290"/>
      <c r="H17" s="290"/>
      <c r="I17" s="230">
        <f t="shared" ref="I17:I24" si="3">SUM(E17:H17)</f>
        <v>0</v>
      </c>
      <c r="L17" s="230">
        <f t="shared" si="0"/>
        <v>0</v>
      </c>
    </row>
    <row r="18" spans="2:12">
      <c r="B18" s="256"/>
      <c r="C18" s="256"/>
      <c r="D18" s="277"/>
      <c r="E18" s="290"/>
      <c r="F18" s="290"/>
      <c r="G18" s="290"/>
      <c r="H18" s="290"/>
      <c r="I18" s="230">
        <f t="shared" si="3"/>
        <v>0</v>
      </c>
      <c r="L18" s="230">
        <f t="shared" si="0"/>
        <v>0</v>
      </c>
    </row>
    <row r="19" spans="2:12">
      <c r="B19" s="256"/>
      <c r="C19" s="256"/>
      <c r="D19" s="277"/>
      <c r="E19" s="290"/>
      <c r="F19" s="290"/>
      <c r="G19" s="290"/>
      <c r="H19" s="290"/>
      <c r="I19" s="230">
        <f t="shared" si="3"/>
        <v>0</v>
      </c>
      <c r="L19" s="230">
        <f t="shared" si="0"/>
        <v>0</v>
      </c>
    </row>
    <row r="20" spans="2:12">
      <c r="B20" s="256"/>
      <c r="C20" s="256"/>
      <c r="D20" s="277"/>
      <c r="E20" s="290"/>
      <c r="F20" s="290"/>
      <c r="G20" s="290"/>
      <c r="H20" s="290"/>
      <c r="I20" s="230">
        <f t="shared" si="3"/>
        <v>0</v>
      </c>
      <c r="L20" s="230">
        <f t="shared" si="0"/>
        <v>0</v>
      </c>
    </row>
    <row r="21" spans="2:12">
      <c r="B21" s="256"/>
      <c r="C21" s="256"/>
      <c r="D21" s="277"/>
      <c r="E21" s="290"/>
      <c r="F21" s="290"/>
      <c r="G21" s="290"/>
      <c r="H21" s="290"/>
      <c r="I21" s="230">
        <f t="shared" si="3"/>
        <v>0</v>
      </c>
      <c r="L21" s="230">
        <f t="shared" si="0"/>
        <v>0</v>
      </c>
    </row>
    <row r="22" spans="2:12">
      <c r="B22" s="256"/>
      <c r="C22" s="256"/>
      <c r="D22" s="277"/>
      <c r="E22" s="290"/>
      <c r="F22" s="290"/>
      <c r="G22" s="290"/>
      <c r="H22" s="290"/>
      <c r="I22" s="230">
        <f t="shared" si="3"/>
        <v>0</v>
      </c>
      <c r="L22" s="230">
        <f t="shared" si="0"/>
        <v>0</v>
      </c>
    </row>
    <row r="23" spans="2:12">
      <c r="B23" s="256"/>
      <c r="C23" s="256"/>
      <c r="D23" s="277"/>
      <c r="E23" s="290"/>
      <c r="F23" s="290"/>
      <c r="G23" s="290"/>
      <c r="H23" s="290"/>
      <c r="I23" s="230">
        <f t="shared" si="3"/>
        <v>0</v>
      </c>
      <c r="L23" s="230">
        <f t="shared" si="0"/>
        <v>0</v>
      </c>
    </row>
    <row r="24" spans="2:12">
      <c r="B24" s="256"/>
      <c r="C24" s="256"/>
      <c r="D24" s="277"/>
      <c r="E24" s="290"/>
      <c r="F24" s="290"/>
      <c r="G24" s="290"/>
      <c r="H24" s="290"/>
      <c r="I24" s="230">
        <f t="shared" si="3"/>
        <v>0</v>
      </c>
      <c r="L24"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codeName="Sheet269">
    <tabColor rgb="FFFFC000"/>
  </sheetPr>
  <dimension ref="A1:C5"/>
  <sheetViews>
    <sheetView workbookViewId="0">
      <selection activeCell="F15" sqref="F15:F1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565</v>
      </c>
      <c r="B2" s="291">
        <f>ROUND(SUMIF(应付股利明细表!C:C,A2,应付股利明细表!H:H),2)</f>
        <v>0</v>
      </c>
      <c r="C2" s="291">
        <f>ROUND(SUMIF(应付股利明细表!C:C,A2,应付股利明细表!D:D),2)</f>
        <v>0</v>
      </c>
    </row>
    <row r="3" spans="1:3" ht="14.4">
      <c r="A3" s="34" t="s">
        <v>4531</v>
      </c>
      <c r="B3" s="291">
        <f>ROUND(SUMIF(应付股利明细表!C:C,A3,应付股利明细表!H:H),2)</f>
        <v>0</v>
      </c>
      <c r="C3" s="291">
        <f>ROUND(SUMIF(应付股利明细表!C:C,A3,应付股利明细表!D:D),2)</f>
        <v>0</v>
      </c>
    </row>
    <row r="4" spans="1:3" ht="14.4">
      <c r="A4" s="34" t="s">
        <v>202</v>
      </c>
      <c r="B4" s="291">
        <f>ROUND(SUMIF(应付股利明细表!C:C,A4,应付股利明细表!H:H),2)</f>
        <v>0</v>
      </c>
      <c r="C4" s="291">
        <f>ROUND(SUMIF(应付股利明细表!C:C,A4,应付股利明细表!D:D),2)</f>
        <v>0</v>
      </c>
    </row>
    <row r="5" spans="1:3" ht="14.4">
      <c r="A5" s="35" t="s">
        <v>204</v>
      </c>
      <c r="B5" s="157">
        <f>ROUND(SUM(B2:B4),2)</f>
        <v>0</v>
      </c>
      <c r="C5" s="157">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codeName="Sheet27">
    <tabColor rgb="FF00B0F0"/>
  </sheetPr>
  <dimension ref="A1:C53"/>
  <sheetViews>
    <sheetView workbookViewId="0">
      <selection activeCell="G24" sqref="G24"/>
    </sheetView>
  </sheetViews>
  <sheetFormatPr defaultRowHeight="13.8"/>
  <cols>
    <col min="1" max="1" width="27.109375" bestFit="1" customWidth="1"/>
    <col min="2" max="2" width="15.44140625" style="230" bestFit="1" customWidth="1"/>
    <col min="3" max="3" width="13.88671875" bestFit="1" customWidth="1"/>
  </cols>
  <sheetData>
    <row r="1" spans="1:3">
      <c r="A1" s="245" t="s">
        <v>95</v>
      </c>
      <c r="B1" s="377" t="s">
        <v>2523</v>
      </c>
      <c r="C1" t="s">
        <v>1844</v>
      </c>
    </row>
    <row r="2" spans="1:3">
      <c r="A2" s="262" t="s">
        <v>2839</v>
      </c>
      <c r="B2" s="378">
        <f>B5+B7+B9+B11+B13</f>
        <v>0</v>
      </c>
    </row>
    <row r="3" spans="1:3">
      <c r="A3" s="262" t="s">
        <v>2838</v>
      </c>
      <c r="B3" s="378">
        <f>B6+B8+B10+B12+B14</f>
        <v>0</v>
      </c>
    </row>
    <row r="4" spans="1:3">
      <c r="A4" s="262" t="s">
        <v>2843</v>
      </c>
      <c r="B4" s="264">
        <f>B2-B3</f>
        <v>0</v>
      </c>
    </row>
    <row r="5" spans="1:3">
      <c r="A5" s="292" t="s">
        <v>2850</v>
      </c>
      <c r="B5" s="290"/>
    </row>
    <row r="6" spans="1:3">
      <c r="A6" s="292" t="s">
        <v>2851</v>
      </c>
      <c r="B6" s="290"/>
    </row>
    <row r="7" spans="1:3">
      <c r="A7" s="292" t="s">
        <v>2852</v>
      </c>
      <c r="B7" s="290"/>
    </row>
    <row r="8" spans="1:3">
      <c r="A8" s="292" t="s">
        <v>2853</v>
      </c>
      <c r="B8" s="290"/>
    </row>
    <row r="9" spans="1:3">
      <c r="A9" s="292" t="s">
        <v>2854</v>
      </c>
      <c r="B9" s="290"/>
    </row>
    <row r="10" spans="1:3">
      <c r="A10" s="292" t="s">
        <v>2855</v>
      </c>
      <c r="B10" s="290"/>
    </row>
    <row r="11" spans="1:3">
      <c r="A11" s="292" t="s">
        <v>2874</v>
      </c>
      <c r="B11" s="290"/>
    </row>
    <row r="12" spans="1:3">
      <c r="A12" s="292" t="s">
        <v>2875</v>
      </c>
      <c r="B12" s="290"/>
    </row>
    <row r="13" spans="1:3">
      <c r="A13" s="292" t="s">
        <v>2876</v>
      </c>
      <c r="B13" s="290"/>
    </row>
    <row r="14" spans="1:3">
      <c r="A14" s="292" t="s">
        <v>2877</v>
      </c>
      <c r="B14" s="290"/>
    </row>
    <row r="15" spans="1:3">
      <c r="B15" s="290"/>
    </row>
    <row r="16" spans="1:3">
      <c r="B16" s="290"/>
    </row>
    <row r="17" spans="1:2">
      <c r="B17" s="290"/>
    </row>
    <row r="18" spans="1:2">
      <c r="A18" s="262" t="s">
        <v>2840</v>
      </c>
      <c r="B18" s="264">
        <f>B22+B25+B28+B30+B33</f>
        <v>0</v>
      </c>
    </row>
    <row r="19" spans="1:2">
      <c r="A19" s="262" t="s">
        <v>2841</v>
      </c>
      <c r="B19" s="264">
        <f>B23+B26+B31</f>
        <v>0</v>
      </c>
    </row>
    <row r="20" spans="1:2">
      <c r="A20" s="262" t="s">
        <v>2842</v>
      </c>
      <c r="B20" s="264">
        <f>B24+B27+B29+B32+B34</f>
        <v>0</v>
      </c>
    </row>
    <row r="21" spans="1:2">
      <c r="A21" s="262" t="s">
        <v>2844</v>
      </c>
      <c r="B21" s="264">
        <f>B18-B19-B20</f>
        <v>0</v>
      </c>
    </row>
    <row r="22" spans="1:2">
      <c r="A22" s="292" t="s">
        <v>2856</v>
      </c>
      <c r="B22" s="260">
        <f>SUMIF(固定资产明细表!I:I,"原值本期减少处置",固定资产明细表!F:F)+SUMIF(固定资产明细表!I:I,"原值本期减少报废、毁损",固定资产明细表!F:F)</f>
        <v>0</v>
      </c>
    </row>
    <row r="23" spans="1:2">
      <c r="A23" s="292" t="s">
        <v>2857</v>
      </c>
      <c r="B23" s="260">
        <f>SUMIF(固定资产明细表!I:I,"累计折旧本期减少处置",固定资产明细表!F:F)+SUMIF(固定资产明细表!I:I,"累计折旧本期减少报废、毁损",固定资产明细表!F:F)</f>
        <v>0</v>
      </c>
    </row>
    <row r="24" spans="1:2">
      <c r="A24" s="292" t="s">
        <v>995</v>
      </c>
      <c r="B24" s="260">
        <f>SUMIF(固定资产明细表!I:I,"减值准备本期减少处置",固定资产明细表!F:F)+SUMIF(固定资产明细表!I:I,"减值准备本期减少报废、毁损",固定资产明细表!F:F)</f>
        <v>0</v>
      </c>
    </row>
    <row r="25" spans="1:2">
      <c r="A25" s="292" t="s">
        <v>2858</v>
      </c>
      <c r="B25" s="260">
        <f>SUMIF(无形资产明细表!I:I,"原值本期减少处置",无形资产明细表!F:F)+SUMIF(无形资产明细表!I:I,"原值本期减少报废、毁损",无形资产明细表!F:F)</f>
        <v>0</v>
      </c>
    </row>
    <row r="26" spans="1:2">
      <c r="A26" s="292" t="s">
        <v>2859</v>
      </c>
      <c r="B26" s="260">
        <f>SUMIF(无形资产明细表!I:I,"累计折旧本期减少处置",无形资产明细表!F:F)+SUMIF(无形资产明细表!I:I,"累计折旧本期减少报废、毁损",无形资产明细表!F:F)</f>
        <v>0</v>
      </c>
    </row>
    <row r="27" spans="1:2">
      <c r="A27" s="292" t="s">
        <v>2382</v>
      </c>
      <c r="B27" s="260">
        <f>SUMIF(无形资产明细表!I:I,"减值准备本期减少处置",无形资产明细表!F:F)+SUMIF(无形资产明细表!I:I,"减值准备本期减少报废、毁损",无形资产明细表!F:F)</f>
        <v>0</v>
      </c>
    </row>
    <row r="28" spans="1:2">
      <c r="A28" s="292" t="s">
        <v>2860</v>
      </c>
      <c r="B28" s="290"/>
    </row>
    <row r="29" spans="1:2">
      <c r="A29" s="292" t="s">
        <v>2381</v>
      </c>
      <c r="B29" s="290"/>
    </row>
    <row r="30" spans="1:2">
      <c r="A30" s="292" t="s">
        <v>2861</v>
      </c>
      <c r="B30" s="260">
        <f>SUMIF(成本法核算投资性房地产明细表!I:I,"原值本期减少处置",成本法核算投资性房地产明细表!F:F)+SUMIF(成本法核算投资性房地产明细表!I:I,"原值本期减少报废、毁损",成本法核算投资性房地产明细表!F:F)</f>
        <v>0</v>
      </c>
    </row>
    <row r="31" spans="1:2">
      <c r="A31" s="292" t="s">
        <v>1677</v>
      </c>
      <c r="B31" s="260">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92" t="s">
        <v>1678</v>
      </c>
      <c r="B32" s="260">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92" t="s">
        <v>2871</v>
      </c>
      <c r="B33" s="290"/>
    </row>
    <row r="34" spans="1:3">
      <c r="A34" s="292" t="s">
        <v>2873</v>
      </c>
      <c r="B34" s="260">
        <f>持有待售资产减值准备情况!E12</f>
        <v>0</v>
      </c>
    </row>
    <row r="35" spans="1:3">
      <c r="B35" s="290"/>
    </row>
    <row r="36" spans="1:3">
      <c r="A36" s="262" t="s">
        <v>2845</v>
      </c>
      <c r="B36" s="264">
        <f>B4-B21</f>
        <v>0</v>
      </c>
    </row>
    <row r="37" spans="1:3">
      <c r="A37" t="s">
        <v>1194</v>
      </c>
      <c r="B37" s="230">
        <f>利润表!B35</f>
        <v>3131735.07</v>
      </c>
    </row>
    <row r="38" spans="1:3">
      <c r="A38" t="s">
        <v>721</v>
      </c>
      <c r="B38" s="230">
        <f>_xlfn.IFNA(VLOOKUP(A38,营业外收入!A:B,2,0),0)</f>
        <v>0</v>
      </c>
      <c r="C38" t="s">
        <v>1200</v>
      </c>
    </row>
    <row r="39" spans="1:3">
      <c r="A39" t="s">
        <v>723</v>
      </c>
      <c r="B39" s="230">
        <f>-_xlfn.IFNA(VLOOKUP(A39,营业外支出!A:B,2,0),0)</f>
        <v>0</v>
      </c>
      <c r="C39" t="s">
        <v>1202</v>
      </c>
    </row>
    <row r="40" spans="1:3">
      <c r="A40" t="s">
        <v>2862</v>
      </c>
      <c r="B40" s="290"/>
      <c r="C40" t="s">
        <v>2332</v>
      </c>
    </row>
    <row r="41" spans="1:3">
      <c r="A41" t="s">
        <v>2863</v>
      </c>
      <c r="B41" s="290"/>
      <c r="C41" t="s">
        <v>2333</v>
      </c>
    </row>
    <row r="47" spans="1:3">
      <c r="A47" t="s">
        <v>2846</v>
      </c>
      <c r="B47" s="230">
        <f>SUM(B37:B46)</f>
        <v>3131735.07</v>
      </c>
    </row>
    <row r="48" spans="1:3">
      <c r="A48" s="262" t="s">
        <v>2579</v>
      </c>
      <c r="B48" s="264">
        <f>B36-B47</f>
        <v>-3131735.07</v>
      </c>
    </row>
    <row r="50" spans="1:3">
      <c r="A50" t="s">
        <v>2847</v>
      </c>
      <c r="B50" s="290"/>
      <c r="C50" t="s">
        <v>891</v>
      </c>
    </row>
    <row r="51" spans="1:3">
      <c r="A51" t="s">
        <v>2848</v>
      </c>
      <c r="B51" s="290"/>
      <c r="C51" t="s">
        <v>891</v>
      </c>
    </row>
    <row r="52" spans="1:3">
      <c r="A52" t="s">
        <v>2849</v>
      </c>
      <c r="B52" s="230">
        <f>现金流量表!B33</f>
        <v>3131735.07</v>
      </c>
    </row>
    <row r="53" spans="1:3">
      <c r="A53" t="s">
        <v>2391</v>
      </c>
      <c r="B53" s="230">
        <f>B2+B50-B51-B52</f>
        <v>-3131735.07</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codeName="Sheet270">
    <tabColor rgb="FFFFC000"/>
  </sheetPr>
  <dimension ref="A1:C6"/>
  <sheetViews>
    <sheetView workbookViewId="0">
      <selection activeCell="L22" sqref="L22"/>
    </sheetView>
  </sheetViews>
  <sheetFormatPr defaultRowHeight="13.8"/>
  <cols>
    <col min="1" max="1" width="8.88671875" style="18"/>
    <col min="2" max="3" width="11.6640625" style="18" bestFit="1" customWidth="1"/>
    <col min="4" max="16384" width="8.88671875" style="18"/>
  </cols>
  <sheetData>
    <row r="1" spans="1:3" ht="14.4">
      <c r="A1" s="19" t="s">
        <v>28</v>
      </c>
      <c r="B1" s="20" t="s">
        <v>4232</v>
      </c>
      <c r="C1" s="20" t="s">
        <v>566</v>
      </c>
    </row>
    <row r="2" spans="1:3" ht="14.4">
      <c r="A2" s="269"/>
      <c r="B2" s="270"/>
      <c r="C2" s="270"/>
    </row>
    <row r="3" spans="1:3" ht="14.4">
      <c r="A3" s="269"/>
      <c r="B3" s="270"/>
      <c r="C3" s="270"/>
    </row>
    <row r="4" spans="1:3" ht="14.4">
      <c r="A4" s="269"/>
      <c r="B4" s="270"/>
      <c r="C4" s="270"/>
    </row>
    <row r="5" spans="1:3" ht="14.4">
      <c r="A5" s="269"/>
      <c r="B5" s="281"/>
      <c r="C5" s="269"/>
    </row>
    <row r="6" spans="1:3" ht="14.4">
      <c r="A6" s="19" t="s">
        <v>282</v>
      </c>
      <c r="B6" s="69">
        <f>SUM(B2:B5)</f>
        <v>0</v>
      </c>
      <c r="C6" s="335"/>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sheetPr codeName="Sheet271"/>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30" bestFit="1" customWidth="1"/>
    <col min="9" max="9" width="9.6640625" style="230" bestFit="1" customWidth="1"/>
    <col min="10" max="11" width="8.6640625" style="230" bestFit="1" customWidth="1"/>
    <col min="12" max="12" width="9.6640625" style="230" bestFit="1" customWidth="1"/>
    <col min="13" max="13" width="6.6640625" style="230" bestFit="1" customWidth="1"/>
    <col min="14" max="14" width="24.88671875" bestFit="1" customWidth="1"/>
  </cols>
  <sheetData>
    <row r="1" spans="1:14">
      <c r="A1" t="s">
        <v>2427</v>
      </c>
      <c r="B1" t="s">
        <v>4397</v>
      </c>
      <c r="C1" t="s">
        <v>2016</v>
      </c>
      <c r="D1" t="s">
        <v>610</v>
      </c>
      <c r="E1" t="s">
        <v>391</v>
      </c>
      <c r="F1" t="s">
        <v>4529</v>
      </c>
      <c r="G1" t="s">
        <v>509</v>
      </c>
      <c r="H1" s="230" t="s">
        <v>422</v>
      </c>
      <c r="I1" s="230" t="s">
        <v>277</v>
      </c>
      <c r="J1" s="230" t="s">
        <v>4267</v>
      </c>
      <c r="K1" s="230" t="s">
        <v>4268</v>
      </c>
      <c r="L1" s="230" t="s">
        <v>280</v>
      </c>
      <c r="M1" s="230" t="s">
        <v>2391</v>
      </c>
      <c r="N1" t="s">
        <v>4530</v>
      </c>
    </row>
    <row r="2" spans="1:14">
      <c r="A2" t="str">
        <f>IF(OR(D2&gt;0,H2&gt;0),基础信息!B1,"")</f>
        <v/>
      </c>
      <c r="C2" s="277"/>
      <c r="H2" s="230">
        <f>D2+E2+F2-G2</f>
        <v>0</v>
      </c>
      <c r="M2" s="230">
        <f>H2-SUM(I2:L2)</f>
        <v>0</v>
      </c>
    </row>
    <row r="3" spans="1:14">
      <c r="A3" t="str">
        <f>IF(OR(D3&gt;0,H3&gt;0),基础信息!B2,"")</f>
        <v/>
      </c>
      <c r="C3" s="277"/>
      <c r="H3" s="230">
        <f t="shared" ref="H3:H22" si="0">D3+E3+F3-G3</f>
        <v>0</v>
      </c>
      <c r="M3" s="230">
        <f t="shared" ref="M3:M22" si="1">H3-SUM(I3:L3)</f>
        <v>0</v>
      </c>
    </row>
    <row r="4" spans="1:14">
      <c r="A4" t="str">
        <f>IF(OR(D4&gt;0,H4&gt;0),基础信息!B3,"")</f>
        <v/>
      </c>
      <c r="C4" s="277"/>
      <c r="H4" s="230">
        <f t="shared" si="0"/>
        <v>0</v>
      </c>
      <c r="M4" s="230">
        <f t="shared" si="1"/>
        <v>0</v>
      </c>
    </row>
    <row r="5" spans="1:14">
      <c r="A5" t="str">
        <f>IF(OR(D5&gt;0,H5&gt;0),基础信息!B4,"")</f>
        <v/>
      </c>
      <c r="C5" s="277"/>
      <c r="H5" s="230">
        <f t="shared" si="0"/>
        <v>0</v>
      </c>
      <c r="M5" s="230">
        <f t="shared" si="1"/>
        <v>0</v>
      </c>
    </row>
    <row r="6" spans="1:14">
      <c r="A6" t="str">
        <f>IF(OR(D6&gt;0,H6&gt;0),基础信息!B5,"")</f>
        <v/>
      </c>
      <c r="C6" s="277"/>
      <c r="H6" s="230">
        <f t="shared" si="0"/>
        <v>0</v>
      </c>
      <c r="M6" s="230">
        <f t="shared" si="1"/>
        <v>0</v>
      </c>
    </row>
    <row r="7" spans="1:14">
      <c r="A7" t="str">
        <f>IF(OR(D7&gt;0,H7&gt;0),基础信息!B6,"")</f>
        <v/>
      </c>
      <c r="C7" s="277"/>
      <c r="H7" s="230">
        <f t="shared" si="0"/>
        <v>0</v>
      </c>
      <c r="M7" s="230">
        <f t="shared" si="1"/>
        <v>0</v>
      </c>
    </row>
    <row r="8" spans="1:14">
      <c r="A8" t="str">
        <f>IF(OR(D8&gt;0,H8&gt;0),基础信息!B7,"")</f>
        <v/>
      </c>
      <c r="C8" s="277"/>
      <c r="H8" s="230">
        <f t="shared" si="0"/>
        <v>0</v>
      </c>
      <c r="M8" s="230">
        <f t="shared" si="1"/>
        <v>0</v>
      </c>
    </row>
    <row r="9" spans="1:14">
      <c r="A9" t="str">
        <f>IF(OR(D9&gt;0,H9&gt;0),基础信息!B8,"")</f>
        <v/>
      </c>
      <c r="C9" s="277"/>
      <c r="H9" s="230">
        <f t="shared" si="0"/>
        <v>0</v>
      </c>
      <c r="M9" s="230">
        <f t="shared" si="1"/>
        <v>0</v>
      </c>
    </row>
    <row r="10" spans="1:14">
      <c r="A10" t="str">
        <f>IF(OR(D10&gt;0,H10&gt;0),基础信息!B9,"")</f>
        <v/>
      </c>
      <c r="C10" s="277"/>
      <c r="H10" s="230">
        <f t="shared" si="0"/>
        <v>0</v>
      </c>
      <c r="M10" s="230">
        <f t="shared" si="1"/>
        <v>0</v>
      </c>
    </row>
    <row r="11" spans="1:14">
      <c r="A11" t="str">
        <f>IF(OR(D11&gt;0,H11&gt;0),基础信息!B10,"")</f>
        <v/>
      </c>
      <c r="C11" s="277"/>
      <c r="H11" s="230">
        <f t="shared" si="0"/>
        <v>0</v>
      </c>
      <c r="M11" s="230">
        <f t="shared" si="1"/>
        <v>0</v>
      </c>
    </row>
    <row r="12" spans="1:14">
      <c r="A12" t="str">
        <f>IF(OR(D12&gt;0,H12&gt;0),基础信息!B11,"")</f>
        <v/>
      </c>
      <c r="C12" s="277"/>
      <c r="H12" s="230">
        <f t="shared" si="0"/>
        <v>0</v>
      </c>
      <c r="M12" s="230">
        <f t="shared" si="1"/>
        <v>0</v>
      </c>
    </row>
    <row r="13" spans="1:14">
      <c r="A13" t="str">
        <f>IF(OR(D13&gt;0,H13&gt;0),基础信息!B12,"")</f>
        <v/>
      </c>
      <c r="C13" s="277"/>
      <c r="H13" s="230">
        <f t="shared" si="0"/>
        <v>0</v>
      </c>
      <c r="M13" s="230">
        <f t="shared" si="1"/>
        <v>0</v>
      </c>
    </row>
    <row r="14" spans="1:14">
      <c r="A14" t="str">
        <f>IF(OR(D14&gt;0,H14&gt;0),基础信息!B13,"")</f>
        <v/>
      </c>
      <c r="C14" s="277"/>
      <c r="H14" s="230">
        <f t="shared" si="0"/>
        <v>0</v>
      </c>
      <c r="M14" s="230">
        <f t="shared" si="1"/>
        <v>0</v>
      </c>
    </row>
    <row r="15" spans="1:14">
      <c r="A15" t="str">
        <f>IF(OR(D15&gt;0,H15&gt;0),基础信息!B14,"")</f>
        <v/>
      </c>
      <c r="C15" s="277"/>
      <c r="H15" s="230">
        <f t="shared" si="0"/>
        <v>0</v>
      </c>
      <c r="M15" s="230">
        <f t="shared" si="1"/>
        <v>0</v>
      </c>
    </row>
    <row r="16" spans="1:14">
      <c r="A16" t="str">
        <f>IF(OR(D16&gt;0,H16&gt;0),基础信息!B15,"")</f>
        <v/>
      </c>
      <c r="C16" s="277"/>
      <c r="H16" s="230">
        <f t="shared" si="0"/>
        <v>0</v>
      </c>
      <c r="M16" s="230">
        <f t="shared" si="1"/>
        <v>0</v>
      </c>
    </row>
    <row r="17" spans="1:13">
      <c r="A17" t="str">
        <f>IF(OR(D17&gt;0,H17&gt;0),基础信息!B16,"")</f>
        <v/>
      </c>
      <c r="C17" s="277"/>
      <c r="H17" s="230">
        <f t="shared" si="0"/>
        <v>0</v>
      </c>
      <c r="M17" s="230">
        <f t="shared" si="1"/>
        <v>0</v>
      </c>
    </row>
    <row r="18" spans="1:13">
      <c r="A18" t="str">
        <f>IF(OR(D18&gt;0,H18&gt;0),基础信息!B17,"")</f>
        <v/>
      </c>
      <c r="C18" s="277"/>
      <c r="H18" s="230">
        <f t="shared" si="0"/>
        <v>0</v>
      </c>
      <c r="M18" s="230">
        <f t="shared" si="1"/>
        <v>0</v>
      </c>
    </row>
    <row r="19" spans="1:13">
      <c r="A19" t="str">
        <f>IF(OR(D19&gt;0,H19&gt;0),基础信息!B18,"")</f>
        <v/>
      </c>
      <c r="C19" s="277"/>
      <c r="H19" s="230">
        <f t="shared" si="0"/>
        <v>0</v>
      </c>
      <c r="M19" s="230">
        <f t="shared" si="1"/>
        <v>0</v>
      </c>
    </row>
    <row r="20" spans="1:13">
      <c r="A20" t="str">
        <f>IF(OR(D20&gt;0,H20&gt;0),基础信息!B19,"")</f>
        <v/>
      </c>
      <c r="C20" s="277"/>
      <c r="H20" s="230">
        <f t="shared" si="0"/>
        <v>0</v>
      </c>
      <c r="M20" s="230">
        <f t="shared" si="1"/>
        <v>0</v>
      </c>
    </row>
    <row r="21" spans="1:13">
      <c r="A21" t="str">
        <f>IF(OR(D21&gt;0,H21&gt;0),基础信息!B20,"")</f>
        <v/>
      </c>
      <c r="C21" s="277"/>
      <c r="H21" s="230">
        <f t="shared" si="0"/>
        <v>0</v>
      </c>
      <c r="M21" s="230">
        <f t="shared" si="1"/>
        <v>0</v>
      </c>
    </row>
    <row r="22" spans="1:13">
      <c r="A22" t="str">
        <f>IF(OR(D22&gt;0,H22&gt;0),基础信息!B21,"")</f>
        <v/>
      </c>
      <c r="C22" s="277"/>
      <c r="H22" s="230">
        <f t="shared" si="0"/>
        <v>0</v>
      </c>
      <c r="M22" s="230">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codeName="Sheet272">
    <tabColor rgb="FFFFC000"/>
  </sheetPr>
  <dimension ref="A1:C6"/>
  <sheetViews>
    <sheetView workbookViewId="0">
      <selection activeCell="G15" sqref="G15"/>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91"/>
      <c r="B2" s="300">
        <f>ROUND(SUMIF(其他应付款明细表!D:D,A2,其他应付款明细表!C:C),2)</f>
        <v>0</v>
      </c>
      <c r="C2" s="281"/>
    </row>
    <row r="3" spans="1:3" ht="14.4">
      <c r="A3" s="591"/>
      <c r="B3" s="300">
        <f>ROUND(SUMIF(其他应付款明细表!D:D,A3,其他应付款明细表!C:C),2)</f>
        <v>0</v>
      </c>
      <c r="C3" s="281"/>
    </row>
    <row r="4" spans="1:3" ht="14.4">
      <c r="A4" s="591"/>
      <c r="B4" s="300">
        <f>ROUND(SUMIF(其他应付款明细表!D:D,A4,其他应付款明细表!C:C),2)</f>
        <v>0</v>
      </c>
      <c r="C4" s="281"/>
    </row>
    <row r="5" spans="1:3" ht="14.4">
      <c r="A5" s="591"/>
      <c r="B5" s="300">
        <f>ROUND(SUMIF(其他应付款明细表!D:D,A5,其他应付款明细表!C:C),2)</f>
        <v>0</v>
      </c>
      <c r="C5" s="281"/>
    </row>
    <row r="6" spans="1:3" ht="14.4">
      <c r="A6" s="20" t="s">
        <v>204</v>
      </c>
      <c r="B6" s="50">
        <f>ROUND(SUM(B2:B5),2)</f>
        <v>0</v>
      </c>
      <c r="C6" s="50">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codeName="Sheet273">
    <tabColor rgb="FFFFC000"/>
  </sheetPr>
  <dimension ref="A1:C4"/>
  <sheetViews>
    <sheetView workbookViewId="0">
      <selection activeCell="D18" sqref="D18"/>
    </sheetView>
  </sheetViews>
  <sheetFormatPr defaultRowHeight="13.8"/>
  <cols>
    <col min="1" max="3" width="24.33203125" style="18" customWidth="1"/>
    <col min="4" max="16384" width="8.88671875" style="18"/>
  </cols>
  <sheetData>
    <row r="1" spans="1:3">
      <c r="A1" s="24" t="s">
        <v>536</v>
      </c>
      <c r="B1" s="24" t="s">
        <v>258</v>
      </c>
      <c r="C1" s="24" t="s">
        <v>4532</v>
      </c>
    </row>
    <row r="2" spans="1:3">
      <c r="A2" s="336"/>
      <c r="B2" s="337"/>
      <c r="C2" s="322"/>
    </row>
    <row r="3" spans="1:3">
      <c r="A3" s="336"/>
      <c r="B3" s="337"/>
      <c r="C3" s="322"/>
    </row>
    <row r="4" spans="1:3">
      <c r="A4" s="24" t="s">
        <v>204</v>
      </c>
      <c r="B4" s="78">
        <f>ROUND(SUM(B2:B3),2)</f>
        <v>0</v>
      </c>
      <c r="C4" s="77"/>
    </row>
  </sheetData>
  <phoneticPr fontId="1"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sheetPr codeName="Sheet274"/>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A7" sqref="A7"/>
    </sheetView>
  </sheetViews>
  <sheetFormatPr defaultRowHeight="13.8"/>
  <cols>
    <col min="1" max="10" width="14.77734375" customWidth="1"/>
    <col min="11" max="11" width="24.88671875" bestFit="1" customWidth="1"/>
  </cols>
  <sheetData>
    <row r="1" spans="1:11" s="338" customFormat="1">
      <c r="A1" s="327" t="s">
        <v>2015</v>
      </c>
      <c r="B1" s="327" t="s">
        <v>125</v>
      </c>
      <c r="C1" s="328" t="s">
        <v>183</v>
      </c>
      <c r="D1" s="328" t="s">
        <v>2388</v>
      </c>
      <c r="E1" s="328" t="s">
        <v>2538</v>
      </c>
      <c r="F1" s="328" t="s">
        <v>278</v>
      </c>
      <c r="G1" s="328" t="s">
        <v>279</v>
      </c>
      <c r="H1" s="328" t="s">
        <v>280</v>
      </c>
      <c r="I1" s="329" t="s">
        <v>204</v>
      </c>
      <c r="J1" s="328" t="s">
        <v>2391</v>
      </c>
      <c r="K1" s="338" t="s">
        <v>4533</v>
      </c>
    </row>
    <row r="2" spans="1:11">
      <c r="A2" s="230" t="str">
        <f>IF(C2&gt;0,基础信息!$B$1,"")</f>
        <v/>
      </c>
      <c r="B2" s="256"/>
      <c r="C2" s="256"/>
      <c r="D2" s="277"/>
      <c r="E2" s="256"/>
      <c r="F2" s="256"/>
      <c r="G2" s="256"/>
      <c r="H2" s="256"/>
      <c r="I2" s="230">
        <f>SUM(E2:H2)</f>
        <v>0</v>
      </c>
      <c r="J2" s="231">
        <f>C2-I2</f>
        <v>0</v>
      </c>
    </row>
    <row r="3" spans="1:11">
      <c r="A3" s="230" t="str">
        <f>IF(C3&gt;0,基础信息!$B$1,"")</f>
        <v/>
      </c>
      <c r="B3" s="256"/>
      <c r="C3" s="256"/>
      <c r="D3" s="277"/>
      <c r="E3" s="256"/>
      <c r="F3" s="256"/>
      <c r="G3" s="256"/>
      <c r="H3" s="256"/>
      <c r="I3" s="230">
        <f t="shared" ref="I3:I21" si="0">SUM(E3:H3)</f>
        <v>0</v>
      </c>
      <c r="J3" s="231">
        <f t="shared" ref="J3:J21" si="1">C3-I3</f>
        <v>0</v>
      </c>
    </row>
    <row r="4" spans="1:11">
      <c r="A4" s="230" t="str">
        <f>IF(C4&gt;0,基础信息!$B$1,"")</f>
        <v/>
      </c>
      <c r="B4" s="256"/>
      <c r="C4" s="256"/>
      <c r="D4" s="277"/>
      <c r="E4" s="256"/>
      <c r="F4" s="256"/>
      <c r="G4" s="256"/>
      <c r="H4" s="256"/>
      <c r="I4" s="230">
        <f t="shared" si="0"/>
        <v>0</v>
      </c>
      <c r="J4" s="231">
        <f t="shared" si="1"/>
        <v>0</v>
      </c>
    </row>
    <row r="5" spans="1:11">
      <c r="A5" s="230" t="str">
        <f>IF(C5&gt;0,基础信息!$B$1,"")</f>
        <v/>
      </c>
      <c r="B5" s="256"/>
      <c r="C5" s="256"/>
      <c r="D5" s="277"/>
      <c r="E5" s="256"/>
      <c r="F5" s="256"/>
      <c r="G5" s="256"/>
      <c r="H5" s="256"/>
      <c r="I5" s="230">
        <f t="shared" si="0"/>
        <v>0</v>
      </c>
      <c r="J5" s="231">
        <f t="shared" si="1"/>
        <v>0</v>
      </c>
    </row>
    <row r="6" spans="1:11">
      <c r="A6" s="230" t="str">
        <f>IF(C6&gt;0,基础信息!$B$1,"")</f>
        <v/>
      </c>
      <c r="B6" s="256"/>
      <c r="C6" s="256"/>
      <c r="D6" s="277"/>
      <c r="E6" s="256"/>
      <c r="F6" s="256"/>
      <c r="G6" s="256"/>
      <c r="H6" s="256"/>
      <c r="I6" s="230">
        <f t="shared" si="0"/>
        <v>0</v>
      </c>
      <c r="J6" s="231">
        <f t="shared" si="1"/>
        <v>0</v>
      </c>
    </row>
    <row r="7" spans="1:11">
      <c r="A7" s="230" t="str">
        <f>IF(C7&gt;0,基础信息!$B$1,"")</f>
        <v/>
      </c>
      <c r="B7" s="256"/>
      <c r="C7" s="256"/>
      <c r="D7" s="277"/>
      <c r="E7" s="256"/>
      <c r="F7" s="256"/>
      <c r="G7" s="256"/>
      <c r="H7" s="256"/>
      <c r="I7" s="230">
        <f t="shared" si="0"/>
        <v>0</v>
      </c>
      <c r="J7" s="231">
        <f t="shared" si="1"/>
        <v>0</v>
      </c>
    </row>
    <row r="8" spans="1:11">
      <c r="A8" s="230" t="str">
        <f>IF(C8&gt;0,基础信息!$B$1,"")</f>
        <v/>
      </c>
      <c r="B8" s="256"/>
      <c r="C8" s="256"/>
      <c r="D8" s="277"/>
      <c r="E8" s="256"/>
      <c r="F8" s="256"/>
      <c r="G8" s="256"/>
      <c r="H8" s="256"/>
      <c r="I8" s="230">
        <f t="shared" si="0"/>
        <v>0</v>
      </c>
      <c r="J8" s="231">
        <f t="shared" si="1"/>
        <v>0</v>
      </c>
    </row>
    <row r="9" spans="1:11">
      <c r="A9" s="230" t="str">
        <f>IF(C9&gt;0,基础信息!$B$1,"")</f>
        <v/>
      </c>
      <c r="B9" s="256"/>
      <c r="C9" s="256"/>
      <c r="D9" s="277"/>
      <c r="E9" s="256"/>
      <c r="F9" s="256"/>
      <c r="G9" s="256"/>
      <c r="H9" s="256"/>
      <c r="I9" s="230">
        <f t="shared" si="0"/>
        <v>0</v>
      </c>
      <c r="J9" s="231">
        <f t="shared" si="1"/>
        <v>0</v>
      </c>
    </row>
    <row r="10" spans="1:11">
      <c r="A10" s="230" t="str">
        <f>IF(C10&gt;0,基础信息!$B$1,"")</f>
        <v/>
      </c>
      <c r="B10" s="256"/>
      <c r="C10" s="256"/>
      <c r="D10" s="277"/>
      <c r="E10" s="256"/>
      <c r="F10" s="256"/>
      <c r="G10" s="256"/>
      <c r="H10" s="256"/>
      <c r="I10" s="230">
        <f t="shared" si="0"/>
        <v>0</v>
      </c>
      <c r="J10" s="231">
        <f t="shared" si="1"/>
        <v>0</v>
      </c>
    </row>
    <row r="11" spans="1:11">
      <c r="A11" s="230" t="str">
        <f>IF(C11&gt;0,基础信息!$B$1,"")</f>
        <v/>
      </c>
      <c r="B11" s="256"/>
      <c r="C11" s="256"/>
      <c r="D11" s="277"/>
      <c r="E11" s="256"/>
      <c r="F11" s="256"/>
      <c r="G11" s="256"/>
      <c r="H11" s="256"/>
      <c r="I11" s="230">
        <f t="shared" si="0"/>
        <v>0</v>
      </c>
      <c r="J11" s="231">
        <f t="shared" si="1"/>
        <v>0</v>
      </c>
    </row>
    <row r="12" spans="1:11">
      <c r="A12" s="230" t="str">
        <f>IF(C12&gt;0,基础信息!$B$1,"")</f>
        <v/>
      </c>
      <c r="B12" s="256"/>
      <c r="C12" s="256"/>
      <c r="D12" s="277"/>
      <c r="E12" s="256"/>
      <c r="F12" s="256"/>
      <c r="G12" s="256"/>
      <c r="H12" s="256"/>
      <c r="I12" s="230">
        <f t="shared" si="0"/>
        <v>0</v>
      </c>
      <c r="J12" s="231">
        <f t="shared" si="1"/>
        <v>0</v>
      </c>
    </row>
    <row r="13" spans="1:11">
      <c r="A13" s="230" t="str">
        <f>IF(C13&gt;0,基础信息!$B$1,"")</f>
        <v/>
      </c>
      <c r="B13" s="256"/>
      <c r="C13" s="256"/>
      <c r="D13" s="277"/>
      <c r="E13" s="256"/>
      <c r="F13" s="256"/>
      <c r="G13" s="256"/>
      <c r="H13" s="256"/>
      <c r="I13" s="230">
        <f t="shared" si="0"/>
        <v>0</v>
      </c>
      <c r="J13" s="231">
        <f t="shared" si="1"/>
        <v>0</v>
      </c>
    </row>
    <row r="14" spans="1:11">
      <c r="A14" s="230" t="str">
        <f>IF(C14&gt;0,基础信息!$B$1,"")</f>
        <v/>
      </c>
      <c r="B14" s="256"/>
      <c r="C14" s="256"/>
      <c r="D14" s="277"/>
      <c r="E14" s="256"/>
      <c r="F14" s="256"/>
      <c r="G14" s="256"/>
      <c r="H14" s="256"/>
      <c r="I14" s="230">
        <f t="shared" si="0"/>
        <v>0</v>
      </c>
      <c r="J14" s="231">
        <f t="shared" si="1"/>
        <v>0</v>
      </c>
    </row>
    <row r="15" spans="1:11">
      <c r="A15" s="230" t="str">
        <f>IF(C15&gt;0,基础信息!$B$1,"")</f>
        <v/>
      </c>
      <c r="B15" s="256"/>
      <c r="C15" s="256"/>
      <c r="D15" s="277"/>
      <c r="E15" s="256"/>
      <c r="F15" s="256"/>
      <c r="G15" s="256"/>
      <c r="H15" s="256"/>
      <c r="I15" s="230">
        <f t="shared" si="0"/>
        <v>0</v>
      </c>
      <c r="J15" s="231">
        <f t="shared" si="1"/>
        <v>0</v>
      </c>
    </row>
    <row r="16" spans="1:11">
      <c r="A16" s="230" t="str">
        <f>IF(C16&gt;0,基础信息!$B$1,"")</f>
        <v/>
      </c>
      <c r="B16" s="256"/>
      <c r="C16" s="256"/>
      <c r="D16" s="277"/>
      <c r="E16" s="256"/>
      <c r="F16" s="256"/>
      <c r="G16" s="256"/>
      <c r="H16" s="256"/>
      <c r="I16" s="230">
        <f t="shared" si="0"/>
        <v>0</v>
      </c>
      <c r="J16" s="231">
        <f t="shared" si="1"/>
        <v>0</v>
      </c>
    </row>
    <row r="17" spans="1:10">
      <c r="A17" s="230" t="str">
        <f>IF(C17&gt;0,基础信息!$B$1,"")</f>
        <v/>
      </c>
      <c r="B17" s="256"/>
      <c r="C17" s="256"/>
      <c r="D17" s="277"/>
      <c r="E17" s="256"/>
      <c r="F17" s="256"/>
      <c r="G17" s="256"/>
      <c r="H17" s="256"/>
      <c r="I17" s="230">
        <f t="shared" si="0"/>
        <v>0</v>
      </c>
      <c r="J17" s="231">
        <f t="shared" si="1"/>
        <v>0</v>
      </c>
    </row>
    <row r="18" spans="1:10">
      <c r="A18" s="230" t="str">
        <f>IF(C18&gt;0,基础信息!$B$1,"")</f>
        <v/>
      </c>
      <c r="B18" s="256"/>
      <c r="C18" s="256"/>
      <c r="D18" s="277"/>
      <c r="E18" s="256"/>
      <c r="F18" s="256"/>
      <c r="G18" s="256"/>
      <c r="H18" s="256"/>
      <c r="I18" s="230">
        <f t="shared" si="0"/>
        <v>0</v>
      </c>
      <c r="J18" s="231">
        <f t="shared" si="1"/>
        <v>0</v>
      </c>
    </row>
    <row r="19" spans="1:10">
      <c r="A19" s="230" t="str">
        <f>IF(C19&gt;0,基础信息!$B$1,"")</f>
        <v/>
      </c>
      <c r="B19" s="256"/>
      <c r="C19" s="256"/>
      <c r="D19" s="277"/>
      <c r="E19" s="256"/>
      <c r="F19" s="256"/>
      <c r="G19" s="256"/>
      <c r="H19" s="256"/>
      <c r="I19" s="230">
        <f t="shared" si="0"/>
        <v>0</v>
      </c>
      <c r="J19" s="231">
        <f t="shared" si="1"/>
        <v>0</v>
      </c>
    </row>
    <row r="20" spans="1:10">
      <c r="A20" s="230" t="str">
        <f>IF(C20&gt;0,基础信息!$B$1,"")</f>
        <v/>
      </c>
      <c r="B20" s="256"/>
      <c r="C20" s="256"/>
      <c r="D20" s="277"/>
      <c r="E20" s="256"/>
      <c r="F20" s="256"/>
      <c r="G20" s="256"/>
      <c r="H20" s="256"/>
      <c r="I20" s="230">
        <f t="shared" si="0"/>
        <v>0</v>
      </c>
      <c r="J20" s="231">
        <f t="shared" si="1"/>
        <v>0</v>
      </c>
    </row>
    <row r="21" spans="1:10">
      <c r="A21" s="230" t="str">
        <f>IF(C21&gt;0,基础信息!$B$1,"")</f>
        <v/>
      </c>
      <c r="B21" s="256"/>
      <c r="C21" s="256"/>
      <c r="D21" s="277"/>
      <c r="E21" s="256"/>
      <c r="F21" s="256"/>
      <c r="G21" s="256"/>
      <c r="H21" s="256"/>
      <c r="I21" s="230">
        <f t="shared" si="0"/>
        <v>0</v>
      </c>
      <c r="J21" s="231">
        <f t="shared" si="1"/>
        <v>0</v>
      </c>
    </row>
    <row r="22" spans="1:10">
      <c r="I22" s="230">
        <f t="shared" ref="I22" si="2">SUM(E22:H22)</f>
        <v>0</v>
      </c>
      <c r="J22" s="231">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codeName="Sheet275">
    <tabColor rgb="FFFFC000"/>
  </sheetPr>
  <dimension ref="A1:D5"/>
  <sheetViews>
    <sheetView workbookViewId="0">
      <selection activeCell="G15" sqref="G15"/>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3"/>
      <c r="B2" s="265"/>
      <c r="C2" s="279"/>
    </row>
    <row r="3" spans="1:4">
      <c r="A3" s="283"/>
      <c r="B3" s="265"/>
      <c r="C3" s="279"/>
    </row>
    <row r="4" spans="1:4">
      <c r="A4" s="283"/>
      <c r="B4" s="265"/>
      <c r="C4" s="279"/>
    </row>
    <row r="5" spans="1:4" ht="14.4">
      <c r="A5" s="35" t="s">
        <v>204</v>
      </c>
      <c r="B5" s="157">
        <f>ROUND(SUM(B2:B4),2)</f>
        <v>0</v>
      </c>
      <c r="C5" s="157">
        <f>ROUND(SUM(C2:C4),2)</f>
        <v>0</v>
      </c>
      <c r="D5" s="39"/>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codeName="Sheet276">
    <tabColor rgb="FFFFC000"/>
  </sheetPr>
  <dimension ref="A1:D6"/>
  <sheetViews>
    <sheetView workbookViewId="0">
      <selection activeCell="B6" sqref="B6:C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7" t="s">
        <v>567</v>
      </c>
      <c r="B2" s="281"/>
      <c r="C2" s="281"/>
      <c r="D2" s="19"/>
    </row>
    <row r="3" spans="1:4" ht="14.4">
      <c r="A3" s="347" t="s">
        <v>568</v>
      </c>
      <c r="B3" s="281"/>
      <c r="C3" s="281"/>
      <c r="D3" s="19"/>
    </row>
    <row r="4" spans="1:4" ht="14.4">
      <c r="A4" s="347" t="s">
        <v>569</v>
      </c>
      <c r="B4" s="281"/>
      <c r="C4" s="281"/>
      <c r="D4" s="19"/>
    </row>
    <row r="5" spans="1:4" ht="14.4">
      <c r="A5" s="347" t="s">
        <v>2305</v>
      </c>
      <c r="B5" s="281"/>
      <c r="C5" s="281"/>
      <c r="D5" s="19"/>
    </row>
    <row r="6" spans="1:4" ht="14.4">
      <c r="A6" s="19"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codeName="Sheet277">
    <tabColor rgb="FFFFC000"/>
  </sheetPr>
  <dimension ref="A1:C6"/>
  <sheetViews>
    <sheetView workbookViewId="0">
      <selection activeCell="K19" sqref="K19:K20"/>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7" t="s">
        <v>2308</v>
      </c>
      <c r="B2" s="281"/>
      <c r="C2" s="281"/>
    </row>
    <row r="3" spans="1:3" ht="14.4">
      <c r="A3" s="347" t="s">
        <v>2320</v>
      </c>
      <c r="B3" s="281"/>
      <c r="C3" s="281"/>
    </row>
    <row r="4" spans="1:3" ht="14.4">
      <c r="A4" s="347" t="s">
        <v>2319</v>
      </c>
      <c r="B4" s="281"/>
      <c r="C4" s="281"/>
    </row>
    <row r="5" spans="1:3" ht="14.4">
      <c r="A5" s="347" t="s">
        <v>202</v>
      </c>
      <c r="B5" s="281"/>
      <c r="C5" s="281"/>
    </row>
    <row r="6" spans="1:3" ht="14.4">
      <c r="A6" s="20" t="s">
        <v>204</v>
      </c>
      <c r="B6" s="21">
        <f>ROUND(SUM(B2:B5),2)</f>
        <v>0</v>
      </c>
      <c r="C6" s="21">
        <f>ROUND(SUM(C2:C5),2)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codeName="Sheet278">
    <tabColor rgb="FFFFC000"/>
  </sheetPr>
  <dimension ref="A1:K4"/>
  <sheetViews>
    <sheetView workbookViewId="0">
      <selection activeCell="G21" sqref="G21"/>
    </sheetView>
  </sheetViews>
  <sheetFormatPr defaultRowHeight="13.8"/>
  <cols>
    <col min="1" max="11" width="16.21875" style="18" customWidth="1"/>
    <col min="12" max="16384" width="8.88671875" style="18"/>
  </cols>
  <sheetData>
    <row r="1" spans="1:11">
      <c r="A1" s="24" t="s">
        <v>570</v>
      </c>
      <c r="B1" s="24" t="s">
        <v>4218</v>
      </c>
      <c r="C1" s="24" t="s">
        <v>571</v>
      </c>
      <c r="D1" s="24" t="s">
        <v>572</v>
      </c>
      <c r="E1" s="24" t="s">
        <v>573</v>
      </c>
      <c r="F1" s="24" t="s">
        <v>285</v>
      </c>
      <c r="G1" s="24" t="s">
        <v>574</v>
      </c>
      <c r="H1" s="24" t="s">
        <v>575</v>
      </c>
      <c r="I1" s="24" t="s">
        <v>576</v>
      </c>
      <c r="J1" s="24" t="s">
        <v>577</v>
      </c>
      <c r="K1" s="24" t="s">
        <v>203</v>
      </c>
    </row>
    <row r="2" spans="1:11">
      <c r="A2" s="321"/>
      <c r="B2" s="311"/>
      <c r="C2" s="321"/>
      <c r="D2" s="321"/>
      <c r="E2" s="311"/>
      <c r="F2" s="311"/>
      <c r="G2" s="311"/>
      <c r="H2" s="311"/>
      <c r="I2" s="311"/>
      <c r="J2" s="311"/>
      <c r="K2" s="322"/>
    </row>
    <row r="3" spans="1:11">
      <c r="A3" s="321"/>
      <c r="B3" s="311"/>
      <c r="C3" s="321"/>
      <c r="D3" s="321"/>
      <c r="E3" s="311"/>
      <c r="F3" s="311"/>
      <c r="G3" s="311"/>
      <c r="H3" s="311"/>
      <c r="I3" s="311"/>
      <c r="J3" s="311"/>
      <c r="K3" s="311"/>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codeName="Sheet279">
    <tabColor rgb="FFFFC000"/>
  </sheetPr>
  <dimension ref="A1:C7"/>
  <sheetViews>
    <sheetView workbookViewId="0">
      <selection activeCell="H13" sqref="H13"/>
    </sheetView>
  </sheetViews>
  <sheetFormatPr defaultRowHeight="13.8"/>
  <cols>
    <col min="1" max="16384" width="8.88671875" style="18"/>
  </cols>
  <sheetData>
    <row r="1" spans="1:3" ht="14.4">
      <c r="A1" s="31" t="s">
        <v>28</v>
      </c>
      <c r="B1" s="20" t="s">
        <v>203</v>
      </c>
      <c r="C1" s="20" t="s">
        <v>285</v>
      </c>
    </row>
    <row r="2" spans="1:3" ht="14.4">
      <c r="A2" s="379" t="s">
        <v>522</v>
      </c>
      <c r="B2" s="569">
        <f>ROUND(SUMIF(长期借款明细表!D:D,长期借款!A2,长期借款明细表!U:U)-SUMIF(长期借款明细表!D:D,长期借款!A2,长期借款明细表!V:V),2)</f>
        <v>0</v>
      </c>
      <c r="C2" s="569">
        <f>ROUND(SUMIF(长期借款明细表!D:D,A2,长期借款明细表!L:L)-SUMIF(长期借款明细表!D:D,A2,长期借款明细表!M:M),2)</f>
        <v>0</v>
      </c>
    </row>
    <row r="3" spans="1:3" ht="14.4">
      <c r="A3" s="379" t="s">
        <v>523</v>
      </c>
      <c r="B3" s="569">
        <f>ROUND(SUMIF(长期借款明细表!D:D,长期借款!A3,长期借款明细表!U:U)-SUMIF(长期借款明细表!D:D,长期借款!A3,长期借款明细表!V:V),2)</f>
        <v>0</v>
      </c>
      <c r="C3" s="569">
        <f>ROUND(SUMIF(长期借款明细表!D:D,A3,长期借款明细表!L:L)-SUMIF(长期借款明细表!D:D,A3,长期借款明细表!M:M),2)</f>
        <v>0</v>
      </c>
    </row>
    <row r="4" spans="1:3" ht="14.4">
      <c r="A4" s="379" t="s">
        <v>524</v>
      </c>
      <c r="B4" s="569">
        <f>ROUND(SUMIF(长期借款明细表!D:D,长期借款!A4,长期借款明细表!U:U)-SUMIF(长期借款明细表!D:D,长期借款!A4,长期借款明细表!V:V),2)</f>
        <v>0</v>
      </c>
      <c r="C4" s="569">
        <f>ROUND(SUMIF(长期借款明细表!D:D,A4,长期借款明细表!L:L)-SUMIF(长期借款明细表!D:D,A4,长期借款明细表!M:M),2)</f>
        <v>0</v>
      </c>
    </row>
    <row r="5" spans="1:3" ht="14.4">
      <c r="A5" s="379" t="s">
        <v>525</v>
      </c>
      <c r="B5" s="569">
        <f>ROUND(SUMIF(长期借款明细表!D:D,长期借款!A5,长期借款明细表!U:U)-SUMIF(长期借款明细表!D:D,长期借款!A5,长期借款明细表!V:V),2)</f>
        <v>0</v>
      </c>
      <c r="C5" s="569">
        <f>ROUND(SUMIF(长期借款明细表!D:D,A5,长期借款明细表!L:L)-SUMIF(长期借款明细表!D:D,A5,长期借款明细表!M:M),2)</f>
        <v>0</v>
      </c>
    </row>
    <row r="6" spans="1:3" ht="14.4">
      <c r="A6" s="379"/>
      <c r="B6" s="569">
        <f>ROUND(SUMIF(长期借款明细表!D:D,长期借款!A6,长期借款明细表!U:U)-SUMIF(长期借款明细表!D:D,长期借款!A6,长期借款明细表!V:V),2)</f>
        <v>0</v>
      </c>
      <c r="C6" s="569">
        <f>ROUND(SUMIF(长期借款明细表!D:D,A6,长期借款明细表!L:L)-SUMIF(长期借款明细表!D:D,A6,长期借款明细表!M:M),2)</f>
        <v>0</v>
      </c>
    </row>
    <row r="7" spans="1:3" ht="14.4">
      <c r="A7" s="31" t="s">
        <v>204</v>
      </c>
      <c r="B7" s="709">
        <f>ROUND(SUM(B2:B6),2)</f>
        <v>0</v>
      </c>
      <c r="C7" s="709">
        <f>ROUND(SUM(C2:C6),2)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codeName="Sheet28">
    <tabColor rgb="FF00B0F0"/>
  </sheetPr>
  <dimension ref="A1:B11"/>
  <sheetViews>
    <sheetView workbookViewId="0">
      <selection activeCell="B9" sqref="B9"/>
    </sheetView>
  </sheetViews>
  <sheetFormatPr defaultRowHeight="13.8"/>
  <cols>
    <col min="1" max="1" width="39.109375" bestFit="1" customWidth="1"/>
    <col min="2" max="2" width="14.33203125" style="230" bestFit="1" customWidth="1"/>
  </cols>
  <sheetData>
    <row r="1" spans="1:2">
      <c r="A1" t="s">
        <v>95</v>
      </c>
      <c r="B1" s="230" t="s">
        <v>2523</v>
      </c>
    </row>
    <row r="2" spans="1:2">
      <c r="A2" t="s">
        <v>803</v>
      </c>
      <c r="B2" s="230">
        <f>利润表!B26</f>
        <v>74328000</v>
      </c>
    </row>
    <row r="3" spans="1:2">
      <c r="A3" t="s">
        <v>2878</v>
      </c>
      <c r="B3" s="230">
        <f>VLOOKUP("与企业日常活动无关的政府补助",营业外收入!A:B,2,0)</f>
        <v>0</v>
      </c>
    </row>
    <row r="4" spans="1:2">
      <c r="A4" t="s">
        <v>2879</v>
      </c>
      <c r="B4" s="230">
        <f>负债表!B41</f>
        <v>55530257.920000002</v>
      </c>
    </row>
    <row r="5" spans="1:2">
      <c r="A5" t="s">
        <v>2880</v>
      </c>
      <c r="B5" s="230">
        <f>负债表!C41</f>
        <v>55530257.920000002</v>
      </c>
    </row>
    <row r="6" spans="1:2">
      <c r="A6" t="s">
        <v>2882</v>
      </c>
      <c r="B6" s="381"/>
    </row>
    <row r="7" spans="1:2">
      <c r="A7" t="s">
        <v>2883</v>
      </c>
      <c r="B7" s="381"/>
    </row>
    <row r="9" spans="1:2">
      <c r="A9" t="s">
        <v>2881</v>
      </c>
      <c r="B9" s="230">
        <f>B2+B3+B4-B5+B6-B7</f>
        <v>74328000</v>
      </c>
    </row>
    <row r="10" spans="1:2">
      <c r="A10" t="s">
        <v>2886</v>
      </c>
      <c r="B10" s="230">
        <f>VLOOKUP("政府补助",收到其他与经营活动有关的现金!A:B,2,0)</f>
        <v>74328000</v>
      </c>
    </row>
    <row r="11" spans="1:2">
      <c r="A11" t="s">
        <v>2391</v>
      </c>
      <c r="B11" s="230">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sheetPr codeName="Sheet280"/>
  <dimension ref="A1:AF25"/>
  <sheetViews>
    <sheetView workbookViewId="0">
      <selection activeCell="I24" sqref="I24"/>
    </sheetView>
  </sheetViews>
  <sheetFormatPr defaultRowHeight="13.8"/>
  <cols>
    <col min="1" max="1" width="8.88671875" style="230"/>
    <col min="2" max="2" width="10.6640625" style="230" bestFit="1" customWidth="1"/>
    <col min="3" max="3" width="16" style="230" bestFit="1" customWidth="1"/>
    <col min="4" max="4" width="10.6640625" style="230" bestFit="1" customWidth="1"/>
    <col min="5" max="5" width="8.88671875" style="230"/>
    <col min="6" max="6" width="23.44140625" style="230" bestFit="1" customWidth="1"/>
    <col min="7" max="7" width="23.88671875" style="230" bestFit="1" customWidth="1"/>
    <col min="8" max="8" width="10.6640625" style="230" bestFit="1" customWidth="1"/>
    <col min="9" max="9" width="19.44140625" style="230" bestFit="1" customWidth="1"/>
    <col min="10" max="10" width="10.6640625" style="230" bestFit="1" customWidth="1"/>
    <col min="11" max="11" width="8.88671875" style="230"/>
    <col min="12" max="13" width="12.88671875" style="230" bestFit="1" customWidth="1"/>
    <col min="14" max="21" width="8.88671875" style="230"/>
    <col min="22" max="22" width="23.77734375" style="230" bestFit="1" customWidth="1"/>
    <col min="23" max="31" width="8.88671875" style="230"/>
  </cols>
  <sheetData>
    <row r="1" spans="1:32">
      <c r="A1" s="230" t="s">
        <v>2483</v>
      </c>
      <c r="B1" s="230" t="s">
        <v>4534</v>
      </c>
      <c r="C1" s="230" t="s">
        <v>4469</v>
      </c>
      <c r="D1" s="230" t="s">
        <v>4470</v>
      </c>
      <c r="E1" s="230" t="s">
        <v>4535</v>
      </c>
      <c r="F1" s="230" t="s">
        <v>4536</v>
      </c>
      <c r="G1" s="230" t="s">
        <v>4473</v>
      </c>
      <c r="H1" s="230" t="s">
        <v>4474</v>
      </c>
      <c r="I1" s="230" t="s">
        <v>4475</v>
      </c>
      <c r="J1" s="230" t="s">
        <v>4476</v>
      </c>
      <c r="K1" s="230" t="s">
        <v>4477</v>
      </c>
      <c r="L1" s="230" t="s">
        <v>4537</v>
      </c>
      <c r="M1" s="230" t="s">
        <v>4538</v>
      </c>
      <c r="N1" s="230" t="s">
        <v>4539</v>
      </c>
      <c r="O1" s="230" t="s">
        <v>4540</v>
      </c>
      <c r="P1" s="230" t="s">
        <v>4478</v>
      </c>
      <c r="Q1" s="230" t="s">
        <v>577</v>
      </c>
      <c r="R1" s="230" t="s">
        <v>4541</v>
      </c>
      <c r="S1" s="230" t="s">
        <v>4542</v>
      </c>
      <c r="T1" s="230" t="s">
        <v>4543</v>
      </c>
      <c r="U1" s="230" t="s">
        <v>4544</v>
      </c>
      <c r="V1" s="230" t="s">
        <v>4545</v>
      </c>
      <c r="W1" s="230" t="s">
        <v>4546</v>
      </c>
      <c r="X1" s="230" t="s">
        <v>4547</v>
      </c>
      <c r="Y1" s="230" t="s">
        <v>4548</v>
      </c>
      <c r="Z1" s="230" t="s">
        <v>4549</v>
      </c>
      <c r="AA1" s="230" t="s">
        <v>4550</v>
      </c>
      <c r="AB1" s="230" t="s">
        <v>4551</v>
      </c>
      <c r="AC1" s="230" t="s">
        <v>4269</v>
      </c>
      <c r="AD1" s="230" t="s">
        <v>4552</v>
      </c>
      <c r="AE1" s="230" t="s">
        <v>4553</v>
      </c>
      <c r="AF1" t="s">
        <v>470</v>
      </c>
    </row>
    <row r="2" spans="1:32">
      <c r="A2" s="230" t="str">
        <f>IF(OR(L2&gt;0,U2&gt;0),基础信息!$B$1,"")</f>
        <v/>
      </c>
      <c r="B2" s="290"/>
      <c r="C2" s="290"/>
      <c r="D2" s="550"/>
      <c r="E2" s="550"/>
      <c r="F2" s="290"/>
      <c r="G2" s="290"/>
      <c r="H2" s="290"/>
      <c r="I2" s="290"/>
      <c r="J2" s="550"/>
      <c r="K2" s="290"/>
      <c r="L2" s="290"/>
      <c r="M2" s="290"/>
      <c r="N2" s="290"/>
      <c r="O2" s="290"/>
      <c r="P2" s="290"/>
      <c r="Q2" s="290"/>
      <c r="R2" s="290"/>
      <c r="S2" s="290"/>
      <c r="T2" s="290"/>
      <c r="U2" s="230">
        <f>L2+N2+P2-Q2-S2-T2</f>
        <v>0</v>
      </c>
      <c r="V2" s="290"/>
      <c r="W2" s="290"/>
      <c r="X2" s="290"/>
      <c r="Y2" s="290"/>
      <c r="Z2" s="290"/>
      <c r="AA2" s="290"/>
      <c r="AB2" s="230">
        <f>SUM(V2:AA2)-U2</f>
        <v>0</v>
      </c>
      <c r="AC2" s="290"/>
      <c r="AD2" s="290"/>
      <c r="AE2" s="290"/>
    </row>
    <row r="3" spans="1:32">
      <c r="A3" s="230" t="str">
        <f>IF(OR(L3&gt;0,U3&gt;0),基础信息!$B$1,"")</f>
        <v/>
      </c>
      <c r="B3" s="290"/>
      <c r="C3" s="290"/>
      <c r="D3" s="550"/>
      <c r="E3" s="550"/>
      <c r="F3" s="290"/>
      <c r="G3" s="290"/>
      <c r="H3" s="290"/>
      <c r="I3" s="290"/>
      <c r="J3" s="550"/>
      <c r="K3" s="290"/>
      <c r="L3" s="290"/>
      <c r="M3" s="290"/>
      <c r="N3" s="290"/>
      <c r="O3" s="290"/>
      <c r="P3" s="290"/>
      <c r="Q3" s="290"/>
      <c r="R3" s="290"/>
      <c r="S3" s="290"/>
      <c r="T3" s="290"/>
      <c r="U3" s="230">
        <f t="shared" ref="U3:U23" si="0">L3+N3+P3-Q3-S3-T3</f>
        <v>0</v>
      </c>
      <c r="V3" s="290"/>
      <c r="W3" s="290"/>
      <c r="X3" s="290"/>
      <c r="Y3" s="290"/>
      <c r="Z3" s="290"/>
      <c r="AA3" s="290"/>
      <c r="AB3" s="230">
        <f t="shared" ref="AB3:AB23" si="1">SUM(V3:AA3)-U3</f>
        <v>0</v>
      </c>
      <c r="AC3" s="290"/>
      <c r="AD3" s="290"/>
      <c r="AE3" s="290"/>
    </row>
    <row r="4" spans="1:32">
      <c r="A4" s="230" t="str">
        <f>IF(OR(L4&gt;0,U4&gt;0),基础信息!$B$1,"")</f>
        <v/>
      </c>
      <c r="B4" s="290"/>
      <c r="C4" s="290"/>
      <c r="D4" s="550"/>
      <c r="E4" s="550"/>
      <c r="F4" s="290"/>
      <c r="G4" s="290"/>
      <c r="H4" s="290"/>
      <c r="I4" s="290"/>
      <c r="J4" s="550"/>
      <c r="K4" s="290"/>
      <c r="L4" s="290"/>
      <c r="M4" s="290"/>
      <c r="N4" s="290"/>
      <c r="O4" s="290"/>
      <c r="P4" s="290"/>
      <c r="Q4" s="290"/>
      <c r="R4" s="290"/>
      <c r="S4" s="290"/>
      <c r="T4" s="290"/>
      <c r="U4" s="230">
        <f t="shared" si="0"/>
        <v>0</v>
      </c>
      <c r="V4" s="290"/>
      <c r="W4" s="290"/>
      <c r="X4" s="290"/>
      <c r="Y4" s="290"/>
      <c r="Z4" s="290"/>
      <c r="AA4" s="290"/>
      <c r="AB4" s="230">
        <f t="shared" si="1"/>
        <v>0</v>
      </c>
      <c r="AC4" s="290"/>
      <c r="AD4" s="290"/>
      <c r="AE4" s="290"/>
    </row>
    <row r="5" spans="1:32">
      <c r="A5" s="230" t="str">
        <f>IF(OR(L5&gt;0,U5&gt;0),基础信息!$B$1,"")</f>
        <v/>
      </c>
      <c r="B5" s="290"/>
      <c r="C5" s="290"/>
      <c r="D5" s="550"/>
      <c r="E5" s="550"/>
      <c r="F5" s="290"/>
      <c r="G5" s="290"/>
      <c r="H5" s="290"/>
      <c r="I5" s="290"/>
      <c r="J5" s="550"/>
      <c r="K5" s="290"/>
      <c r="L5" s="290"/>
      <c r="M5" s="290"/>
      <c r="N5" s="290"/>
      <c r="O5" s="290"/>
      <c r="P5" s="290"/>
      <c r="Q5" s="290"/>
      <c r="R5" s="290"/>
      <c r="S5" s="290"/>
      <c r="T5" s="290"/>
      <c r="U5" s="230">
        <f t="shared" si="0"/>
        <v>0</v>
      </c>
      <c r="V5" s="290"/>
      <c r="W5" s="290"/>
      <c r="X5" s="290"/>
      <c r="Y5" s="290"/>
      <c r="Z5" s="290"/>
      <c r="AA5" s="290"/>
      <c r="AB5" s="230">
        <f t="shared" si="1"/>
        <v>0</v>
      </c>
      <c r="AC5" s="290"/>
      <c r="AD5" s="290"/>
      <c r="AE5" s="290"/>
    </row>
    <row r="6" spans="1:32">
      <c r="A6" s="230" t="str">
        <f>IF(OR(L6&gt;0,U6&gt;0),基础信息!$B$1,"")</f>
        <v/>
      </c>
      <c r="B6" s="290"/>
      <c r="C6" s="290"/>
      <c r="D6" s="550"/>
      <c r="E6" s="550"/>
      <c r="F6" s="290"/>
      <c r="G6" s="290"/>
      <c r="H6" s="290"/>
      <c r="I6" s="290"/>
      <c r="J6" s="550"/>
      <c r="K6" s="290"/>
      <c r="L6" s="290"/>
      <c r="M6" s="290"/>
      <c r="N6" s="290"/>
      <c r="O6" s="290"/>
      <c r="P6" s="290"/>
      <c r="Q6" s="290"/>
      <c r="R6" s="290"/>
      <c r="S6" s="290"/>
      <c r="T6" s="290"/>
      <c r="U6" s="230">
        <f t="shared" si="0"/>
        <v>0</v>
      </c>
      <c r="V6" s="290"/>
      <c r="W6" s="290"/>
      <c r="X6" s="290"/>
      <c r="Y6" s="290"/>
      <c r="Z6" s="290"/>
      <c r="AA6" s="290"/>
      <c r="AB6" s="230">
        <f t="shared" si="1"/>
        <v>0</v>
      </c>
      <c r="AC6" s="290"/>
      <c r="AD6" s="290"/>
      <c r="AE6" s="290"/>
    </row>
    <row r="7" spans="1:32">
      <c r="A7" s="230" t="str">
        <f>IF(OR(L7&gt;0,U7&gt;0),基础信息!$B$1,"")</f>
        <v/>
      </c>
      <c r="B7" s="290"/>
      <c r="C7" s="290"/>
      <c r="D7" s="550"/>
      <c r="E7" s="550"/>
      <c r="F7" s="290"/>
      <c r="G7" s="290"/>
      <c r="H7" s="290"/>
      <c r="I7" s="290"/>
      <c r="J7" s="550"/>
      <c r="K7" s="290"/>
      <c r="L7" s="290"/>
      <c r="M7" s="290"/>
      <c r="N7" s="290"/>
      <c r="O7" s="290"/>
      <c r="P7" s="290"/>
      <c r="Q7" s="290"/>
      <c r="R7" s="290"/>
      <c r="S7" s="290"/>
      <c r="T7" s="290"/>
      <c r="U7" s="230">
        <f t="shared" si="0"/>
        <v>0</v>
      </c>
      <c r="V7" s="290"/>
      <c r="W7" s="290"/>
      <c r="X7" s="290"/>
      <c r="Y7" s="290"/>
      <c r="Z7" s="290"/>
      <c r="AA7" s="290"/>
      <c r="AB7" s="230">
        <f t="shared" si="1"/>
        <v>0</v>
      </c>
      <c r="AC7" s="290"/>
      <c r="AD7" s="290"/>
      <c r="AE7" s="290"/>
    </row>
    <row r="8" spans="1:32">
      <c r="A8" s="230" t="str">
        <f>IF(OR(L8&gt;0,U8&gt;0),基础信息!$B$1,"")</f>
        <v/>
      </c>
      <c r="B8" s="290"/>
      <c r="C8" s="290"/>
      <c r="D8" s="550"/>
      <c r="E8" s="550"/>
      <c r="F8" s="290"/>
      <c r="G8" s="290"/>
      <c r="H8" s="290"/>
      <c r="I8" s="290"/>
      <c r="J8" s="550"/>
      <c r="K8" s="290"/>
      <c r="L8" s="290"/>
      <c r="M8" s="290"/>
      <c r="N8" s="290"/>
      <c r="O8" s="290"/>
      <c r="P8" s="290"/>
      <c r="Q8" s="290"/>
      <c r="R8" s="290"/>
      <c r="S8" s="290"/>
      <c r="T8" s="290"/>
      <c r="U8" s="230">
        <f t="shared" si="0"/>
        <v>0</v>
      </c>
      <c r="V8" s="290"/>
      <c r="W8" s="290"/>
      <c r="X8" s="290"/>
      <c r="Y8" s="290"/>
      <c r="Z8" s="290"/>
      <c r="AA8" s="290"/>
      <c r="AB8" s="230">
        <f t="shared" si="1"/>
        <v>0</v>
      </c>
      <c r="AC8" s="290"/>
      <c r="AD8" s="290"/>
      <c r="AE8" s="290"/>
    </row>
    <row r="9" spans="1:32">
      <c r="A9" s="230" t="str">
        <f>IF(OR(L9&gt;0,U9&gt;0),基础信息!$B$1,"")</f>
        <v/>
      </c>
      <c r="B9" s="290"/>
      <c r="C9" s="290"/>
      <c r="D9" s="550"/>
      <c r="E9" s="550"/>
      <c r="F9" s="290"/>
      <c r="G9" s="290"/>
      <c r="H9" s="290"/>
      <c r="I9" s="290"/>
      <c r="J9" s="550"/>
      <c r="K9" s="290"/>
      <c r="L9" s="290"/>
      <c r="M9" s="290"/>
      <c r="N9" s="290"/>
      <c r="O9" s="290"/>
      <c r="P9" s="290"/>
      <c r="Q9" s="290"/>
      <c r="R9" s="290"/>
      <c r="S9" s="290"/>
      <c r="T9" s="290"/>
      <c r="U9" s="230">
        <f t="shared" si="0"/>
        <v>0</v>
      </c>
      <c r="V9" s="290"/>
      <c r="W9" s="290"/>
      <c r="X9" s="290"/>
      <c r="Y9" s="290"/>
      <c r="Z9" s="290"/>
      <c r="AA9" s="290"/>
      <c r="AB9" s="230">
        <f t="shared" si="1"/>
        <v>0</v>
      </c>
      <c r="AC9" s="290"/>
      <c r="AD9" s="290"/>
      <c r="AE9" s="290"/>
    </row>
    <row r="10" spans="1:32">
      <c r="A10" s="230" t="str">
        <f>IF(OR(L10&gt;0,U10&gt;0),基础信息!$B$1,"")</f>
        <v/>
      </c>
      <c r="B10" s="290"/>
      <c r="C10" s="290"/>
      <c r="D10" s="550"/>
      <c r="E10" s="550"/>
      <c r="F10" s="290"/>
      <c r="G10" s="290"/>
      <c r="H10" s="290"/>
      <c r="I10" s="290"/>
      <c r="J10" s="550"/>
      <c r="K10" s="290"/>
      <c r="L10" s="290"/>
      <c r="M10" s="290"/>
      <c r="N10" s="290"/>
      <c r="O10" s="290"/>
      <c r="P10" s="290"/>
      <c r="Q10" s="290"/>
      <c r="R10" s="290"/>
      <c r="S10" s="290"/>
      <c r="T10" s="290"/>
      <c r="U10" s="230">
        <f t="shared" si="0"/>
        <v>0</v>
      </c>
      <c r="V10" s="290"/>
      <c r="W10" s="290"/>
      <c r="X10" s="290"/>
      <c r="Y10" s="290"/>
      <c r="Z10" s="290"/>
      <c r="AA10" s="290"/>
      <c r="AB10" s="230">
        <f t="shared" si="1"/>
        <v>0</v>
      </c>
      <c r="AC10" s="290"/>
      <c r="AD10" s="290"/>
      <c r="AE10" s="290"/>
    </row>
    <row r="11" spans="1:32">
      <c r="A11" s="230" t="str">
        <f>IF(OR(L11&gt;0,U11&gt;0),基础信息!$B$1,"")</f>
        <v/>
      </c>
      <c r="B11" s="290"/>
      <c r="C11" s="290"/>
      <c r="D11" s="550"/>
      <c r="E11" s="550"/>
      <c r="F11" s="290"/>
      <c r="G11" s="290"/>
      <c r="H11" s="290"/>
      <c r="I11" s="290"/>
      <c r="J11" s="550"/>
      <c r="K11" s="290"/>
      <c r="L11" s="290"/>
      <c r="M11" s="290"/>
      <c r="N11" s="290"/>
      <c r="O11" s="290"/>
      <c r="P11" s="290"/>
      <c r="Q11" s="290"/>
      <c r="R11" s="290"/>
      <c r="S11" s="290"/>
      <c r="T11" s="290"/>
      <c r="U11" s="230">
        <f t="shared" si="0"/>
        <v>0</v>
      </c>
      <c r="V11" s="290"/>
      <c r="W11" s="290"/>
      <c r="X11" s="290"/>
      <c r="Y11" s="290"/>
      <c r="Z11" s="290"/>
      <c r="AA11" s="290"/>
      <c r="AB11" s="230">
        <f t="shared" si="1"/>
        <v>0</v>
      </c>
      <c r="AC11" s="290"/>
      <c r="AD11" s="290"/>
      <c r="AE11" s="290"/>
    </row>
    <row r="12" spans="1:32">
      <c r="A12" s="230" t="str">
        <f>IF(OR(L12&gt;0,U12&gt;0),基础信息!$B$1,"")</f>
        <v/>
      </c>
      <c r="B12" s="290"/>
      <c r="C12" s="290"/>
      <c r="D12" s="550"/>
      <c r="E12" s="550"/>
      <c r="F12" s="290"/>
      <c r="G12" s="290"/>
      <c r="H12" s="290"/>
      <c r="I12" s="290"/>
      <c r="J12" s="550"/>
      <c r="K12" s="290"/>
      <c r="L12" s="290"/>
      <c r="M12" s="290"/>
      <c r="N12" s="290"/>
      <c r="O12" s="290"/>
      <c r="P12" s="290"/>
      <c r="Q12" s="290"/>
      <c r="R12" s="290"/>
      <c r="S12" s="290"/>
      <c r="T12" s="290"/>
      <c r="U12" s="230">
        <f t="shared" si="0"/>
        <v>0</v>
      </c>
      <c r="V12" s="290"/>
      <c r="W12" s="290"/>
      <c r="X12" s="290"/>
      <c r="Y12" s="290"/>
      <c r="Z12" s="290"/>
      <c r="AA12" s="290"/>
      <c r="AB12" s="230">
        <f t="shared" si="1"/>
        <v>0</v>
      </c>
      <c r="AC12" s="290"/>
      <c r="AD12" s="290"/>
      <c r="AE12" s="290"/>
    </row>
    <row r="13" spans="1:32">
      <c r="A13" s="230" t="str">
        <f>IF(OR(L13&gt;0,U13&gt;0),基础信息!$B$1,"")</f>
        <v/>
      </c>
      <c r="B13" s="290"/>
      <c r="C13" s="290"/>
      <c r="D13" s="550"/>
      <c r="E13" s="550"/>
      <c r="F13" s="290"/>
      <c r="G13" s="290"/>
      <c r="H13" s="290"/>
      <c r="I13" s="290"/>
      <c r="J13" s="550"/>
      <c r="K13" s="290"/>
      <c r="L13" s="290"/>
      <c r="M13" s="290"/>
      <c r="N13" s="290"/>
      <c r="O13" s="290"/>
      <c r="P13" s="290"/>
      <c r="Q13" s="290"/>
      <c r="R13" s="290"/>
      <c r="S13" s="290"/>
      <c r="T13" s="290"/>
      <c r="U13" s="230">
        <f t="shared" si="0"/>
        <v>0</v>
      </c>
      <c r="V13" s="290"/>
      <c r="W13" s="290"/>
      <c r="X13" s="290"/>
      <c r="Y13" s="290"/>
      <c r="Z13" s="290"/>
      <c r="AA13" s="290"/>
      <c r="AB13" s="230">
        <f t="shared" si="1"/>
        <v>0</v>
      </c>
      <c r="AC13" s="290"/>
      <c r="AD13" s="290"/>
      <c r="AE13" s="290"/>
    </row>
    <row r="14" spans="1:32">
      <c r="A14" s="230" t="str">
        <f>IF(OR(L14&gt;0,U14&gt;0),基础信息!$B$1,"")</f>
        <v/>
      </c>
      <c r="B14" s="290"/>
      <c r="C14" s="290"/>
      <c r="D14" s="550"/>
      <c r="E14" s="550"/>
      <c r="F14" s="290"/>
      <c r="G14" s="290"/>
      <c r="H14" s="290"/>
      <c r="I14" s="290"/>
      <c r="J14" s="550"/>
      <c r="K14" s="290"/>
      <c r="L14" s="290"/>
      <c r="M14" s="290"/>
      <c r="N14" s="290"/>
      <c r="O14" s="290"/>
      <c r="P14" s="290"/>
      <c r="Q14" s="290"/>
      <c r="R14" s="290"/>
      <c r="S14" s="290"/>
      <c r="T14" s="290"/>
      <c r="U14" s="230">
        <f t="shared" si="0"/>
        <v>0</v>
      </c>
      <c r="V14" s="290"/>
      <c r="W14" s="290"/>
      <c r="X14" s="290"/>
      <c r="Y14" s="290"/>
      <c r="Z14" s="290"/>
      <c r="AA14" s="290"/>
      <c r="AB14" s="230">
        <f t="shared" si="1"/>
        <v>0</v>
      </c>
      <c r="AC14" s="290"/>
      <c r="AD14" s="290"/>
      <c r="AE14" s="290"/>
    </row>
    <row r="15" spans="1:32">
      <c r="A15" s="230" t="str">
        <f>IF(OR(L15&gt;0,U15&gt;0),基础信息!$B$1,"")</f>
        <v/>
      </c>
      <c r="B15" s="290"/>
      <c r="C15" s="290"/>
      <c r="D15" s="550"/>
      <c r="E15" s="550"/>
      <c r="F15" s="290"/>
      <c r="G15" s="290"/>
      <c r="H15" s="290"/>
      <c r="I15" s="290"/>
      <c r="J15" s="550"/>
      <c r="K15" s="290"/>
      <c r="L15" s="290"/>
      <c r="M15" s="290"/>
      <c r="N15" s="290"/>
      <c r="O15" s="290"/>
      <c r="P15" s="290"/>
      <c r="Q15" s="290"/>
      <c r="R15" s="290"/>
      <c r="S15" s="290"/>
      <c r="T15" s="290"/>
      <c r="U15" s="230">
        <f t="shared" si="0"/>
        <v>0</v>
      </c>
      <c r="V15" s="290"/>
      <c r="W15" s="290"/>
      <c r="X15" s="290"/>
      <c r="Y15" s="290"/>
      <c r="Z15" s="290"/>
      <c r="AA15" s="290"/>
      <c r="AB15" s="230">
        <f t="shared" si="1"/>
        <v>0</v>
      </c>
      <c r="AC15" s="290"/>
      <c r="AD15" s="290"/>
      <c r="AE15" s="290"/>
    </row>
    <row r="16" spans="1:32">
      <c r="A16" s="230" t="str">
        <f>IF(OR(L16&gt;0,U16&gt;0),基础信息!$B$1,"")</f>
        <v/>
      </c>
      <c r="B16" s="290"/>
      <c r="C16" s="290"/>
      <c r="D16" s="550"/>
      <c r="E16" s="550"/>
      <c r="F16" s="290"/>
      <c r="G16" s="290"/>
      <c r="H16" s="290"/>
      <c r="I16" s="290"/>
      <c r="J16" s="550"/>
      <c r="K16" s="290"/>
      <c r="L16" s="290"/>
      <c r="M16" s="290"/>
      <c r="N16" s="290"/>
      <c r="O16" s="290"/>
      <c r="P16" s="290"/>
      <c r="Q16" s="290"/>
      <c r="R16" s="290"/>
      <c r="S16" s="290"/>
      <c r="T16" s="290"/>
      <c r="U16" s="230">
        <f t="shared" si="0"/>
        <v>0</v>
      </c>
      <c r="V16" s="290"/>
      <c r="W16" s="290"/>
      <c r="X16" s="290"/>
      <c r="Y16" s="290"/>
      <c r="Z16" s="290"/>
      <c r="AA16" s="290"/>
      <c r="AB16" s="230">
        <f t="shared" si="1"/>
        <v>0</v>
      </c>
      <c r="AC16" s="290"/>
      <c r="AD16" s="290"/>
      <c r="AE16" s="290"/>
    </row>
    <row r="17" spans="1:31">
      <c r="A17" s="230" t="str">
        <f>IF(OR(L17&gt;0,U17&gt;0),基础信息!$B$1,"")</f>
        <v/>
      </c>
      <c r="B17" s="290"/>
      <c r="C17" s="290"/>
      <c r="D17" s="550"/>
      <c r="E17" s="550"/>
      <c r="F17" s="290"/>
      <c r="G17" s="290"/>
      <c r="H17" s="290"/>
      <c r="I17" s="290"/>
      <c r="J17" s="550"/>
      <c r="K17" s="290"/>
      <c r="L17" s="290"/>
      <c r="M17" s="290"/>
      <c r="N17" s="290"/>
      <c r="O17" s="290"/>
      <c r="P17" s="290"/>
      <c r="Q17" s="290"/>
      <c r="R17" s="290"/>
      <c r="S17" s="290"/>
      <c r="T17" s="290"/>
      <c r="U17" s="230">
        <f t="shared" si="0"/>
        <v>0</v>
      </c>
      <c r="V17" s="290"/>
      <c r="W17" s="290"/>
      <c r="X17" s="290"/>
      <c r="Y17" s="290"/>
      <c r="Z17" s="290"/>
      <c r="AA17" s="290"/>
      <c r="AB17" s="230">
        <f t="shared" si="1"/>
        <v>0</v>
      </c>
      <c r="AC17" s="290"/>
      <c r="AD17" s="290"/>
      <c r="AE17" s="290"/>
    </row>
    <row r="18" spans="1:31">
      <c r="A18" s="230" t="str">
        <f>IF(OR(L18&gt;0,U18&gt;0),基础信息!$B$1,"")</f>
        <v/>
      </c>
      <c r="B18" s="290"/>
      <c r="C18" s="290"/>
      <c r="D18" s="550"/>
      <c r="E18" s="550"/>
      <c r="F18" s="290"/>
      <c r="G18" s="290"/>
      <c r="H18" s="290"/>
      <c r="I18" s="290"/>
      <c r="J18" s="550"/>
      <c r="K18" s="290"/>
      <c r="L18" s="290"/>
      <c r="M18" s="290"/>
      <c r="N18" s="290"/>
      <c r="O18" s="290"/>
      <c r="P18" s="290"/>
      <c r="Q18" s="290"/>
      <c r="R18" s="290"/>
      <c r="S18" s="290"/>
      <c r="T18" s="290"/>
      <c r="U18" s="230">
        <f t="shared" si="0"/>
        <v>0</v>
      </c>
      <c r="V18" s="290"/>
      <c r="W18" s="290"/>
      <c r="X18" s="290"/>
      <c r="Y18" s="290"/>
      <c r="Z18" s="290"/>
      <c r="AA18" s="290"/>
      <c r="AB18" s="230">
        <f t="shared" si="1"/>
        <v>0</v>
      </c>
      <c r="AC18" s="290"/>
      <c r="AD18" s="290"/>
      <c r="AE18" s="290"/>
    </row>
    <row r="19" spans="1:31">
      <c r="A19" s="230" t="str">
        <f>IF(OR(L19&gt;0,U19&gt;0),基础信息!$B$1,"")</f>
        <v/>
      </c>
      <c r="B19" s="290"/>
      <c r="C19" s="290"/>
      <c r="D19" s="550"/>
      <c r="E19" s="550"/>
      <c r="F19" s="290"/>
      <c r="G19" s="290"/>
      <c r="H19" s="290"/>
      <c r="I19" s="290"/>
      <c r="J19" s="550"/>
      <c r="K19" s="290"/>
      <c r="L19" s="290"/>
      <c r="M19" s="290"/>
      <c r="N19" s="290"/>
      <c r="O19" s="290"/>
      <c r="P19" s="290"/>
      <c r="Q19" s="290"/>
      <c r="R19" s="290"/>
      <c r="S19" s="290"/>
      <c r="T19" s="290"/>
      <c r="U19" s="230">
        <f t="shared" si="0"/>
        <v>0</v>
      </c>
      <c r="V19" s="290"/>
      <c r="W19" s="290"/>
      <c r="X19" s="290"/>
      <c r="Y19" s="290"/>
      <c r="Z19" s="290"/>
      <c r="AA19" s="290"/>
      <c r="AB19" s="230">
        <f t="shared" si="1"/>
        <v>0</v>
      </c>
      <c r="AC19" s="290"/>
      <c r="AD19" s="290"/>
      <c r="AE19" s="290"/>
    </row>
    <row r="20" spans="1:31">
      <c r="A20" s="230" t="str">
        <f>IF(OR(L20&gt;0,U20&gt;0),基础信息!$B$1,"")</f>
        <v/>
      </c>
      <c r="B20" s="290"/>
      <c r="C20" s="290"/>
      <c r="D20" s="550"/>
      <c r="E20" s="550"/>
      <c r="F20" s="290"/>
      <c r="G20" s="290"/>
      <c r="H20" s="290"/>
      <c r="I20" s="290"/>
      <c r="J20" s="550"/>
      <c r="K20" s="290"/>
      <c r="L20" s="290"/>
      <c r="M20" s="290"/>
      <c r="N20" s="290"/>
      <c r="O20" s="290"/>
      <c r="P20" s="290"/>
      <c r="Q20" s="290"/>
      <c r="R20" s="290"/>
      <c r="S20" s="290"/>
      <c r="T20" s="290"/>
      <c r="U20" s="230">
        <f t="shared" si="0"/>
        <v>0</v>
      </c>
      <c r="V20" s="290"/>
      <c r="W20" s="290"/>
      <c r="X20" s="290"/>
      <c r="Y20" s="290"/>
      <c r="Z20" s="290"/>
      <c r="AA20" s="290"/>
      <c r="AB20" s="230">
        <f t="shared" si="1"/>
        <v>0</v>
      </c>
      <c r="AC20" s="290"/>
      <c r="AD20" s="290"/>
      <c r="AE20" s="290"/>
    </row>
    <row r="21" spans="1:31">
      <c r="A21" s="230" t="str">
        <f>IF(OR(L21&gt;0,U21&gt;0),基础信息!$B$1,"")</f>
        <v/>
      </c>
      <c r="B21" s="290"/>
      <c r="C21" s="290"/>
      <c r="D21" s="550"/>
      <c r="E21" s="550"/>
      <c r="F21" s="290"/>
      <c r="G21" s="290"/>
      <c r="H21" s="290"/>
      <c r="I21" s="290"/>
      <c r="J21" s="550"/>
      <c r="K21" s="290"/>
      <c r="L21" s="290"/>
      <c r="M21" s="290"/>
      <c r="N21" s="290"/>
      <c r="O21" s="290"/>
      <c r="P21" s="290"/>
      <c r="Q21" s="290"/>
      <c r="R21" s="290"/>
      <c r="S21" s="290"/>
      <c r="T21" s="290"/>
      <c r="U21" s="230">
        <f t="shared" si="0"/>
        <v>0</v>
      </c>
      <c r="V21" s="290"/>
      <c r="W21" s="290"/>
      <c r="X21" s="290"/>
      <c r="Y21" s="290"/>
      <c r="Z21" s="290"/>
      <c r="AA21" s="290"/>
      <c r="AB21" s="230">
        <f t="shared" si="1"/>
        <v>0</v>
      </c>
      <c r="AC21" s="290"/>
      <c r="AD21" s="290"/>
      <c r="AE21" s="290"/>
    </row>
    <row r="22" spans="1:31">
      <c r="A22" s="230" t="str">
        <f>IF(OR(L22&gt;0,U22&gt;0),基础信息!$B$1,"")</f>
        <v/>
      </c>
      <c r="B22" s="290"/>
      <c r="C22" s="290"/>
      <c r="D22" s="550"/>
      <c r="E22" s="550"/>
      <c r="F22" s="290"/>
      <c r="G22" s="290"/>
      <c r="H22" s="290"/>
      <c r="I22" s="290"/>
      <c r="J22" s="550"/>
      <c r="K22" s="290"/>
      <c r="L22" s="290"/>
      <c r="M22" s="290"/>
      <c r="N22" s="290"/>
      <c r="O22" s="290"/>
      <c r="P22" s="290"/>
      <c r="Q22" s="290"/>
      <c r="R22" s="290"/>
      <c r="S22" s="290"/>
      <c r="T22" s="290"/>
      <c r="U22" s="230">
        <f t="shared" si="0"/>
        <v>0</v>
      </c>
      <c r="V22" s="290"/>
      <c r="W22" s="290"/>
      <c r="X22" s="290"/>
      <c r="Y22" s="290"/>
      <c r="Z22" s="290"/>
      <c r="AA22" s="290"/>
      <c r="AB22" s="230">
        <f t="shared" si="1"/>
        <v>0</v>
      </c>
      <c r="AC22" s="290"/>
      <c r="AD22" s="290"/>
      <c r="AE22" s="290"/>
    </row>
    <row r="23" spans="1:31">
      <c r="A23" s="230" t="str">
        <f>IF(OR(L23&gt;0,U23&gt;0),基础信息!$B$1,"")</f>
        <v/>
      </c>
      <c r="B23" s="290"/>
      <c r="C23" s="290"/>
      <c r="D23" s="550"/>
      <c r="E23" s="550"/>
      <c r="F23" s="290"/>
      <c r="G23" s="290"/>
      <c r="H23" s="290"/>
      <c r="I23" s="290"/>
      <c r="J23" s="550"/>
      <c r="K23" s="290"/>
      <c r="L23" s="290"/>
      <c r="M23" s="290"/>
      <c r="N23" s="290"/>
      <c r="O23" s="290"/>
      <c r="P23" s="290"/>
      <c r="Q23" s="290"/>
      <c r="R23" s="290"/>
      <c r="S23" s="290"/>
      <c r="T23" s="290"/>
      <c r="U23" s="230">
        <f t="shared" si="0"/>
        <v>0</v>
      </c>
      <c r="V23" s="290"/>
      <c r="W23" s="290"/>
      <c r="X23" s="290"/>
      <c r="Y23" s="290"/>
      <c r="Z23" s="290"/>
      <c r="AA23" s="290"/>
      <c r="AB23" s="230">
        <f t="shared" si="1"/>
        <v>0</v>
      </c>
      <c r="AC23" s="290"/>
      <c r="AD23" s="290"/>
      <c r="AE23" s="290"/>
    </row>
    <row r="24" spans="1:31">
      <c r="J24" s="550"/>
    </row>
    <row r="25" spans="1:31">
      <c r="J25" s="55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codeName="Sheet281">
    <tabColor rgb="FFFFC000"/>
  </sheetPr>
  <dimension ref="A1:C7"/>
  <sheetViews>
    <sheetView workbookViewId="0">
      <selection activeCell="B4" sqref="B4"/>
    </sheetView>
  </sheetViews>
  <sheetFormatPr defaultRowHeight="13.8"/>
  <cols>
    <col min="1" max="16384" width="8.88671875" style="18"/>
  </cols>
  <sheetData>
    <row r="1" spans="1:3" ht="14.4">
      <c r="A1" s="31" t="s">
        <v>28</v>
      </c>
      <c r="B1" s="20" t="s">
        <v>203</v>
      </c>
      <c r="C1" s="20" t="s">
        <v>285</v>
      </c>
    </row>
    <row r="2" spans="1:3" ht="14.4">
      <c r="A2" s="620">
        <f>应付债券明细表!B2</f>
        <v>0</v>
      </c>
      <c r="B2" s="569">
        <f>应付债券明细表!AJ2-应付债券明细表!AL2</f>
        <v>0</v>
      </c>
      <c r="C2" s="569">
        <f>应付债券明细表!AE2-应付债券明细表!AK2</f>
        <v>0</v>
      </c>
    </row>
    <row r="3" spans="1:3" ht="14.4">
      <c r="A3" s="620">
        <f>应付债券明细表!B3</f>
        <v>0</v>
      </c>
      <c r="B3" s="569">
        <f>应付债券明细表!AJ3-应付债券明细表!AL3</f>
        <v>0</v>
      </c>
      <c r="C3" s="569">
        <f>应付债券明细表!AE3-应付债券明细表!AK3</f>
        <v>0</v>
      </c>
    </row>
    <row r="4" spans="1:3" ht="14.4">
      <c r="A4" s="620">
        <f>应付债券明细表!B4</f>
        <v>0</v>
      </c>
      <c r="B4" s="569">
        <f>应付债券明细表!AJ4-应付债券明细表!AL4</f>
        <v>0</v>
      </c>
      <c r="C4" s="569">
        <f>应付债券明细表!AE4-应付债券明细表!AK4</f>
        <v>0</v>
      </c>
    </row>
    <row r="5" spans="1:3" ht="14.4">
      <c r="A5" s="620">
        <f>应付债券明细表!B5</f>
        <v>0</v>
      </c>
      <c r="B5" s="569">
        <f>应付债券明细表!AJ5-应付债券明细表!AL5</f>
        <v>0</v>
      </c>
      <c r="C5" s="569">
        <f>应付债券明细表!AE5-应付债券明细表!AK5</f>
        <v>0</v>
      </c>
    </row>
    <row r="6" spans="1:3" ht="14.4">
      <c r="A6" s="620">
        <f>应付债券明细表!B6</f>
        <v>0</v>
      </c>
      <c r="B6" s="569">
        <f>应付债券明细表!AJ6-应付债券明细表!AL6</f>
        <v>0</v>
      </c>
      <c r="C6" s="569">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codeName="Sheet282">
    <tabColor rgb="FFFFC000"/>
  </sheetPr>
  <dimension ref="A1:K7"/>
  <sheetViews>
    <sheetView workbookViewId="0">
      <selection activeCell="I21" sqref="I21"/>
    </sheetView>
  </sheetViews>
  <sheetFormatPr defaultRowHeight="13.8"/>
  <cols>
    <col min="1" max="7" width="8.88671875" style="18"/>
    <col min="8" max="8" width="14" style="18" customWidth="1"/>
    <col min="9" max="16384" width="8.88671875" style="18"/>
  </cols>
  <sheetData>
    <row r="1" spans="1:11">
      <c r="A1" s="24" t="s">
        <v>570</v>
      </c>
      <c r="B1" s="24" t="s">
        <v>4218</v>
      </c>
      <c r="C1" s="24" t="s">
        <v>571</v>
      </c>
      <c r="D1" s="24" t="s">
        <v>572</v>
      </c>
      <c r="E1" s="24" t="s">
        <v>573</v>
      </c>
      <c r="F1" s="24" t="s">
        <v>285</v>
      </c>
      <c r="G1" s="24" t="s">
        <v>574</v>
      </c>
      <c r="H1" s="24" t="s">
        <v>575</v>
      </c>
      <c r="I1" s="24" t="s">
        <v>576</v>
      </c>
      <c r="J1" s="24" t="s">
        <v>577</v>
      </c>
      <c r="K1" s="24" t="s">
        <v>203</v>
      </c>
    </row>
    <row r="2" spans="1:11">
      <c r="A2" s="621"/>
      <c r="B2" s="622"/>
      <c r="C2" s="621"/>
      <c r="D2" s="621"/>
      <c r="E2" s="311"/>
      <c r="F2" s="622"/>
      <c r="G2" s="311"/>
      <c r="H2" s="311"/>
      <c r="I2" s="311"/>
      <c r="J2" s="311"/>
      <c r="K2" s="619">
        <f>ROUND(F2+G2+H2-I2-J2,2)</f>
        <v>0</v>
      </c>
    </row>
    <row r="3" spans="1:11">
      <c r="A3" s="621"/>
      <c r="B3" s="622"/>
      <c r="C3" s="621"/>
      <c r="D3" s="621"/>
      <c r="E3" s="311"/>
      <c r="F3" s="622"/>
      <c r="G3" s="311"/>
      <c r="H3" s="311"/>
      <c r="I3" s="311"/>
      <c r="J3" s="311"/>
      <c r="K3" s="619">
        <f>ROUND(F3+G3+H3-I3-J3,2)</f>
        <v>0</v>
      </c>
    </row>
    <row r="4" spans="1:11">
      <c r="A4" s="621"/>
      <c r="B4" s="622"/>
      <c r="C4" s="621"/>
      <c r="D4" s="621"/>
      <c r="E4" s="311"/>
      <c r="F4" s="622"/>
      <c r="G4" s="311"/>
      <c r="H4" s="311"/>
      <c r="I4" s="311"/>
      <c r="J4" s="311"/>
      <c r="K4" s="619">
        <f>ROUND(F4+G4+H4-I4-J4,2)</f>
        <v>0</v>
      </c>
    </row>
    <row r="5" spans="1:11">
      <c r="A5" s="621"/>
      <c r="B5" s="622"/>
      <c r="C5" s="621"/>
      <c r="D5" s="621"/>
      <c r="E5" s="311"/>
      <c r="F5" s="622"/>
      <c r="G5" s="311"/>
      <c r="H5" s="311"/>
      <c r="I5" s="311"/>
      <c r="J5" s="311"/>
      <c r="K5" s="619">
        <f>ROUND(F5+G5+H5-I5-J5,2)</f>
        <v>0</v>
      </c>
    </row>
    <row r="6" spans="1:11">
      <c r="A6" s="621"/>
      <c r="B6" s="622"/>
      <c r="C6" s="621"/>
      <c r="D6" s="621"/>
      <c r="E6" s="311"/>
      <c r="F6" s="622"/>
      <c r="G6" s="311"/>
      <c r="H6" s="311"/>
      <c r="I6" s="311"/>
      <c r="J6" s="311"/>
      <c r="K6" s="619">
        <f>ROUND(F6+G6+H6-I6-J6,2)</f>
        <v>0</v>
      </c>
    </row>
    <row r="7" spans="1:11">
      <c r="A7" s="24" t="s">
        <v>282</v>
      </c>
      <c r="B7" s="25"/>
      <c r="C7" s="26"/>
      <c r="D7" s="26"/>
      <c r="E7" s="25"/>
      <c r="F7" s="710">
        <f>ROUND(SUM(F2:F6),2)</f>
        <v>0</v>
      </c>
      <c r="G7" s="25">
        <f>ROUND(SUM(G2:G6),2)</f>
        <v>0</v>
      </c>
      <c r="H7" s="25">
        <f>ROUND(SUM(H2:H6),2)</f>
        <v>0</v>
      </c>
      <c r="I7" s="25">
        <f>ROUND(SUM(I2:I6),2)</f>
        <v>0</v>
      </c>
      <c r="J7" s="25">
        <f>ROUND(SUM(J2:J6),2)</f>
        <v>0</v>
      </c>
      <c r="K7" s="710">
        <f>ROUND(SUM(K2:K6),2)</f>
        <v>0</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sheetPr codeName="Sheet283"/>
  <dimension ref="A1:AR17"/>
  <sheetViews>
    <sheetView workbookViewId="0">
      <pane xSplit="1" ySplit="1" topLeftCell="T2" activePane="bottomRight" state="frozen"/>
      <selection pane="topRight" activeCell="B1" sqref="B1"/>
      <selection pane="bottomLeft" activeCell="A2" sqref="A2"/>
      <selection pane="bottomRight" activeCell="AD20" sqref="AD20"/>
    </sheetView>
  </sheetViews>
  <sheetFormatPr defaultRowHeight="13.8"/>
  <cols>
    <col min="1" max="1" width="8.88671875" style="230"/>
    <col min="2" max="2" width="10.6640625" style="230" bestFit="1" customWidth="1"/>
    <col min="3" max="11" width="8.88671875" style="230"/>
    <col min="12" max="12" width="9.109375" style="230" customWidth="1"/>
    <col min="13" max="36" width="8.88671875" style="230"/>
    <col min="37" max="37" width="26" style="230" bestFit="1" customWidth="1"/>
    <col min="38" max="38" width="23.77734375" style="230" bestFit="1" customWidth="1"/>
    <col min="39" max="16384" width="8.88671875" style="230"/>
  </cols>
  <sheetData>
    <row r="1" spans="1:44" s="521" customFormat="1" ht="41.4">
      <c r="A1" s="521" t="s">
        <v>2427</v>
      </c>
      <c r="B1" s="521" t="s">
        <v>570</v>
      </c>
      <c r="C1" s="521" t="s">
        <v>572</v>
      </c>
      <c r="D1" s="521" t="s">
        <v>4732</v>
      </c>
      <c r="E1" s="521" t="s">
        <v>4733</v>
      </c>
      <c r="F1" s="521" t="s">
        <v>4734</v>
      </c>
      <c r="G1" s="521" t="s">
        <v>4735</v>
      </c>
      <c r="H1" s="521" t="s">
        <v>4736</v>
      </c>
      <c r="I1" s="521" t="s">
        <v>4737</v>
      </c>
      <c r="J1" s="521" t="s">
        <v>4738</v>
      </c>
      <c r="K1" s="521" t="s">
        <v>4739</v>
      </c>
      <c r="L1" s="521" t="s">
        <v>4757</v>
      </c>
      <c r="M1" s="521" t="s">
        <v>4758</v>
      </c>
      <c r="N1" s="521" t="s">
        <v>4759</v>
      </c>
      <c r="O1" s="521" t="s">
        <v>4740</v>
      </c>
      <c r="P1" s="521" t="s">
        <v>574</v>
      </c>
      <c r="Q1" s="521" t="s">
        <v>4741</v>
      </c>
      <c r="R1" s="521" t="s">
        <v>4742</v>
      </c>
      <c r="S1" s="521" t="s">
        <v>4760</v>
      </c>
      <c r="T1" s="521" t="s">
        <v>391</v>
      </c>
      <c r="U1" s="521" t="s">
        <v>392</v>
      </c>
      <c r="V1" s="521" t="s">
        <v>4743</v>
      </c>
      <c r="W1" s="521" t="s">
        <v>4750</v>
      </c>
      <c r="X1" s="521" t="s">
        <v>4751</v>
      </c>
      <c r="Y1" s="521" t="s">
        <v>4752</v>
      </c>
      <c r="Z1" s="521" t="s">
        <v>4753</v>
      </c>
      <c r="AA1" s="521" t="s">
        <v>4754</v>
      </c>
      <c r="AB1" s="521" t="s">
        <v>4755</v>
      </c>
      <c r="AC1" s="521" t="s">
        <v>4744</v>
      </c>
      <c r="AD1" s="521" t="s">
        <v>4756</v>
      </c>
      <c r="AE1" s="521" t="s">
        <v>4740</v>
      </c>
      <c r="AF1" s="521" t="s">
        <v>4745</v>
      </c>
      <c r="AG1" s="521" t="s">
        <v>610</v>
      </c>
      <c r="AH1" s="521" t="s">
        <v>4746</v>
      </c>
      <c r="AI1" s="521" t="s">
        <v>4747</v>
      </c>
      <c r="AJ1" s="521" t="s">
        <v>422</v>
      </c>
      <c r="AK1" s="521" t="s">
        <v>4730</v>
      </c>
      <c r="AL1" s="521" t="s">
        <v>4748</v>
      </c>
      <c r="AM1" s="521" t="s">
        <v>4749</v>
      </c>
      <c r="AN1" s="521" t="s">
        <v>279</v>
      </c>
      <c r="AO1" s="521" t="s">
        <v>323</v>
      </c>
      <c r="AP1" s="521" t="s">
        <v>324</v>
      </c>
      <c r="AQ1" s="521" t="s">
        <v>325</v>
      </c>
      <c r="AR1" s="521" t="s">
        <v>4731</v>
      </c>
    </row>
    <row r="2" spans="1:44">
      <c r="A2" s="230" t="str">
        <f>IF(OR(O2&gt;0,AJ2&gt;0),基础信息!$B$1,"")</f>
        <v/>
      </c>
      <c r="B2" s="290"/>
      <c r="C2" s="290"/>
      <c r="D2" s="290"/>
      <c r="E2" s="290"/>
      <c r="F2" s="290"/>
      <c r="G2" s="290"/>
      <c r="H2" s="290"/>
      <c r="I2" s="290"/>
      <c r="J2" s="290"/>
      <c r="K2" s="230">
        <f>I2*J2</f>
        <v>0</v>
      </c>
      <c r="N2" s="230">
        <f>K2-L2-M2</f>
        <v>0</v>
      </c>
      <c r="O2" s="290"/>
      <c r="P2" s="290"/>
      <c r="Q2" s="290"/>
      <c r="R2" s="230">
        <f t="shared" ref="R2:R6" si="0">SUM(O2:P2)-Q2</f>
        <v>0</v>
      </c>
      <c r="S2" s="290"/>
      <c r="T2" s="290"/>
      <c r="U2" s="290"/>
      <c r="V2" s="230">
        <f t="shared" ref="V2:V6" si="1">S2+T2-U2</f>
        <v>0</v>
      </c>
      <c r="W2" s="290"/>
      <c r="X2" s="290"/>
      <c r="Y2" s="290"/>
      <c r="Z2" s="230">
        <f t="shared" ref="Z2:Z6" si="2">W2+X2-Y2</f>
        <v>0</v>
      </c>
      <c r="AA2" s="290"/>
      <c r="AB2" s="290"/>
      <c r="AC2" s="290"/>
      <c r="AD2" s="230">
        <f t="shared" ref="AD2:AD6" si="3">AA2+AB2-AC2</f>
        <v>0</v>
      </c>
      <c r="AE2" s="230">
        <f>O2-S2+W2</f>
        <v>0</v>
      </c>
      <c r="AF2" s="230">
        <f>R2-V2+Z2</f>
        <v>0</v>
      </c>
      <c r="AG2" s="230">
        <f>W2+AA2</f>
        <v>0</v>
      </c>
      <c r="AH2" s="230">
        <f t="shared" ref="AH2" si="4">X2+AB2</f>
        <v>0</v>
      </c>
      <c r="AI2" s="230">
        <f t="shared" ref="AI2" si="5">Y2+AC2</f>
        <v>0</v>
      </c>
      <c r="AJ2" s="230">
        <f t="shared" ref="AJ2" si="6">Z2+AD2</f>
        <v>0</v>
      </c>
      <c r="AK2" s="290"/>
      <c r="AL2" s="290"/>
      <c r="AM2" s="290"/>
      <c r="AN2" s="290"/>
      <c r="AO2" s="290"/>
      <c r="AP2" s="290"/>
      <c r="AQ2" s="290"/>
      <c r="AR2" s="230">
        <f>SUM(AL2:AQ2)-AF2</f>
        <v>0</v>
      </c>
    </row>
    <row r="3" spans="1:44">
      <c r="A3" s="230" t="str">
        <f>IF(OR(O3&gt;0,AJ3&gt;0),基础信息!$B$1,"")</f>
        <v/>
      </c>
      <c r="B3" s="290"/>
      <c r="C3" s="290"/>
      <c r="D3" s="290"/>
      <c r="E3" s="290"/>
      <c r="F3" s="290"/>
      <c r="G3" s="290"/>
      <c r="H3" s="290"/>
      <c r="I3" s="290"/>
      <c r="J3" s="290"/>
      <c r="K3" s="230">
        <f>I3*J3</f>
        <v>0</v>
      </c>
      <c r="N3" s="230">
        <f t="shared" ref="N3:N6" si="7">K3-L3-M3</f>
        <v>0</v>
      </c>
      <c r="O3" s="290"/>
      <c r="P3" s="290"/>
      <c r="Q3" s="290"/>
      <c r="R3" s="230">
        <f t="shared" si="0"/>
        <v>0</v>
      </c>
      <c r="S3" s="290"/>
      <c r="T3" s="290"/>
      <c r="U3" s="290"/>
      <c r="V3" s="230">
        <f t="shared" si="1"/>
        <v>0</v>
      </c>
      <c r="W3" s="290"/>
      <c r="X3" s="290"/>
      <c r="Y3" s="290"/>
      <c r="Z3" s="230">
        <f t="shared" si="2"/>
        <v>0</v>
      </c>
      <c r="AA3" s="290"/>
      <c r="AB3" s="290"/>
      <c r="AC3" s="290"/>
      <c r="AD3" s="230">
        <f t="shared" si="3"/>
        <v>0</v>
      </c>
      <c r="AE3" s="230">
        <f>O3-S3+W3</f>
        <v>0</v>
      </c>
      <c r="AF3" s="230">
        <f>R3-V3+Z3</f>
        <v>0</v>
      </c>
      <c r="AG3" s="230">
        <f>W3+AA3</f>
        <v>0</v>
      </c>
      <c r="AH3" s="230">
        <f t="shared" ref="AH3:AJ6" si="8">X3+AB3</f>
        <v>0</v>
      </c>
      <c r="AI3" s="230">
        <f t="shared" si="8"/>
        <v>0</v>
      </c>
      <c r="AJ3" s="230">
        <f t="shared" si="8"/>
        <v>0</v>
      </c>
      <c r="AK3" s="290"/>
      <c r="AL3" s="290"/>
      <c r="AM3" s="290"/>
      <c r="AN3" s="290"/>
      <c r="AO3" s="290"/>
      <c r="AP3" s="290"/>
      <c r="AQ3" s="290"/>
      <c r="AR3" s="230">
        <f>SUM(AL3:AQ3)-AF3</f>
        <v>0</v>
      </c>
    </row>
    <row r="4" spans="1:44">
      <c r="A4" s="230" t="str">
        <f>IF(OR(O4&gt;0,AJ4&gt;0),基础信息!$B$1,"")</f>
        <v/>
      </c>
      <c r="B4" s="290"/>
      <c r="C4" s="290"/>
      <c r="D4" s="290"/>
      <c r="E4" s="290"/>
      <c r="F4" s="290"/>
      <c r="G4" s="290"/>
      <c r="H4" s="290"/>
      <c r="I4" s="290"/>
      <c r="J4" s="290"/>
      <c r="K4" s="230">
        <f>I4*J4</f>
        <v>0</v>
      </c>
      <c r="N4" s="230">
        <f t="shared" si="7"/>
        <v>0</v>
      </c>
      <c r="O4" s="290"/>
      <c r="P4" s="290"/>
      <c r="Q4" s="290"/>
      <c r="R4" s="230">
        <f t="shared" si="0"/>
        <v>0</v>
      </c>
      <c r="S4" s="290"/>
      <c r="T4" s="290"/>
      <c r="U4" s="290"/>
      <c r="V4" s="230">
        <f t="shared" si="1"/>
        <v>0</v>
      </c>
      <c r="W4" s="290"/>
      <c r="X4" s="290"/>
      <c r="Y4" s="290"/>
      <c r="Z4" s="230">
        <f t="shared" si="2"/>
        <v>0</v>
      </c>
      <c r="AA4" s="290"/>
      <c r="AB4" s="290"/>
      <c r="AC4" s="290"/>
      <c r="AD4" s="230">
        <f t="shared" si="3"/>
        <v>0</v>
      </c>
      <c r="AE4" s="230">
        <f t="shared" ref="AE4:AE6" si="9">O4-S4+W4</f>
        <v>0</v>
      </c>
      <c r="AF4" s="230">
        <f t="shared" ref="AF4:AF6" si="10">R4-V4+Z4</f>
        <v>0</v>
      </c>
      <c r="AG4" s="230">
        <f t="shared" ref="AG4:AG6" si="11">W4+AA4</f>
        <v>0</v>
      </c>
      <c r="AH4" s="230">
        <f t="shared" si="8"/>
        <v>0</v>
      </c>
      <c r="AI4" s="230">
        <f t="shared" si="8"/>
        <v>0</v>
      </c>
      <c r="AJ4" s="230">
        <f t="shared" si="8"/>
        <v>0</v>
      </c>
      <c r="AK4" s="290"/>
      <c r="AL4" s="290"/>
      <c r="AM4" s="290"/>
      <c r="AN4" s="290"/>
      <c r="AO4" s="290"/>
      <c r="AP4" s="290"/>
      <c r="AQ4" s="290"/>
      <c r="AR4" s="230">
        <f t="shared" ref="AR4:AR6" si="12">SUM(AL4:AQ4)-AF4</f>
        <v>0</v>
      </c>
    </row>
    <row r="5" spans="1:44">
      <c r="A5" s="230" t="str">
        <f>IF(OR(O5&gt;0,AJ5&gt;0),基础信息!$B$1,"")</f>
        <v/>
      </c>
      <c r="B5" s="290"/>
      <c r="C5" s="290"/>
      <c r="D5" s="290"/>
      <c r="E5" s="290"/>
      <c r="F5" s="290"/>
      <c r="G5" s="290"/>
      <c r="H5" s="290"/>
      <c r="I5" s="290"/>
      <c r="J5" s="290"/>
      <c r="K5" s="230">
        <f t="shared" ref="K5:K6" si="13">I5*J5</f>
        <v>0</v>
      </c>
      <c r="N5" s="230">
        <f t="shared" si="7"/>
        <v>0</v>
      </c>
      <c r="O5" s="290"/>
      <c r="P5" s="290"/>
      <c r="Q5" s="290"/>
      <c r="R5" s="230">
        <f t="shared" si="0"/>
        <v>0</v>
      </c>
      <c r="S5" s="290"/>
      <c r="T5" s="290"/>
      <c r="U5" s="290"/>
      <c r="V5" s="230">
        <f t="shared" si="1"/>
        <v>0</v>
      </c>
      <c r="W5" s="290"/>
      <c r="X5" s="290"/>
      <c r="Y5" s="290"/>
      <c r="Z5" s="230">
        <f t="shared" si="2"/>
        <v>0</v>
      </c>
      <c r="AA5" s="290"/>
      <c r="AB5" s="290"/>
      <c r="AC5" s="290"/>
      <c r="AD5" s="230">
        <f t="shared" si="3"/>
        <v>0</v>
      </c>
      <c r="AE5" s="230">
        <f t="shared" si="9"/>
        <v>0</v>
      </c>
      <c r="AF5" s="230">
        <f t="shared" si="10"/>
        <v>0</v>
      </c>
      <c r="AG5" s="230">
        <f t="shared" si="11"/>
        <v>0</v>
      </c>
      <c r="AH5" s="230">
        <f t="shared" si="8"/>
        <v>0</v>
      </c>
      <c r="AI5" s="230">
        <f t="shared" si="8"/>
        <v>0</v>
      </c>
      <c r="AJ5" s="230">
        <f t="shared" si="8"/>
        <v>0</v>
      </c>
      <c r="AK5" s="290"/>
      <c r="AL5" s="290"/>
      <c r="AM5" s="290"/>
      <c r="AN5" s="290"/>
      <c r="AO5" s="290"/>
      <c r="AP5" s="290"/>
      <c r="AQ5" s="290"/>
      <c r="AR5" s="230">
        <f t="shared" si="12"/>
        <v>0</v>
      </c>
    </row>
    <row r="6" spans="1:44">
      <c r="A6" s="230" t="str">
        <f>IF(OR(O6&gt;0,AJ6&gt;0),基础信息!$B$1,"")</f>
        <v/>
      </c>
      <c r="B6" s="290"/>
      <c r="C6" s="290"/>
      <c r="D6" s="290"/>
      <c r="E6" s="290"/>
      <c r="F6" s="290"/>
      <c r="G6" s="290"/>
      <c r="H6" s="290"/>
      <c r="I6" s="290"/>
      <c r="J6" s="290"/>
      <c r="K6" s="230">
        <f t="shared" si="13"/>
        <v>0</v>
      </c>
      <c r="N6" s="230">
        <f t="shared" si="7"/>
        <v>0</v>
      </c>
      <c r="O6" s="290"/>
      <c r="P6" s="290"/>
      <c r="Q6" s="290"/>
      <c r="R6" s="230">
        <f t="shared" si="0"/>
        <v>0</v>
      </c>
      <c r="S6" s="290"/>
      <c r="T6" s="290"/>
      <c r="U6" s="290"/>
      <c r="V6" s="230">
        <f t="shared" si="1"/>
        <v>0</v>
      </c>
      <c r="W6" s="290"/>
      <c r="X6" s="290"/>
      <c r="Y6" s="290"/>
      <c r="Z6" s="230">
        <f t="shared" si="2"/>
        <v>0</v>
      </c>
      <c r="AA6" s="290"/>
      <c r="AB6" s="290"/>
      <c r="AC6" s="290"/>
      <c r="AD6" s="230">
        <f t="shared" si="3"/>
        <v>0</v>
      </c>
      <c r="AE6" s="230">
        <f t="shared" si="9"/>
        <v>0</v>
      </c>
      <c r="AF6" s="230">
        <f t="shared" si="10"/>
        <v>0</v>
      </c>
      <c r="AG6" s="230">
        <f t="shared" si="11"/>
        <v>0</v>
      </c>
      <c r="AH6" s="230">
        <f t="shared" si="8"/>
        <v>0</v>
      </c>
      <c r="AI6" s="230">
        <f t="shared" si="8"/>
        <v>0</v>
      </c>
      <c r="AJ6" s="230">
        <f t="shared" si="8"/>
        <v>0</v>
      </c>
      <c r="AK6" s="290"/>
      <c r="AL6" s="290"/>
      <c r="AM6" s="290"/>
      <c r="AN6" s="290"/>
      <c r="AO6" s="290"/>
      <c r="AP6" s="290"/>
      <c r="AQ6" s="290"/>
      <c r="AR6" s="230">
        <f t="shared" si="12"/>
        <v>0</v>
      </c>
    </row>
    <row r="7" spans="1:44">
      <c r="A7" s="230" t="str">
        <f>IF(OR(O7&gt;0,AJ7&gt;0),基础信息!$B$1,"")</f>
        <v/>
      </c>
    </row>
    <row r="8" spans="1:44">
      <c r="A8" s="230" t="str">
        <f>IF(OR(O8&gt;0,AJ8&gt;0),基础信息!$B$1,"")</f>
        <v/>
      </c>
    </row>
    <row r="9" spans="1:44">
      <c r="A9" s="230" t="str">
        <f>IF(OR(O9&gt;0,AJ9&gt;0),基础信息!$B$1,"")</f>
        <v/>
      </c>
    </row>
    <row r="10" spans="1:44">
      <c r="A10" s="230" t="str">
        <f>IF(OR(O10&gt;0,AJ10&gt;0),基础信息!$B$1,"")</f>
        <v/>
      </c>
    </row>
    <row r="11" spans="1:44">
      <c r="A11" s="230" t="str">
        <f>IF(OR(O11&gt;0,AJ11&gt;0),基础信息!$B$1,"")</f>
        <v/>
      </c>
    </row>
    <row r="12" spans="1:44">
      <c r="A12" s="230" t="str">
        <f>IF(OR(O12&gt;0,AJ12&gt;0),基础信息!$B$1,"")</f>
        <v/>
      </c>
    </row>
    <row r="13" spans="1:44">
      <c r="A13" s="230" t="str">
        <f>IF(OR(O13&gt;0,AJ13&gt;0),基础信息!$B$1,"")</f>
        <v/>
      </c>
    </row>
    <row r="14" spans="1:44">
      <c r="A14" s="230" t="str">
        <f>IF(OR(O14&gt;0,AJ14&gt;0),基础信息!$B$1,"")</f>
        <v/>
      </c>
    </row>
    <row r="15" spans="1:44">
      <c r="A15" s="230" t="str">
        <f>IF(OR(O15&gt;0,AJ15&gt;0),基础信息!$B$1,"")</f>
        <v/>
      </c>
    </row>
    <row r="16" spans="1:44">
      <c r="A16" s="230" t="str">
        <f>IF(OR(O16&gt;0,AJ16&gt;0),基础信息!$B$1,"")</f>
        <v/>
      </c>
    </row>
    <row r="17" spans="1:1">
      <c r="A17" s="230" t="str">
        <f>IF(OR(O17&gt;0,AJ17&gt;0),基础信息!$B$1,"")</f>
        <v/>
      </c>
    </row>
  </sheetData>
  <phoneticPr fontId="1" type="noConversion"/>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codeName="Sheet284">
    <tabColor rgb="FFFFC000"/>
  </sheetPr>
  <dimension ref="A1:J7"/>
  <sheetViews>
    <sheetView workbookViewId="0">
      <selection activeCell="M27" sqref="M27"/>
    </sheetView>
  </sheetViews>
  <sheetFormatPr defaultRowHeight="13.8"/>
  <cols>
    <col min="1" max="16384" width="8.88671875" style="18"/>
  </cols>
  <sheetData>
    <row r="1" spans="1:10" ht="28.8" customHeight="1">
      <c r="A1" s="32" t="s">
        <v>579</v>
      </c>
      <c r="B1" s="20" t="s">
        <v>586</v>
      </c>
      <c r="C1" s="20" t="s">
        <v>587</v>
      </c>
      <c r="D1" s="32" t="s">
        <v>580</v>
      </c>
      <c r="E1" s="20" t="s">
        <v>588</v>
      </c>
      <c r="F1" s="32" t="s">
        <v>581</v>
      </c>
      <c r="G1" s="32" t="s">
        <v>183</v>
      </c>
      <c r="H1" s="32" t="s">
        <v>582</v>
      </c>
      <c r="I1" s="32" t="s">
        <v>4184</v>
      </c>
      <c r="J1" s="20" t="s">
        <v>589</v>
      </c>
    </row>
    <row r="2" spans="1:10" ht="14.4">
      <c r="A2" s="308"/>
      <c r="B2" s="270"/>
      <c r="C2" s="270"/>
      <c r="D2" s="308"/>
      <c r="E2" s="270"/>
      <c r="F2" s="308"/>
      <c r="G2" s="308"/>
      <c r="H2" s="308"/>
      <c r="I2" s="308"/>
      <c r="J2" s="270"/>
    </row>
    <row r="3" spans="1:10" ht="15.6">
      <c r="A3" s="269"/>
      <c r="B3" s="339"/>
      <c r="C3" s="339"/>
      <c r="D3" s="339"/>
      <c r="E3" s="339"/>
      <c r="F3" s="339"/>
      <c r="G3" s="339"/>
      <c r="H3" s="339"/>
      <c r="I3" s="339"/>
      <c r="J3" s="339"/>
    </row>
    <row r="4" spans="1:10" ht="15.6">
      <c r="A4" s="269"/>
      <c r="B4" s="339"/>
      <c r="C4" s="339"/>
      <c r="D4" s="339"/>
      <c r="E4" s="339"/>
      <c r="F4" s="339"/>
      <c r="G4" s="339"/>
      <c r="H4" s="339"/>
      <c r="I4" s="339"/>
      <c r="J4" s="339"/>
    </row>
    <row r="5" spans="1:10" ht="15.6">
      <c r="A5" s="269"/>
      <c r="B5" s="339"/>
      <c r="C5" s="339"/>
      <c r="D5" s="339"/>
      <c r="E5" s="339"/>
      <c r="F5" s="339"/>
      <c r="G5" s="339"/>
      <c r="H5" s="339"/>
      <c r="I5" s="339"/>
      <c r="J5" s="339"/>
    </row>
    <row r="6" spans="1:10" ht="15.6">
      <c r="A6" s="269"/>
      <c r="B6" s="339"/>
      <c r="C6" s="339"/>
      <c r="D6" s="339"/>
      <c r="E6" s="339"/>
      <c r="F6" s="339"/>
      <c r="G6" s="339"/>
      <c r="H6" s="339"/>
      <c r="I6" s="339"/>
      <c r="J6" s="339"/>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codeName="Sheet285">
    <tabColor rgb="FFFFC000"/>
  </sheetPr>
  <dimension ref="A1:I6"/>
  <sheetViews>
    <sheetView workbookViewId="0">
      <selection activeCell="K28" sqref="K28"/>
    </sheetView>
  </sheetViews>
  <sheetFormatPr defaultRowHeight="13.8"/>
  <cols>
    <col min="1" max="16384" width="8.88671875" style="18"/>
  </cols>
  <sheetData>
    <row r="1" spans="1:9" ht="28.8" customHeight="1">
      <c r="A1" s="47" t="s">
        <v>579</v>
      </c>
      <c r="B1" s="47" t="s">
        <v>593</v>
      </c>
      <c r="C1" s="47" t="s">
        <v>222</v>
      </c>
      <c r="D1" s="47" t="s">
        <v>590</v>
      </c>
      <c r="E1" s="47" t="s">
        <v>373</v>
      </c>
      <c r="F1" s="47" t="s">
        <v>591</v>
      </c>
      <c r="G1" s="47" t="s">
        <v>366</v>
      </c>
      <c r="H1" s="47" t="s">
        <v>592</v>
      </c>
      <c r="I1" s="47" t="s">
        <v>216</v>
      </c>
    </row>
    <row r="2" spans="1:9" ht="14.4">
      <c r="A2" s="340" t="s">
        <v>583</v>
      </c>
      <c r="B2" s="341"/>
      <c r="C2" s="341"/>
      <c r="D2" s="341"/>
      <c r="E2" s="341"/>
      <c r="F2" s="341"/>
      <c r="G2" s="341"/>
      <c r="H2" s="341"/>
      <c r="I2" s="341"/>
    </row>
    <row r="3" spans="1:9" ht="14.4">
      <c r="A3" s="340" t="s">
        <v>584</v>
      </c>
      <c r="B3" s="341"/>
      <c r="C3" s="341"/>
      <c r="D3" s="341"/>
      <c r="E3" s="341"/>
      <c r="F3" s="341"/>
      <c r="G3" s="341"/>
      <c r="H3" s="341"/>
      <c r="I3" s="341"/>
    </row>
    <row r="4" spans="1:9" ht="14.4">
      <c r="A4" s="340" t="s">
        <v>585</v>
      </c>
      <c r="B4" s="341"/>
      <c r="C4" s="341"/>
      <c r="D4" s="341"/>
      <c r="E4" s="341"/>
      <c r="F4" s="341"/>
      <c r="G4" s="341"/>
      <c r="H4" s="341"/>
      <c r="I4" s="341"/>
    </row>
    <row r="5" spans="1:9" ht="14.4">
      <c r="A5" s="340" t="s">
        <v>13</v>
      </c>
      <c r="B5" s="341"/>
      <c r="C5" s="341"/>
      <c r="D5" s="341"/>
      <c r="E5" s="341"/>
      <c r="F5" s="341"/>
      <c r="G5" s="341"/>
      <c r="H5" s="341"/>
      <c r="I5" s="341"/>
    </row>
    <row r="6" spans="1:9" ht="14.4">
      <c r="A6" s="49" t="s">
        <v>204</v>
      </c>
      <c r="B6" s="20" t="s">
        <v>239</v>
      </c>
      <c r="C6" s="48"/>
      <c r="D6" s="20" t="s">
        <v>239</v>
      </c>
      <c r="E6" s="48"/>
      <c r="F6" s="20" t="s">
        <v>239</v>
      </c>
      <c r="G6" s="48"/>
      <c r="H6" s="20" t="s">
        <v>239</v>
      </c>
      <c r="I6" s="48"/>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codeName="Sheet286">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601</v>
      </c>
      <c r="C1" s="20" t="s">
        <v>600</v>
      </c>
    </row>
    <row r="2" spans="1:3" ht="14.4">
      <c r="A2" s="44" t="s">
        <v>594</v>
      </c>
      <c r="B2" s="342"/>
      <c r="C2" s="342"/>
    </row>
    <row r="3" spans="1:3" ht="14.4">
      <c r="A3" s="46" t="s">
        <v>595</v>
      </c>
      <c r="B3" s="342"/>
      <c r="C3" s="342"/>
    </row>
    <row r="4" spans="1:3">
      <c r="A4" s="46" t="s">
        <v>4180</v>
      </c>
      <c r="B4" s="342"/>
      <c r="C4" s="342"/>
    </row>
    <row r="5" spans="1:3" ht="14.4">
      <c r="A5" s="46" t="s">
        <v>596</v>
      </c>
      <c r="B5" s="342"/>
      <c r="C5" s="342"/>
    </row>
    <row r="6" spans="1:3">
      <c r="A6" s="46" t="s">
        <v>4181</v>
      </c>
      <c r="B6" s="342"/>
      <c r="C6" s="342"/>
    </row>
    <row r="7" spans="1:3">
      <c r="A7" s="46" t="s">
        <v>4182</v>
      </c>
      <c r="B7" s="342"/>
      <c r="C7" s="342"/>
    </row>
    <row r="8" spans="1:3">
      <c r="A8" s="46" t="s">
        <v>4183</v>
      </c>
      <c r="B8" s="342"/>
      <c r="C8" s="342"/>
    </row>
    <row r="9" spans="1:3" ht="14.4">
      <c r="A9" s="44" t="s">
        <v>597</v>
      </c>
      <c r="B9" s="342"/>
      <c r="C9" s="342"/>
    </row>
    <row r="10" spans="1:3" ht="14.4">
      <c r="A10" s="46" t="s">
        <v>598</v>
      </c>
      <c r="B10" s="342"/>
      <c r="C10" s="342"/>
    </row>
    <row r="11" spans="1:3" ht="14.4">
      <c r="A11" s="46" t="s">
        <v>599</v>
      </c>
      <c r="B11" s="342"/>
      <c r="C11" s="342"/>
    </row>
  </sheetData>
  <phoneticPr fontId="1" type="noConversion"/>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codeName="Sheet287">
    <tabColor rgb="FFFFC000"/>
  </sheetPr>
  <dimension ref="A1:C5"/>
  <sheetViews>
    <sheetView workbookViewId="0">
      <selection activeCell="C14" sqref="C14"/>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4676</v>
      </c>
      <c r="B2" s="294">
        <f>ROUND(SUM(租赁负债明细表!I:I),2)</f>
        <v>0</v>
      </c>
      <c r="C2" s="267"/>
    </row>
    <row r="3" spans="1:3" ht="14.4">
      <c r="A3" s="34" t="s">
        <v>4680</v>
      </c>
      <c r="B3" s="294">
        <f>ROUND(SUM(租赁负债明细表!L:L),2)</f>
        <v>0</v>
      </c>
      <c r="C3" s="267"/>
    </row>
    <row r="4" spans="1:3" ht="14.4">
      <c r="A4" s="34" t="s">
        <v>605</v>
      </c>
      <c r="B4" s="291">
        <f>ROUND(SUM(租赁负债明细表!M:M)-SUM(租赁负债明细表!O:O),2)</f>
        <v>0</v>
      </c>
      <c r="C4" s="265"/>
    </row>
    <row r="5" spans="1:3" ht="14.4">
      <c r="A5" s="34" t="s">
        <v>604</v>
      </c>
      <c r="B5" s="291">
        <f>ROUND(B2-B3-B4,2)</f>
        <v>0</v>
      </c>
      <c r="C5" s="291">
        <f>ROUND(C2-C3-C4,2)</f>
        <v>0</v>
      </c>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sheetPr codeName="Sheet288"/>
  <dimension ref="A1:P24"/>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RowHeight="13.8"/>
  <cols>
    <col min="5" max="6" width="11.6640625" bestFit="1" customWidth="1"/>
    <col min="8" max="8" width="11.6640625" bestFit="1" customWidth="1"/>
    <col min="9" max="9" width="11.6640625" style="230"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7" customFormat="1" ht="27.6">
      <c r="A1" s="237" t="s">
        <v>2427</v>
      </c>
      <c r="B1" s="237" t="s">
        <v>4670</v>
      </c>
      <c r="C1" s="237" t="s">
        <v>2384</v>
      </c>
      <c r="D1" s="237" t="s">
        <v>4671</v>
      </c>
      <c r="E1" s="237" t="s">
        <v>4672</v>
      </c>
      <c r="F1" s="237" t="s">
        <v>4673</v>
      </c>
      <c r="G1" s="237" t="s">
        <v>4674</v>
      </c>
      <c r="H1" s="237" t="s">
        <v>4675</v>
      </c>
      <c r="I1" s="521" t="s">
        <v>4677</v>
      </c>
      <c r="J1" s="237" t="s">
        <v>4678</v>
      </c>
      <c r="K1" s="237" t="s">
        <v>4679</v>
      </c>
      <c r="L1" s="237" t="s">
        <v>4681</v>
      </c>
      <c r="M1" s="237" t="s">
        <v>4682</v>
      </c>
      <c r="N1" s="237" t="s">
        <v>4683</v>
      </c>
      <c r="O1" s="237" t="s">
        <v>4684</v>
      </c>
      <c r="P1" s="237" t="s">
        <v>4685</v>
      </c>
    </row>
    <row r="2" spans="1:16">
      <c r="A2" t="str">
        <f>IF(I2&gt;0,基础信息!$B$1,"")</f>
        <v/>
      </c>
      <c r="B2" s="256"/>
      <c r="C2" s="277"/>
      <c r="D2" s="256"/>
      <c r="E2" s="256"/>
      <c r="F2" s="256"/>
      <c r="G2" s="256"/>
      <c r="H2" s="256"/>
      <c r="I2" s="230">
        <f>G2-H2</f>
        <v>0</v>
      </c>
      <c r="J2" s="256"/>
      <c r="K2" s="256"/>
      <c r="L2" s="231">
        <f>I2-K2</f>
        <v>0</v>
      </c>
      <c r="M2" s="256"/>
      <c r="N2" s="231">
        <f>I2-M2</f>
        <v>0</v>
      </c>
      <c r="O2" s="256"/>
      <c r="P2" s="231">
        <f>L2-O2</f>
        <v>0</v>
      </c>
    </row>
    <row r="3" spans="1:16">
      <c r="A3" t="str">
        <f>IF(I3&gt;0,基础信息!$B$1,"")</f>
        <v/>
      </c>
      <c r="B3" s="256"/>
      <c r="C3" s="277"/>
      <c r="D3" s="256"/>
      <c r="E3" s="256"/>
      <c r="F3" s="256"/>
      <c r="G3" s="256"/>
      <c r="H3" s="256"/>
      <c r="I3" s="230">
        <f t="shared" ref="I3:I17" si="0">G3-H3</f>
        <v>0</v>
      </c>
      <c r="J3" s="256"/>
      <c r="K3" s="256"/>
      <c r="L3" s="231">
        <f t="shared" ref="L3:L17" si="1">I3-K3</f>
        <v>0</v>
      </c>
      <c r="M3" s="256"/>
      <c r="N3" s="231">
        <f t="shared" ref="N3:N17" si="2">I3-M3</f>
        <v>0</v>
      </c>
      <c r="O3" s="256"/>
      <c r="P3" s="231">
        <f t="shared" ref="P3:P17" si="3">L3-O3</f>
        <v>0</v>
      </c>
    </row>
    <row r="4" spans="1:16">
      <c r="A4" t="str">
        <f>IF(I4&gt;0,基础信息!$B$1,"")</f>
        <v/>
      </c>
      <c r="B4" s="256"/>
      <c r="C4" s="277"/>
      <c r="D4" s="256"/>
      <c r="E4" s="256"/>
      <c r="F4" s="256"/>
      <c r="G4" s="256"/>
      <c r="H4" s="256"/>
      <c r="I4" s="230">
        <f t="shared" si="0"/>
        <v>0</v>
      </c>
      <c r="J4" s="256"/>
      <c r="K4" s="256"/>
      <c r="L4" s="231">
        <f t="shared" si="1"/>
        <v>0</v>
      </c>
      <c r="M4" s="256"/>
      <c r="N4" s="231">
        <f t="shared" si="2"/>
        <v>0</v>
      </c>
      <c r="O4" s="256"/>
      <c r="P4" s="231">
        <f t="shared" si="3"/>
        <v>0</v>
      </c>
    </row>
    <row r="5" spans="1:16">
      <c r="A5" t="str">
        <f>IF(I5&gt;0,基础信息!$B$1,"")</f>
        <v/>
      </c>
      <c r="B5" s="256"/>
      <c r="C5" s="277"/>
      <c r="D5" s="256"/>
      <c r="E5" s="256"/>
      <c r="F5" s="256"/>
      <c r="G5" s="256"/>
      <c r="H5" s="256"/>
      <c r="I5" s="230">
        <f t="shared" si="0"/>
        <v>0</v>
      </c>
      <c r="J5" s="256"/>
      <c r="K5" s="256"/>
      <c r="L5" s="231">
        <f t="shared" si="1"/>
        <v>0</v>
      </c>
      <c r="M5" s="256"/>
      <c r="N5" s="231">
        <f t="shared" si="2"/>
        <v>0</v>
      </c>
      <c r="O5" s="256"/>
      <c r="P5" s="231">
        <f t="shared" si="3"/>
        <v>0</v>
      </c>
    </row>
    <row r="6" spans="1:16">
      <c r="A6" t="str">
        <f>IF(I6&gt;0,基础信息!$B$1,"")</f>
        <v/>
      </c>
      <c r="B6" s="256"/>
      <c r="C6" s="277"/>
      <c r="D6" s="256"/>
      <c r="E6" s="256"/>
      <c r="F6" s="256"/>
      <c r="G6" s="256"/>
      <c r="H6" s="256"/>
      <c r="I6" s="230">
        <f t="shared" si="0"/>
        <v>0</v>
      </c>
      <c r="J6" s="256"/>
      <c r="K6" s="256"/>
      <c r="L6" s="231">
        <f t="shared" si="1"/>
        <v>0</v>
      </c>
      <c r="M6" s="256"/>
      <c r="N6" s="231">
        <f t="shared" si="2"/>
        <v>0</v>
      </c>
      <c r="O6" s="256"/>
      <c r="P6" s="231">
        <f t="shared" si="3"/>
        <v>0</v>
      </c>
    </row>
    <row r="7" spans="1:16">
      <c r="A7" t="str">
        <f>IF(I7&gt;0,基础信息!$B$1,"")</f>
        <v/>
      </c>
      <c r="B7" s="256"/>
      <c r="C7" s="277"/>
      <c r="D7" s="256"/>
      <c r="E7" s="256"/>
      <c r="F7" s="256"/>
      <c r="G7" s="256"/>
      <c r="H7" s="256"/>
      <c r="I7" s="230">
        <f t="shared" si="0"/>
        <v>0</v>
      </c>
      <c r="J7" s="256"/>
      <c r="K7" s="256"/>
      <c r="L7" s="231">
        <f t="shared" si="1"/>
        <v>0</v>
      </c>
      <c r="M7" s="256"/>
      <c r="N7" s="231">
        <f t="shared" si="2"/>
        <v>0</v>
      </c>
      <c r="O7" s="256"/>
      <c r="P7" s="231">
        <f t="shared" si="3"/>
        <v>0</v>
      </c>
    </row>
    <row r="8" spans="1:16">
      <c r="A8" t="str">
        <f>IF(I8&gt;0,基础信息!$B$1,"")</f>
        <v/>
      </c>
      <c r="B8" s="256"/>
      <c r="C8" s="277"/>
      <c r="D8" s="256"/>
      <c r="E8" s="256"/>
      <c r="F8" s="256"/>
      <c r="G8" s="256"/>
      <c r="H8" s="256"/>
      <c r="I8" s="230">
        <f t="shared" si="0"/>
        <v>0</v>
      </c>
      <c r="J8" s="256"/>
      <c r="K8" s="256"/>
      <c r="L8" s="231">
        <f t="shared" si="1"/>
        <v>0</v>
      </c>
      <c r="M8" s="256"/>
      <c r="N8" s="231">
        <f t="shared" si="2"/>
        <v>0</v>
      </c>
      <c r="O8" s="256"/>
      <c r="P8" s="231">
        <f t="shared" si="3"/>
        <v>0</v>
      </c>
    </row>
    <row r="9" spans="1:16">
      <c r="A9" t="str">
        <f>IF(I9&gt;0,基础信息!$B$1,"")</f>
        <v/>
      </c>
      <c r="B9" s="256"/>
      <c r="C9" s="277"/>
      <c r="D9" s="256"/>
      <c r="E9" s="256"/>
      <c r="F9" s="256"/>
      <c r="G9" s="256"/>
      <c r="H9" s="256"/>
      <c r="I9" s="230">
        <f t="shared" si="0"/>
        <v>0</v>
      </c>
      <c r="J9" s="256"/>
      <c r="K9" s="256"/>
      <c r="L9" s="231">
        <f t="shared" si="1"/>
        <v>0</v>
      </c>
      <c r="M9" s="256"/>
      <c r="N9" s="231">
        <f t="shared" si="2"/>
        <v>0</v>
      </c>
      <c r="O9" s="256"/>
      <c r="P9" s="231">
        <f t="shared" si="3"/>
        <v>0</v>
      </c>
    </row>
    <row r="10" spans="1:16">
      <c r="A10" t="str">
        <f>IF(I10&gt;0,基础信息!$B$1,"")</f>
        <v/>
      </c>
      <c r="B10" s="256"/>
      <c r="C10" s="277"/>
      <c r="D10" s="256"/>
      <c r="E10" s="256"/>
      <c r="F10" s="256"/>
      <c r="G10" s="256"/>
      <c r="H10" s="256"/>
      <c r="I10" s="230">
        <f t="shared" si="0"/>
        <v>0</v>
      </c>
      <c r="J10" s="256"/>
      <c r="K10" s="256"/>
      <c r="L10" s="231">
        <f t="shared" si="1"/>
        <v>0</v>
      </c>
      <c r="M10" s="256"/>
      <c r="N10" s="231">
        <f t="shared" si="2"/>
        <v>0</v>
      </c>
      <c r="O10" s="256"/>
      <c r="P10" s="231">
        <f t="shared" si="3"/>
        <v>0</v>
      </c>
    </row>
    <row r="11" spans="1:16">
      <c r="A11" t="str">
        <f>IF(I11&gt;0,基础信息!$B$1,"")</f>
        <v/>
      </c>
      <c r="B11" s="256"/>
      <c r="C11" s="277"/>
      <c r="D11" s="256"/>
      <c r="E11" s="256"/>
      <c r="F11" s="256"/>
      <c r="G11" s="256"/>
      <c r="H11" s="256"/>
      <c r="I11" s="230">
        <f t="shared" si="0"/>
        <v>0</v>
      </c>
      <c r="J11" s="256"/>
      <c r="K11" s="256"/>
      <c r="L11" s="231">
        <f t="shared" si="1"/>
        <v>0</v>
      </c>
      <c r="M11" s="256"/>
      <c r="N11" s="231">
        <f t="shared" si="2"/>
        <v>0</v>
      </c>
      <c r="O11" s="256"/>
      <c r="P11" s="231">
        <f t="shared" si="3"/>
        <v>0</v>
      </c>
    </row>
    <row r="12" spans="1:16">
      <c r="A12" t="str">
        <f>IF(I12&gt;0,基础信息!$B$1,"")</f>
        <v/>
      </c>
      <c r="B12" s="256"/>
      <c r="C12" s="277"/>
      <c r="D12" s="256"/>
      <c r="E12" s="256"/>
      <c r="F12" s="256"/>
      <c r="G12" s="256"/>
      <c r="H12" s="256"/>
      <c r="I12" s="230">
        <f t="shared" si="0"/>
        <v>0</v>
      </c>
      <c r="J12" s="256"/>
      <c r="K12" s="256"/>
      <c r="L12" s="231">
        <f t="shared" si="1"/>
        <v>0</v>
      </c>
      <c r="M12" s="256"/>
      <c r="N12" s="231">
        <f t="shared" si="2"/>
        <v>0</v>
      </c>
      <c r="O12" s="256"/>
      <c r="P12" s="231">
        <f t="shared" si="3"/>
        <v>0</v>
      </c>
    </row>
    <row r="13" spans="1:16">
      <c r="A13" t="str">
        <f>IF(I13&gt;0,基础信息!$B$1,"")</f>
        <v/>
      </c>
      <c r="B13" s="256"/>
      <c r="C13" s="277"/>
      <c r="D13" s="256"/>
      <c r="E13" s="256"/>
      <c r="F13" s="256"/>
      <c r="G13" s="256"/>
      <c r="H13" s="256"/>
      <c r="I13" s="230">
        <f t="shared" si="0"/>
        <v>0</v>
      </c>
      <c r="J13" s="256"/>
      <c r="K13" s="256"/>
      <c r="L13" s="231">
        <f t="shared" si="1"/>
        <v>0</v>
      </c>
      <c r="M13" s="256"/>
      <c r="N13" s="231">
        <f t="shared" si="2"/>
        <v>0</v>
      </c>
      <c r="O13" s="256"/>
      <c r="P13" s="231">
        <f t="shared" si="3"/>
        <v>0</v>
      </c>
    </row>
    <row r="14" spans="1:16">
      <c r="A14" t="str">
        <f>IF(I14&gt;0,基础信息!$B$1,"")</f>
        <v/>
      </c>
      <c r="B14" s="256"/>
      <c r="C14" s="277"/>
      <c r="D14" s="256"/>
      <c r="E14" s="256"/>
      <c r="F14" s="256"/>
      <c r="G14" s="256"/>
      <c r="H14" s="256"/>
      <c r="I14" s="230">
        <f t="shared" si="0"/>
        <v>0</v>
      </c>
      <c r="J14" s="256"/>
      <c r="K14" s="256"/>
      <c r="L14" s="231">
        <f t="shared" si="1"/>
        <v>0</v>
      </c>
      <c r="M14" s="256"/>
      <c r="N14" s="231">
        <f t="shared" si="2"/>
        <v>0</v>
      </c>
      <c r="O14" s="256"/>
      <c r="P14" s="231">
        <f t="shared" si="3"/>
        <v>0</v>
      </c>
    </row>
    <row r="15" spans="1:16">
      <c r="A15" t="str">
        <f>IF(I15&gt;0,基础信息!$B$1,"")</f>
        <v/>
      </c>
      <c r="B15" s="256"/>
      <c r="C15" s="277"/>
      <c r="D15" s="256"/>
      <c r="E15" s="256"/>
      <c r="F15" s="256"/>
      <c r="G15" s="256"/>
      <c r="H15" s="256"/>
      <c r="I15" s="230">
        <f t="shared" si="0"/>
        <v>0</v>
      </c>
      <c r="J15" s="256"/>
      <c r="K15" s="256"/>
      <c r="L15" s="231">
        <f t="shared" si="1"/>
        <v>0</v>
      </c>
      <c r="M15" s="256"/>
      <c r="N15" s="231">
        <f t="shared" si="2"/>
        <v>0</v>
      </c>
      <c r="O15" s="256"/>
      <c r="P15" s="231">
        <f t="shared" si="3"/>
        <v>0</v>
      </c>
    </row>
    <row r="16" spans="1:16">
      <c r="A16" t="str">
        <f>IF(I16&gt;0,基础信息!$B$1,"")</f>
        <v/>
      </c>
      <c r="B16" s="256"/>
      <c r="C16" s="277"/>
      <c r="D16" s="256"/>
      <c r="E16" s="256"/>
      <c r="F16" s="256"/>
      <c r="G16" s="256"/>
      <c r="H16" s="256"/>
      <c r="I16" s="230">
        <f t="shared" si="0"/>
        <v>0</v>
      </c>
      <c r="J16" s="256"/>
      <c r="K16" s="256"/>
      <c r="L16" s="231">
        <f t="shared" si="1"/>
        <v>0</v>
      </c>
      <c r="M16" s="256"/>
      <c r="N16" s="231">
        <f t="shared" si="2"/>
        <v>0</v>
      </c>
      <c r="O16" s="256"/>
      <c r="P16" s="231">
        <f t="shared" si="3"/>
        <v>0</v>
      </c>
    </row>
    <row r="17" spans="1:16">
      <c r="A17" t="str">
        <f>IF(I17&gt;0,基础信息!$B$1,"")</f>
        <v/>
      </c>
      <c r="B17" s="256"/>
      <c r="C17" s="277"/>
      <c r="D17" s="256"/>
      <c r="E17" s="256"/>
      <c r="F17" s="256"/>
      <c r="G17" s="256"/>
      <c r="H17" s="256"/>
      <c r="I17" s="230">
        <f t="shared" si="0"/>
        <v>0</v>
      </c>
      <c r="J17" s="256"/>
      <c r="K17" s="256"/>
      <c r="L17" s="231">
        <f t="shared" si="1"/>
        <v>0</v>
      </c>
      <c r="M17" s="256"/>
      <c r="N17" s="231">
        <f t="shared" si="2"/>
        <v>0</v>
      </c>
      <c r="O17" s="256"/>
      <c r="P17" s="231">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codeName="Sheet289">
    <tabColor rgb="FFFFC000"/>
  </sheetPr>
  <dimension ref="A1:C4"/>
  <sheetViews>
    <sheetView workbookViewId="0">
      <selection activeCell="G13" sqref="G13"/>
    </sheetView>
  </sheetViews>
  <sheetFormatPr defaultRowHeight="13.8"/>
  <cols>
    <col min="1" max="1" width="16" style="18" customWidth="1"/>
    <col min="2" max="3" width="8.88671875" style="1"/>
    <col min="4" max="16384" width="8.88671875" style="18"/>
  </cols>
  <sheetData>
    <row r="1" spans="1:3" ht="14.4">
      <c r="A1" s="31" t="s">
        <v>28</v>
      </c>
      <c r="B1" s="154" t="s">
        <v>203</v>
      </c>
      <c r="C1" s="154" t="s">
        <v>285</v>
      </c>
    </row>
    <row r="2" spans="1:3" ht="14.4">
      <c r="A2" s="32" t="s">
        <v>94</v>
      </c>
      <c r="B2" s="69">
        <f>ROUND(长期应付款!B15,2)</f>
        <v>0</v>
      </c>
      <c r="C2" s="69">
        <f>ROUND(长期应付款!C15,2)</f>
        <v>0</v>
      </c>
    </row>
    <row r="3" spans="1:3" ht="14.4">
      <c r="A3" s="32" t="s">
        <v>602</v>
      </c>
      <c r="B3" s="69">
        <f>ROUND(专项应付款!E12,2)</f>
        <v>0</v>
      </c>
      <c r="C3" s="69">
        <f>ROUND(专项应付款!B12,2)</f>
        <v>0</v>
      </c>
    </row>
    <row r="4" spans="1:3" ht="14.4">
      <c r="A4" s="31" t="s">
        <v>204</v>
      </c>
      <c r="B4" s="69">
        <f>ROUND(SUM(B2:B3),2)</f>
        <v>0</v>
      </c>
      <c r="C4" s="69">
        <f>ROUND(SUM(C2:C3),2)</f>
        <v>0</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codeName="Sheet29">
    <tabColor rgb="FF00B0F0"/>
  </sheetPr>
  <dimension ref="A1:I11"/>
  <sheetViews>
    <sheetView workbookViewId="0">
      <selection activeCell="C24" sqref="C24"/>
    </sheetView>
  </sheetViews>
  <sheetFormatPr defaultRowHeight="13.8"/>
  <cols>
    <col min="1" max="1" width="39.109375" bestFit="1" customWidth="1"/>
    <col min="2" max="2" width="23.88671875" style="230" bestFit="1" customWidth="1"/>
    <col min="3" max="3" width="20.44140625" bestFit="1" customWidth="1"/>
    <col min="4" max="4" width="22.6640625" bestFit="1" customWidth="1"/>
    <col min="5" max="6" width="20.44140625" bestFit="1" customWidth="1"/>
  </cols>
  <sheetData>
    <row r="1" spans="1:9">
      <c r="A1" t="s">
        <v>95</v>
      </c>
      <c r="B1" s="230" t="s">
        <v>2523</v>
      </c>
    </row>
    <row r="2" spans="1:9">
      <c r="A2" t="s">
        <v>2888</v>
      </c>
      <c r="B2" s="230">
        <f>将净利润调节为经营活动现金流量!B16</f>
        <v>0</v>
      </c>
    </row>
    <row r="3" spans="1:9">
      <c r="A3" t="s">
        <v>2889</v>
      </c>
      <c r="B3" s="230">
        <f>将净利润调节为经营活动现金流量!B17</f>
        <v>0</v>
      </c>
    </row>
    <row r="4" spans="1:9">
      <c r="A4" t="s">
        <v>2887</v>
      </c>
      <c r="B4" s="230">
        <f>VLOOKUP("递延所得税费用",所得税费用!A:B,2,0)</f>
        <v>0</v>
      </c>
    </row>
    <row r="5" spans="1:9">
      <c r="A5" t="s">
        <v>2391</v>
      </c>
      <c r="B5" s="230">
        <f>SUM(B2:B3)-B4</f>
        <v>0</v>
      </c>
    </row>
    <row r="7" spans="1:9">
      <c r="A7" t="s">
        <v>95</v>
      </c>
      <c r="B7" s="230" t="s">
        <v>3115</v>
      </c>
      <c r="C7" t="s">
        <v>3117</v>
      </c>
      <c r="D7" t="s">
        <v>3116</v>
      </c>
      <c r="E7" t="s">
        <v>3118</v>
      </c>
      <c r="F7" t="s">
        <v>3120</v>
      </c>
      <c r="G7" t="s">
        <v>3121</v>
      </c>
      <c r="H7" t="s">
        <v>2579</v>
      </c>
      <c r="I7" t="s">
        <v>2580</v>
      </c>
    </row>
    <row r="8" spans="1:9">
      <c r="A8" t="s">
        <v>1675</v>
      </c>
      <c r="B8" s="230">
        <f>未经抵销的递延所得税资产!B53</f>
        <v>0</v>
      </c>
      <c r="C8" s="230">
        <f>未经抵销的递延所得税资产!C53</f>
        <v>0</v>
      </c>
      <c r="D8" s="230">
        <f>未经抵销的递延所得税资产!D53</f>
        <v>0</v>
      </c>
      <c r="E8" s="230">
        <f>未经抵销的递延所得税资产!E53</f>
        <v>0</v>
      </c>
      <c r="F8" s="231">
        <f>SUM(可抵扣暂时性差异明细表!T:T)</f>
        <v>0</v>
      </c>
      <c r="G8" s="231">
        <f>SUM(可抵扣暂时性差异明细表!S:S)</f>
        <v>0</v>
      </c>
      <c r="H8" s="416">
        <f>F8-C8</f>
        <v>0</v>
      </c>
      <c r="I8" s="416">
        <f>G8-E8</f>
        <v>0</v>
      </c>
    </row>
    <row r="9" spans="1:9">
      <c r="A9" t="s">
        <v>1676</v>
      </c>
      <c r="B9" s="230">
        <f>未经抵销的递延所得税负债!B25</f>
        <v>0</v>
      </c>
      <c r="C9" s="230">
        <f>未经抵销的递延所得税负债!C25</f>
        <v>0</v>
      </c>
      <c r="D9" s="230">
        <f>未经抵销的递延所得税负债!D25</f>
        <v>0</v>
      </c>
      <c r="E9" s="230">
        <f>未经抵销的递延所得税负债!E25</f>
        <v>0</v>
      </c>
      <c r="F9" s="231">
        <f>SUM(应纳税暂时性差异明细表!Q:Q)</f>
        <v>0</v>
      </c>
      <c r="G9" s="231">
        <f>SUM(应纳税暂时性差异明细表!S:S)</f>
        <v>0</v>
      </c>
      <c r="H9" s="416">
        <f>F9-C9</f>
        <v>0</v>
      </c>
      <c r="I9" s="416">
        <f>G9-E9</f>
        <v>0</v>
      </c>
    </row>
    <row r="10" spans="1:9">
      <c r="A10" t="s">
        <v>3119</v>
      </c>
      <c r="B10" s="230">
        <f>SUM(可抵扣暂时性差异明细表!Q:Q)+SUM(应纳税暂时性差异明细表!Q:Q)</f>
        <v>0</v>
      </c>
      <c r="D10" s="231">
        <f>SUM(可抵扣暂时性差异明细表!D:D)+SUM(应纳税暂时性差异明细表!D:D)</f>
        <v>0</v>
      </c>
    </row>
    <row r="11" spans="1:9">
      <c r="A11" t="s">
        <v>2391</v>
      </c>
      <c r="B11" s="414">
        <f>B8-B9-B10</f>
        <v>0</v>
      </c>
      <c r="D11" s="416">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codeName="Sheet290">
    <tabColor rgb="FFFFC000"/>
  </sheetPr>
  <dimension ref="A1:C15"/>
  <sheetViews>
    <sheetView workbookViewId="0">
      <selection activeCell="J22" sqref="J22"/>
    </sheetView>
  </sheetViews>
  <sheetFormatPr defaultRowHeight="13.8"/>
  <cols>
    <col min="1" max="16384" width="8.88671875" style="18"/>
  </cols>
  <sheetData>
    <row r="1" spans="1:3" ht="14.4">
      <c r="A1" s="31" t="s">
        <v>28</v>
      </c>
      <c r="B1" s="20" t="s">
        <v>203</v>
      </c>
      <c r="C1" s="20" t="s">
        <v>285</v>
      </c>
    </row>
    <row r="2" spans="1:3" ht="14.4">
      <c r="A2" s="615">
        <f>长期应付款明细表!B2</f>
        <v>0</v>
      </c>
      <c r="B2" s="268">
        <f>长期应付款明细表!N2-长期应付款明细表!O2</f>
        <v>0</v>
      </c>
      <c r="C2" s="268">
        <f>长期应付款明细表!I2-长期应付款明细表!J2</f>
        <v>0</v>
      </c>
    </row>
    <row r="3" spans="1:3" ht="14.4">
      <c r="A3" s="615">
        <f>长期应付款明细表!B3</f>
        <v>0</v>
      </c>
      <c r="B3" s="268">
        <f>长期应付款明细表!N3-长期应付款明细表!O3</f>
        <v>0</v>
      </c>
      <c r="C3" s="268">
        <f>长期应付款明细表!I3-长期应付款明细表!J3</f>
        <v>0</v>
      </c>
    </row>
    <row r="4" spans="1:3" ht="14.4">
      <c r="A4" s="615">
        <f>长期应付款明细表!B4</f>
        <v>0</v>
      </c>
      <c r="B4" s="268">
        <f>长期应付款明细表!N4-长期应付款明细表!O4</f>
        <v>0</v>
      </c>
      <c r="C4" s="268">
        <f>长期应付款明细表!I4-长期应付款明细表!J4</f>
        <v>0</v>
      </c>
    </row>
    <row r="5" spans="1:3" ht="14.4">
      <c r="A5" s="615">
        <f>长期应付款明细表!B5</f>
        <v>0</v>
      </c>
      <c r="B5" s="268">
        <f>长期应付款明细表!N5-长期应付款明细表!O5</f>
        <v>0</v>
      </c>
      <c r="C5" s="268">
        <f>长期应付款明细表!I5-长期应付款明细表!J5</f>
        <v>0</v>
      </c>
    </row>
    <row r="6" spans="1:3" ht="14.4">
      <c r="A6" s="615">
        <f>长期应付款明细表!B6</f>
        <v>0</v>
      </c>
      <c r="B6" s="268">
        <f>长期应付款明细表!N6-长期应付款明细表!O6</f>
        <v>0</v>
      </c>
      <c r="C6" s="268">
        <f>长期应付款明细表!I6-长期应付款明细表!J6</f>
        <v>0</v>
      </c>
    </row>
    <row r="7" spans="1:3" ht="14.4">
      <c r="A7" s="615">
        <f>长期应付款明细表!B7</f>
        <v>0</v>
      </c>
      <c r="B7" s="268">
        <f>长期应付款明细表!N7-长期应付款明细表!O7</f>
        <v>0</v>
      </c>
      <c r="C7" s="268">
        <f>长期应付款明细表!I7-长期应付款明细表!J7</f>
        <v>0</v>
      </c>
    </row>
    <row r="8" spans="1:3" ht="14.4">
      <c r="A8" s="615">
        <f>长期应付款明细表!B8</f>
        <v>0</v>
      </c>
      <c r="B8" s="268">
        <f>长期应付款明细表!N8-长期应付款明细表!O8</f>
        <v>0</v>
      </c>
      <c r="C8" s="268">
        <f>长期应付款明细表!I8-长期应付款明细表!J8</f>
        <v>0</v>
      </c>
    </row>
    <row r="9" spans="1:3" ht="14.4">
      <c r="A9" s="615">
        <f>长期应付款明细表!B9</f>
        <v>0</v>
      </c>
      <c r="B9" s="268">
        <f>长期应付款明细表!N9-长期应付款明细表!O9</f>
        <v>0</v>
      </c>
      <c r="C9" s="268">
        <f>长期应付款明细表!I9-长期应付款明细表!J9</f>
        <v>0</v>
      </c>
    </row>
    <row r="10" spans="1:3" ht="14.4">
      <c r="A10" s="615">
        <f>长期应付款明细表!B10</f>
        <v>0</v>
      </c>
      <c r="B10" s="268">
        <f>长期应付款明细表!N10-长期应付款明细表!O10</f>
        <v>0</v>
      </c>
      <c r="C10" s="268">
        <f>长期应付款明细表!I10-长期应付款明细表!J10</f>
        <v>0</v>
      </c>
    </row>
    <row r="11" spans="1:3" ht="14.4">
      <c r="A11" s="615">
        <f>长期应付款明细表!B11</f>
        <v>0</v>
      </c>
      <c r="B11" s="268">
        <f>长期应付款明细表!N11-长期应付款明细表!O11</f>
        <v>0</v>
      </c>
      <c r="C11" s="268">
        <f>长期应付款明细表!I11-长期应付款明细表!J11</f>
        <v>0</v>
      </c>
    </row>
    <row r="12" spans="1:3" ht="14.4">
      <c r="A12" s="615">
        <f>长期应付款明细表!B12</f>
        <v>0</v>
      </c>
      <c r="B12" s="268">
        <f>长期应付款明细表!N12-长期应付款明细表!O12</f>
        <v>0</v>
      </c>
      <c r="C12" s="268">
        <f>长期应付款明细表!I12-长期应付款明细表!J12</f>
        <v>0</v>
      </c>
    </row>
    <row r="13" spans="1:3" ht="14.4">
      <c r="A13" s="615">
        <f>长期应付款明细表!B13</f>
        <v>0</v>
      </c>
      <c r="B13" s="268">
        <f>长期应付款明细表!N13-长期应付款明细表!O13</f>
        <v>0</v>
      </c>
      <c r="C13" s="268">
        <f>长期应付款明细表!I13-长期应付款明细表!J13</f>
        <v>0</v>
      </c>
    </row>
    <row r="14" spans="1:3" ht="14.4">
      <c r="A14" s="615">
        <f>长期应付款明细表!B14</f>
        <v>0</v>
      </c>
      <c r="B14" s="268">
        <f>长期应付款明细表!N14-长期应付款明细表!O14</f>
        <v>0</v>
      </c>
      <c r="C14" s="268">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sheetPr codeName="Sheet291"/>
  <dimension ref="A1:X22"/>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RowHeight="13.8"/>
  <cols>
    <col min="2" max="2" width="11.6640625" bestFit="1" customWidth="1"/>
    <col min="9" max="10" width="8.88671875" style="237"/>
    <col min="24" max="24" width="8.88671875" style="230"/>
  </cols>
  <sheetData>
    <row r="1" spans="1:24" ht="55.2">
      <c r="A1" t="s">
        <v>2427</v>
      </c>
      <c r="B1" t="s">
        <v>4686</v>
      </c>
      <c r="C1" t="s">
        <v>4272</v>
      </c>
      <c r="D1" t="s">
        <v>2384</v>
      </c>
      <c r="E1" t="s">
        <v>4687</v>
      </c>
      <c r="F1" t="s">
        <v>4688</v>
      </c>
      <c r="G1" t="s">
        <v>4689</v>
      </c>
      <c r="H1" t="s">
        <v>4690</v>
      </c>
      <c r="I1" s="237" t="s">
        <v>4691</v>
      </c>
      <c r="J1" s="237" t="s">
        <v>4692</v>
      </c>
      <c r="K1" t="s">
        <v>4465</v>
      </c>
      <c r="L1" t="s">
        <v>4693</v>
      </c>
      <c r="M1" t="s">
        <v>4694</v>
      </c>
      <c r="N1" t="s">
        <v>422</v>
      </c>
      <c r="O1" s="237" t="s">
        <v>4695</v>
      </c>
      <c r="P1" s="237" t="s">
        <v>4696</v>
      </c>
      <c r="Q1" s="237" t="s">
        <v>4697</v>
      </c>
      <c r="R1" s="237" t="s">
        <v>4698</v>
      </c>
      <c r="S1" s="237" t="s">
        <v>4699</v>
      </c>
      <c r="T1" s="237" t="s">
        <v>4700</v>
      </c>
      <c r="U1" s="237" t="s">
        <v>4701</v>
      </c>
      <c r="V1" s="237" t="s">
        <v>4702</v>
      </c>
      <c r="W1" s="237" t="s">
        <v>4703</v>
      </c>
      <c r="X1" s="521" t="s">
        <v>2391</v>
      </c>
    </row>
    <row r="2" spans="1:24">
      <c r="A2" t="str">
        <f>IF(OR(I2&gt;0,N2&gt;0),基础信息!$B$1,"")</f>
        <v/>
      </c>
      <c r="B2" s="256"/>
      <c r="C2" s="277"/>
      <c r="D2" s="277"/>
      <c r="E2" s="256"/>
      <c r="F2" s="256"/>
      <c r="G2" s="256"/>
      <c r="H2" s="256"/>
      <c r="I2" s="371"/>
      <c r="J2" s="371"/>
      <c r="K2" s="256"/>
      <c r="L2" s="256"/>
      <c r="M2" s="256"/>
      <c r="N2" s="277">
        <f>I2+K2+L2-M2</f>
        <v>0</v>
      </c>
      <c r="O2" s="256"/>
      <c r="P2" s="256"/>
      <c r="Q2" s="256"/>
      <c r="R2" s="256"/>
      <c r="S2" s="256"/>
      <c r="T2" s="256"/>
      <c r="U2" s="256"/>
      <c r="V2" s="256"/>
      <c r="W2" s="256"/>
      <c r="X2" s="230">
        <f>SUM(Q2:V2)-W2-N2</f>
        <v>0</v>
      </c>
    </row>
    <row r="3" spans="1:24">
      <c r="A3" t="str">
        <f>IF(OR(I3&gt;0,N3&gt;0),基础信息!$B$1,"")</f>
        <v/>
      </c>
      <c r="B3" s="256"/>
      <c r="C3" s="277"/>
      <c r="D3" s="277"/>
      <c r="E3" s="256"/>
      <c r="F3" s="256"/>
      <c r="G3" s="256"/>
      <c r="H3" s="256"/>
      <c r="I3" s="371"/>
      <c r="J3" s="371"/>
      <c r="K3" s="256"/>
      <c r="L3" s="256"/>
      <c r="M3" s="256"/>
      <c r="N3" s="277">
        <f t="shared" ref="N3:N21" si="0">I3+K3+L3-M3</f>
        <v>0</v>
      </c>
      <c r="O3" s="256"/>
      <c r="P3" s="256"/>
      <c r="Q3" s="256"/>
      <c r="R3" s="256"/>
      <c r="S3" s="256"/>
      <c r="T3" s="256"/>
      <c r="U3" s="256"/>
      <c r="V3" s="256"/>
      <c r="W3" s="256"/>
      <c r="X3" s="230">
        <f t="shared" ref="X3:X21" si="1">SUM(Q3:V3)-W3-N3</f>
        <v>0</v>
      </c>
    </row>
    <row r="4" spans="1:24">
      <c r="A4" t="str">
        <f>IF(OR(I4&gt;0,N4&gt;0),基础信息!$B$1,"")</f>
        <v/>
      </c>
      <c r="B4" s="256"/>
      <c r="C4" s="277"/>
      <c r="D4" s="277"/>
      <c r="E4" s="256"/>
      <c r="F4" s="256"/>
      <c r="G4" s="256"/>
      <c r="H4" s="256"/>
      <c r="I4" s="371"/>
      <c r="J4" s="371"/>
      <c r="K4" s="256"/>
      <c r="L4" s="256"/>
      <c r="M4" s="256"/>
      <c r="N4" s="277">
        <f t="shared" si="0"/>
        <v>0</v>
      </c>
      <c r="O4" s="256"/>
      <c r="P4" s="256"/>
      <c r="Q4" s="256"/>
      <c r="R4" s="256"/>
      <c r="S4" s="256"/>
      <c r="T4" s="256"/>
      <c r="U4" s="256"/>
      <c r="V4" s="256"/>
      <c r="W4" s="256"/>
      <c r="X4" s="230">
        <f t="shared" si="1"/>
        <v>0</v>
      </c>
    </row>
    <row r="5" spans="1:24">
      <c r="A5" t="str">
        <f>IF(OR(I5&gt;0,N5&gt;0),基础信息!$B$1,"")</f>
        <v/>
      </c>
      <c r="B5" s="256"/>
      <c r="C5" s="277"/>
      <c r="D5" s="277"/>
      <c r="E5" s="256"/>
      <c r="F5" s="256"/>
      <c r="G5" s="256"/>
      <c r="H5" s="256"/>
      <c r="I5" s="371"/>
      <c r="J5" s="371"/>
      <c r="K5" s="256"/>
      <c r="L5" s="256"/>
      <c r="M5" s="256"/>
      <c r="N5" s="277">
        <f t="shared" si="0"/>
        <v>0</v>
      </c>
      <c r="O5" s="256"/>
      <c r="P5" s="256"/>
      <c r="Q5" s="256"/>
      <c r="R5" s="256"/>
      <c r="S5" s="256"/>
      <c r="T5" s="256"/>
      <c r="U5" s="256"/>
      <c r="V5" s="256"/>
      <c r="W5" s="256"/>
      <c r="X5" s="230">
        <f t="shared" si="1"/>
        <v>0</v>
      </c>
    </row>
    <row r="6" spans="1:24">
      <c r="A6" t="str">
        <f>IF(OR(I6&gt;0,N6&gt;0),基础信息!$B$1,"")</f>
        <v/>
      </c>
      <c r="B6" s="256"/>
      <c r="C6" s="277"/>
      <c r="D6" s="277"/>
      <c r="E6" s="256"/>
      <c r="F6" s="256"/>
      <c r="G6" s="256"/>
      <c r="H6" s="256"/>
      <c r="I6" s="371"/>
      <c r="J6" s="371"/>
      <c r="K6" s="256"/>
      <c r="L6" s="256"/>
      <c r="M6" s="256"/>
      <c r="N6" s="277">
        <f t="shared" si="0"/>
        <v>0</v>
      </c>
      <c r="O6" s="256"/>
      <c r="P6" s="256"/>
      <c r="Q6" s="256"/>
      <c r="R6" s="256"/>
      <c r="S6" s="256"/>
      <c r="T6" s="256"/>
      <c r="U6" s="256"/>
      <c r="V6" s="256"/>
      <c r="W6" s="256"/>
      <c r="X6" s="230">
        <f t="shared" si="1"/>
        <v>0</v>
      </c>
    </row>
    <row r="7" spans="1:24">
      <c r="A7" t="str">
        <f>IF(OR(I7&gt;0,N7&gt;0),基础信息!$B$1,"")</f>
        <v/>
      </c>
      <c r="B7" s="256"/>
      <c r="C7" s="277"/>
      <c r="D7" s="277"/>
      <c r="E7" s="256"/>
      <c r="F7" s="256"/>
      <c r="G7" s="256"/>
      <c r="H7" s="256"/>
      <c r="I7" s="371"/>
      <c r="J7" s="371"/>
      <c r="K7" s="256"/>
      <c r="L7" s="256"/>
      <c r="M7" s="256"/>
      <c r="N7" s="277">
        <f t="shared" si="0"/>
        <v>0</v>
      </c>
      <c r="O7" s="256"/>
      <c r="P7" s="256"/>
      <c r="Q7" s="256"/>
      <c r="R7" s="256"/>
      <c r="S7" s="256"/>
      <c r="T7" s="256"/>
      <c r="U7" s="256"/>
      <c r="V7" s="256"/>
      <c r="W7" s="256"/>
      <c r="X7" s="230">
        <f t="shared" si="1"/>
        <v>0</v>
      </c>
    </row>
    <row r="8" spans="1:24">
      <c r="A8" t="str">
        <f>IF(OR(I8&gt;0,N8&gt;0),基础信息!$B$1,"")</f>
        <v/>
      </c>
      <c r="B8" s="256"/>
      <c r="C8" s="277"/>
      <c r="D8" s="277"/>
      <c r="E8" s="256"/>
      <c r="F8" s="256"/>
      <c r="G8" s="256"/>
      <c r="H8" s="256"/>
      <c r="I8" s="371"/>
      <c r="J8" s="371"/>
      <c r="K8" s="256"/>
      <c r="L8" s="256"/>
      <c r="M8" s="256"/>
      <c r="N8" s="277">
        <f t="shared" si="0"/>
        <v>0</v>
      </c>
      <c r="O8" s="256"/>
      <c r="P8" s="256"/>
      <c r="Q8" s="256"/>
      <c r="R8" s="256"/>
      <c r="S8" s="256"/>
      <c r="T8" s="256"/>
      <c r="U8" s="256"/>
      <c r="V8" s="256"/>
      <c r="W8" s="256"/>
      <c r="X8" s="230">
        <f t="shared" si="1"/>
        <v>0</v>
      </c>
    </row>
    <row r="9" spans="1:24">
      <c r="A9" t="str">
        <f>IF(OR(I9&gt;0,N9&gt;0),基础信息!$B$1,"")</f>
        <v/>
      </c>
      <c r="B9" s="256"/>
      <c r="C9" s="277"/>
      <c r="D9" s="277"/>
      <c r="E9" s="256"/>
      <c r="F9" s="256"/>
      <c r="G9" s="256"/>
      <c r="H9" s="256"/>
      <c r="I9" s="371"/>
      <c r="J9" s="371"/>
      <c r="K9" s="256"/>
      <c r="L9" s="256"/>
      <c r="M9" s="256"/>
      <c r="N9" s="277">
        <f t="shared" si="0"/>
        <v>0</v>
      </c>
      <c r="O9" s="256"/>
      <c r="P9" s="256"/>
      <c r="Q9" s="256"/>
      <c r="R9" s="256"/>
      <c r="S9" s="256"/>
      <c r="T9" s="256"/>
      <c r="U9" s="256"/>
      <c r="V9" s="256"/>
      <c r="W9" s="256"/>
      <c r="X9" s="230">
        <f t="shared" si="1"/>
        <v>0</v>
      </c>
    </row>
    <row r="10" spans="1:24">
      <c r="A10" t="str">
        <f>IF(OR(I10&gt;0,N10&gt;0),基础信息!$B$1,"")</f>
        <v/>
      </c>
      <c r="B10" s="256"/>
      <c r="C10" s="277"/>
      <c r="D10" s="277"/>
      <c r="E10" s="256"/>
      <c r="F10" s="256"/>
      <c r="G10" s="256"/>
      <c r="H10" s="256"/>
      <c r="I10" s="371"/>
      <c r="J10" s="371"/>
      <c r="K10" s="256"/>
      <c r="L10" s="256"/>
      <c r="M10" s="256"/>
      <c r="N10" s="277">
        <f t="shared" si="0"/>
        <v>0</v>
      </c>
      <c r="O10" s="256"/>
      <c r="P10" s="256"/>
      <c r="Q10" s="256"/>
      <c r="R10" s="256"/>
      <c r="S10" s="256"/>
      <c r="T10" s="256"/>
      <c r="U10" s="256"/>
      <c r="V10" s="256"/>
      <c r="W10" s="256"/>
      <c r="X10" s="230">
        <f t="shared" si="1"/>
        <v>0</v>
      </c>
    </row>
    <row r="11" spans="1:24">
      <c r="A11" t="str">
        <f>IF(OR(I11&gt;0,N11&gt;0),基础信息!$B$1,"")</f>
        <v/>
      </c>
      <c r="B11" s="256"/>
      <c r="C11" s="277"/>
      <c r="D11" s="277"/>
      <c r="E11" s="256"/>
      <c r="F11" s="256"/>
      <c r="G11" s="256"/>
      <c r="H11" s="256"/>
      <c r="I11" s="371"/>
      <c r="J11" s="371"/>
      <c r="K11" s="256"/>
      <c r="L11" s="256"/>
      <c r="M11" s="256"/>
      <c r="N11" s="277">
        <f t="shared" si="0"/>
        <v>0</v>
      </c>
      <c r="O11" s="256"/>
      <c r="P11" s="256"/>
      <c r="Q11" s="256"/>
      <c r="R11" s="256"/>
      <c r="S11" s="256"/>
      <c r="T11" s="256"/>
      <c r="U11" s="256"/>
      <c r="V11" s="256"/>
      <c r="W11" s="256"/>
      <c r="X11" s="230">
        <f t="shared" si="1"/>
        <v>0</v>
      </c>
    </row>
    <row r="12" spans="1:24">
      <c r="A12" t="str">
        <f>IF(OR(I12&gt;0,N12&gt;0),基础信息!$B$1,"")</f>
        <v/>
      </c>
      <c r="B12" s="256"/>
      <c r="C12" s="277"/>
      <c r="D12" s="277"/>
      <c r="E12" s="256"/>
      <c r="F12" s="256"/>
      <c r="G12" s="256"/>
      <c r="H12" s="256"/>
      <c r="I12" s="371"/>
      <c r="J12" s="371"/>
      <c r="K12" s="256"/>
      <c r="L12" s="256"/>
      <c r="M12" s="256"/>
      <c r="N12" s="277">
        <f t="shared" si="0"/>
        <v>0</v>
      </c>
      <c r="O12" s="256"/>
      <c r="P12" s="256"/>
      <c r="Q12" s="256"/>
      <c r="R12" s="256"/>
      <c r="S12" s="256"/>
      <c r="T12" s="256"/>
      <c r="U12" s="256"/>
      <c r="V12" s="256"/>
      <c r="W12" s="256"/>
      <c r="X12" s="230">
        <f t="shared" si="1"/>
        <v>0</v>
      </c>
    </row>
    <row r="13" spans="1:24">
      <c r="A13" t="str">
        <f>IF(OR(I13&gt;0,N13&gt;0),基础信息!$B$1,"")</f>
        <v/>
      </c>
      <c r="B13" s="256"/>
      <c r="C13" s="277"/>
      <c r="D13" s="277"/>
      <c r="E13" s="256"/>
      <c r="F13" s="256"/>
      <c r="G13" s="256"/>
      <c r="H13" s="256"/>
      <c r="I13" s="371"/>
      <c r="J13" s="371"/>
      <c r="K13" s="256"/>
      <c r="L13" s="256"/>
      <c r="M13" s="256"/>
      <c r="N13" s="277">
        <f t="shared" si="0"/>
        <v>0</v>
      </c>
      <c r="O13" s="256"/>
      <c r="P13" s="256"/>
      <c r="Q13" s="256"/>
      <c r="R13" s="256"/>
      <c r="S13" s="256"/>
      <c r="T13" s="256"/>
      <c r="U13" s="256"/>
      <c r="V13" s="256"/>
      <c r="W13" s="256"/>
      <c r="X13" s="230">
        <f t="shared" si="1"/>
        <v>0</v>
      </c>
    </row>
    <row r="14" spans="1:24">
      <c r="A14" t="str">
        <f>IF(OR(I14&gt;0,N14&gt;0),基础信息!$B$1,"")</f>
        <v/>
      </c>
      <c r="B14" s="256"/>
      <c r="C14" s="277"/>
      <c r="D14" s="277"/>
      <c r="E14" s="256"/>
      <c r="F14" s="256"/>
      <c r="G14" s="256"/>
      <c r="H14" s="256"/>
      <c r="I14" s="371"/>
      <c r="J14" s="371"/>
      <c r="K14" s="256"/>
      <c r="L14" s="256"/>
      <c r="M14" s="256"/>
      <c r="N14" s="277">
        <f t="shared" si="0"/>
        <v>0</v>
      </c>
      <c r="O14" s="256"/>
      <c r="P14" s="256"/>
      <c r="Q14" s="256"/>
      <c r="R14" s="256"/>
      <c r="S14" s="256"/>
      <c r="T14" s="256"/>
      <c r="U14" s="256"/>
      <c r="V14" s="256"/>
      <c r="W14" s="256"/>
      <c r="X14" s="230">
        <f t="shared" si="1"/>
        <v>0</v>
      </c>
    </row>
    <row r="15" spans="1:24">
      <c r="A15" t="str">
        <f>IF(OR(I15&gt;0,N15&gt;0),基础信息!$B$1,"")</f>
        <v/>
      </c>
      <c r="B15" s="256"/>
      <c r="C15" s="277"/>
      <c r="D15" s="277"/>
      <c r="E15" s="256"/>
      <c r="F15" s="256"/>
      <c r="G15" s="256"/>
      <c r="H15" s="256"/>
      <c r="I15" s="371"/>
      <c r="J15" s="371"/>
      <c r="K15" s="256"/>
      <c r="L15" s="256"/>
      <c r="M15" s="256"/>
      <c r="N15" s="277">
        <f t="shared" si="0"/>
        <v>0</v>
      </c>
      <c r="O15" s="256"/>
      <c r="P15" s="256"/>
      <c r="Q15" s="256"/>
      <c r="R15" s="256"/>
      <c r="S15" s="256"/>
      <c r="T15" s="256"/>
      <c r="U15" s="256"/>
      <c r="V15" s="256"/>
      <c r="W15" s="256"/>
      <c r="X15" s="230">
        <f t="shared" si="1"/>
        <v>0</v>
      </c>
    </row>
    <row r="16" spans="1:24">
      <c r="A16" t="str">
        <f>IF(OR(I16&gt;0,N16&gt;0),基础信息!$B$1,"")</f>
        <v/>
      </c>
      <c r="B16" s="256"/>
      <c r="C16" s="277"/>
      <c r="D16" s="277"/>
      <c r="E16" s="256"/>
      <c r="F16" s="256"/>
      <c r="G16" s="256"/>
      <c r="H16" s="256"/>
      <c r="I16" s="371"/>
      <c r="J16" s="371"/>
      <c r="K16" s="256"/>
      <c r="L16" s="256"/>
      <c r="M16" s="256"/>
      <c r="N16" s="277">
        <f t="shared" si="0"/>
        <v>0</v>
      </c>
      <c r="O16" s="256"/>
      <c r="P16" s="256"/>
      <c r="Q16" s="256"/>
      <c r="R16" s="256"/>
      <c r="S16" s="256"/>
      <c r="T16" s="256"/>
      <c r="U16" s="256"/>
      <c r="V16" s="256"/>
      <c r="W16" s="256"/>
      <c r="X16" s="230">
        <f t="shared" si="1"/>
        <v>0</v>
      </c>
    </row>
    <row r="17" spans="1:24">
      <c r="A17" t="str">
        <f>IF(OR(I17&gt;0,N17&gt;0),基础信息!$B$1,"")</f>
        <v/>
      </c>
      <c r="B17" s="256"/>
      <c r="C17" s="277"/>
      <c r="D17" s="277"/>
      <c r="E17" s="256"/>
      <c r="F17" s="256"/>
      <c r="G17" s="256"/>
      <c r="H17" s="256"/>
      <c r="I17" s="371"/>
      <c r="J17" s="371"/>
      <c r="K17" s="256"/>
      <c r="L17" s="256"/>
      <c r="M17" s="256"/>
      <c r="N17" s="277">
        <f t="shared" si="0"/>
        <v>0</v>
      </c>
      <c r="O17" s="256"/>
      <c r="P17" s="256"/>
      <c r="Q17" s="256"/>
      <c r="R17" s="256"/>
      <c r="S17" s="256"/>
      <c r="T17" s="256"/>
      <c r="U17" s="256"/>
      <c r="V17" s="256"/>
      <c r="W17" s="256"/>
      <c r="X17" s="230">
        <f t="shared" si="1"/>
        <v>0</v>
      </c>
    </row>
    <row r="18" spans="1:24">
      <c r="A18" t="str">
        <f>IF(OR(I18&gt;0,N18&gt;0),基础信息!$B$1,"")</f>
        <v/>
      </c>
      <c r="B18" s="256"/>
      <c r="C18" s="277"/>
      <c r="D18" s="277"/>
      <c r="E18" s="256"/>
      <c r="F18" s="256"/>
      <c r="G18" s="256"/>
      <c r="H18" s="256"/>
      <c r="I18" s="371"/>
      <c r="J18" s="371"/>
      <c r="K18" s="256"/>
      <c r="L18" s="256"/>
      <c r="M18" s="256"/>
      <c r="N18" s="277">
        <f t="shared" si="0"/>
        <v>0</v>
      </c>
      <c r="O18" s="256"/>
      <c r="P18" s="256"/>
      <c r="Q18" s="256"/>
      <c r="R18" s="256"/>
      <c r="S18" s="256"/>
      <c r="T18" s="256"/>
      <c r="U18" s="256"/>
      <c r="V18" s="256"/>
      <c r="W18" s="256"/>
      <c r="X18" s="230">
        <f t="shared" si="1"/>
        <v>0</v>
      </c>
    </row>
    <row r="19" spans="1:24">
      <c r="A19" t="str">
        <f>IF(OR(I19&gt;0,N19&gt;0),基础信息!$B$1,"")</f>
        <v/>
      </c>
      <c r="B19" s="256"/>
      <c r="C19" s="277"/>
      <c r="D19" s="277"/>
      <c r="E19" s="256"/>
      <c r="F19" s="256"/>
      <c r="G19" s="256"/>
      <c r="H19" s="256"/>
      <c r="I19" s="371"/>
      <c r="J19" s="371"/>
      <c r="K19" s="256"/>
      <c r="L19" s="256"/>
      <c r="M19" s="256"/>
      <c r="N19" s="277">
        <f t="shared" si="0"/>
        <v>0</v>
      </c>
      <c r="O19" s="256"/>
      <c r="P19" s="256"/>
      <c r="Q19" s="256"/>
      <c r="R19" s="256"/>
      <c r="S19" s="256"/>
      <c r="T19" s="256"/>
      <c r="U19" s="256"/>
      <c r="V19" s="256"/>
      <c r="W19" s="256"/>
      <c r="X19" s="230">
        <f t="shared" si="1"/>
        <v>0</v>
      </c>
    </row>
    <row r="20" spans="1:24">
      <c r="A20" t="str">
        <f>IF(OR(I20&gt;0,N20&gt;0),基础信息!$B$1,"")</f>
        <v/>
      </c>
      <c r="B20" s="256"/>
      <c r="C20" s="277"/>
      <c r="D20" s="277"/>
      <c r="E20" s="256"/>
      <c r="F20" s="256"/>
      <c r="G20" s="256"/>
      <c r="H20" s="256"/>
      <c r="I20" s="371"/>
      <c r="J20" s="371"/>
      <c r="K20" s="256"/>
      <c r="L20" s="256"/>
      <c r="M20" s="256"/>
      <c r="N20" s="277">
        <f t="shared" si="0"/>
        <v>0</v>
      </c>
      <c r="O20" s="256"/>
      <c r="P20" s="256"/>
      <c r="Q20" s="256"/>
      <c r="R20" s="256"/>
      <c r="S20" s="256"/>
      <c r="T20" s="256"/>
      <c r="U20" s="256"/>
      <c r="V20" s="256"/>
      <c r="W20" s="256"/>
      <c r="X20" s="230">
        <f t="shared" si="1"/>
        <v>0</v>
      </c>
    </row>
    <row r="21" spans="1:24">
      <c r="A21" t="str">
        <f>IF(OR(I21&gt;0,N21&gt;0),基础信息!$B$1,"")</f>
        <v/>
      </c>
      <c r="B21" s="256"/>
      <c r="C21" s="277"/>
      <c r="D21" s="277"/>
      <c r="E21" s="256"/>
      <c r="F21" s="256"/>
      <c r="G21" s="256"/>
      <c r="H21" s="256"/>
      <c r="I21" s="371"/>
      <c r="J21" s="371"/>
      <c r="K21" s="256"/>
      <c r="L21" s="256"/>
      <c r="M21" s="256"/>
      <c r="N21" s="277">
        <f t="shared" si="0"/>
        <v>0</v>
      </c>
      <c r="O21" s="256"/>
      <c r="P21" s="256"/>
      <c r="Q21" s="256"/>
      <c r="R21" s="256"/>
      <c r="S21" s="256"/>
      <c r="T21" s="256"/>
      <c r="U21" s="256"/>
      <c r="V21" s="256"/>
      <c r="W21" s="256"/>
      <c r="X21" s="230">
        <f t="shared" si="1"/>
        <v>0</v>
      </c>
    </row>
    <row r="22" spans="1:24">
      <c r="A22" t="str">
        <f>IF(OR(I22&gt;0,N22&gt;0),基础信息!$B$1,"")</f>
        <v/>
      </c>
      <c r="B22" s="256"/>
      <c r="C22" s="277"/>
      <c r="D22" s="277"/>
      <c r="E22" s="256"/>
      <c r="F22" s="256"/>
      <c r="G22" s="256"/>
      <c r="H22" s="256"/>
      <c r="I22" s="371"/>
      <c r="J22" s="371"/>
      <c r="K22" s="256"/>
      <c r="L22" s="256"/>
      <c r="M22" s="256"/>
      <c r="N22" s="277">
        <f t="shared" ref="N22" si="2">I22+K22+L22-M22</f>
        <v>0</v>
      </c>
      <c r="O22" s="256"/>
      <c r="P22" s="256"/>
      <c r="Q22" s="256"/>
      <c r="R22" s="256"/>
      <c r="S22" s="256"/>
      <c r="T22" s="256"/>
      <c r="U22" s="256"/>
      <c r="V22" s="256"/>
      <c r="W22" s="256"/>
      <c r="X22" s="230">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codeName="Sheet292">
    <tabColor rgb="FFFFC000"/>
  </sheetPr>
  <dimension ref="A1:F12"/>
  <sheetViews>
    <sheetView workbookViewId="0">
      <selection activeCell="A6" sqref="A6"/>
    </sheetView>
  </sheetViews>
  <sheetFormatPr defaultRowHeight="13.8"/>
  <cols>
    <col min="1" max="16384" width="8.88671875" style="18"/>
  </cols>
  <sheetData>
    <row r="1" spans="1:6" ht="14.4">
      <c r="A1" s="19" t="s">
        <v>28</v>
      </c>
      <c r="B1" s="20" t="s">
        <v>285</v>
      </c>
      <c r="C1" s="20" t="s">
        <v>391</v>
      </c>
      <c r="D1" s="20" t="s">
        <v>509</v>
      </c>
      <c r="E1" s="20" t="s">
        <v>203</v>
      </c>
      <c r="F1" s="20" t="s">
        <v>603</v>
      </c>
    </row>
    <row r="2" spans="1:6" ht="14.4">
      <c r="A2" s="606">
        <f>专项应付款明细表!B2</f>
        <v>0</v>
      </c>
      <c r="B2" s="295">
        <f>专项应付款明细表!G2</f>
        <v>0</v>
      </c>
      <c r="C2" s="295">
        <f>专项应付款明细表!I2+专项应付款明细表!H2</f>
        <v>0</v>
      </c>
      <c r="D2" s="295">
        <f>专项应付款明细表!J2</f>
        <v>0</v>
      </c>
      <c r="E2" s="295">
        <f>B2+C2-D2</f>
        <v>0</v>
      </c>
      <c r="F2" s="606">
        <f>专项应付款明细表!L2</f>
        <v>0</v>
      </c>
    </row>
    <row r="3" spans="1:6" ht="14.4">
      <c r="A3" s="606">
        <f>专项应付款明细表!B3</f>
        <v>0</v>
      </c>
      <c r="B3" s="295">
        <f>专项应付款明细表!G3</f>
        <v>0</v>
      </c>
      <c r="C3" s="295">
        <f>专项应付款明细表!I3+专项应付款明细表!H3</f>
        <v>0</v>
      </c>
      <c r="D3" s="295">
        <f>专项应付款明细表!J3</f>
        <v>0</v>
      </c>
      <c r="E3" s="295">
        <f t="shared" ref="E3:E11" si="0">B3+C3-D3</f>
        <v>0</v>
      </c>
      <c r="F3" s="606">
        <f>专项应付款明细表!L3</f>
        <v>0</v>
      </c>
    </row>
    <row r="4" spans="1:6" ht="14.4">
      <c r="A4" s="606">
        <f>专项应付款明细表!B4</f>
        <v>0</v>
      </c>
      <c r="B4" s="295">
        <f>专项应付款明细表!G4</f>
        <v>0</v>
      </c>
      <c r="C4" s="295">
        <f>专项应付款明细表!I4+专项应付款明细表!H4</f>
        <v>0</v>
      </c>
      <c r="D4" s="295">
        <f>专项应付款明细表!J4</f>
        <v>0</v>
      </c>
      <c r="E4" s="295">
        <f t="shared" si="0"/>
        <v>0</v>
      </c>
      <c r="F4" s="606">
        <f>专项应付款明细表!L4</f>
        <v>0</v>
      </c>
    </row>
    <row r="5" spans="1:6" ht="14.4">
      <c r="A5" s="606">
        <f>专项应付款明细表!B5</f>
        <v>0</v>
      </c>
      <c r="B5" s="295">
        <f>专项应付款明细表!G5</f>
        <v>0</v>
      </c>
      <c r="C5" s="295">
        <f>专项应付款明细表!I5+专项应付款明细表!H5</f>
        <v>0</v>
      </c>
      <c r="D5" s="295">
        <f>专项应付款明细表!J5</f>
        <v>0</v>
      </c>
      <c r="E5" s="295">
        <f t="shared" si="0"/>
        <v>0</v>
      </c>
      <c r="F5" s="606">
        <f>专项应付款明细表!L5</f>
        <v>0</v>
      </c>
    </row>
    <row r="6" spans="1:6" ht="14.4">
      <c r="A6" s="606">
        <f>专项应付款明细表!B6</f>
        <v>0</v>
      </c>
      <c r="B6" s="295">
        <f>专项应付款明细表!G6</f>
        <v>0</v>
      </c>
      <c r="C6" s="295">
        <f>专项应付款明细表!I6+专项应付款明细表!H6</f>
        <v>0</v>
      </c>
      <c r="D6" s="295">
        <f>专项应付款明细表!J6</f>
        <v>0</v>
      </c>
      <c r="E6" s="295">
        <f t="shared" si="0"/>
        <v>0</v>
      </c>
      <c r="F6" s="606">
        <f>专项应付款明细表!L6</f>
        <v>0</v>
      </c>
    </row>
    <row r="7" spans="1:6" ht="14.4">
      <c r="A7" s="606">
        <f>专项应付款明细表!B7</f>
        <v>0</v>
      </c>
      <c r="B7" s="295">
        <f>专项应付款明细表!G7</f>
        <v>0</v>
      </c>
      <c r="C7" s="295">
        <f>专项应付款明细表!I7+专项应付款明细表!H7</f>
        <v>0</v>
      </c>
      <c r="D7" s="295">
        <f>专项应付款明细表!J7</f>
        <v>0</v>
      </c>
      <c r="E7" s="295">
        <f t="shared" si="0"/>
        <v>0</v>
      </c>
      <c r="F7" s="606">
        <f>专项应付款明细表!L7</f>
        <v>0</v>
      </c>
    </row>
    <row r="8" spans="1:6" ht="14.4">
      <c r="A8" s="606">
        <f>专项应付款明细表!B8</f>
        <v>0</v>
      </c>
      <c r="B8" s="295">
        <f>专项应付款明细表!G8</f>
        <v>0</v>
      </c>
      <c r="C8" s="295">
        <f>专项应付款明细表!I8+专项应付款明细表!H8</f>
        <v>0</v>
      </c>
      <c r="D8" s="295">
        <f>专项应付款明细表!J8</f>
        <v>0</v>
      </c>
      <c r="E8" s="295">
        <f t="shared" si="0"/>
        <v>0</v>
      </c>
      <c r="F8" s="606">
        <f>专项应付款明细表!L8</f>
        <v>0</v>
      </c>
    </row>
    <row r="9" spans="1:6" ht="14.4">
      <c r="A9" s="606">
        <f>专项应付款明细表!B9</f>
        <v>0</v>
      </c>
      <c r="B9" s="295">
        <f>专项应付款明细表!G9</f>
        <v>0</v>
      </c>
      <c r="C9" s="295">
        <f>专项应付款明细表!I9+专项应付款明细表!H9</f>
        <v>0</v>
      </c>
      <c r="D9" s="295">
        <f>专项应付款明细表!J9</f>
        <v>0</v>
      </c>
      <c r="E9" s="295">
        <f t="shared" si="0"/>
        <v>0</v>
      </c>
      <c r="F9" s="606">
        <f>专项应付款明细表!L9</f>
        <v>0</v>
      </c>
    </row>
    <row r="10" spans="1:6" ht="14.4">
      <c r="A10" s="606">
        <f>专项应付款明细表!B10</f>
        <v>0</v>
      </c>
      <c r="B10" s="295">
        <f>专项应付款明细表!G10</f>
        <v>0</v>
      </c>
      <c r="C10" s="295">
        <f>专项应付款明细表!I10+专项应付款明细表!H10</f>
        <v>0</v>
      </c>
      <c r="D10" s="295">
        <f>专项应付款明细表!J10</f>
        <v>0</v>
      </c>
      <c r="E10" s="295">
        <f t="shared" si="0"/>
        <v>0</v>
      </c>
      <c r="F10" s="606">
        <f>专项应付款明细表!L10</f>
        <v>0</v>
      </c>
    </row>
    <row r="11" spans="1:6" ht="14.4">
      <c r="A11" s="606">
        <f>专项应付款明细表!B11</f>
        <v>0</v>
      </c>
      <c r="B11" s="295">
        <f>专项应付款明细表!G11</f>
        <v>0</v>
      </c>
      <c r="C11" s="295">
        <f>专项应付款明细表!I11+专项应付款明细表!H11</f>
        <v>0</v>
      </c>
      <c r="D11" s="295">
        <f>专项应付款明细表!J11</f>
        <v>0</v>
      </c>
      <c r="E11" s="295">
        <f t="shared" si="0"/>
        <v>0</v>
      </c>
      <c r="F11" s="606">
        <f>专项应付款明细表!L11</f>
        <v>0</v>
      </c>
    </row>
    <row r="12" spans="1:6" ht="14.4">
      <c r="A12" s="606" t="s">
        <v>2449</v>
      </c>
      <c r="B12" s="295">
        <f>SUM(B2:B11)</f>
        <v>0</v>
      </c>
      <c r="C12" s="295">
        <f t="shared" ref="C12:E12" si="1">SUM(C2:C11)</f>
        <v>0</v>
      </c>
      <c r="D12" s="295">
        <f t="shared" si="1"/>
        <v>0</v>
      </c>
      <c r="E12" s="295">
        <f t="shared" si="1"/>
        <v>0</v>
      </c>
      <c r="F12" s="606"/>
    </row>
  </sheetData>
  <phoneticPr fontId="1"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sheetPr codeName="Sheet293"/>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2427</v>
      </c>
      <c r="B1" t="s">
        <v>28</v>
      </c>
      <c r="C1" t="s">
        <v>4687</v>
      </c>
      <c r="D1" t="s">
        <v>4688</v>
      </c>
      <c r="E1" t="s">
        <v>4689</v>
      </c>
      <c r="F1" t="s">
        <v>4690</v>
      </c>
      <c r="G1" t="s">
        <v>610</v>
      </c>
      <c r="H1" t="s">
        <v>4465</v>
      </c>
      <c r="I1" t="s">
        <v>4693</v>
      </c>
      <c r="J1" t="s">
        <v>4694</v>
      </c>
      <c r="K1" t="s">
        <v>422</v>
      </c>
      <c r="L1" t="s">
        <v>4704</v>
      </c>
    </row>
    <row r="2" spans="1:12">
      <c r="A2" t="str">
        <f>IF(OR(G2&gt;0,K2&gt;0),基础信息!$B$1,"")</f>
        <v/>
      </c>
      <c r="B2" s="256"/>
      <c r="C2" s="256"/>
      <c r="D2" s="256"/>
      <c r="E2" s="256"/>
      <c r="F2" s="256"/>
      <c r="G2" s="256"/>
      <c r="H2" s="256"/>
      <c r="I2" s="256"/>
      <c r="J2" s="256"/>
      <c r="K2">
        <f>G2+H2+I2-J2</f>
        <v>0</v>
      </c>
      <c r="L2" s="256"/>
    </row>
    <row r="3" spans="1:12">
      <c r="A3" t="str">
        <f>IF(OR(G3&gt;0,K3&gt;0),基础信息!$B$1,"")</f>
        <v/>
      </c>
      <c r="B3" s="256"/>
      <c r="C3" s="256"/>
      <c r="D3" s="256"/>
      <c r="E3" s="256"/>
      <c r="F3" s="256"/>
      <c r="G3" s="256"/>
      <c r="H3" s="256"/>
      <c r="I3" s="256"/>
      <c r="J3" s="256"/>
      <c r="K3">
        <f t="shared" ref="K3:K17" si="0">G3+H3+I3-J3</f>
        <v>0</v>
      </c>
      <c r="L3" s="256"/>
    </row>
    <row r="4" spans="1:12">
      <c r="A4" t="str">
        <f>IF(OR(G4&gt;0,K4&gt;0),基础信息!$B$1,"")</f>
        <v/>
      </c>
      <c r="B4" s="256"/>
      <c r="C4" s="256"/>
      <c r="D4" s="256"/>
      <c r="E4" s="256"/>
      <c r="F4" s="256"/>
      <c r="G4" s="256"/>
      <c r="H4" s="256"/>
      <c r="I4" s="256"/>
      <c r="J4" s="256"/>
      <c r="K4">
        <f t="shared" si="0"/>
        <v>0</v>
      </c>
      <c r="L4" s="256"/>
    </row>
    <row r="5" spans="1:12">
      <c r="A5" t="str">
        <f>IF(OR(G5&gt;0,K5&gt;0),基础信息!$B$1,"")</f>
        <v/>
      </c>
      <c r="B5" s="256"/>
      <c r="C5" s="256"/>
      <c r="D5" s="256"/>
      <c r="E5" s="256"/>
      <c r="F5" s="256"/>
      <c r="G5" s="256"/>
      <c r="H5" s="256"/>
      <c r="I5" s="256"/>
      <c r="J5" s="256"/>
      <c r="K5">
        <f t="shared" si="0"/>
        <v>0</v>
      </c>
      <c r="L5" s="256"/>
    </row>
    <row r="6" spans="1:12">
      <c r="A6" t="str">
        <f>IF(OR(G6&gt;0,K6&gt;0),基础信息!$B$1,"")</f>
        <v/>
      </c>
      <c r="B6" s="256"/>
      <c r="C6" s="256"/>
      <c r="D6" s="256"/>
      <c r="E6" s="256"/>
      <c r="F6" s="256"/>
      <c r="G6" s="256"/>
      <c r="H6" s="256"/>
      <c r="I6" s="256"/>
      <c r="J6" s="256"/>
      <c r="K6">
        <f t="shared" si="0"/>
        <v>0</v>
      </c>
      <c r="L6" s="256"/>
    </row>
    <row r="7" spans="1:12">
      <c r="A7" t="str">
        <f>IF(OR(G7&gt;0,K7&gt;0),基础信息!$B$1,"")</f>
        <v/>
      </c>
      <c r="B7" s="256"/>
      <c r="C7" s="256"/>
      <c r="D7" s="256"/>
      <c r="E7" s="256"/>
      <c r="F7" s="256"/>
      <c r="G7" s="256"/>
      <c r="H7" s="256"/>
      <c r="I7" s="256"/>
      <c r="J7" s="256"/>
      <c r="K7">
        <f t="shared" si="0"/>
        <v>0</v>
      </c>
      <c r="L7" s="256"/>
    </row>
    <row r="8" spans="1:12">
      <c r="A8" t="str">
        <f>IF(OR(G8&gt;0,K8&gt;0),基础信息!$B$1,"")</f>
        <v/>
      </c>
      <c r="B8" s="256"/>
      <c r="C8" s="256"/>
      <c r="D8" s="256"/>
      <c r="E8" s="256"/>
      <c r="F8" s="256"/>
      <c r="G8" s="256"/>
      <c r="H8" s="256"/>
      <c r="I8" s="256"/>
      <c r="J8" s="256"/>
      <c r="K8">
        <f t="shared" si="0"/>
        <v>0</v>
      </c>
      <c r="L8" s="256"/>
    </row>
    <row r="9" spans="1:12">
      <c r="A9" t="str">
        <f>IF(OR(G9&gt;0,K9&gt;0),基础信息!$B$1,"")</f>
        <v/>
      </c>
      <c r="B9" s="256"/>
      <c r="C9" s="256"/>
      <c r="D9" s="256"/>
      <c r="E9" s="256"/>
      <c r="F9" s="256"/>
      <c r="G9" s="256"/>
      <c r="H9" s="256"/>
      <c r="I9" s="256"/>
      <c r="J9" s="256"/>
      <c r="K9">
        <f t="shared" si="0"/>
        <v>0</v>
      </c>
      <c r="L9" s="256"/>
    </row>
    <row r="10" spans="1:12">
      <c r="A10" t="str">
        <f>IF(OR(G10&gt;0,K10&gt;0),基础信息!$B$1,"")</f>
        <v/>
      </c>
      <c r="B10" s="256"/>
      <c r="C10" s="256"/>
      <c r="D10" s="256"/>
      <c r="E10" s="256"/>
      <c r="F10" s="256"/>
      <c r="G10" s="256"/>
      <c r="H10" s="256"/>
      <c r="I10" s="256"/>
      <c r="J10" s="256"/>
      <c r="K10">
        <f t="shared" si="0"/>
        <v>0</v>
      </c>
      <c r="L10" s="256"/>
    </row>
    <row r="11" spans="1:12">
      <c r="A11" t="str">
        <f>IF(OR(G11&gt;0,K11&gt;0),基础信息!$B$1,"")</f>
        <v/>
      </c>
      <c r="B11" s="256"/>
      <c r="C11" s="256"/>
      <c r="D11" s="256"/>
      <c r="E11" s="256"/>
      <c r="F11" s="256"/>
      <c r="G11" s="256"/>
      <c r="H11" s="256"/>
      <c r="I11" s="256"/>
      <c r="J11" s="256"/>
      <c r="K11">
        <f t="shared" si="0"/>
        <v>0</v>
      </c>
      <c r="L11" s="256"/>
    </row>
    <row r="12" spans="1:12">
      <c r="A12" t="str">
        <f>IF(OR(G12&gt;0,K12&gt;0),基础信息!$B$1,"")</f>
        <v/>
      </c>
      <c r="B12" s="256"/>
      <c r="C12" s="256"/>
      <c r="D12" s="256"/>
      <c r="E12" s="256"/>
      <c r="F12" s="256"/>
      <c r="G12" s="256"/>
      <c r="H12" s="256"/>
      <c r="I12" s="256"/>
      <c r="J12" s="256"/>
      <c r="K12">
        <f t="shared" si="0"/>
        <v>0</v>
      </c>
      <c r="L12" s="256"/>
    </row>
    <row r="13" spans="1:12">
      <c r="A13" t="str">
        <f>IF(OR(G13&gt;0,K13&gt;0),基础信息!$B$1,"")</f>
        <v/>
      </c>
      <c r="B13" s="256"/>
      <c r="C13" s="256"/>
      <c r="D13" s="256"/>
      <c r="E13" s="256"/>
      <c r="F13" s="256"/>
      <c r="G13" s="256"/>
      <c r="H13" s="256"/>
      <c r="I13" s="256"/>
      <c r="J13" s="256"/>
      <c r="K13">
        <f t="shared" si="0"/>
        <v>0</v>
      </c>
      <c r="L13" s="256"/>
    </row>
    <row r="14" spans="1:12">
      <c r="A14" t="str">
        <f>IF(OR(G14&gt;0,K14&gt;0),基础信息!$B$1,"")</f>
        <v/>
      </c>
      <c r="B14" s="256"/>
      <c r="C14" s="256"/>
      <c r="D14" s="256"/>
      <c r="E14" s="256"/>
      <c r="F14" s="256"/>
      <c r="G14" s="256"/>
      <c r="H14" s="256"/>
      <c r="I14" s="256"/>
      <c r="J14" s="256"/>
      <c r="K14">
        <f t="shared" si="0"/>
        <v>0</v>
      </c>
      <c r="L14" s="256"/>
    </row>
    <row r="15" spans="1:12">
      <c r="A15" t="str">
        <f>IF(OR(G15&gt;0,K15&gt;0),基础信息!$B$1,"")</f>
        <v/>
      </c>
      <c r="B15" s="256"/>
      <c r="C15" s="256"/>
      <c r="D15" s="256"/>
      <c r="E15" s="256"/>
      <c r="F15" s="256"/>
      <c r="G15" s="256"/>
      <c r="H15" s="256"/>
      <c r="I15" s="256"/>
      <c r="J15" s="256"/>
      <c r="K15">
        <f t="shared" si="0"/>
        <v>0</v>
      </c>
      <c r="L15" s="256"/>
    </row>
    <row r="16" spans="1:12">
      <c r="A16" t="str">
        <f>IF(OR(G16&gt;0,K16&gt;0),基础信息!$B$1,"")</f>
        <v/>
      </c>
      <c r="B16" s="256"/>
      <c r="C16" s="256"/>
      <c r="D16" s="256"/>
      <c r="E16" s="256"/>
      <c r="F16" s="256"/>
      <c r="G16" s="256"/>
      <c r="H16" s="256"/>
      <c r="I16" s="256"/>
      <c r="J16" s="256"/>
      <c r="K16">
        <f t="shared" si="0"/>
        <v>0</v>
      </c>
      <c r="L16" s="256"/>
    </row>
    <row r="17" spans="1:12">
      <c r="A17" t="str">
        <f>IF(OR(G17&gt;0,K17&gt;0),基础信息!$B$1,"")</f>
        <v/>
      </c>
      <c r="B17" s="256"/>
      <c r="C17" s="256"/>
      <c r="D17" s="256"/>
      <c r="E17" s="256"/>
      <c r="F17" s="256"/>
      <c r="G17" s="256"/>
      <c r="H17" s="256"/>
      <c r="I17" s="256"/>
      <c r="J17" s="256"/>
      <c r="K17">
        <f t="shared" si="0"/>
        <v>0</v>
      </c>
      <c r="L17" s="256"/>
    </row>
    <row r="18" spans="1:12">
      <c r="A18" t="str">
        <f>IF(OR(G18&gt;0,K18&gt;0),基础信息!$B$1,"")</f>
        <v/>
      </c>
      <c r="B18" s="256"/>
      <c r="C18" s="256"/>
      <c r="D18" s="256"/>
      <c r="E18" s="256"/>
      <c r="F18" s="256"/>
      <c r="G18" s="256"/>
      <c r="H18" s="256"/>
      <c r="I18" s="256"/>
      <c r="J18" s="256"/>
      <c r="L18" s="256"/>
    </row>
    <row r="19" spans="1:12">
      <c r="A19" t="str">
        <f>IF(OR(G19&gt;0,K19&gt;0),基础信息!$B$1,"")</f>
        <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codeName="Sheet294">
    <tabColor rgb="FFFFC000"/>
  </sheetPr>
  <dimension ref="A1:C5"/>
  <sheetViews>
    <sheetView workbookViewId="0">
      <selection activeCell="F17" sqref="F17"/>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606</v>
      </c>
      <c r="B2" s="281"/>
      <c r="C2" s="281"/>
    </row>
    <row r="3" spans="1:3" ht="14.4">
      <c r="A3" s="32" t="s">
        <v>607</v>
      </c>
      <c r="B3" s="281"/>
      <c r="C3" s="281"/>
    </row>
    <row r="4" spans="1:3" ht="14.4">
      <c r="A4" s="32" t="s">
        <v>608</v>
      </c>
      <c r="B4" s="281"/>
      <c r="C4" s="281"/>
    </row>
    <row r="5" spans="1:3" ht="14.4">
      <c r="A5" s="31" t="s">
        <v>204</v>
      </c>
      <c r="B5" s="21">
        <f>ROUND(SUM(B2:B4),2)</f>
        <v>0</v>
      </c>
      <c r="C5" s="21">
        <f>ROUND(SUM(C2:C4),2)</f>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codeName="Sheet295">
    <tabColor rgb="FFFFC000"/>
  </sheetPr>
  <dimension ref="A1:C15"/>
  <sheetViews>
    <sheetView workbookViewId="0">
      <selection activeCell="C20" sqref="C20"/>
    </sheetView>
  </sheetViews>
  <sheetFormatPr defaultRowHeight="13.8"/>
  <cols>
    <col min="1" max="1" width="52.33203125" style="18" customWidth="1"/>
    <col min="2" max="3" width="20.6640625" style="18" customWidth="1"/>
    <col min="4" max="16384" width="8.88671875" style="18"/>
  </cols>
  <sheetData>
    <row r="1" spans="1:3" ht="14.4">
      <c r="A1" s="31" t="s">
        <v>28</v>
      </c>
      <c r="B1" s="20" t="s">
        <v>4233</v>
      </c>
      <c r="C1" s="20" t="s">
        <v>445</v>
      </c>
    </row>
    <row r="2" spans="1:3" ht="14.4">
      <c r="A2" s="32" t="s">
        <v>610</v>
      </c>
      <c r="B2" s="281"/>
      <c r="C2" s="281"/>
    </row>
    <row r="3" spans="1:3" ht="14.4">
      <c r="A3" s="32" t="s">
        <v>611</v>
      </c>
      <c r="B3" s="21">
        <f>ROUND(SUM(B4:B7),2)</f>
        <v>0</v>
      </c>
      <c r="C3" s="21">
        <f>ROUND(SUM(C4:C7),2)</f>
        <v>0</v>
      </c>
    </row>
    <row r="4" spans="1:3" ht="14.4">
      <c r="A4" s="32" t="s">
        <v>4173</v>
      </c>
      <c r="B4" s="281"/>
      <c r="C4" s="281"/>
    </row>
    <row r="5" spans="1:3" ht="14.4">
      <c r="A5" s="32" t="s">
        <v>4174</v>
      </c>
      <c r="B5" s="281"/>
      <c r="C5" s="281"/>
    </row>
    <row r="6" spans="1:3" ht="14.4">
      <c r="A6" s="32" t="s">
        <v>4175</v>
      </c>
      <c r="B6" s="281"/>
      <c r="C6" s="281"/>
    </row>
    <row r="7" spans="1:3" ht="14.4">
      <c r="A7" s="32" t="s">
        <v>4176</v>
      </c>
      <c r="B7" s="281"/>
      <c r="C7" s="281"/>
    </row>
    <row r="8" spans="1:3" ht="14.4">
      <c r="A8" s="32" t="s">
        <v>612</v>
      </c>
      <c r="B8" s="21">
        <f>ROUND(SUM(B9:B10),2)</f>
        <v>0</v>
      </c>
      <c r="C8" s="21">
        <f>ROUND(SUM(C9:C10),2)</f>
        <v>0</v>
      </c>
    </row>
    <row r="9" spans="1:3" ht="14.4">
      <c r="A9" s="32" t="s">
        <v>4177</v>
      </c>
      <c r="B9" s="281"/>
      <c r="C9" s="281"/>
    </row>
    <row r="10" spans="1:3" ht="14.4">
      <c r="A10" s="32" t="s">
        <v>13</v>
      </c>
      <c r="B10" s="281"/>
      <c r="C10" s="281"/>
    </row>
    <row r="11" spans="1:3" ht="14.4">
      <c r="A11" s="32" t="s">
        <v>333</v>
      </c>
      <c r="B11" s="21">
        <f>ROUND(SUM(B12:B14),2)</f>
        <v>0</v>
      </c>
      <c r="C11" s="21">
        <f>ROUND(SUM(C12:C14),2)</f>
        <v>0</v>
      </c>
    </row>
    <row r="12" spans="1:3" ht="14.4">
      <c r="A12" s="32" t="s">
        <v>4178</v>
      </c>
      <c r="B12" s="281"/>
      <c r="C12" s="281"/>
    </row>
    <row r="13" spans="1:3" ht="14.4">
      <c r="A13" s="32" t="s">
        <v>4179</v>
      </c>
      <c r="B13" s="281"/>
      <c r="C13" s="281"/>
    </row>
    <row r="14" spans="1:3" ht="14.4">
      <c r="A14" s="32" t="s">
        <v>13</v>
      </c>
      <c r="B14" s="281"/>
      <c r="C14" s="281"/>
    </row>
    <row r="15" spans="1:3" ht="14.4">
      <c r="A15" s="32" t="s">
        <v>422</v>
      </c>
      <c r="B15" s="21">
        <f>ROUND(B2+B3+B8+B11,2)</f>
        <v>0</v>
      </c>
      <c r="C15" s="21">
        <f>ROUND(C2+C3+C8+C11,2)</f>
        <v>0</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codeName="Sheet296">
    <tabColor rgb="FFFFC000"/>
  </sheetPr>
  <dimension ref="A1:C12"/>
  <sheetViews>
    <sheetView workbookViewId="0">
      <selection activeCell="C23" sqref="C23"/>
    </sheetView>
  </sheetViews>
  <sheetFormatPr defaultRowHeight="13.8"/>
  <cols>
    <col min="1" max="1" width="46.109375" style="18" customWidth="1"/>
    <col min="2" max="3" width="22.5546875" style="18" customWidth="1"/>
    <col min="4" max="16384" width="8.88671875" style="18"/>
  </cols>
  <sheetData>
    <row r="1" spans="1:3" ht="14.4">
      <c r="A1" s="20" t="s">
        <v>28</v>
      </c>
      <c r="B1" s="20" t="s">
        <v>609</v>
      </c>
      <c r="C1" s="20" t="s">
        <v>445</v>
      </c>
    </row>
    <row r="2" spans="1:3" ht="14.4">
      <c r="A2" s="19" t="s">
        <v>619</v>
      </c>
      <c r="B2" s="343"/>
      <c r="C2" s="343"/>
    </row>
    <row r="3" spans="1:3" ht="14.4">
      <c r="A3" s="19" t="s">
        <v>620</v>
      </c>
      <c r="B3" s="343"/>
      <c r="C3" s="343"/>
    </row>
    <row r="4" spans="1:3" ht="14.4">
      <c r="A4" s="22" t="s">
        <v>613</v>
      </c>
      <c r="B4" s="343"/>
      <c r="C4" s="343"/>
    </row>
    <row r="5" spans="1:3">
      <c r="A5" s="22" t="s">
        <v>13</v>
      </c>
      <c r="B5" s="343"/>
      <c r="C5" s="343"/>
    </row>
    <row r="6" spans="1:3" ht="14.4">
      <c r="A6" s="44" t="s">
        <v>614</v>
      </c>
      <c r="B6" s="343"/>
      <c r="C6" s="343"/>
    </row>
    <row r="7" spans="1:3" ht="14.4">
      <c r="A7" s="22" t="s">
        <v>615</v>
      </c>
      <c r="B7" s="343"/>
      <c r="C7" s="343"/>
    </row>
    <row r="8" spans="1:3" ht="14.4">
      <c r="A8" s="22" t="s">
        <v>616</v>
      </c>
      <c r="B8" s="343"/>
      <c r="C8" s="343"/>
    </row>
    <row r="9" spans="1:3">
      <c r="A9" s="22" t="s">
        <v>13</v>
      </c>
      <c r="B9" s="343"/>
      <c r="C9" s="343"/>
    </row>
    <row r="10" spans="1:3" ht="14.4">
      <c r="A10" s="19" t="s">
        <v>617</v>
      </c>
      <c r="B10" s="343"/>
      <c r="C10" s="343"/>
    </row>
    <row r="11" spans="1:3">
      <c r="A11" s="22" t="s">
        <v>13</v>
      </c>
      <c r="B11" s="343"/>
      <c r="C11" s="343"/>
    </row>
    <row r="12" spans="1:3" ht="14.4">
      <c r="A12" s="19" t="s">
        <v>618</v>
      </c>
      <c r="B12" s="22">
        <f>ROUND(B2+B3+B6+B10,2)</f>
        <v>0</v>
      </c>
      <c r="C12" s="22">
        <f>ROUND(C2+C3+C6+C10,2)</f>
        <v>0</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codeName="Sheet297">
    <tabColor rgb="FFFFC000"/>
  </sheetPr>
  <dimension ref="A1:C6"/>
  <sheetViews>
    <sheetView workbookViewId="0">
      <selection activeCell="D16" sqref="D16"/>
    </sheetView>
  </sheetViews>
  <sheetFormatPr defaultRowHeight="13.8"/>
  <cols>
    <col min="1" max="1" width="43" style="18" customWidth="1"/>
    <col min="2" max="3" width="15" style="18" customWidth="1"/>
    <col min="4" max="16384" width="8.88671875" style="18"/>
  </cols>
  <sheetData>
    <row r="1" spans="1:3" ht="14.4">
      <c r="A1" s="20" t="s">
        <v>28</v>
      </c>
      <c r="B1" s="20" t="s">
        <v>609</v>
      </c>
      <c r="C1" s="20" t="s">
        <v>445</v>
      </c>
    </row>
    <row r="2" spans="1:3" ht="14.4">
      <c r="A2" s="19" t="s">
        <v>619</v>
      </c>
      <c r="B2" s="343"/>
      <c r="C2" s="343"/>
    </row>
    <row r="3" spans="1:3" ht="14.4">
      <c r="A3" s="19" t="s">
        <v>620</v>
      </c>
      <c r="B3" s="343"/>
      <c r="C3" s="343"/>
    </row>
    <row r="4" spans="1:3" ht="14.4">
      <c r="A4" s="44" t="s">
        <v>614</v>
      </c>
      <c r="B4" s="343"/>
      <c r="C4" s="343"/>
    </row>
    <row r="5" spans="1:3" ht="14.4">
      <c r="A5" s="19" t="s">
        <v>617</v>
      </c>
      <c r="B5" s="343"/>
      <c r="C5" s="343"/>
    </row>
    <row r="6" spans="1:3" ht="14.4">
      <c r="A6" s="19" t="s">
        <v>618</v>
      </c>
      <c r="B6" s="22">
        <f>ROUND(B2+B3+B4+B5,2)</f>
        <v>0</v>
      </c>
      <c r="C6" s="22">
        <f>ROUND(C2+C3+C4+C5,2)</f>
        <v>0</v>
      </c>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codeName="Sheet298">
    <tabColor rgb="FFFFC000"/>
  </sheetPr>
  <dimension ref="A1:D8"/>
  <sheetViews>
    <sheetView workbookViewId="0">
      <selection activeCell="J22" sqref="J22"/>
    </sheetView>
  </sheetViews>
  <sheetFormatPr defaultRowHeight="13.8"/>
  <cols>
    <col min="1" max="1" width="25" style="18" customWidth="1"/>
    <col min="2" max="16384" width="8.88671875" style="18"/>
  </cols>
  <sheetData>
    <row r="1" spans="1:4" ht="14.4">
      <c r="A1" s="19" t="s">
        <v>28</v>
      </c>
      <c r="B1" s="20" t="s">
        <v>203</v>
      </c>
      <c r="C1" s="20" t="s">
        <v>285</v>
      </c>
      <c r="D1" s="20" t="s">
        <v>603</v>
      </c>
    </row>
    <row r="2" spans="1:4" ht="14.4">
      <c r="A2" s="347" t="s">
        <v>621</v>
      </c>
      <c r="B2" s="295">
        <f>ROUND(SUMIF(预计负债明细表!C:C,预计负债!A2,预计负债明细表!H:H),2)</f>
        <v>0</v>
      </c>
      <c r="C2" s="295">
        <f>ROUND(SUMIF(预计负债明细表!C:C,预计负债!A2,预计负债明细表!D:D),2)</f>
        <v>0</v>
      </c>
      <c r="D2" s="269"/>
    </row>
    <row r="3" spans="1:4" ht="14.4">
      <c r="A3" s="347" t="s">
        <v>622</v>
      </c>
      <c r="B3" s="295">
        <f>ROUND(SUMIF(预计负债明细表!C:C,预计负债!A3,预计负债明细表!H:H),2)</f>
        <v>0</v>
      </c>
      <c r="C3" s="295">
        <f>ROUND(SUMIF(预计负债明细表!C:C,预计负债!A3,预计负债明细表!D:D),2)</f>
        <v>0</v>
      </c>
      <c r="D3" s="269"/>
    </row>
    <row r="4" spans="1:4" ht="14.4">
      <c r="A4" s="347" t="s">
        <v>623</v>
      </c>
      <c r="B4" s="295">
        <f>ROUND(SUMIF(预计负债明细表!C:C,预计负债!A4,预计负债明细表!H:H),2)</f>
        <v>0</v>
      </c>
      <c r="C4" s="295">
        <f>ROUND(SUMIF(预计负债明细表!C:C,预计负债!A4,预计负债明细表!D:D),2)</f>
        <v>0</v>
      </c>
      <c r="D4" s="269"/>
    </row>
    <row r="5" spans="1:4" ht="14.4">
      <c r="A5" s="347" t="s">
        <v>624</v>
      </c>
      <c r="B5" s="295">
        <f>ROUND(SUMIF(预计负债明细表!C:C,预计负债!A5,预计负债明细表!H:H),2)</f>
        <v>0</v>
      </c>
      <c r="C5" s="295">
        <f>ROUND(SUMIF(预计负债明细表!C:C,预计负债!A5,预计负债明细表!D:D),2)</f>
        <v>0</v>
      </c>
      <c r="D5" s="269"/>
    </row>
    <row r="6" spans="1:4" ht="14.4">
      <c r="A6" s="347" t="s">
        <v>625</v>
      </c>
      <c r="B6" s="295">
        <f>ROUND(SUMIF(预计负债明细表!C:C,预计负债!A6,预计负债明细表!H:H),2)</f>
        <v>0</v>
      </c>
      <c r="C6" s="295">
        <f>ROUND(SUMIF(预计负债明细表!C:C,预计负债!A6,预计负债明细表!D:D),2)</f>
        <v>0</v>
      </c>
      <c r="D6" s="269"/>
    </row>
    <row r="7" spans="1:4" ht="14.4">
      <c r="A7" s="347" t="s">
        <v>4718</v>
      </c>
      <c r="B7" s="295">
        <f>ROUND(SUMIF(预计负债明细表!C:C,预计负债!A7,预计负债明细表!H:H),2)</f>
        <v>0</v>
      </c>
      <c r="C7" s="295">
        <f>ROUND(SUMIF(预计负债明细表!C:C,预计负债!A7,预计负债明细表!D:D),2)</f>
        <v>0</v>
      </c>
      <c r="D7" s="269"/>
    </row>
    <row r="8" spans="1:4" ht="14.4">
      <c r="A8" s="19" t="s">
        <v>204</v>
      </c>
      <c r="B8" s="69">
        <f>ROUND(SUM(B2:B7),2)</f>
        <v>0</v>
      </c>
      <c r="C8" s="69">
        <f>ROUND(SUM(C2:C7),2)</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sheetPr codeName="Sheet299"/>
  <dimension ref="A1:L14"/>
  <sheetViews>
    <sheetView workbookViewId="0">
      <selection activeCell="A2" sqref="A2"/>
    </sheetView>
  </sheetViews>
  <sheetFormatPr defaultRowHeight="13.8"/>
  <cols>
    <col min="4" max="4" width="7.5546875" bestFit="1" customWidth="1"/>
    <col min="5" max="5" width="35.88671875" bestFit="1" customWidth="1"/>
    <col min="6" max="7" width="9.5546875" bestFit="1" customWidth="1"/>
    <col min="8" max="8" width="8.6640625" style="230" bestFit="1" customWidth="1"/>
    <col min="9" max="9" width="13.88671875" bestFit="1" customWidth="1"/>
    <col min="10" max="10" width="27.109375" bestFit="1" customWidth="1"/>
    <col min="11" max="11" width="42.44140625" bestFit="1" customWidth="1"/>
    <col min="12" max="12" width="16.109375" bestFit="1" customWidth="1"/>
  </cols>
  <sheetData>
    <row r="1" spans="1:12" s="598" customFormat="1">
      <c r="A1" s="598" t="s">
        <v>125</v>
      </c>
      <c r="B1" s="598" t="s">
        <v>95</v>
      </c>
      <c r="C1" s="598" t="s">
        <v>4272</v>
      </c>
      <c r="D1" s="598" t="s">
        <v>285</v>
      </c>
      <c r="E1" s="598" t="s">
        <v>4465</v>
      </c>
      <c r="F1" s="598" t="s">
        <v>391</v>
      </c>
      <c r="G1" s="598" t="s">
        <v>509</v>
      </c>
      <c r="H1" s="377" t="s">
        <v>203</v>
      </c>
      <c r="I1" s="598" t="s">
        <v>4719</v>
      </c>
      <c r="J1" s="598" t="s">
        <v>4720</v>
      </c>
      <c r="K1" s="598" t="s">
        <v>4721</v>
      </c>
      <c r="L1" s="598" t="s">
        <v>4722</v>
      </c>
    </row>
    <row r="2" spans="1:12">
      <c r="A2" t="str">
        <f>IF(OR(ABS(D2)&gt;0,ABS(F2)&gt;0,ABS(G2)&gt;0,ABS(H2)&gt;0),基础信息!$B$1,"")</f>
        <v/>
      </c>
      <c r="B2" s="256"/>
      <c r="C2" s="277"/>
      <c r="D2" s="256"/>
      <c r="E2" s="256"/>
      <c r="F2" s="256"/>
      <c r="G2" s="256"/>
      <c r="H2" s="230">
        <f>D2+E2+F2-G2</f>
        <v>0</v>
      </c>
      <c r="I2" s="256"/>
      <c r="J2" s="256"/>
      <c r="K2" s="256"/>
      <c r="L2" s="256"/>
    </row>
    <row r="3" spans="1:12">
      <c r="A3" t="str">
        <f>IF(OR(ABS(D3)&gt;0,ABS(F3)&gt;0,ABS(G3)&gt;0,ABS(H3)&gt;0),基础信息!$B$1,"")</f>
        <v/>
      </c>
      <c r="B3" s="256"/>
      <c r="C3" s="277"/>
      <c r="D3" s="256"/>
      <c r="E3" s="256"/>
      <c r="F3" s="256"/>
      <c r="G3" s="256"/>
      <c r="H3" s="230">
        <f t="shared" ref="H3:H14" si="0">D3+E3+F3-G3</f>
        <v>0</v>
      </c>
      <c r="I3" s="256"/>
      <c r="J3" s="256"/>
      <c r="K3" s="256"/>
      <c r="L3" s="256"/>
    </row>
    <row r="4" spans="1:12">
      <c r="A4" t="str">
        <f>IF(OR(ABS(D4)&gt;0,ABS(F4)&gt;0,ABS(G4)&gt;0,ABS(H4)&gt;0),基础信息!$B$1,"")</f>
        <v/>
      </c>
      <c r="B4" s="256"/>
      <c r="C4" s="277"/>
      <c r="D4" s="256"/>
      <c r="E4" s="256"/>
      <c r="F4" s="256"/>
      <c r="G4" s="256"/>
      <c r="H4" s="230">
        <f t="shared" si="0"/>
        <v>0</v>
      </c>
      <c r="I4" s="256"/>
      <c r="J4" s="256"/>
      <c r="K4" s="256"/>
      <c r="L4" s="256"/>
    </row>
    <row r="5" spans="1:12">
      <c r="A5" t="str">
        <f>IF(OR(ABS(D5)&gt;0,ABS(F5)&gt;0,ABS(G5)&gt;0,ABS(H5)&gt;0),基础信息!$B$1,"")</f>
        <v/>
      </c>
      <c r="B5" s="256"/>
      <c r="C5" s="277"/>
      <c r="D5" s="256"/>
      <c r="E5" s="256"/>
      <c r="F5" s="256"/>
      <c r="G5" s="256"/>
      <c r="H5" s="230">
        <f t="shared" si="0"/>
        <v>0</v>
      </c>
      <c r="I5" s="256"/>
      <c r="J5" s="256"/>
      <c r="K5" s="256"/>
      <c r="L5" s="256"/>
    </row>
    <row r="6" spans="1:12">
      <c r="A6" t="str">
        <f>IF(OR(ABS(D6)&gt;0,ABS(F6)&gt;0,ABS(G6)&gt;0,ABS(H6)&gt;0),基础信息!$B$1,"")</f>
        <v/>
      </c>
      <c r="B6" s="256"/>
      <c r="C6" s="277"/>
      <c r="D6" s="256"/>
      <c r="E6" s="256"/>
      <c r="F6" s="256"/>
      <c r="G6" s="256"/>
      <c r="H6" s="230">
        <f t="shared" si="0"/>
        <v>0</v>
      </c>
      <c r="I6" s="256"/>
      <c r="J6" s="256"/>
      <c r="K6" s="256"/>
      <c r="L6" s="256"/>
    </row>
    <row r="7" spans="1:12">
      <c r="A7" t="str">
        <f>IF(OR(ABS(D7)&gt;0,ABS(F7)&gt;0,ABS(G7)&gt;0,ABS(H7)&gt;0),基础信息!$B$1,"")</f>
        <v/>
      </c>
      <c r="B7" s="256"/>
      <c r="C7" s="277"/>
      <c r="D7" s="256"/>
      <c r="E7" s="256"/>
      <c r="F7" s="256"/>
      <c r="G7" s="256"/>
      <c r="H7" s="230">
        <f t="shared" si="0"/>
        <v>0</v>
      </c>
      <c r="I7" s="256"/>
      <c r="J7" s="256"/>
      <c r="K7" s="256"/>
      <c r="L7" s="256"/>
    </row>
    <row r="8" spans="1:12">
      <c r="A8" t="str">
        <f>IF(OR(ABS(D8)&gt;0,ABS(F8)&gt;0,ABS(G8)&gt;0,ABS(H8)&gt;0),基础信息!$B$1,"")</f>
        <v/>
      </c>
      <c r="B8" s="256"/>
      <c r="C8" s="277"/>
      <c r="D8" s="256"/>
      <c r="E8" s="256"/>
      <c r="F8" s="256"/>
      <c r="G8" s="256"/>
      <c r="H8" s="230">
        <f t="shared" si="0"/>
        <v>0</v>
      </c>
      <c r="I8" s="256"/>
      <c r="J8" s="256"/>
      <c r="K8" s="256"/>
      <c r="L8" s="256"/>
    </row>
    <row r="9" spans="1:12">
      <c r="A9" t="str">
        <f>IF(OR(ABS(D9)&gt;0,ABS(F9)&gt;0,ABS(G9)&gt;0,ABS(H9)&gt;0),基础信息!$B$1,"")</f>
        <v/>
      </c>
      <c r="B9" s="256"/>
      <c r="C9" s="277"/>
      <c r="D9" s="256"/>
      <c r="E9" s="256"/>
      <c r="F9" s="256"/>
      <c r="G9" s="256"/>
      <c r="H9" s="230">
        <f t="shared" si="0"/>
        <v>0</v>
      </c>
      <c r="I9" s="256"/>
      <c r="J9" s="256"/>
      <c r="K9" s="256"/>
      <c r="L9" s="256"/>
    </row>
    <row r="10" spans="1:12">
      <c r="A10" t="str">
        <f>IF(OR(ABS(D10)&gt;0,ABS(F10)&gt;0,ABS(G10)&gt;0,ABS(H10)&gt;0),基础信息!$B$1,"")</f>
        <v/>
      </c>
      <c r="B10" s="256"/>
      <c r="C10" s="277"/>
      <c r="D10" s="256"/>
      <c r="E10" s="256"/>
      <c r="F10" s="256"/>
      <c r="G10" s="256"/>
      <c r="H10" s="230">
        <f t="shared" si="0"/>
        <v>0</v>
      </c>
      <c r="I10" s="256"/>
      <c r="J10" s="256"/>
      <c r="K10" s="256"/>
      <c r="L10" s="256"/>
    </row>
    <row r="11" spans="1:12">
      <c r="A11" t="str">
        <f>IF(OR(ABS(D11)&gt;0,ABS(F11)&gt;0,ABS(G11)&gt;0,ABS(H11)&gt;0),基础信息!$B$1,"")</f>
        <v/>
      </c>
      <c r="B11" s="256"/>
      <c r="C11" s="277"/>
      <c r="D11" s="256"/>
      <c r="E11" s="256"/>
      <c r="F11" s="256"/>
      <c r="G11" s="256"/>
      <c r="H11" s="230">
        <f t="shared" si="0"/>
        <v>0</v>
      </c>
      <c r="I11" s="256"/>
      <c r="J11" s="256"/>
      <c r="K11" s="256"/>
      <c r="L11" s="256"/>
    </row>
    <row r="12" spans="1:12">
      <c r="A12" t="str">
        <f>IF(OR(ABS(D12)&gt;0,ABS(F12)&gt;0,ABS(G12)&gt;0,ABS(H12)&gt;0),基础信息!$B$1,"")</f>
        <v/>
      </c>
      <c r="B12" s="256"/>
      <c r="C12" s="277"/>
      <c r="D12" s="256"/>
      <c r="E12" s="256"/>
      <c r="F12" s="256"/>
      <c r="G12" s="256"/>
      <c r="H12" s="230">
        <f t="shared" si="0"/>
        <v>0</v>
      </c>
      <c r="I12" s="256"/>
      <c r="J12" s="256"/>
      <c r="K12" s="256"/>
      <c r="L12" s="256"/>
    </row>
    <row r="13" spans="1:12">
      <c r="A13" t="str">
        <f>IF(OR(ABS(D13)&gt;0,ABS(F13)&gt;0,ABS(G13)&gt;0,ABS(H13)&gt;0),基础信息!$B$1,"")</f>
        <v/>
      </c>
      <c r="B13" s="256"/>
      <c r="C13" s="277"/>
      <c r="D13" s="256"/>
      <c r="E13" s="256"/>
      <c r="F13" s="256"/>
      <c r="G13" s="256"/>
      <c r="H13" s="230">
        <f t="shared" si="0"/>
        <v>0</v>
      </c>
      <c r="I13" s="256"/>
      <c r="J13" s="256"/>
      <c r="K13" s="256"/>
      <c r="L13" s="256"/>
    </row>
    <row r="14" spans="1:12">
      <c r="A14" t="str">
        <f>IF(OR(ABS(D14)&gt;0,ABS(F14)&gt;0,ABS(G14)&gt;0,ABS(H14)&gt;0),基础信息!$B$1,"")</f>
        <v/>
      </c>
      <c r="B14" s="256"/>
      <c r="C14" s="277"/>
      <c r="D14" s="256"/>
      <c r="E14" s="256"/>
      <c r="F14" s="256"/>
      <c r="G14" s="256"/>
      <c r="H14" s="230">
        <f t="shared" si="0"/>
        <v>0</v>
      </c>
      <c r="I14" s="256"/>
      <c r="J14" s="256"/>
      <c r="K14" s="256"/>
      <c r="L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sheetPr codeName="Sheet3"/>
  <dimension ref="A1:N1199"/>
  <sheetViews>
    <sheetView workbookViewId="0">
      <selection activeCell="B27" sqref="B27"/>
    </sheetView>
  </sheetViews>
  <sheetFormatPr defaultRowHeight="13.8"/>
  <cols>
    <col min="1" max="1" width="40.21875" style="247" bestFit="1" customWidth="1"/>
    <col min="2" max="2" width="27.109375" style="151" customWidth="1"/>
    <col min="3" max="3" width="40.6640625" style="247" customWidth="1"/>
    <col min="4" max="4" width="8.88671875" style="247"/>
    <col min="5" max="5" width="27" style="247" customWidth="1"/>
    <col min="6" max="6" width="7.77734375" style="247" bestFit="1" customWidth="1"/>
    <col min="7" max="7" width="17.109375" style="139" bestFit="1" customWidth="1"/>
    <col min="8" max="11" width="18.109375" style="139" bestFit="1" customWidth="1"/>
    <col min="12" max="12" width="8.88671875" style="139"/>
    <col min="13" max="13" width="17.109375" style="139" bestFit="1" customWidth="1"/>
    <col min="14" max="16384" width="8.88671875" style="18"/>
  </cols>
  <sheetData>
    <row r="1" spans="1:14">
      <c r="A1" s="247" t="s">
        <v>166</v>
      </c>
      <c r="B1" s="137" t="s">
        <v>816</v>
      </c>
      <c r="C1" s="247" t="s">
        <v>817</v>
      </c>
      <c r="D1" s="247" t="s">
        <v>818</v>
      </c>
      <c r="E1" s="247" t="s">
        <v>819</v>
      </c>
      <c r="F1" s="247" t="s">
        <v>820</v>
      </c>
      <c r="G1" s="139" t="s">
        <v>610</v>
      </c>
      <c r="H1" s="139" t="s">
        <v>821</v>
      </c>
      <c r="I1" s="139" t="s">
        <v>822</v>
      </c>
      <c r="J1" s="139" t="s">
        <v>823</v>
      </c>
      <c r="K1" s="139" t="s">
        <v>824</v>
      </c>
      <c r="L1" s="139" t="s">
        <v>820</v>
      </c>
      <c r="M1" s="139" t="s">
        <v>422</v>
      </c>
      <c r="N1" s="1"/>
    </row>
    <row r="2" spans="1:14">
      <c r="B2" s="151" t="str">
        <f>_xlfn.IFNA(VLOOKUP(D2,标准编码!A:B,2,0),"")</f>
        <v>银行存款</v>
      </c>
      <c r="D2" s="247">
        <v>1002</v>
      </c>
      <c r="E2" s="247" t="s">
        <v>3160</v>
      </c>
      <c r="F2" s="247" t="s">
        <v>825</v>
      </c>
      <c r="G2" s="139">
        <v>1427203350.6800001</v>
      </c>
      <c r="H2" s="139">
        <v>13259092179.219999</v>
      </c>
      <c r="I2" s="139">
        <v>13925200745.360001</v>
      </c>
      <c r="J2" s="139">
        <v>13259092179.219999</v>
      </c>
      <c r="K2" s="139">
        <v>13925200745.360001</v>
      </c>
      <c r="L2" s="139" t="s">
        <v>825</v>
      </c>
      <c r="M2" s="139">
        <v>761094784.53999996</v>
      </c>
    </row>
    <row r="3" spans="1:14">
      <c r="B3" s="151" t="str">
        <f>_xlfn.IFNA(VLOOKUP(D3,标准编码!A:B,2,0),"")</f>
        <v/>
      </c>
      <c r="D3" s="247">
        <v>100201</v>
      </c>
      <c r="E3" s="247" t="s">
        <v>3161</v>
      </c>
      <c r="F3" s="247" t="s">
        <v>825</v>
      </c>
      <c r="G3" s="139">
        <v>537559600.33000004</v>
      </c>
      <c r="H3" s="139">
        <v>3382138222.21</v>
      </c>
      <c r="I3" s="139">
        <v>3560236295.04</v>
      </c>
      <c r="J3" s="139">
        <v>3382138222.21</v>
      </c>
      <c r="K3" s="139">
        <v>3560236295.04</v>
      </c>
      <c r="L3" s="139" t="s">
        <v>825</v>
      </c>
      <c r="M3" s="139">
        <v>359461527.5</v>
      </c>
    </row>
    <row r="4" spans="1:14">
      <c r="B4" s="151" t="str">
        <f>_xlfn.IFNA(VLOOKUP(D4,标准编码!A:B,2,0),"")</f>
        <v/>
      </c>
      <c r="D4" s="247">
        <v>10020101</v>
      </c>
      <c r="E4" s="247" t="s">
        <v>3162</v>
      </c>
      <c r="F4" s="247" t="s">
        <v>825</v>
      </c>
      <c r="G4" s="139">
        <v>3770327.07</v>
      </c>
      <c r="H4" s="139">
        <v>51505102.399999999</v>
      </c>
      <c r="I4" s="139">
        <v>44502229.240000002</v>
      </c>
      <c r="J4" s="139">
        <v>51505102.399999999</v>
      </c>
      <c r="K4" s="139">
        <v>44502229.240000002</v>
      </c>
      <c r="L4" s="139" t="s">
        <v>825</v>
      </c>
      <c r="M4" s="139">
        <v>10773200.23</v>
      </c>
    </row>
    <row r="5" spans="1:14">
      <c r="B5" s="151" t="str">
        <f>_xlfn.IFNA(VLOOKUP(D5,标准编码!A:B,2,0),"")</f>
        <v/>
      </c>
      <c r="D5" s="247">
        <v>10020102</v>
      </c>
      <c r="E5" s="247" t="s">
        <v>3163</v>
      </c>
      <c r="F5" s="247" t="s">
        <v>825</v>
      </c>
      <c r="G5" s="139">
        <v>526847415.75</v>
      </c>
      <c r="H5" s="139">
        <v>3319952599.9299998</v>
      </c>
      <c r="I5" s="139">
        <v>3503724184.8000002</v>
      </c>
      <c r="J5" s="139">
        <v>3319952599.9299998</v>
      </c>
      <c r="K5" s="139">
        <v>3503724184.8000002</v>
      </c>
      <c r="L5" s="139" t="s">
        <v>825</v>
      </c>
      <c r="M5" s="139">
        <v>343075830.88</v>
      </c>
    </row>
    <row r="6" spans="1:14">
      <c r="B6" s="151" t="str">
        <f>_xlfn.IFNA(VLOOKUP(D6,标准编码!A:B,2,0),"")</f>
        <v/>
      </c>
      <c r="D6" s="247">
        <v>10020103</v>
      </c>
      <c r="E6" s="247" t="s">
        <v>3164</v>
      </c>
      <c r="F6" s="247" t="s">
        <v>825</v>
      </c>
      <c r="G6" s="139">
        <v>113788.15</v>
      </c>
      <c r="H6" s="139">
        <v>346.5</v>
      </c>
      <c r="I6" s="139">
        <v>0</v>
      </c>
      <c r="J6" s="139">
        <v>346.5</v>
      </c>
      <c r="K6" s="139">
        <v>0</v>
      </c>
      <c r="L6" s="139" t="s">
        <v>825</v>
      </c>
      <c r="M6" s="139">
        <v>114134.65</v>
      </c>
    </row>
    <row r="7" spans="1:14">
      <c r="B7" s="151" t="str">
        <f>_xlfn.IFNA(VLOOKUP(D7,标准编码!A:B,2,0),"")</f>
        <v/>
      </c>
      <c r="D7" s="247">
        <v>10020104</v>
      </c>
      <c r="E7" s="247" t="s">
        <v>3165</v>
      </c>
      <c r="F7" s="247" t="s">
        <v>825</v>
      </c>
      <c r="G7" s="139">
        <v>6828030.46</v>
      </c>
      <c r="H7" s="139">
        <v>10680173.26</v>
      </c>
      <c r="I7" s="139">
        <v>12009881</v>
      </c>
      <c r="J7" s="139">
        <v>10680173.26</v>
      </c>
      <c r="K7" s="139">
        <v>12009881</v>
      </c>
      <c r="L7" s="139" t="s">
        <v>825</v>
      </c>
      <c r="M7" s="139">
        <v>5498322.7199999997</v>
      </c>
    </row>
    <row r="8" spans="1:14">
      <c r="B8" s="151" t="str">
        <f>_xlfn.IFNA(VLOOKUP(D8,标准编码!A:B,2,0),"")</f>
        <v/>
      </c>
      <c r="D8" s="247">
        <v>10020105</v>
      </c>
      <c r="E8" s="247" t="s">
        <v>3166</v>
      </c>
      <c r="F8" s="247" t="s">
        <v>825</v>
      </c>
      <c r="G8" s="139">
        <v>38.9</v>
      </c>
      <c r="H8" s="139">
        <v>0.12</v>
      </c>
      <c r="I8" s="139">
        <v>0</v>
      </c>
      <c r="J8" s="139">
        <v>0.12</v>
      </c>
      <c r="K8" s="139">
        <v>0</v>
      </c>
      <c r="L8" s="139" t="s">
        <v>825</v>
      </c>
      <c r="M8" s="139">
        <v>39.020000000000003</v>
      </c>
    </row>
    <row r="9" spans="1:14">
      <c r="B9" s="151" t="str">
        <f>_xlfn.IFNA(VLOOKUP(D9,标准编码!A:B,2,0),"")</f>
        <v/>
      </c>
      <c r="D9" s="247">
        <v>100202</v>
      </c>
      <c r="E9" s="247" t="s">
        <v>3167</v>
      </c>
      <c r="F9" s="247" t="s">
        <v>825</v>
      </c>
      <c r="G9" s="139">
        <v>407902132.87</v>
      </c>
      <c r="H9" s="139">
        <v>3364629375.3499999</v>
      </c>
      <c r="I9" s="139">
        <v>3394294424.1399999</v>
      </c>
      <c r="J9" s="139">
        <v>3364629375.3499999</v>
      </c>
      <c r="K9" s="139">
        <v>3394294424.1399999</v>
      </c>
      <c r="L9" s="139" t="s">
        <v>825</v>
      </c>
      <c r="M9" s="139">
        <v>378237084.07999998</v>
      </c>
    </row>
    <row r="10" spans="1:14">
      <c r="B10" s="151" t="str">
        <f>_xlfn.IFNA(VLOOKUP(D10,标准编码!A:B,2,0),"")</f>
        <v/>
      </c>
      <c r="D10" s="247">
        <v>10020201</v>
      </c>
      <c r="E10" s="247" t="s">
        <v>3168</v>
      </c>
      <c r="F10" s="247" t="s">
        <v>3169</v>
      </c>
      <c r="G10" s="139">
        <v>0</v>
      </c>
      <c r="H10" s="139">
        <v>0</v>
      </c>
      <c r="I10" s="139">
        <v>0</v>
      </c>
      <c r="J10" s="139">
        <v>0</v>
      </c>
      <c r="K10" s="139">
        <v>0</v>
      </c>
      <c r="L10" s="139" t="s">
        <v>3169</v>
      </c>
      <c r="M10" s="139">
        <v>0</v>
      </c>
    </row>
    <row r="11" spans="1:14">
      <c r="B11" s="151" t="str">
        <f>_xlfn.IFNA(VLOOKUP(D11,标准编码!A:B,2,0),"")</f>
        <v/>
      </c>
      <c r="D11" s="247">
        <v>10020202</v>
      </c>
      <c r="E11" s="247" t="s">
        <v>3170</v>
      </c>
      <c r="F11" s="247" t="s">
        <v>3169</v>
      </c>
      <c r="G11" s="139">
        <v>0</v>
      </c>
      <c r="H11" s="139">
        <v>0</v>
      </c>
      <c r="I11" s="139">
        <v>0</v>
      </c>
      <c r="J11" s="139">
        <v>0</v>
      </c>
      <c r="K11" s="139">
        <v>0</v>
      </c>
      <c r="L11" s="139" t="s">
        <v>3169</v>
      </c>
      <c r="M11" s="139">
        <v>0</v>
      </c>
    </row>
    <row r="12" spans="1:14">
      <c r="B12" s="151" t="str">
        <f>_xlfn.IFNA(VLOOKUP(D12,标准编码!A:B,2,0),"")</f>
        <v/>
      </c>
      <c r="D12" s="247">
        <v>10020203</v>
      </c>
      <c r="E12" s="247" t="s">
        <v>3171</v>
      </c>
      <c r="F12" s="247" t="s">
        <v>825</v>
      </c>
      <c r="G12" s="139">
        <v>3297247.67</v>
      </c>
      <c r="H12" s="139">
        <v>10039.52</v>
      </c>
      <c r="I12" s="139">
        <v>395</v>
      </c>
      <c r="J12" s="139">
        <v>10039.52</v>
      </c>
      <c r="K12" s="139">
        <v>395</v>
      </c>
      <c r="L12" s="139" t="s">
        <v>825</v>
      </c>
      <c r="M12" s="139">
        <v>3306892.19</v>
      </c>
    </row>
    <row r="13" spans="1:14">
      <c r="B13" s="151" t="str">
        <f>_xlfn.IFNA(VLOOKUP(D13,标准编码!A:B,2,0),"")</f>
        <v/>
      </c>
      <c r="D13" s="247">
        <v>10020204</v>
      </c>
      <c r="E13" s="247" t="s">
        <v>3172</v>
      </c>
      <c r="F13" s="247" t="s">
        <v>825</v>
      </c>
      <c r="G13" s="139">
        <v>2655204.37</v>
      </c>
      <c r="H13" s="139">
        <v>1479329126.1900001</v>
      </c>
      <c r="I13" s="139">
        <v>1477206629.1400001</v>
      </c>
      <c r="J13" s="139">
        <v>1479329126.1900001</v>
      </c>
      <c r="K13" s="139">
        <v>1477206629.1400001</v>
      </c>
      <c r="L13" s="139" t="s">
        <v>825</v>
      </c>
      <c r="M13" s="139">
        <v>4777701.42</v>
      </c>
    </row>
    <row r="14" spans="1:14">
      <c r="B14" s="151" t="str">
        <f>_xlfn.IFNA(VLOOKUP(D14,标准编码!A:B,2,0),"")</f>
        <v/>
      </c>
      <c r="D14" s="247">
        <v>10020205</v>
      </c>
      <c r="E14" s="247" t="s">
        <v>3173</v>
      </c>
      <c r="F14" s="247" t="s">
        <v>825</v>
      </c>
      <c r="G14" s="139">
        <v>401949680.82999998</v>
      </c>
      <c r="H14" s="139">
        <v>1885290209.6400001</v>
      </c>
      <c r="I14" s="139">
        <v>1917087400</v>
      </c>
      <c r="J14" s="139">
        <v>1885290209.6400001</v>
      </c>
      <c r="K14" s="139">
        <v>1917087400</v>
      </c>
      <c r="L14" s="139" t="s">
        <v>825</v>
      </c>
      <c r="M14" s="139">
        <v>370152490.47000003</v>
      </c>
    </row>
    <row r="15" spans="1:14">
      <c r="B15" s="151" t="str">
        <f>_xlfn.IFNA(VLOOKUP(D15,标准编码!A:B,2,0),"")</f>
        <v/>
      </c>
      <c r="D15" s="247">
        <v>100204</v>
      </c>
      <c r="E15" s="247" t="s">
        <v>3174</v>
      </c>
      <c r="F15" s="247" t="s">
        <v>825</v>
      </c>
      <c r="G15" s="139">
        <v>3825605</v>
      </c>
      <c r="H15" s="139">
        <v>4609.3500000000004</v>
      </c>
      <c r="I15" s="139">
        <v>3820512.6</v>
      </c>
      <c r="J15" s="139">
        <v>4609.3500000000004</v>
      </c>
      <c r="K15" s="139">
        <v>3820512.6</v>
      </c>
      <c r="L15" s="139" t="s">
        <v>825</v>
      </c>
      <c r="M15" s="139">
        <v>9701.75</v>
      </c>
    </row>
    <row r="16" spans="1:14">
      <c r="B16" s="151" t="str">
        <f>_xlfn.IFNA(VLOOKUP(D16,标准编码!A:B,2,0),"")</f>
        <v/>
      </c>
      <c r="D16" s="247">
        <v>10020401</v>
      </c>
      <c r="E16" s="247" t="s">
        <v>3175</v>
      </c>
      <c r="F16" s="247" t="s">
        <v>825</v>
      </c>
      <c r="G16" s="139">
        <v>1678.09</v>
      </c>
      <c r="H16" s="139">
        <v>5.12</v>
      </c>
      <c r="I16" s="139">
        <v>0</v>
      </c>
      <c r="J16" s="139">
        <v>5.12</v>
      </c>
      <c r="K16" s="139">
        <v>0</v>
      </c>
      <c r="L16" s="139" t="s">
        <v>825</v>
      </c>
      <c r="M16" s="139">
        <v>1683.21</v>
      </c>
    </row>
    <row r="17" spans="2:13">
      <c r="B17" s="151" t="str">
        <f>_xlfn.IFNA(VLOOKUP(D17,标准编码!A:B,2,0),"")</f>
        <v/>
      </c>
      <c r="D17" s="247">
        <v>10020402</v>
      </c>
      <c r="E17" s="247" t="s">
        <v>3176</v>
      </c>
      <c r="F17" s="247" t="s">
        <v>825</v>
      </c>
      <c r="G17" s="139">
        <v>3823926.91</v>
      </c>
      <c r="H17" s="139">
        <v>4604.2299999999996</v>
      </c>
      <c r="I17" s="139">
        <v>3820512.6</v>
      </c>
      <c r="J17" s="139">
        <v>4604.2299999999996</v>
      </c>
      <c r="K17" s="139">
        <v>3820512.6</v>
      </c>
      <c r="L17" s="139" t="s">
        <v>825</v>
      </c>
      <c r="M17" s="139">
        <v>8018.54</v>
      </c>
    </row>
    <row r="18" spans="2:13">
      <c r="B18" s="151" t="str">
        <f>_xlfn.IFNA(VLOOKUP(D18,标准编码!A:B,2,0),"")</f>
        <v/>
      </c>
      <c r="D18" s="247">
        <v>100205</v>
      </c>
      <c r="E18" s="247" t="s">
        <v>3177</v>
      </c>
      <c r="F18" s="247" t="s">
        <v>825</v>
      </c>
      <c r="G18" s="139">
        <v>899621.96</v>
      </c>
      <c r="H18" s="139">
        <v>15825464.99</v>
      </c>
      <c r="I18" s="139">
        <v>10018456.640000001</v>
      </c>
      <c r="J18" s="139">
        <v>15825464.99</v>
      </c>
      <c r="K18" s="139">
        <v>10018456.640000001</v>
      </c>
      <c r="L18" s="139" t="s">
        <v>825</v>
      </c>
      <c r="M18" s="139">
        <v>6706630.3099999996</v>
      </c>
    </row>
    <row r="19" spans="2:13">
      <c r="B19" s="151" t="str">
        <f>_xlfn.IFNA(VLOOKUP(D19,标准编码!A:B,2,0),"")</f>
        <v/>
      </c>
      <c r="D19" s="247">
        <v>10020501</v>
      </c>
      <c r="E19" s="247" t="s">
        <v>3178</v>
      </c>
      <c r="F19" s="247" t="s">
        <v>825</v>
      </c>
      <c r="G19" s="139">
        <v>4328.8999999999996</v>
      </c>
      <c r="H19" s="139">
        <v>13.18</v>
      </c>
      <c r="I19" s="139">
        <v>0</v>
      </c>
      <c r="J19" s="139">
        <v>13.18</v>
      </c>
      <c r="K19" s="139">
        <v>0</v>
      </c>
      <c r="L19" s="139" t="s">
        <v>825</v>
      </c>
      <c r="M19" s="139">
        <v>4342.08</v>
      </c>
    </row>
    <row r="20" spans="2:13">
      <c r="B20" s="151" t="str">
        <f>_xlfn.IFNA(VLOOKUP(D20,标准编码!A:B,2,0),"")</f>
        <v/>
      </c>
      <c r="D20" s="247">
        <v>10020502</v>
      </c>
      <c r="E20" s="247" t="s">
        <v>3179</v>
      </c>
      <c r="F20" s="247" t="s">
        <v>825</v>
      </c>
      <c r="G20" s="139">
        <v>7193.2</v>
      </c>
      <c r="H20" s="139">
        <v>22.44</v>
      </c>
      <c r="I20" s="139">
        <v>7215.64</v>
      </c>
      <c r="J20" s="139">
        <v>22.44</v>
      </c>
      <c r="K20" s="139">
        <v>7215.64</v>
      </c>
      <c r="L20" s="139" t="s">
        <v>3169</v>
      </c>
      <c r="M20" s="139">
        <v>0</v>
      </c>
    </row>
    <row r="21" spans="2:13">
      <c r="B21" s="151" t="str">
        <f>_xlfn.IFNA(VLOOKUP(D21,标准编码!A:B,2,0),"")</f>
        <v/>
      </c>
      <c r="D21" s="247">
        <v>10020504</v>
      </c>
      <c r="E21" s="247" t="s">
        <v>3180</v>
      </c>
      <c r="F21" s="247" t="s">
        <v>825</v>
      </c>
      <c r="G21" s="139">
        <v>888099.86</v>
      </c>
      <c r="H21" s="139">
        <v>10005429.369999999</v>
      </c>
      <c r="I21" s="139">
        <v>10011241</v>
      </c>
      <c r="J21" s="139">
        <v>10005429.369999999</v>
      </c>
      <c r="K21" s="139">
        <v>10011241</v>
      </c>
      <c r="L21" s="139" t="s">
        <v>825</v>
      </c>
      <c r="M21" s="139">
        <v>882288.23</v>
      </c>
    </row>
    <row r="22" spans="2:13">
      <c r="B22" s="151" t="str">
        <f>_xlfn.IFNA(VLOOKUP(D22,标准编码!A:B,2,0),"")</f>
        <v/>
      </c>
      <c r="D22" s="247">
        <v>10020506</v>
      </c>
      <c r="E22" s="247" t="s">
        <v>3181</v>
      </c>
      <c r="F22" s="247" t="s">
        <v>3169</v>
      </c>
      <c r="G22" s="139">
        <v>0</v>
      </c>
      <c r="H22" s="139">
        <v>5820000</v>
      </c>
      <c r="I22" s="139">
        <v>0</v>
      </c>
      <c r="J22" s="139">
        <v>5820000</v>
      </c>
      <c r="K22" s="139">
        <v>0</v>
      </c>
      <c r="L22" s="139" t="s">
        <v>825</v>
      </c>
      <c r="M22" s="139">
        <v>5820000</v>
      </c>
    </row>
    <row r="23" spans="2:13">
      <c r="B23" s="151" t="str">
        <f>_xlfn.IFNA(VLOOKUP(D23,标准编码!A:B,2,0),"")</f>
        <v/>
      </c>
      <c r="D23" s="247">
        <v>100206</v>
      </c>
      <c r="E23" s="247" t="s">
        <v>3182</v>
      </c>
      <c r="F23" s="247" t="s">
        <v>825</v>
      </c>
      <c r="G23" s="139">
        <v>966610.48</v>
      </c>
      <c r="H23" s="139">
        <v>1047702942.62</v>
      </c>
      <c r="I23" s="139">
        <v>1047700400</v>
      </c>
      <c r="J23" s="139">
        <v>1047702942.62</v>
      </c>
      <c r="K23" s="139">
        <v>1047700400</v>
      </c>
      <c r="L23" s="139" t="s">
        <v>825</v>
      </c>
      <c r="M23" s="139">
        <v>969153.1</v>
      </c>
    </row>
    <row r="24" spans="2:13">
      <c r="B24" s="151" t="str">
        <f>_xlfn.IFNA(VLOOKUP(D24,标准编码!A:B,2,0),"")</f>
        <v/>
      </c>
      <c r="D24" s="247">
        <v>10020601</v>
      </c>
      <c r="E24" s="247" t="s">
        <v>3183</v>
      </c>
      <c r="F24" s="247" t="s">
        <v>825</v>
      </c>
      <c r="G24" s="139">
        <v>966610.48</v>
      </c>
      <c r="H24" s="139">
        <v>1047702942.62</v>
      </c>
      <c r="I24" s="139">
        <v>1047700400</v>
      </c>
      <c r="J24" s="139">
        <v>1047702942.62</v>
      </c>
      <c r="K24" s="139">
        <v>1047700400</v>
      </c>
      <c r="L24" s="139" t="s">
        <v>825</v>
      </c>
      <c r="M24" s="139">
        <v>969153.1</v>
      </c>
    </row>
    <row r="25" spans="2:13">
      <c r="B25" s="151" t="str">
        <f>_xlfn.IFNA(VLOOKUP(D25,标准编码!A:B,2,0),"")</f>
        <v/>
      </c>
      <c r="D25" s="247">
        <v>100207</v>
      </c>
      <c r="E25" s="247" t="s">
        <v>3184</v>
      </c>
      <c r="F25" s="247" t="s">
        <v>825</v>
      </c>
      <c r="G25" s="139">
        <v>45812962.479999997</v>
      </c>
      <c r="H25" s="139">
        <v>455731757</v>
      </c>
      <c r="I25" s="139">
        <v>499410985.70999998</v>
      </c>
      <c r="J25" s="139">
        <v>455731757</v>
      </c>
      <c r="K25" s="139">
        <v>499410985.70999998</v>
      </c>
      <c r="L25" s="139" t="s">
        <v>825</v>
      </c>
      <c r="M25" s="139">
        <v>2133733.77</v>
      </c>
    </row>
    <row r="26" spans="2:13">
      <c r="B26" s="151" t="str">
        <f>_xlfn.IFNA(VLOOKUP(D26,标准编码!A:B,2,0),"")</f>
        <v/>
      </c>
      <c r="D26" s="247">
        <v>10020701</v>
      </c>
      <c r="E26" s="247" t="s">
        <v>3185</v>
      </c>
      <c r="F26" s="247" t="s">
        <v>825</v>
      </c>
      <c r="G26" s="139">
        <v>45812962.479999997</v>
      </c>
      <c r="H26" s="139">
        <v>345231734.37</v>
      </c>
      <c r="I26" s="139">
        <v>388912869.91000003</v>
      </c>
      <c r="J26" s="139">
        <v>345231734.37</v>
      </c>
      <c r="K26" s="139">
        <v>388912869.91000003</v>
      </c>
      <c r="L26" s="139" t="s">
        <v>825</v>
      </c>
      <c r="M26" s="139">
        <v>2131826.94</v>
      </c>
    </row>
    <row r="27" spans="2:13">
      <c r="B27" s="151" t="str">
        <f>_xlfn.IFNA(VLOOKUP(D27,标准编码!A:B,2,0),"")</f>
        <v/>
      </c>
      <c r="D27" s="247">
        <v>10020702</v>
      </c>
      <c r="E27" s="247" t="s">
        <v>3186</v>
      </c>
      <c r="F27" s="247" t="s">
        <v>3169</v>
      </c>
      <c r="G27" s="139">
        <v>0</v>
      </c>
      <c r="H27" s="139">
        <v>110500022.63</v>
      </c>
      <c r="I27" s="139">
        <v>110498115.8</v>
      </c>
      <c r="J27" s="139">
        <v>110500022.63</v>
      </c>
      <c r="K27" s="139">
        <v>110498115.8</v>
      </c>
      <c r="L27" s="139" t="s">
        <v>825</v>
      </c>
      <c r="M27" s="139">
        <v>1906.83</v>
      </c>
    </row>
    <row r="28" spans="2:13">
      <c r="B28" s="151" t="str">
        <f>_xlfn.IFNA(VLOOKUP(D28,标准编码!A:B,2,0),"")</f>
        <v/>
      </c>
      <c r="D28" s="247">
        <v>100208</v>
      </c>
      <c r="E28" s="247" t="s">
        <v>3187</v>
      </c>
      <c r="F28" s="247" t="s">
        <v>825</v>
      </c>
      <c r="G28" s="139">
        <v>102735308.67</v>
      </c>
      <c r="H28" s="139">
        <v>339413012.98000002</v>
      </c>
      <c r="I28" s="139">
        <v>439514423.70999998</v>
      </c>
      <c r="J28" s="139">
        <v>339413012.98000002</v>
      </c>
      <c r="K28" s="139">
        <v>439514423.70999998</v>
      </c>
      <c r="L28" s="139" t="s">
        <v>825</v>
      </c>
      <c r="M28" s="139">
        <v>2633897.94</v>
      </c>
    </row>
    <row r="29" spans="2:13">
      <c r="B29" s="151" t="str">
        <f>_xlfn.IFNA(VLOOKUP(D29,标准编码!A:B,2,0),"")</f>
        <v/>
      </c>
      <c r="D29" s="247">
        <v>10020801</v>
      </c>
      <c r="E29" s="247" t="s">
        <v>3188</v>
      </c>
      <c r="F29" s="247" t="s">
        <v>825</v>
      </c>
      <c r="G29" s="139">
        <v>20599.490000000002</v>
      </c>
      <c r="H29" s="139">
        <v>112.73</v>
      </c>
      <c r="I29" s="139">
        <v>0</v>
      </c>
      <c r="J29" s="139">
        <v>112.73</v>
      </c>
      <c r="K29" s="139">
        <v>0</v>
      </c>
      <c r="L29" s="139" t="s">
        <v>825</v>
      </c>
      <c r="M29" s="139">
        <v>20712.22</v>
      </c>
    </row>
    <row r="30" spans="2:13">
      <c r="B30" s="151" t="str">
        <f>_xlfn.IFNA(VLOOKUP(D30,标准编码!A:B,2,0),"")</f>
        <v/>
      </c>
      <c r="D30" s="247">
        <v>10020802</v>
      </c>
      <c r="E30" s="247" t="s">
        <v>3189</v>
      </c>
      <c r="F30" s="247" t="s">
        <v>825</v>
      </c>
      <c r="G30" s="139">
        <v>102714709.18000001</v>
      </c>
      <c r="H30" s="139">
        <v>339412900.25</v>
      </c>
      <c r="I30" s="139">
        <v>439514423.70999998</v>
      </c>
      <c r="J30" s="139">
        <v>339412900.25</v>
      </c>
      <c r="K30" s="139">
        <v>439514423.70999998</v>
      </c>
      <c r="L30" s="139" t="s">
        <v>825</v>
      </c>
      <c r="M30" s="139">
        <v>2613185.7200000002</v>
      </c>
    </row>
    <row r="31" spans="2:13">
      <c r="B31" s="151" t="str">
        <f>_xlfn.IFNA(VLOOKUP(D31,标准编码!A:B,2,0),"")</f>
        <v/>
      </c>
      <c r="D31" s="247">
        <v>100209</v>
      </c>
      <c r="E31" s="247" t="s">
        <v>3190</v>
      </c>
      <c r="F31" s="247" t="s">
        <v>3169</v>
      </c>
      <c r="G31" s="139">
        <v>0</v>
      </c>
      <c r="H31" s="139">
        <v>499018324.06999999</v>
      </c>
      <c r="I31" s="139">
        <v>499000015.39999998</v>
      </c>
      <c r="J31" s="139">
        <v>499018324.06999999</v>
      </c>
      <c r="K31" s="139">
        <v>499000015.39999998</v>
      </c>
      <c r="L31" s="139" t="s">
        <v>825</v>
      </c>
      <c r="M31" s="139">
        <v>18308.669999999998</v>
      </c>
    </row>
    <row r="32" spans="2:13">
      <c r="B32" s="151" t="str">
        <f>_xlfn.IFNA(VLOOKUP(D32,标准编码!A:B,2,0),"")</f>
        <v/>
      </c>
      <c r="D32" s="247">
        <v>10020901</v>
      </c>
      <c r="E32" s="247" t="s">
        <v>3191</v>
      </c>
      <c r="F32" s="247" t="s">
        <v>3169</v>
      </c>
      <c r="G32" s="139">
        <v>0</v>
      </c>
      <c r="H32" s="139">
        <v>499018324.06999999</v>
      </c>
      <c r="I32" s="139">
        <v>499000015.39999998</v>
      </c>
      <c r="J32" s="139">
        <v>499018324.06999999</v>
      </c>
      <c r="K32" s="139">
        <v>499000015.39999998</v>
      </c>
      <c r="L32" s="139" t="s">
        <v>825</v>
      </c>
      <c r="M32" s="139">
        <v>18308.669999999998</v>
      </c>
    </row>
    <row r="33" spans="2:13">
      <c r="B33" s="151" t="str">
        <f>_xlfn.IFNA(VLOOKUP(D33,标准编码!A:B,2,0),"")</f>
        <v/>
      </c>
      <c r="D33" s="247">
        <v>100210</v>
      </c>
      <c r="E33" s="247" t="s">
        <v>3192</v>
      </c>
      <c r="F33" s="247" t="s">
        <v>825</v>
      </c>
      <c r="G33" s="139">
        <v>3718976.88</v>
      </c>
      <c r="H33" s="139">
        <v>122436943.66</v>
      </c>
      <c r="I33" s="139">
        <v>120627500.95</v>
      </c>
      <c r="J33" s="139">
        <v>122436943.66</v>
      </c>
      <c r="K33" s="139">
        <v>120627500.95</v>
      </c>
      <c r="L33" s="139" t="s">
        <v>825</v>
      </c>
      <c r="M33" s="139">
        <v>5528419.5899999999</v>
      </c>
    </row>
    <row r="34" spans="2:13">
      <c r="B34" s="151" t="str">
        <f>_xlfn.IFNA(VLOOKUP(D34,标准编码!A:B,2,0),"")</f>
        <v/>
      </c>
      <c r="D34" s="247">
        <v>10021001</v>
      </c>
      <c r="E34" s="247" t="s">
        <v>3193</v>
      </c>
      <c r="F34" s="247" t="s">
        <v>825</v>
      </c>
      <c r="G34" s="139">
        <v>3718976.88</v>
      </c>
      <c r="H34" s="139">
        <v>122436255.45</v>
      </c>
      <c r="I34" s="139">
        <v>120626812.73999999</v>
      </c>
      <c r="J34" s="139">
        <v>122436255.45</v>
      </c>
      <c r="K34" s="139">
        <v>120626812.73999999</v>
      </c>
      <c r="L34" s="139" t="s">
        <v>825</v>
      </c>
      <c r="M34" s="139">
        <v>5528419.5899999999</v>
      </c>
    </row>
    <row r="35" spans="2:13">
      <c r="B35" s="151" t="str">
        <f>_xlfn.IFNA(VLOOKUP(D35,标准编码!A:B,2,0),"")</f>
        <v/>
      </c>
      <c r="D35" s="247">
        <v>10021002</v>
      </c>
      <c r="E35" s="247" t="s">
        <v>3194</v>
      </c>
      <c r="F35" s="247" t="s">
        <v>3169</v>
      </c>
      <c r="G35" s="139">
        <v>0</v>
      </c>
      <c r="H35" s="139">
        <v>688.21</v>
      </c>
      <c r="I35" s="139">
        <v>688.21</v>
      </c>
      <c r="J35" s="139">
        <v>688.21</v>
      </c>
      <c r="K35" s="139">
        <v>688.21</v>
      </c>
      <c r="L35" s="139" t="s">
        <v>3169</v>
      </c>
      <c r="M35" s="139">
        <v>0</v>
      </c>
    </row>
    <row r="36" spans="2:13">
      <c r="B36" s="151" t="str">
        <f>_xlfn.IFNA(VLOOKUP(D36,标准编码!A:B,2,0),"")</f>
        <v/>
      </c>
      <c r="D36" s="247">
        <v>100211</v>
      </c>
      <c r="E36" s="247" t="s">
        <v>3195</v>
      </c>
      <c r="F36" s="247" t="s">
        <v>825</v>
      </c>
      <c r="G36" s="139">
        <v>2122341.19</v>
      </c>
      <c r="H36" s="139">
        <v>40013944.240000002</v>
      </c>
      <c r="I36" s="139">
        <v>41769735.380000003</v>
      </c>
      <c r="J36" s="139">
        <v>40013944.240000002</v>
      </c>
      <c r="K36" s="139">
        <v>41769735.380000003</v>
      </c>
      <c r="L36" s="139" t="s">
        <v>825</v>
      </c>
      <c r="M36" s="139">
        <v>366550.05</v>
      </c>
    </row>
    <row r="37" spans="2:13">
      <c r="B37" s="151" t="str">
        <f>_xlfn.IFNA(VLOOKUP(D37,标准编码!A:B,2,0),"")</f>
        <v/>
      </c>
      <c r="D37" s="247">
        <v>10021101</v>
      </c>
      <c r="E37" s="247" t="s">
        <v>3196</v>
      </c>
      <c r="F37" s="247" t="s">
        <v>825</v>
      </c>
      <c r="G37" s="139">
        <v>1764416.97</v>
      </c>
      <c r="H37" s="139">
        <v>40009181</v>
      </c>
      <c r="I37" s="139">
        <v>41769435.380000003</v>
      </c>
      <c r="J37" s="139">
        <v>40009181</v>
      </c>
      <c r="K37" s="139">
        <v>41769435.380000003</v>
      </c>
      <c r="L37" s="139" t="s">
        <v>825</v>
      </c>
      <c r="M37" s="139">
        <v>4162.59</v>
      </c>
    </row>
    <row r="38" spans="2:13">
      <c r="B38" s="151" t="str">
        <f>_xlfn.IFNA(VLOOKUP(D38,标准编码!A:B,2,0),"")</f>
        <v/>
      </c>
      <c r="D38" s="247">
        <v>10021102</v>
      </c>
      <c r="E38" s="247" t="s">
        <v>3197</v>
      </c>
      <c r="F38" s="247" t="s">
        <v>825</v>
      </c>
      <c r="G38" s="139">
        <v>316774.56</v>
      </c>
      <c r="H38" s="139">
        <v>4637.93</v>
      </c>
      <c r="I38" s="139">
        <v>300</v>
      </c>
      <c r="J38" s="139">
        <v>4637.93</v>
      </c>
      <c r="K38" s="139">
        <v>300</v>
      </c>
      <c r="L38" s="139" t="s">
        <v>825</v>
      </c>
      <c r="M38" s="139">
        <v>321112.49</v>
      </c>
    </row>
    <row r="39" spans="2:13">
      <c r="B39" s="151" t="str">
        <f>_xlfn.IFNA(VLOOKUP(D39,标准编码!A:B,2,0),"")</f>
        <v/>
      </c>
      <c r="D39" s="247">
        <v>10021103</v>
      </c>
      <c r="E39" s="247" t="s">
        <v>3198</v>
      </c>
      <c r="F39" s="247" t="s">
        <v>825</v>
      </c>
      <c r="G39" s="139">
        <v>41149.660000000003</v>
      </c>
      <c r="H39" s="139">
        <v>125.31</v>
      </c>
      <c r="I39" s="139">
        <v>0</v>
      </c>
      <c r="J39" s="139">
        <v>125.31</v>
      </c>
      <c r="K39" s="139">
        <v>0</v>
      </c>
      <c r="L39" s="139" t="s">
        <v>825</v>
      </c>
      <c r="M39" s="139">
        <v>41274.97</v>
      </c>
    </row>
    <row r="40" spans="2:13">
      <c r="B40" s="151" t="str">
        <f>_xlfn.IFNA(VLOOKUP(D40,标准编码!A:B,2,0),"")</f>
        <v/>
      </c>
      <c r="D40" s="247">
        <v>100213</v>
      </c>
      <c r="E40" s="247" t="s">
        <v>3199</v>
      </c>
      <c r="F40" s="247" t="s">
        <v>825</v>
      </c>
      <c r="G40" s="139">
        <v>490937.79</v>
      </c>
      <c r="H40" s="139">
        <v>5108.46</v>
      </c>
      <c r="I40" s="139">
        <v>8500.1</v>
      </c>
      <c r="J40" s="139">
        <v>5108.46</v>
      </c>
      <c r="K40" s="139">
        <v>8500.1</v>
      </c>
      <c r="L40" s="139" t="s">
        <v>825</v>
      </c>
      <c r="M40" s="139">
        <v>487546.15</v>
      </c>
    </row>
    <row r="41" spans="2:13">
      <c r="B41" s="151" t="str">
        <f>_xlfn.IFNA(VLOOKUP(D41,标准编码!A:B,2,0),"")</f>
        <v/>
      </c>
      <c r="D41" s="247">
        <v>10021301</v>
      </c>
      <c r="E41" s="247" t="s">
        <v>3200</v>
      </c>
      <c r="F41" s="247" t="s">
        <v>825</v>
      </c>
      <c r="G41" s="139">
        <v>486988.22</v>
      </c>
      <c r="H41" s="139">
        <v>5096.4399999999996</v>
      </c>
      <c r="I41" s="139">
        <v>8500.1</v>
      </c>
      <c r="J41" s="139">
        <v>5096.4399999999996</v>
      </c>
      <c r="K41" s="139">
        <v>8500.1</v>
      </c>
      <c r="L41" s="139" t="s">
        <v>825</v>
      </c>
      <c r="M41" s="139">
        <v>483584.56</v>
      </c>
    </row>
    <row r="42" spans="2:13">
      <c r="B42" s="151" t="str">
        <f>_xlfn.IFNA(VLOOKUP(D42,标准编码!A:B,2,0),"")</f>
        <v/>
      </c>
      <c r="D42" s="247">
        <v>10021302</v>
      </c>
      <c r="E42" s="247" t="s">
        <v>3201</v>
      </c>
      <c r="F42" s="247" t="s">
        <v>825</v>
      </c>
      <c r="G42" s="139">
        <v>3949.57</v>
      </c>
      <c r="H42" s="139">
        <v>12.02</v>
      </c>
      <c r="I42" s="139">
        <v>0</v>
      </c>
      <c r="J42" s="139">
        <v>12.02</v>
      </c>
      <c r="K42" s="139">
        <v>0</v>
      </c>
      <c r="L42" s="139" t="s">
        <v>825</v>
      </c>
      <c r="M42" s="139">
        <v>3961.59</v>
      </c>
    </row>
    <row r="43" spans="2:13">
      <c r="B43" s="151" t="str">
        <f>_xlfn.IFNA(VLOOKUP(D43,标准编码!A:B,2,0),"")</f>
        <v/>
      </c>
      <c r="D43" s="247">
        <v>100216</v>
      </c>
      <c r="E43" s="247" t="s">
        <v>3202</v>
      </c>
      <c r="F43" s="247" t="s">
        <v>825</v>
      </c>
      <c r="G43" s="139">
        <v>90458.36</v>
      </c>
      <c r="H43" s="139">
        <v>475.4</v>
      </c>
      <c r="I43" s="139">
        <v>301.58</v>
      </c>
      <c r="J43" s="139">
        <v>475.4</v>
      </c>
      <c r="K43" s="139">
        <v>301.58</v>
      </c>
      <c r="L43" s="139" t="s">
        <v>825</v>
      </c>
      <c r="M43" s="139">
        <v>90632.18</v>
      </c>
    </row>
    <row r="44" spans="2:13">
      <c r="B44" s="151" t="str">
        <f>_xlfn.IFNA(VLOOKUP(D44,标准编码!A:B,2,0),"")</f>
        <v/>
      </c>
      <c r="D44" s="247">
        <v>10021601</v>
      </c>
      <c r="E44" s="247" t="s">
        <v>3203</v>
      </c>
      <c r="F44" s="247" t="s">
        <v>825</v>
      </c>
      <c r="G44" s="139">
        <v>90456.94</v>
      </c>
      <c r="H44" s="139">
        <v>375.24</v>
      </c>
      <c r="I44" s="139">
        <v>200</v>
      </c>
      <c r="J44" s="139">
        <v>375.24</v>
      </c>
      <c r="K44" s="139">
        <v>200</v>
      </c>
      <c r="L44" s="139" t="s">
        <v>825</v>
      </c>
      <c r="M44" s="139">
        <v>90632.18</v>
      </c>
    </row>
    <row r="45" spans="2:13">
      <c r="B45" s="151" t="str">
        <f>_xlfn.IFNA(VLOOKUP(D45,标准编码!A:B,2,0),"")</f>
        <v/>
      </c>
      <c r="D45" s="247">
        <v>10021602</v>
      </c>
      <c r="E45" s="247" t="s">
        <v>3204</v>
      </c>
      <c r="F45" s="247" t="s">
        <v>825</v>
      </c>
      <c r="G45" s="139">
        <v>1.42</v>
      </c>
      <c r="H45" s="139">
        <v>100.16</v>
      </c>
      <c r="I45" s="139">
        <v>101.58</v>
      </c>
      <c r="J45" s="139">
        <v>100.16</v>
      </c>
      <c r="K45" s="139">
        <v>101.58</v>
      </c>
      <c r="L45" s="139" t="s">
        <v>3169</v>
      </c>
      <c r="M45" s="139">
        <v>0</v>
      </c>
    </row>
    <row r="46" spans="2:13">
      <c r="B46" s="151" t="str">
        <f>_xlfn.IFNA(VLOOKUP(D46,标准编码!A:B,2,0),"")</f>
        <v/>
      </c>
      <c r="D46" s="247">
        <v>100217</v>
      </c>
      <c r="E46" s="247" t="s">
        <v>3205</v>
      </c>
      <c r="F46" s="247" t="s">
        <v>825</v>
      </c>
      <c r="G46" s="139">
        <v>19678060.539999999</v>
      </c>
      <c r="H46" s="139">
        <v>2576388883.3899999</v>
      </c>
      <c r="I46" s="139">
        <v>2596005490.4899998</v>
      </c>
      <c r="J46" s="139">
        <v>2576388883.3899999</v>
      </c>
      <c r="K46" s="139">
        <v>2596005490.4899998</v>
      </c>
      <c r="L46" s="139" t="s">
        <v>825</v>
      </c>
      <c r="M46" s="139">
        <v>61453.440000000002</v>
      </c>
    </row>
    <row r="47" spans="2:13">
      <c r="B47" s="151" t="str">
        <f>_xlfn.IFNA(VLOOKUP(D47,标准编码!A:B,2,0),"")</f>
        <v/>
      </c>
      <c r="D47" s="247">
        <v>10021701</v>
      </c>
      <c r="E47" s="247" t="s">
        <v>3206</v>
      </c>
      <c r="F47" s="247" t="s">
        <v>825</v>
      </c>
      <c r="G47" s="139">
        <v>15016017.76</v>
      </c>
      <c r="H47" s="139">
        <v>2425187013.9899998</v>
      </c>
      <c r="I47" s="139">
        <v>2440195758.9200001</v>
      </c>
      <c r="J47" s="139">
        <v>2425187013.9899998</v>
      </c>
      <c r="K47" s="139">
        <v>2440195758.9200001</v>
      </c>
      <c r="L47" s="139" t="s">
        <v>825</v>
      </c>
      <c r="M47" s="139">
        <v>7272.83</v>
      </c>
    </row>
    <row r="48" spans="2:13">
      <c r="B48" s="151" t="str">
        <f>_xlfn.IFNA(VLOOKUP(D48,标准编码!A:B,2,0),"")</f>
        <v/>
      </c>
      <c r="D48" s="247">
        <v>10021702</v>
      </c>
      <c r="E48" s="247" t="s">
        <v>3207</v>
      </c>
      <c r="F48" s="247" t="s">
        <v>825</v>
      </c>
      <c r="G48" s="139">
        <v>0.59</v>
      </c>
      <c r="H48" s="139">
        <v>0</v>
      </c>
      <c r="I48" s="139">
        <v>0</v>
      </c>
      <c r="J48" s="139">
        <v>0</v>
      </c>
      <c r="K48" s="139">
        <v>0</v>
      </c>
      <c r="L48" s="139" t="s">
        <v>825</v>
      </c>
      <c r="M48" s="139">
        <v>0.59</v>
      </c>
    </row>
    <row r="49" spans="2:13">
      <c r="B49" s="151" t="str">
        <f>_xlfn.IFNA(VLOOKUP(D49,标准编码!A:B,2,0),"")</f>
        <v/>
      </c>
      <c r="D49" s="247">
        <v>10021703</v>
      </c>
      <c r="E49" s="247" t="s">
        <v>3208</v>
      </c>
      <c r="F49" s="247" t="s">
        <v>825</v>
      </c>
      <c r="G49" s="139">
        <v>4662042.1900000004</v>
      </c>
      <c r="H49" s="139">
        <v>151201869.40000001</v>
      </c>
      <c r="I49" s="139">
        <v>155809731.56999999</v>
      </c>
      <c r="J49" s="139">
        <v>151201869.40000001</v>
      </c>
      <c r="K49" s="139">
        <v>155809731.56999999</v>
      </c>
      <c r="L49" s="139" t="s">
        <v>825</v>
      </c>
      <c r="M49" s="139">
        <v>54180.02</v>
      </c>
    </row>
    <row r="50" spans="2:13">
      <c r="B50" s="151" t="str">
        <f>_xlfn.IFNA(VLOOKUP(D50,标准编码!A:B,2,0),"")</f>
        <v/>
      </c>
      <c r="D50" s="247">
        <v>100219</v>
      </c>
      <c r="E50" s="247" t="s">
        <v>3209</v>
      </c>
      <c r="F50" s="247" t="s">
        <v>3169</v>
      </c>
      <c r="G50" s="139">
        <v>0</v>
      </c>
      <c r="H50" s="139">
        <v>18231172.629999999</v>
      </c>
      <c r="I50" s="139">
        <v>17343111.300000001</v>
      </c>
      <c r="J50" s="139">
        <v>18231172.629999999</v>
      </c>
      <c r="K50" s="139">
        <v>17343111.300000001</v>
      </c>
      <c r="L50" s="139" t="s">
        <v>825</v>
      </c>
      <c r="M50" s="139">
        <v>888061.33</v>
      </c>
    </row>
    <row r="51" spans="2:13">
      <c r="B51" s="151" t="str">
        <f>_xlfn.IFNA(VLOOKUP(D51,标准编码!A:B,2,0),"")</f>
        <v/>
      </c>
      <c r="D51" s="247">
        <v>100228</v>
      </c>
      <c r="E51" s="247" t="s">
        <v>3210</v>
      </c>
      <c r="F51" s="247" t="s">
        <v>825</v>
      </c>
      <c r="G51" s="139">
        <v>301400734.13</v>
      </c>
      <c r="H51" s="139">
        <v>1397551942.8699999</v>
      </c>
      <c r="I51" s="139">
        <v>1695450592.3199999</v>
      </c>
      <c r="J51" s="139">
        <v>1397551942.8699999</v>
      </c>
      <c r="K51" s="139">
        <v>1695450592.3199999</v>
      </c>
      <c r="L51" s="139" t="s">
        <v>825</v>
      </c>
      <c r="M51" s="139">
        <v>3502084.68</v>
      </c>
    </row>
    <row r="52" spans="2:13">
      <c r="B52" s="151" t="str">
        <f>_xlfn.IFNA(VLOOKUP(D52,标准编码!A:B,2,0),"")</f>
        <v/>
      </c>
      <c r="D52" s="247">
        <v>10022801</v>
      </c>
      <c r="E52" s="247" t="s">
        <v>3211</v>
      </c>
      <c r="F52" s="247" t="s">
        <v>825</v>
      </c>
      <c r="G52" s="139">
        <v>301400734.13</v>
      </c>
      <c r="H52" s="139">
        <v>1397551942.8699999</v>
      </c>
      <c r="I52" s="139">
        <v>1695450592.3199999</v>
      </c>
      <c r="J52" s="139">
        <v>1397551942.8699999</v>
      </c>
      <c r="K52" s="139">
        <v>1695450592.3199999</v>
      </c>
      <c r="L52" s="139" t="s">
        <v>825</v>
      </c>
      <c r="M52" s="139">
        <v>3502084.68</v>
      </c>
    </row>
    <row r="53" spans="2:13">
      <c r="B53" s="151" t="str">
        <f>_xlfn.IFNA(VLOOKUP(D53,标准编码!A:B,2,0),"")</f>
        <v>其他货币资金</v>
      </c>
      <c r="D53" s="247">
        <v>1012</v>
      </c>
      <c r="E53" s="247" t="s">
        <v>3212</v>
      </c>
      <c r="F53" s="247" t="s">
        <v>825</v>
      </c>
      <c r="G53" s="139">
        <v>58544411.130000003</v>
      </c>
      <c r="H53" s="139">
        <v>2270756.9</v>
      </c>
      <c r="I53" s="139">
        <v>1058932.8999999999</v>
      </c>
      <c r="J53" s="139">
        <v>2270756.9</v>
      </c>
      <c r="K53" s="139">
        <v>1058932.8999999999</v>
      </c>
      <c r="L53" s="139" t="s">
        <v>825</v>
      </c>
      <c r="M53" s="139">
        <v>59756235.130000003</v>
      </c>
    </row>
    <row r="54" spans="2:13">
      <c r="B54" s="151" t="str">
        <f>_xlfn.IFNA(VLOOKUP(D54,标准编码!A:B,2,0),"")</f>
        <v/>
      </c>
      <c r="D54" s="247">
        <v>101204</v>
      </c>
      <c r="E54" s="247" t="s">
        <v>3213</v>
      </c>
      <c r="F54" s="247" t="s">
        <v>825</v>
      </c>
      <c r="G54" s="139">
        <v>3510.72</v>
      </c>
      <c r="H54" s="139">
        <v>3186</v>
      </c>
      <c r="I54" s="139">
        <v>3186</v>
      </c>
      <c r="J54" s="139">
        <v>3186</v>
      </c>
      <c r="K54" s="139">
        <v>3186</v>
      </c>
      <c r="L54" s="139" t="s">
        <v>825</v>
      </c>
      <c r="M54" s="139">
        <v>3510.72</v>
      </c>
    </row>
    <row r="55" spans="2:13">
      <c r="B55" s="151" t="str">
        <f>_xlfn.IFNA(VLOOKUP(D55,标准编码!A:B,2,0),"")</f>
        <v/>
      </c>
      <c r="D55" s="247">
        <v>10120401</v>
      </c>
      <c r="E55" s="247" t="s">
        <v>3214</v>
      </c>
      <c r="F55" s="247" t="s">
        <v>825</v>
      </c>
      <c r="G55" s="139">
        <v>2505.7199999999998</v>
      </c>
      <c r="H55" s="139">
        <v>3186</v>
      </c>
      <c r="I55" s="139">
        <v>3186</v>
      </c>
      <c r="J55" s="139">
        <v>3186</v>
      </c>
      <c r="K55" s="139">
        <v>3186</v>
      </c>
      <c r="L55" s="139" t="s">
        <v>825</v>
      </c>
      <c r="M55" s="139">
        <v>2505.7199999999998</v>
      </c>
    </row>
    <row r="56" spans="2:13">
      <c r="B56" s="151" t="str">
        <f>_xlfn.IFNA(VLOOKUP(D56,标准编码!A:B,2,0),"")</f>
        <v/>
      </c>
      <c r="D56" s="247">
        <v>1012040101</v>
      </c>
      <c r="E56" s="247" t="s">
        <v>3215</v>
      </c>
      <c r="F56" s="247" t="s">
        <v>825</v>
      </c>
      <c r="G56" s="139">
        <v>2505.7199999999998</v>
      </c>
      <c r="H56" s="139">
        <v>0</v>
      </c>
      <c r="I56" s="139">
        <v>0</v>
      </c>
      <c r="J56" s="139">
        <v>0</v>
      </c>
      <c r="K56" s="139">
        <v>0</v>
      </c>
      <c r="L56" s="139" t="s">
        <v>825</v>
      </c>
      <c r="M56" s="139">
        <v>2505.7199999999998</v>
      </c>
    </row>
    <row r="57" spans="2:13">
      <c r="B57" s="151" t="str">
        <f>_xlfn.IFNA(VLOOKUP(D57,标准编码!A:B,2,0),"")</f>
        <v/>
      </c>
      <c r="D57" s="247">
        <v>1012040102</v>
      </c>
      <c r="E57" s="247" t="s">
        <v>3216</v>
      </c>
      <c r="F57" s="247" t="s">
        <v>3169</v>
      </c>
      <c r="G57" s="139">
        <v>0</v>
      </c>
      <c r="H57" s="139">
        <v>3186</v>
      </c>
      <c r="I57" s="139">
        <v>3186</v>
      </c>
      <c r="J57" s="139">
        <v>3186</v>
      </c>
      <c r="K57" s="139">
        <v>3186</v>
      </c>
      <c r="L57" s="139" t="s">
        <v>3169</v>
      </c>
      <c r="M57" s="139">
        <v>0</v>
      </c>
    </row>
    <row r="58" spans="2:13">
      <c r="B58" s="151" t="str">
        <f>_xlfn.IFNA(VLOOKUP(D58,标准编码!A:B,2,0),"")</f>
        <v/>
      </c>
      <c r="D58" s="247">
        <v>10120403</v>
      </c>
      <c r="E58" s="247" t="s">
        <v>3217</v>
      </c>
      <c r="F58" s="247" t="s">
        <v>825</v>
      </c>
      <c r="G58" s="139">
        <v>1005</v>
      </c>
      <c r="H58" s="139">
        <v>0</v>
      </c>
      <c r="I58" s="139">
        <v>0</v>
      </c>
      <c r="J58" s="139">
        <v>0</v>
      </c>
      <c r="K58" s="139">
        <v>0</v>
      </c>
      <c r="L58" s="139" t="s">
        <v>825</v>
      </c>
      <c r="M58" s="139">
        <v>1005</v>
      </c>
    </row>
    <row r="59" spans="2:13">
      <c r="B59" s="151" t="str">
        <f>_xlfn.IFNA(VLOOKUP(D59,标准编码!A:B,2,0),"")</f>
        <v/>
      </c>
      <c r="D59" s="247">
        <v>101205</v>
      </c>
      <c r="E59" s="247" t="s">
        <v>3218</v>
      </c>
      <c r="F59" s="247" t="s">
        <v>825</v>
      </c>
      <c r="G59" s="139">
        <v>72171.41</v>
      </c>
      <c r="H59" s="139">
        <v>994077.55</v>
      </c>
      <c r="I59" s="139">
        <v>1055746.8999999999</v>
      </c>
      <c r="J59" s="139">
        <v>994077.55</v>
      </c>
      <c r="K59" s="139">
        <v>1055746.8999999999</v>
      </c>
      <c r="L59" s="139" t="s">
        <v>825</v>
      </c>
      <c r="M59" s="139">
        <v>10502.06</v>
      </c>
    </row>
    <row r="60" spans="2:13">
      <c r="B60" s="151" t="str">
        <f>_xlfn.IFNA(VLOOKUP(D60,标准编码!A:B,2,0),"")</f>
        <v/>
      </c>
      <c r="D60" s="247">
        <v>101206</v>
      </c>
      <c r="E60" s="247" t="s">
        <v>3219</v>
      </c>
      <c r="F60" s="247" t="s">
        <v>825</v>
      </c>
      <c r="G60" s="139">
        <v>58468729</v>
      </c>
      <c r="H60" s="139">
        <v>1273493.3500000001</v>
      </c>
      <c r="I60" s="139">
        <v>0</v>
      </c>
      <c r="J60" s="139">
        <v>1273493.3500000001</v>
      </c>
      <c r="K60" s="139">
        <v>0</v>
      </c>
      <c r="L60" s="139" t="s">
        <v>825</v>
      </c>
      <c r="M60" s="139">
        <v>59742222.350000001</v>
      </c>
    </row>
    <row r="61" spans="2:13">
      <c r="B61" s="151" t="str">
        <f>_xlfn.IFNA(VLOOKUP(D61,标准编码!A:B,2,0),"")</f>
        <v/>
      </c>
      <c r="D61" s="247">
        <v>10120601</v>
      </c>
      <c r="E61" s="247" t="s">
        <v>3220</v>
      </c>
      <c r="F61" s="247" t="s">
        <v>825</v>
      </c>
      <c r="G61" s="139">
        <v>33024419.579999998</v>
      </c>
      <c r="H61" s="139">
        <v>988970.42</v>
      </c>
      <c r="I61" s="139">
        <v>0</v>
      </c>
      <c r="J61" s="139">
        <v>988970.42</v>
      </c>
      <c r="K61" s="139">
        <v>0</v>
      </c>
      <c r="L61" s="139" t="s">
        <v>825</v>
      </c>
      <c r="M61" s="139">
        <v>34013390</v>
      </c>
    </row>
    <row r="62" spans="2:13">
      <c r="B62" s="151" t="str">
        <f>_xlfn.IFNA(VLOOKUP(D62,标准编码!A:B,2,0),"")</f>
        <v/>
      </c>
      <c r="D62" s="247">
        <v>10120602</v>
      </c>
      <c r="E62" s="247" t="s">
        <v>3221</v>
      </c>
      <c r="F62" s="247" t="s">
        <v>825</v>
      </c>
      <c r="G62" s="139">
        <v>25444309.420000002</v>
      </c>
      <c r="H62" s="139">
        <v>284522.93</v>
      </c>
      <c r="I62" s="139">
        <v>0</v>
      </c>
      <c r="J62" s="139">
        <v>284522.93</v>
      </c>
      <c r="K62" s="139">
        <v>0</v>
      </c>
      <c r="L62" s="139" t="s">
        <v>825</v>
      </c>
      <c r="M62" s="139">
        <v>25728832.350000001</v>
      </c>
    </row>
    <row r="63" spans="2:13">
      <c r="B63" s="151" t="str">
        <f>_xlfn.IFNA(VLOOKUP(D63,标准编码!A:B,2,0),"")</f>
        <v>应收票据</v>
      </c>
      <c r="D63" s="247">
        <v>1121</v>
      </c>
      <c r="E63" s="247" t="s">
        <v>3222</v>
      </c>
      <c r="F63" s="247" t="s">
        <v>825</v>
      </c>
      <c r="G63" s="139">
        <v>53000000</v>
      </c>
      <c r="H63" s="139">
        <v>38000000</v>
      </c>
      <c r="I63" s="139">
        <v>89000000</v>
      </c>
      <c r="J63" s="139">
        <v>38000000</v>
      </c>
      <c r="K63" s="139">
        <v>89000000</v>
      </c>
      <c r="L63" s="139" t="s">
        <v>825</v>
      </c>
      <c r="M63" s="139">
        <v>2000000</v>
      </c>
    </row>
    <row r="64" spans="2:13">
      <c r="B64" s="151" t="str">
        <f>_xlfn.IFNA(VLOOKUP(D64,标准编码!A:B,2,0),"")</f>
        <v/>
      </c>
      <c r="D64" s="247">
        <v>112101</v>
      </c>
      <c r="E64" s="247" t="s">
        <v>3223</v>
      </c>
      <c r="F64" s="247" t="s">
        <v>825</v>
      </c>
      <c r="G64" s="139">
        <v>53000000</v>
      </c>
      <c r="H64" s="139">
        <v>38000000</v>
      </c>
      <c r="I64" s="139">
        <v>89000000</v>
      </c>
      <c r="J64" s="139">
        <v>38000000</v>
      </c>
      <c r="K64" s="139">
        <v>89000000</v>
      </c>
      <c r="L64" s="139" t="s">
        <v>825</v>
      </c>
      <c r="M64" s="139">
        <v>2000000</v>
      </c>
    </row>
    <row r="65" spans="2:13">
      <c r="B65" s="151" t="str">
        <f>_xlfn.IFNA(VLOOKUP(D65,标准编码!A:B,2,0),"")</f>
        <v>应收账款</v>
      </c>
      <c r="D65" s="247">
        <v>1122</v>
      </c>
      <c r="E65" s="247" t="s">
        <v>3224</v>
      </c>
      <c r="F65" s="247" t="s">
        <v>825</v>
      </c>
      <c r="G65" s="139">
        <v>93706406</v>
      </c>
      <c r="H65" s="139">
        <v>350367073.25</v>
      </c>
      <c r="I65" s="139">
        <v>323171120.56</v>
      </c>
      <c r="J65" s="139">
        <v>350367073.25</v>
      </c>
      <c r="K65" s="139">
        <v>323171120.56</v>
      </c>
      <c r="L65" s="139" t="s">
        <v>825</v>
      </c>
      <c r="M65" s="139">
        <v>120902358.69</v>
      </c>
    </row>
    <row r="66" spans="2:13">
      <c r="B66" s="151" t="str">
        <f>_xlfn.IFNA(VLOOKUP(D66,标准编码!A:B,2,0),"")</f>
        <v/>
      </c>
      <c r="D66" s="247">
        <v>112206</v>
      </c>
      <c r="E66" s="247" t="s">
        <v>3225</v>
      </c>
      <c r="F66" s="247" t="s">
        <v>3169</v>
      </c>
      <c r="G66" s="139">
        <v>0</v>
      </c>
      <c r="H66" s="139">
        <v>10160080</v>
      </c>
      <c r="I66" s="139">
        <v>10160080</v>
      </c>
      <c r="J66" s="139">
        <v>10160080</v>
      </c>
      <c r="K66" s="139">
        <v>10160080</v>
      </c>
      <c r="L66" s="139" t="s">
        <v>3169</v>
      </c>
      <c r="M66" s="139">
        <v>0</v>
      </c>
    </row>
    <row r="67" spans="2:13">
      <c r="B67" s="151" t="str">
        <f>_xlfn.IFNA(VLOOKUP(D67,标准编码!A:B,2,0),"")</f>
        <v/>
      </c>
      <c r="D67" s="247">
        <v>112208</v>
      </c>
      <c r="E67" s="247" t="s">
        <v>3226</v>
      </c>
      <c r="F67" s="247" t="s">
        <v>825</v>
      </c>
      <c r="G67" s="139">
        <v>85951586.480000004</v>
      </c>
      <c r="H67" s="139">
        <v>154188464.44999999</v>
      </c>
      <c r="I67" s="139">
        <v>178359147.18000001</v>
      </c>
      <c r="J67" s="139">
        <v>154188464.44999999</v>
      </c>
      <c r="K67" s="139">
        <v>178359147.18000001</v>
      </c>
      <c r="L67" s="139" t="s">
        <v>825</v>
      </c>
      <c r="M67" s="139">
        <v>61780903.75</v>
      </c>
    </row>
    <row r="68" spans="2:13">
      <c r="B68" s="151" t="str">
        <f>_xlfn.IFNA(VLOOKUP(D68,标准编码!A:B,2,0),"")</f>
        <v/>
      </c>
      <c r="D68" s="247">
        <v>112209</v>
      </c>
      <c r="E68" s="247" t="s">
        <v>3227</v>
      </c>
      <c r="F68" s="247" t="s">
        <v>826</v>
      </c>
      <c r="G68" s="139">
        <v>1500000</v>
      </c>
      <c r="H68" s="139">
        <v>104300040.93000001</v>
      </c>
      <c r="I68" s="139">
        <v>110053839.98</v>
      </c>
      <c r="J68" s="139">
        <v>104300040.93000001</v>
      </c>
      <c r="K68" s="139">
        <v>110053839.98</v>
      </c>
      <c r="L68" s="139" t="s">
        <v>826</v>
      </c>
      <c r="M68" s="139">
        <v>7253799.0499999998</v>
      </c>
    </row>
    <row r="69" spans="2:13">
      <c r="B69" s="151" t="str">
        <f>_xlfn.IFNA(VLOOKUP(D69,标准编码!A:B,2,0),"")</f>
        <v/>
      </c>
      <c r="D69" s="247">
        <v>112210</v>
      </c>
      <c r="E69" s="247" t="s">
        <v>3228</v>
      </c>
      <c r="F69" s="247" t="s">
        <v>825</v>
      </c>
      <c r="G69" s="139">
        <v>2161116.85</v>
      </c>
      <c r="H69" s="139">
        <v>3926737.01</v>
      </c>
      <c r="I69" s="139">
        <v>2442385.59</v>
      </c>
      <c r="J69" s="139">
        <v>3926737.01</v>
      </c>
      <c r="K69" s="139">
        <v>2442385.59</v>
      </c>
      <c r="L69" s="139" t="s">
        <v>825</v>
      </c>
      <c r="M69" s="139">
        <v>3645468.27</v>
      </c>
    </row>
    <row r="70" spans="2:13">
      <c r="B70" s="151" t="str">
        <f>_xlfn.IFNA(VLOOKUP(D70,标准编码!A:B,2,0),"")</f>
        <v/>
      </c>
      <c r="D70" s="247">
        <v>11221001</v>
      </c>
      <c r="E70" s="247" t="s">
        <v>3229</v>
      </c>
      <c r="F70" s="247" t="s">
        <v>825</v>
      </c>
      <c r="G70" s="139">
        <v>2162136.85</v>
      </c>
      <c r="H70" s="139">
        <v>2127310.59</v>
      </c>
      <c r="I70" s="139">
        <v>2230705.59</v>
      </c>
      <c r="J70" s="139">
        <v>2127310.59</v>
      </c>
      <c r="K70" s="139">
        <v>2230705.59</v>
      </c>
      <c r="L70" s="139" t="s">
        <v>825</v>
      </c>
      <c r="M70" s="139">
        <v>2058741.85</v>
      </c>
    </row>
    <row r="71" spans="2:13">
      <c r="B71" s="151" t="str">
        <f>_xlfn.IFNA(VLOOKUP(D71,标准编码!A:B,2,0),"")</f>
        <v/>
      </c>
      <c r="D71" s="247">
        <v>11221002</v>
      </c>
      <c r="E71" s="247" t="s">
        <v>3230</v>
      </c>
      <c r="F71" s="247" t="s">
        <v>826</v>
      </c>
      <c r="G71" s="139">
        <v>1020</v>
      </c>
      <c r="H71" s="139">
        <v>1799426.42</v>
      </c>
      <c r="I71" s="139">
        <v>211680</v>
      </c>
      <c r="J71" s="139">
        <v>1799426.42</v>
      </c>
      <c r="K71" s="139">
        <v>211680</v>
      </c>
      <c r="L71" s="139" t="s">
        <v>825</v>
      </c>
      <c r="M71" s="139">
        <v>1586726.42</v>
      </c>
    </row>
    <row r="72" spans="2:13">
      <c r="B72" s="151" t="str">
        <f>_xlfn.IFNA(VLOOKUP(D72,标准编码!A:B,2,0),"")</f>
        <v/>
      </c>
      <c r="D72" s="247">
        <v>112211</v>
      </c>
      <c r="E72" s="247" t="s">
        <v>3231</v>
      </c>
      <c r="F72" s="247" t="s">
        <v>825</v>
      </c>
      <c r="G72" s="139">
        <v>7093702.6699999999</v>
      </c>
      <c r="H72" s="139">
        <v>0</v>
      </c>
      <c r="I72" s="139">
        <v>5593702.6699999999</v>
      </c>
      <c r="J72" s="139">
        <v>0</v>
      </c>
      <c r="K72" s="139">
        <v>5593702.6699999999</v>
      </c>
      <c r="L72" s="139" t="s">
        <v>825</v>
      </c>
      <c r="M72" s="139">
        <v>1500000</v>
      </c>
    </row>
    <row r="73" spans="2:13">
      <c r="B73" s="151" t="str">
        <f>_xlfn.IFNA(VLOOKUP(D73,标准编码!A:B,2,0),"")</f>
        <v/>
      </c>
      <c r="D73" s="247">
        <v>112214</v>
      </c>
      <c r="E73" s="247" t="s">
        <v>3232</v>
      </c>
      <c r="F73" s="247" t="s">
        <v>3169</v>
      </c>
      <c r="G73" s="139">
        <v>0</v>
      </c>
      <c r="H73" s="139">
        <v>4987012.29</v>
      </c>
      <c r="I73" s="139">
        <v>3437424.55</v>
      </c>
      <c r="J73" s="139">
        <v>4987012.29</v>
      </c>
      <c r="K73" s="139">
        <v>3437424.55</v>
      </c>
      <c r="L73" s="139" t="s">
        <v>825</v>
      </c>
      <c r="M73" s="139">
        <v>1549587.74</v>
      </c>
    </row>
    <row r="74" spans="2:13">
      <c r="B74" s="151" t="str">
        <f>_xlfn.IFNA(VLOOKUP(D74,标准编码!A:B,2,0),"")</f>
        <v/>
      </c>
      <c r="D74" s="247">
        <v>112217</v>
      </c>
      <c r="E74" s="247" t="s">
        <v>3233</v>
      </c>
      <c r="F74" s="247" t="s">
        <v>3169</v>
      </c>
      <c r="G74" s="139">
        <v>0</v>
      </c>
      <c r="H74" s="139">
        <v>15000</v>
      </c>
      <c r="I74" s="139">
        <v>15000</v>
      </c>
      <c r="J74" s="139">
        <v>15000</v>
      </c>
      <c r="K74" s="139">
        <v>15000</v>
      </c>
      <c r="L74" s="139" t="s">
        <v>3169</v>
      </c>
      <c r="M74" s="139">
        <v>0</v>
      </c>
    </row>
    <row r="75" spans="2:13">
      <c r="B75" s="151" t="str">
        <f>_xlfn.IFNA(VLOOKUP(D75,标准编码!A:B,2,0),"")</f>
        <v/>
      </c>
      <c r="D75" s="247">
        <v>112231</v>
      </c>
      <c r="E75" s="247" t="s">
        <v>3234</v>
      </c>
      <c r="F75" s="247" t="s">
        <v>3169</v>
      </c>
      <c r="G75" s="139">
        <v>0</v>
      </c>
      <c r="H75" s="139">
        <v>67638905.239999995</v>
      </c>
      <c r="I75" s="139">
        <v>7958707.2599999998</v>
      </c>
      <c r="J75" s="139">
        <v>67638905.239999995</v>
      </c>
      <c r="K75" s="139">
        <v>7958707.2599999998</v>
      </c>
      <c r="L75" s="139" t="s">
        <v>825</v>
      </c>
      <c r="M75" s="139">
        <v>59680197.979999997</v>
      </c>
    </row>
    <row r="76" spans="2:13">
      <c r="B76" s="151" t="str">
        <f>_xlfn.IFNA(VLOOKUP(D76,标准编码!A:B,2,0),"")</f>
        <v/>
      </c>
      <c r="D76" s="247">
        <v>112232</v>
      </c>
      <c r="E76" s="247" t="s">
        <v>3235</v>
      </c>
      <c r="F76" s="247" t="s">
        <v>3169</v>
      </c>
      <c r="G76" s="139">
        <v>0</v>
      </c>
      <c r="H76" s="139">
        <v>5150833.33</v>
      </c>
      <c r="I76" s="139">
        <v>5150833.33</v>
      </c>
      <c r="J76" s="139">
        <v>5150833.33</v>
      </c>
      <c r="K76" s="139">
        <v>5150833.33</v>
      </c>
      <c r="L76" s="139" t="s">
        <v>3169</v>
      </c>
      <c r="M76" s="139">
        <v>0</v>
      </c>
    </row>
    <row r="77" spans="2:13">
      <c r="B77" s="151" t="str">
        <f>_xlfn.IFNA(VLOOKUP(D77,标准编码!A:B,2,0),"")</f>
        <v>预付账款</v>
      </c>
      <c r="D77" s="247">
        <v>1123</v>
      </c>
      <c r="E77" s="247" t="s">
        <v>3236</v>
      </c>
      <c r="F77" s="247" t="s">
        <v>825</v>
      </c>
      <c r="G77" s="139">
        <v>418653878.50999999</v>
      </c>
      <c r="H77" s="139">
        <v>262996329.47</v>
      </c>
      <c r="I77" s="139">
        <v>681289413.83000004</v>
      </c>
      <c r="J77" s="139">
        <v>262996329.47</v>
      </c>
      <c r="K77" s="139">
        <v>681289413.83000004</v>
      </c>
      <c r="L77" s="139" t="s">
        <v>825</v>
      </c>
      <c r="M77" s="139">
        <v>360794.15</v>
      </c>
    </row>
    <row r="78" spans="2:13">
      <c r="B78" s="151" t="str">
        <f>_xlfn.IFNA(VLOOKUP(D78,标准编码!A:B,2,0),"")</f>
        <v/>
      </c>
      <c r="D78" s="247">
        <v>112301</v>
      </c>
      <c r="E78" s="247" t="s">
        <v>3237</v>
      </c>
      <c r="F78" s="247" t="s">
        <v>825</v>
      </c>
      <c r="G78" s="139">
        <v>91022750</v>
      </c>
      <c r="H78" s="139">
        <v>177373000</v>
      </c>
      <c r="I78" s="139">
        <v>268395750</v>
      </c>
      <c r="J78" s="139">
        <v>177373000</v>
      </c>
      <c r="K78" s="139">
        <v>268395750</v>
      </c>
      <c r="L78" s="139" t="s">
        <v>3169</v>
      </c>
      <c r="M78" s="139">
        <v>0</v>
      </c>
    </row>
    <row r="79" spans="2:13">
      <c r="B79" s="151" t="str">
        <f>_xlfn.IFNA(VLOOKUP(D79,标准编码!A:B,2,0),"")</f>
        <v/>
      </c>
      <c r="D79" s="247">
        <v>112302</v>
      </c>
      <c r="E79" s="247" t="s">
        <v>3238</v>
      </c>
      <c r="F79" s="247" t="s">
        <v>825</v>
      </c>
      <c r="G79" s="139">
        <v>763.51</v>
      </c>
      <c r="H79" s="139">
        <v>1968277.51</v>
      </c>
      <c r="I79" s="139">
        <v>657273.43999999994</v>
      </c>
      <c r="J79" s="139">
        <v>1968277.51</v>
      </c>
      <c r="K79" s="139">
        <v>657273.43999999994</v>
      </c>
      <c r="L79" s="139" t="s">
        <v>825</v>
      </c>
      <c r="M79" s="139">
        <v>1311767.58</v>
      </c>
    </row>
    <row r="80" spans="2:13">
      <c r="B80" s="151" t="str">
        <f>_xlfn.IFNA(VLOOKUP(D80,标准编码!A:B,2,0),"")</f>
        <v/>
      </c>
      <c r="D80" s="247">
        <v>112303</v>
      </c>
      <c r="E80" s="247" t="s">
        <v>3239</v>
      </c>
      <c r="F80" s="247" t="s">
        <v>3169</v>
      </c>
      <c r="G80" s="139">
        <v>0</v>
      </c>
      <c r="H80" s="139">
        <v>397526.89</v>
      </c>
      <c r="I80" s="139">
        <v>0</v>
      </c>
      <c r="J80" s="139">
        <v>397526.89</v>
      </c>
      <c r="K80" s="139">
        <v>0</v>
      </c>
      <c r="L80" s="139" t="s">
        <v>825</v>
      </c>
      <c r="M80" s="139">
        <v>397526.89</v>
      </c>
    </row>
    <row r="81" spans="2:13">
      <c r="B81" s="151" t="str">
        <f>_xlfn.IFNA(VLOOKUP(D81,标准编码!A:B,2,0),"")</f>
        <v/>
      </c>
      <c r="D81" s="247">
        <v>112304</v>
      </c>
      <c r="E81" s="247" t="s">
        <v>3240</v>
      </c>
      <c r="F81" s="247" t="s">
        <v>825</v>
      </c>
      <c r="G81" s="139">
        <v>327596157</v>
      </c>
      <c r="H81" s="139">
        <v>82883872.069999993</v>
      </c>
      <c r="I81" s="139">
        <v>410457177.33999997</v>
      </c>
      <c r="J81" s="139">
        <v>82883872.069999993</v>
      </c>
      <c r="K81" s="139">
        <v>410457177.33999997</v>
      </c>
      <c r="L81" s="139" t="s">
        <v>825</v>
      </c>
      <c r="M81" s="139">
        <v>22851.73</v>
      </c>
    </row>
    <row r="82" spans="2:13">
      <c r="B82" s="151" t="str">
        <f>_xlfn.IFNA(VLOOKUP(D82,标准编码!A:B,2,0),"")</f>
        <v/>
      </c>
      <c r="D82" s="247">
        <v>112305</v>
      </c>
      <c r="E82" s="247" t="s">
        <v>3241</v>
      </c>
      <c r="F82" s="247" t="s">
        <v>825</v>
      </c>
      <c r="G82" s="139">
        <v>34208</v>
      </c>
      <c r="H82" s="139">
        <v>238547</v>
      </c>
      <c r="I82" s="139">
        <v>191511.65</v>
      </c>
      <c r="J82" s="139">
        <v>238547</v>
      </c>
      <c r="K82" s="139">
        <v>191511.65</v>
      </c>
      <c r="L82" s="139" t="s">
        <v>825</v>
      </c>
      <c r="M82" s="139">
        <v>81243.350000000006</v>
      </c>
    </row>
    <row r="83" spans="2:13">
      <c r="B83" s="151" t="str">
        <f>_xlfn.IFNA(VLOOKUP(D83,标准编码!A:B,2,0),"")</f>
        <v/>
      </c>
      <c r="D83" s="247">
        <v>112306</v>
      </c>
      <c r="E83" s="247" t="s">
        <v>3242</v>
      </c>
      <c r="F83" s="247" t="s">
        <v>3169</v>
      </c>
      <c r="G83" s="139">
        <v>0</v>
      </c>
      <c r="H83" s="139">
        <v>135106</v>
      </c>
      <c r="I83" s="139">
        <v>214500</v>
      </c>
      <c r="J83" s="139">
        <v>135106</v>
      </c>
      <c r="K83" s="139">
        <v>214500</v>
      </c>
      <c r="L83" s="139" t="s">
        <v>826</v>
      </c>
      <c r="M83" s="139">
        <v>79394</v>
      </c>
    </row>
    <row r="84" spans="2:13">
      <c r="B84" s="151" t="str">
        <f>_xlfn.IFNA(VLOOKUP(D84,标准编码!A:B,2,0),"")</f>
        <v/>
      </c>
      <c r="D84" s="247">
        <v>112307</v>
      </c>
      <c r="E84" s="247" t="s">
        <v>3243</v>
      </c>
      <c r="F84" s="247" t="s">
        <v>3169</v>
      </c>
      <c r="G84" s="139">
        <v>0</v>
      </c>
      <c r="H84" s="139">
        <v>0</v>
      </c>
      <c r="I84" s="139">
        <v>1373201.4</v>
      </c>
      <c r="J84" s="139">
        <v>0</v>
      </c>
      <c r="K84" s="139">
        <v>1373201.4</v>
      </c>
      <c r="L84" s="139" t="s">
        <v>826</v>
      </c>
      <c r="M84" s="139">
        <v>1373201.4</v>
      </c>
    </row>
    <row r="85" spans="2:13">
      <c r="B85" s="151" t="str">
        <f>_xlfn.IFNA(VLOOKUP(D85,标准编码!A:B,2,0),"")</f>
        <v>应收利息</v>
      </c>
      <c r="D85" s="247">
        <v>1132</v>
      </c>
      <c r="E85" s="247" t="s">
        <v>3244</v>
      </c>
      <c r="F85" s="247" t="s">
        <v>825</v>
      </c>
      <c r="G85" s="139">
        <v>23183248.129999999</v>
      </c>
      <c r="H85" s="139">
        <v>115073878.64</v>
      </c>
      <c r="I85" s="139">
        <v>40593619.93</v>
      </c>
      <c r="J85" s="139">
        <v>115073878.64</v>
      </c>
      <c r="K85" s="139">
        <v>40593619.93</v>
      </c>
      <c r="L85" s="139" t="s">
        <v>825</v>
      </c>
      <c r="M85" s="139">
        <v>97663506.840000004</v>
      </c>
    </row>
    <row r="86" spans="2:13">
      <c r="B86" s="151" t="str">
        <f>_xlfn.IFNA(VLOOKUP(D86,标准编码!A:B,2,0),"")</f>
        <v/>
      </c>
      <c r="D86" s="247">
        <v>113201</v>
      </c>
      <c r="E86" s="247" t="s">
        <v>3245</v>
      </c>
      <c r="F86" s="247" t="s">
        <v>826</v>
      </c>
      <c r="G86" s="139">
        <v>17840774.050000001</v>
      </c>
      <c r="H86" s="139">
        <v>53328636.700000003</v>
      </c>
      <c r="I86" s="139">
        <v>315700</v>
      </c>
      <c r="J86" s="139">
        <v>53328636.700000003</v>
      </c>
      <c r="K86" s="139">
        <v>315700</v>
      </c>
      <c r="L86" s="139" t="s">
        <v>825</v>
      </c>
      <c r="M86" s="139">
        <v>35172162.649999999</v>
      </c>
    </row>
    <row r="87" spans="2:13">
      <c r="B87" s="151" t="str">
        <f>_xlfn.IFNA(VLOOKUP(D87,标准编码!A:B,2,0),"")</f>
        <v/>
      </c>
      <c r="D87" s="247">
        <v>113202</v>
      </c>
      <c r="E87" s="247" t="s">
        <v>3246</v>
      </c>
      <c r="F87" s="247" t="s">
        <v>825</v>
      </c>
      <c r="G87" s="139">
        <v>41024022.18</v>
      </c>
      <c r="H87" s="139">
        <v>61745241.939999998</v>
      </c>
      <c r="I87" s="139">
        <v>40277919.93</v>
      </c>
      <c r="J87" s="139">
        <v>61745241.939999998</v>
      </c>
      <c r="K87" s="139">
        <v>40277919.93</v>
      </c>
      <c r="L87" s="139" t="s">
        <v>825</v>
      </c>
      <c r="M87" s="139">
        <v>62491344.189999998</v>
      </c>
    </row>
    <row r="88" spans="2:13">
      <c r="B88" s="151" t="str">
        <f>_xlfn.IFNA(VLOOKUP(D88,标准编码!A:B,2,0),"")</f>
        <v>其他应收款</v>
      </c>
      <c r="D88" s="247">
        <v>1221</v>
      </c>
      <c r="E88" s="247" t="s">
        <v>3247</v>
      </c>
      <c r="F88" s="247" t="s">
        <v>825</v>
      </c>
      <c r="G88" s="139">
        <v>1862330034.01</v>
      </c>
      <c r="H88" s="139">
        <v>2017297716.54</v>
      </c>
      <c r="I88" s="139">
        <v>1796908354.78</v>
      </c>
      <c r="J88" s="139">
        <v>2017297716.54</v>
      </c>
      <c r="K88" s="139">
        <v>1796908354.78</v>
      </c>
      <c r="L88" s="139" t="s">
        <v>825</v>
      </c>
      <c r="M88" s="139">
        <v>2082719395.77</v>
      </c>
    </row>
    <row r="89" spans="2:13">
      <c r="B89" s="151" t="str">
        <f>_xlfn.IFNA(VLOOKUP(D89,标准编码!A:B,2,0),"")</f>
        <v/>
      </c>
      <c r="D89" s="247">
        <v>122101</v>
      </c>
      <c r="E89" s="247" t="s">
        <v>3248</v>
      </c>
      <c r="F89" s="247" t="s">
        <v>825</v>
      </c>
      <c r="G89" s="139">
        <v>4300</v>
      </c>
      <c r="H89" s="139">
        <v>0</v>
      </c>
      <c r="I89" s="139">
        <v>0</v>
      </c>
      <c r="J89" s="139">
        <v>0</v>
      </c>
      <c r="K89" s="139">
        <v>0</v>
      </c>
      <c r="L89" s="139" t="s">
        <v>825</v>
      </c>
      <c r="M89" s="139">
        <v>4300</v>
      </c>
    </row>
    <row r="90" spans="2:13">
      <c r="B90" s="151" t="str">
        <f>_xlfn.IFNA(VLOOKUP(D90,标准编码!A:B,2,0),"")</f>
        <v/>
      </c>
      <c r="D90" s="247">
        <v>12210101</v>
      </c>
      <c r="E90" s="247" t="s">
        <v>3249</v>
      </c>
      <c r="F90" s="247" t="s">
        <v>825</v>
      </c>
      <c r="G90" s="139">
        <v>4180</v>
      </c>
      <c r="H90" s="139">
        <v>0</v>
      </c>
      <c r="I90" s="139">
        <v>0</v>
      </c>
      <c r="J90" s="139">
        <v>0</v>
      </c>
      <c r="K90" s="139">
        <v>0</v>
      </c>
      <c r="L90" s="139" t="s">
        <v>825</v>
      </c>
      <c r="M90" s="139">
        <v>4180</v>
      </c>
    </row>
    <row r="91" spans="2:13">
      <c r="B91" s="151" t="str">
        <f>_xlfn.IFNA(VLOOKUP(D91,标准编码!A:B,2,0),"")</f>
        <v/>
      </c>
      <c r="D91" s="247">
        <v>12210102</v>
      </c>
      <c r="E91" s="247" t="s">
        <v>3250</v>
      </c>
      <c r="F91" s="247" t="s">
        <v>825</v>
      </c>
      <c r="G91" s="139">
        <v>120</v>
      </c>
      <c r="H91" s="139">
        <v>0</v>
      </c>
      <c r="I91" s="139">
        <v>0</v>
      </c>
      <c r="J91" s="139">
        <v>0</v>
      </c>
      <c r="K91" s="139">
        <v>0</v>
      </c>
      <c r="L91" s="139" t="s">
        <v>825</v>
      </c>
      <c r="M91" s="139">
        <v>120</v>
      </c>
    </row>
    <row r="92" spans="2:13">
      <c r="B92" s="151" t="str">
        <f>_xlfn.IFNA(VLOOKUP(D92,标准编码!A:B,2,0),"")</f>
        <v/>
      </c>
      <c r="D92" s="247">
        <v>122102</v>
      </c>
      <c r="E92" s="247" t="s">
        <v>3251</v>
      </c>
      <c r="F92" s="247" t="s">
        <v>825</v>
      </c>
      <c r="G92" s="139">
        <v>1862123269.1700001</v>
      </c>
      <c r="H92" s="139">
        <v>2016886154.3800001</v>
      </c>
      <c r="I92" s="139">
        <v>1796348978.4400001</v>
      </c>
      <c r="J92" s="139">
        <v>2016886154.3800001</v>
      </c>
      <c r="K92" s="139">
        <v>1796348978.4400001</v>
      </c>
      <c r="L92" s="139" t="s">
        <v>825</v>
      </c>
      <c r="M92" s="139">
        <v>2082660445.1099999</v>
      </c>
    </row>
    <row r="93" spans="2:13">
      <c r="B93" s="151" t="str">
        <f>_xlfn.IFNA(VLOOKUP(D93,标准编码!A:B,2,0),"")</f>
        <v/>
      </c>
      <c r="D93" s="247">
        <v>12210201</v>
      </c>
      <c r="E93" s="247" t="s">
        <v>3252</v>
      </c>
      <c r="F93" s="247" t="s">
        <v>825</v>
      </c>
      <c r="G93" s="139">
        <v>2000</v>
      </c>
      <c r="H93" s="139">
        <v>0</v>
      </c>
      <c r="I93" s="139">
        <v>0</v>
      </c>
      <c r="J93" s="139">
        <v>0</v>
      </c>
      <c r="K93" s="139">
        <v>0</v>
      </c>
      <c r="L93" s="139" t="s">
        <v>825</v>
      </c>
      <c r="M93" s="139">
        <v>2000</v>
      </c>
    </row>
    <row r="94" spans="2:13">
      <c r="B94" s="151" t="str">
        <f>_xlfn.IFNA(VLOOKUP(D94,标准编码!A:B,2,0),"")</f>
        <v/>
      </c>
      <c r="D94" s="247">
        <v>12210202</v>
      </c>
      <c r="E94" s="247" t="s">
        <v>3253</v>
      </c>
      <c r="F94" s="247" t="s">
        <v>825</v>
      </c>
      <c r="G94" s="139">
        <v>1817912816.2</v>
      </c>
      <c r="H94" s="139">
        <v>2010871775.8800001</v>
      </c>
      <c r="I94" s="139">
        <v>1765586148.73</v>
      </c>
      <c r="J94" s="139">
        <v>2010871775.8800001</v>
      </c>
      <c r="K94" s="139">
        <v>1765586148.73</v>
      </c>
      <c r="L94" s="139" t="s">
        <v>825</v>
      </c>
      <c r="M94" s="139">
        <v>2063198443.3499999</v>
      </c>
    </row>
    <row r="95" spans="2:13">
      <c r="B95" s="151" t="str">
        <f>_xlfn.IFNA(VLOOKUP(D95,标准编码!A:B,2,0),"")</f>
        <v/>
      </c>
      <c r="D95" s="247">
        <v>12210204</v>
      </c>
      <c r="E95" s="247" t="s">
        <v>3254</v>
      </c>
      <c r="F95" s="247" t="s">
        <v>825</v>
      </c>
      <c r="G95" s="139">
        <v>58640</v>
      </c>
      <c r="H95" s="139">
        <v>0</v>
      </c>
      <c r="I95" s="139">
        <v>0</v>
      </c>
      <c r="J95" s="139">
        <v>0</v>
      </c>
      <c r="K95" s="139">
        <v>0</v>
      </c>
      <c r="L95" s="139" t="s">
        <v>825</v>
      </c>
      <c r="M95" s="139">
        <v>58640</v>
      </c>
    </row>
    <row r="96" spans="2:13">
      <c r="B96" s="151" t="str">
        <f>_xlfn.IFNA(VLOOKUP(D96,标准编码!A:B,2,0),"")</f>
        <v/>
      </c>
      <c r="D96" s="247">
        <v>12210205</v>
      </c>
      <c r="E96" s="247" t="s">
        <v>3255</v>
      </c>
      <c r="F96" s="247" t="s">
        <v>825</v>
      </c>
      <c r="G96" s="139">
        <v>6872</v>
      </c>
      <c r="H96" s="139">
        <v>0</v>
      </c>
      <c r="I96" s="139">
        <v>0</v>
      </c>
      <c r="J96" s="139">
        <v>0</v>
      </c>
      <c r="K96" s="139">
        <v>0</v>
      </c>
      <c r="L96" s="139" t="s">
        <v>825</v>
      </c>
      <c r="M96" s="139">
        <v>6872</v>
      </c>
    </row>
    <row r="97" spans="2:13">
      <c r="B97" s="151" t="str">
        <f>_xlfn.IFNA(VLOOKUP(D97,标准编码!A:B,2,0),"")</f>
        <v/>
      </c>
      <c r="D97" s="247">
        <v>12210206</v>
      </c>
      <c r="E97" s="247" t="s">
        <v>3256</v>
      </c>
      <c r="F97" s="247" t="s">
        <v>825</v>
      </c>
      <c r="G97" s="139">
        <v>1564147.48</v>
      </c>
      <c r="H97" s="139">
        <v>557214.24</v>
      </c>
      <c r="I97" s="139">
        <v>762829.71</v>
      </c>
      <c r="J97" s="139">
        <v>557214.24</v>
      </c>
      <c r="K97" s="139">
        <v>762829.71</v>
      </c>
      <c r="L97" s="139" t="s">
        <v>825</v>
      </c>
      <c r="M97" s="139">
        <v>1358532.01</v>
      </c>
    </row>
    <row r="98" spans="2:13">
      <c r="B98" s="151" t="str">
        <f>_xlfn.IFNA(VLOOKUP(D98,标准编码!A:B,2,0),"")</f>
        <v/>
      </c>
      <c r="D98" s="247">
        <v>12210207</v>
      </c>
      <c r="E98" s="247" t="s">
        <v>3257</v>
      </c>
      <c r="F98" s="247" t="s">
        <v>825</v>
      </c>
      <c r="G98" s="139">
        <v>50000</v>
      </c>
      <c r="H98" s="139">
        <v>0</v>
      </c>
      <c r="I98" s="139">
        <v>0</v>
      </c>
      <c r="J98" s="139">
        <v>0</v>
      </c>
      <c r="K98" s="139">
        <v>0</v>
      </c>
      <c r="L98" s="139" t="s">
        <v>825</v>
      </c>
      <c r="M98" s="139">
        <v>50000</v>
      </c>
    </row>
    <row r="99" spans="2:13">
      <c r="B99" s="151" t="str">
        <f>_xlfn.IFNA(VLOOKUP(D99,标准编码!A:B,2,0),"")</f>
        <v/>
      </c>
      <c r="D99" s="247">
        <v>12210208</v>
      </c>
      <c r="E99" s="247" t="s">
        <v>3258</v>
      </c>
      <c r="F99" s="247" t="s">
        <v>825</v>
      </c>
      <c r="G99" s="139">
        <v>42528793.490000002</v>
      </c>
      <c r="H99" s="139">
        <v>220000</v>
      </c>
      <c r="I99" s="139">
        <v>30000000</v>
      </c>
      <c r="J99" s="139">
        <v>220000</v>
      </c>
      <c r="K99" s="139">
        <v>30000000</v>
      </c>
      <c r="L99" s="139" t="s">
        <v>825</v>
      </c>
      <c r="M99" s="139">
        <v>12748793.49</v>
      </c>
    </row>
    <row r="100" spans="2:13">
      <c r="B100" s="151" t="str">
        <f>_xlfn.IFNA(VLOOKUP(D100,标准编码!A:B,2,0),"")</f>
        <v/>
      </c>
      <c r="D100" s="247">
        <v>1221020801</v>
      </c>
      <c r="E100" s="247" t="s">
        <v>3259</v>
      </c>
      <c r="F100" s="247" t="s">
        <v>825</v>
      </c>
      <c r="G100" s="139">
        <v>38976077.490000002</v>
      </c>
      <c r="H100" s="139">
        <v>220000</v>
      </c>
      <c r="I100" s="139">
        <v>30000000</v>
      </c>
      <c r="J100" s="139">
        <v>220000</v>
      </c>
      <c r="K100" s="139">
        <v>30000000</v>
      </c>
      <c r="L100" s="139" t="s">
        <v>825</v>
      </c>
      <c r="M100" s="139">
        <v>9196077.4900000002</v>
      </c>
    </row>
    <row r="101" spans="2:13">
      <c r="B101" s="151" t="str">
        <f>_xlfn.IFNA(VLOOKUP(D101,标准编码!A:B,2,0),"")</f>
        <v/>
      </c>
      <c r="D101" s="247">
        <v>1221020802</v>
      </c>
      <c r="E101" s="247" t="s">
        <v>3260</v>
      </c>
      <c r="F101" s="247" t="s">
        <v>825</v>
      </c>
      <c r="G101" s="139">
        <v>3552716</v>
      </c>
      <c r="H101" s="139">
        <v>0</v>
      </c>
      <c r="I101" s="139">
        <v>0</v>
      </c>
      <c r="J101" s="139">
        <v>0</v>
      </c>
      <c r="K101" s="139">
        <v>0</v>
      </c>
      <c r="L101" s="139" t="s">
        <v>825</v>
      </c>
      <c r="M101" s="139">
        <v>3552716</v>
      </c>
    </row>
    <row r="102" spans="2:13">
      <c r="B102" s="151" t="str">
        <f>_xlfn.IFNA(VLOOKUP(D102,标准编码!A:B,2,0),"")</f>
        <v/>
      </c>
      <c r="D102" s="247">
        <v>12210209</v>
      </c>
      <c r="E102" s="247" t="s">
        <v>3261</v>
      </c>
      <c r="F102" s="247" t="s">
        <v>3169</v>
      </c>
      <c r="G102" s="139">
        <v>0</v>
      </c>
      <c r="H102" s="139">
        <v>5237164.26</v>
      </c>
      <c r="I102" s="139">
        <v>0</v>
      </c>
      <c r="J102" s="139">
        <v>5237164.26</v>
      </c>
      <c r="K102" s="139">
        <v>0</v>
      </c>
      <c r="L102" s="139" t="s">
        <v>825</v>
      </c>
      <c r="M102" s="139">
        <v>5237164.26</v>
      </c>
    </row>
    <row r="103" spans="2:13">
      <c r="B103" s="151" t="str">
        <f>_xlfn.IFNA(VLOOKUP(D103,标准编码!A:B,2,0),"")</f>
        <v/>
      </c>
      <c r="D103" s="247">
        <v>12210210</v>
      </c>
      <c r="E103" s="247" t="s">
        <v>3262</v>
      </c>
      <c r="F103" s="247" t="s">
        <v>3169</v>
      </c>
      <c r="G103" s="139">
        <v>0</v>
      </c>
      <c r="H103" s="139">
        <v>0</v>
      </c>
      <c r="I103" s="139">
        <v>0</v>
      </c>
      <c r="J103" s="139">
        <v>0</v>
      </c>
      <c r="K103" s="139">
        <v>0</v>
      </c>
      <c r="L103" s="139" t="s">
        <v>3169</v>
      </c>
      <c r="M103" s="139">
        <v>0</v>
      </c>
    </row>
    <row r="104" spans="2:13">
      <c r="B104" s="151" t="str">
        <f>_xlfn.IFNA(VLOOKUP(D104,标准编码!A:B,2,0),"")</f>
        <v/>
      </c>
      <c r="D104" s="247">
        <v>122104</v>
      </c>
      <c r="E104" s="247" t="s">
        <v>3263</v>
      </c>
      <c r="F104" s="247" t="s">
        <v>3169</v>
      </c>
      <c r="G104" s="139">
        <v>0</v>
      </c>
      <c r="H104" s="139">
        <v>0</v>
      </c>
      <c r="I104" s="139">
        <v>0</v>
      </c>
      <c r="J104" s="139">
        <v>0</v>
      </c>
      <c r="K104" s="139">
        <v>0</v>
      </c>
      <c r="L104" s="139" t="s">
        <v>3169</v>
      </c>
      <c r="M104" s="139">
        <v>0</v>
      </c>
    </row>
    <row r="105" spans="2:13">
      <c r="B105" s="151" t="str">
        <f>_xlfn.IFNA(VLOOKUP(D105,标准编码!A:B,2,0),"")</f>
        <v/>
      </c>
      <c r="D105" s="247">
        <v>122105</v>
      </c>
      <c r="E105" s="247" t="s">
        <v>3264</v>
      </c>
      <c r="F105" s="247" t="s">
        <v>3169</v>
      </c>
      <c r="G105" s="139">
        <v>0</v>
      </c>
      <c r="H105" s="139">
        <v>0</v>
      </c>
      <c r="I105" s="139">
        <v>33884.620000000003</v>
      </c>
      <c r="J105" s="139">
        <v>0</v>
      </c>
      <c r="K105" s="139">
        <v>33884.620000000003</v>
      </c>
      <c r="L105" s="139" t="s">
        <v>826</v>
      </c>
      <c r="M105" s="139">
        <v>33884.620000000003</v>
      </c>
    </row>
    <row r="106" spans="2:13">
      <c r="B106" s="151" t="str">
        <f>_xlfn.IFNA(VLOOKUP(D106,标准编码!A:B,2,0),"")</f>
        <v/>
      </c>
      <c r="D106" s="247">
        <v>122107</v>
      </c>
      <c r="E106" s="247" t="s">
        <v>3265</v>
      </c>
      <c r="F106" s="247" t="s">
        <v>825</v>
      </c>
      <c r="G106" s="139">
        <v>202464.84</v>
      </c>
      <c r="H106" s="139">
        <v>411562.16</v>
      </c>
      <c r="I106" s="139">
        <v>525491.72</v>
      </c>
      <c r="J106" s="139">
        <v>411562.16</v>
      </c>
      <c r="K106" s="139">
        <v>525491.72</v>
      </c>
      <c r="L106" s="139" t="s">
        <v>825</v>
      </c>
      <c r="M106" s="139">
        <v>88535.28</v>
      </c>
    </row>
    <row r="107" spans="2:13">
      <c r="B107" s="151" t="str">
        <f>_xlfn.IFNA(VLOOKUP(D107,标准编码!A:B,2,0),"")</f>
        <v>坏账准备</v>
      </c>
      <c r="D107" s="247">
        <v>1231</v>
      </c>
      <c r="E107" s="247" t="s">
        <v>3266</v>
      </c>
      <c r="F107" s="247" t="s">
        <v>826</v>
      </c>
      <c r="G107" s="139">
        <v>22752766.07</v>
      </c>
      <c r="H107" s="139">
        <v>10034947.199999999</v>
      </c>
      <c r="I107" s="139">
        <v>20045068.129999999</v>
      </c>
      <c r="J107" s="139">
        <v>10034947.199999999</v>
      </c>
      <c r="K107" s="139">
        <v>20045068.129999999</v>
      </c>
      <c r="L107" s="139" t="s">
        <v>826</v>
      </c>
      <c r="M107" s="139">
        <v>32762887</v>
      </c>
    </row>
    <row r="108" spans="2:13">
      <c r="B108" s="151" t="str">
        <f>_xlfn.IFNA(VLOOKUP(D108,标准编码!A:B,2,0),"")</f>
        <v/>
      </c>
      <c r="D108" s="247">
        <v>123101</v>
      </c>
      <c r="E108" s="247" t="s">
        <v>3267</v>
      </c>
      <c r="F108" s="247" t="s">
        <v>826</v>
      </c>
      <c r="G108" s="139">
        <v>2211121.96</v>
      </c>
      <c r="H108" s="139">
        <v>0</v>
      </c>
      <c r="I108" s="139">
        <v>101498.98</v>
      </c>
      <c r="J108" s="139">
        <v>0</v>
      </c>
      <c r="K108" s="139">
        <v>101498.98</v>
      </c>
      <c r="L108" s="139" t="s">
        <v>826</v>
      </c>
      <c r="M108" s="139">
        <v>2312620.94</v>
      </c>
    </row>
    <row r="109" spans="2:13">
      <c r="B109" s="151" t="str">
        <f>_xlfn.IFNA(VLOOKUP(D109,标准编码!A:B,2,0),"")</f>
        <v/>
      </c>
      <c r="D109" s="247">
        <v>123103</v>
      </c>
      <c r="E109" s="247" t="s">
        <v>3268</v>
      </c>
      <c r="F109" s="247" t="s">
        <v>826</v>
      </c>
      <c r="G109" s="139">
        <v>10506696.91</v>
      </c>
      <c r="H109" s="139">
        <v>0</v>
      </c>
      <c r="I109" s="139">
        <v>-4056430.85</v>
      </c>
      <c r="J109" s="139">
        <v>0</v>
      </c>
      <c r="K109" s="139">
        <v>-4056430.85</v>
      </c>
      <c r="L109" s="139" t="s">
        <v>826</v>
      </c>
      <c r="M109" s="139">
        <v>6450266.0599999996</v>
      </c>
    </row>
    <row r="110" spans="2:13">
      <c r="B110" s="151" t="str">
        <f>_xlfn.IFNA(VLOOKUP(D110,标准编码!A:B,2,0),"")</f>
        <v/>
      </c>
      <c r="D110" s="247">
        <v>123106</v>
      </c>
      <c r="E110" s="247" t="s">
        <v>3269</v>
      </c>
      <c r="F110" s="247" t="s">
        <v>826</v>
      </c>
      <c r="G110" s="139">
        <v>10034947.199999999</v>
      </c>
      <c r="H110" s="139">
        <v>10034947.199999999</v>
      </c>
      <c r="I110" s="139">
        <v>24000000</v>
      </c>
      <c r="J110" s="139">
        <v>10034947.199999999</v>
      </c>
      <c r="K110" s="139">
        <v>24000000</v>
      </c>
      <c r="L110" s="139" t="s">
        <v>826</v>
      </c>
      <c r="M110" s="139">
        <v>24000000</v>
      </c>
    </row>
    <row r="111" spans="2:13">
      <c r="B111" s="151" t="str">
        <f>_xlfn.IFNA(VLOOKUP(D111,标准编码!A:B,2,0),"")</f>
        <v>原材料</v>
      </c>
      <c r="D111" s="247">
        <v>1403</v>
      </c>
      <c r="E111" s="247" t="s">
        <v>3270</v>
      </c>
      <c r="F111" s="247" t="s">
        <v>825</v>
      </c>
      <c r="G111" s="139">
        <v>41014</v>
      </c>
      <c r="H111" s="139">
        <v>0</v>
      </c>
      <c r="I111" s="139">
        <v>41014</v>
      </c>
      <c r="J111" s="139">
        <v>0</v>
      </c>
      <c r="K111" s="139">
        <v>41014</v>
      </c>
      <c r="L111" s="139" t="s">
        <v>3169</v>
      </c>
      <c r="M111" s="139">
        <v>0</v>
      </c>
    </row>
    <row r="112" spans="2:13">
      <c r="B112" s="151" t="str">
        <f>_xlfn.IFNA(VLOOKUP(D112,标准编码!A:B,2,0),"")</f>
        <v/>
      </c>
      <c r="D112" s="247">
        <v>140301</v>
      </c>
      <c r="E112" s="247" t="s">
        <v>3271</v>
      </c>
      <c r="F112" s="247" t="s">
        <v>825</v>
      </c>
      <c r="G112" s="139">
        <v>41014</v>
      </c>
      <c r="H112" s="139">
        <v>0</v>
      </c>
      <c r="I112" s="139">
        <v>41014</v>
      </c>
      <c r="J112" s="139">
        <v>0</v>
      </c>
      <c r="K112" s="139">
        <v>41014</v>
      </c>
      <c r="L112" s="139" t="s">
        <v>3169</v>
      </c>
      <c r="M112" s="139">
        <v>0</v>
      </c>
    </row>
    <row r="113" spans="2:13">
      <c r="B113" s="151" t="str">
        <f>_xlfn.IFNA(VLOOKUP(D113,标准编码!A:B,2,0),"")</f>
        <v>库存商品</v>
      </c>
      <c r="D113" s="247">
        <v>1405</v>
      </c>
      <c r="E113" s="247" t="s">
        <v>3272</v>
      </c>
      <c r="F113" s="247" t="s">
        <v>825</v>
      </c>
      <c r="G113" s="139">
        <v>34285716</v>
      </c>
      <c r="H113" s="139">
        <v>171428.56</v>
      </c>
      <c r="I113" s="139">
        <v>0</v>
      </c>
      <c r="J113" s="139">
        <v>171428.56</v>
      </c>
      <c r="K113" s="139">
        <v>0</v>
      </c>
      <c r="L113" s="139" t="s">
        <v>825</v>
      </c>
      <c r="M113" s="139">
        <v>34457144.560000002</v>
      </c>
    </row>
    <row r="114" spans="2:13">
      <c r="B114" s="151" t="str">
        <f>_xlfn.IFNA(VLOOKUP(D114,标准编码!A:B,2,0),"")</f>
        <v/>
      </c>
      <c r="D114" s="247">
        <v>140501</v>
      </c>
      <c r="E114" s="247" t="s">
        <v>3273</v>
      </c>
      <c r="F114" s="247" t="s">
        <v>825</v>
      </c>
      <c r="G114" s="139">
        <v>34285716</v>
      </c>
      <c r="H114" s="139">
        <v>171428.56</v>
      </c>
      <c r="I114" s="139">
        <v>0</v>
      </c>
      <c r="J114" s="139">
        <v>171428.56</v>
      </c>
      <c r="K114" s="139">
        <v>0</v>
      </c>
      <c r="L114" s="139" t="s">
        <v>825</v>
      </c>
      <c r="M114" s="139">
        <v>34457144.560000002</v>
      </c>
    </row>
    <row r="115" spans="2:13">
      <c r="B115" s="151" t="str">
        <f>_xlfn.IFNA(VLOOKUP(D115,标准编码!A:B,2,0),"")</f>
        <v>发出商品</v>
      </c>
      <c r="D115" s="247">
        <v>1406</v>
      </c>
      <c r="E115" s="247" t="s">
        <v>3274</v>
      </c>
      <c r="F115" s="247" t="s">
        <v>825</v>
      </c>
      <c r="G115" s="139">
        <v>10839794.25</v>
      </c>
      <c r="H115" s="139">
        <v>6936771.4699999997</v>
      </c>
      <c r="I115" s="139">
        <v>6936771.4699999997</v>
      </c>
      <c r="J115" s="139">
        <v>6936771.4699999997</v>
      </c>
      <c r="K115" s="139">
        <v>6936771.4699999997</v>
      </c>
      <c r="L115" s="139" t="s">
        <v>825</v>
      </c>
      <c r="M115" s="139">
        <v>10839794.25</v>
      </c>
    </row>
    <row r="116" spans="2:13">
      <c r="B116" s="151" t="str">
        <f>_xlfn.IFNA(VLOOKUP(D116,标准编码!A:B,2,0),"")</f>
        <v/>
      </c>
      <c r="D116" s="247">
        <v>140601</v>
      </c>
      <c r="E116" s="247" t="s">
        <v>3275</v>
      </c>
      <c r="F116" s="247" t="s">
        <v>825</v>
      </c>
      <c r="G116" s="139">
        <v>10839794.25</v>
      </c>
      <c r="H116" s="139">
        <v>6936771.4699999997</v>
      </c>
      <c r="I116" s="139">
        <v>6936771.4699999997</v>
      </c>
      <c r="J116" s="139">
        <v>6936771.4699999997</v>
      </c>
      <c r="K116" s="139">
        <v>6936771.4699999997</v>
      </c>
      <c r="L116" s="139" t="s">
        <v>825</v>
      </c>
      <c r="M116" s="139">
        <v>10839794.25</v>
      </c>
    </row>
    <row r="117" spans="2:13">
      <c r="B117" s="151" t="str">
        <f>_xlfn.IFNA(VLOOKUP(D117,标准编码!A:B,2,0),"")</f>
        <v>拨出专款</v>
      </c>
      <c r="D117" s="247">
        <v>1491</v>
      </c>
      <c r="E117" s="247" t="s">
        <v>3276</v>
      </c>
      <c r="F117" s="247" t="s">
        <v>825</v>
      </c>
      <c r="G117" s="139">
        <v>5764452392.1000004</v>
      </c>
      <c r="H117" s="139">
        <v>0</v>
      </c>
      <c r="I117" s="139">
        <v>0</v>
      </c>
      <c r="J117" s="139">
        <v>0</v>
      </c>
      <c r="K117" s="139">
        <v>0</v>
      </c>
      <c r="L117" s="139" t="s">
        <v>825</v>
      </c>
      <c r="M117" s="139">
        <v>5764452392.1000004</v>
      </c>
    </row>
    <row r="118" spans="2:13">
      <c r="B118" s="151" t="str">
        <f>_xlfn.IFNA(VLOOKUP(D118,标准编码!A:B,2,0),"")</f>
        <v/>
      </c>
      <c r="D118" s="247">
        <v>149101</v>
      </c>
      <c r="E118" s="247" t="s">
        <v>3277</v>
      </c>
      <c r="F118" s="247" t="s">
        <v>825</v>
      </c>
      <c r="G118" s="139">
        <v>113500000</v>
      </c>
      <c r="H118" s="139">
        <v>0</v>
      </c>
      <c r="I118" s="139">
        <v>0</v>
      </c>
      <c r="J118" s="139">
        <v>0</v>
      </c>
      <c r="K118" s="139">
        <v>0</v>
      </c>
      <c r="L118" s="139" t="s">
        <v>825</v>
      </c>
      <c r="M118" s="139">
        <v>113500000</v>
      </c>
    </row>
    <row r="119" spans="2:13">
      <c r="B119" s="151" t="str">
        <f>_xlfn.IFNA(VLOOKUP(D119,标准编码!A:B,2,0),"")</f>
        <v/>
      </c>
      <c r="D119" s="247">
        <v>149102</v>
      </c>
      <c r="E119" s="247" t="s">
        <v>3278</v>
      </c>
      <c r="F119" s="247" t="s">
        <v>825</v>
      </c>
      <c r="G119" s="139">
        <v>1890896856</v>
      </c>
      <c r="H119" s="139">
        <v>0</v>
      </c>
      <c r="I119" s="139">
        <v>0</v>
      </c>
      <c r="J119" s="139">
        <v>0</v>
      </c>
      <c r="K119" s="139">
        <v>0</v>
      </c>
      <c r="L119" s="139" t="s">
        <v>825</v>
      </c>
      <c r="M119" s="139">
        <v>1890896856</v>
      </c>
    </row>
    <row r="120" spans="2:13">
      <c r="B120" s="151" t="str">
        <f>_xlfn.IFNA(VLOOKUP(D120,标准编码!A:B,2,0),"")</f>
        <v/>
      </c>
      <c r="D120" s="247">
        <v>149103</v>
      </c>
      <c r="E120" s="247" t="s">
        <v>3279</v>
      </c>
      <c r="F120" s="247" t="s">
        <v>825</v>
      </c>
      <c r="G120" s="139">
        <v>2002067424.0599999</v>
      </c>
      <c r="H120" s="139">
        <v>0</v>
      </c>
      <c r="I120" s="139">
        <v>0</v>
      </c>
      <c r="J120" s="139">
        <v>0</v>
      </c>
      <c r="K120" s="139">
        <v>0</v>
      </c>
      <c r="L120" s="139" t="s">
        <v>825</v>
      </c>
      <c r="M120" s="139">
        <v>2002067424.0599999</v>
      </c>
    </row>
    <row r="121" spans="2:13">
      <c r="B121" s="151" t="str">
        <f>_xlfn.IFNA(VLOOKUP(D121,标准编码!A:B,2,0),"")</f>
        <v/>
      </c>
      <c r="D121" s="247">
        <v>149104</v>
      </c>
      <c r="E121" s="247" t="s">
        <v>3280</v>
      </c>
      <c r="F121" s="247" t="s">
        <v>825</v>
      </c>
      <c r="G121" s="139">
        <v>206747040.43000001</v>
      </c>
      <c r="H121" s="139">
        <v>0</v>
      </c>
      <c r="I121" s="139">
        <v>0</v>
      </c>
      <c r="J121" s="139">
        <v>0</v>
      </c>
      <c r="K121" s="139">
        <v>0</v>
      </c>
      <c r="L121" s="139" t="s">
        <v>825</v>
      </c>
      <c r="M121" s="139">
        <v>206747040.43000001</v>
      </c>
    </row>
    <row r="122" spans="2:13">
      <c r="B122" s="151" t="str">
        <f>_xlfn.IFNA(VLOOKUP(D122,标准编码!A:B,2,0),"")</f>
        <v/>
      </c>
      <c r="D122" s="247">
        <v>149105</v>
      </c>
      <c r="E122" s="247" t="s">
        <v>3281</v>
      </c>
      <c r="F122" s="247" t="s">
        <v>825</v>
      </c>
      <c r="G122" s="139">
        <v>426175100</v>
      </c>
      <c r="H122" s="139">
        <v>0</v>
      </c>
      <c r="I122" s="139">
        <v>0</v>
      </c>
      <c r="J122" s="139">
        <v>0</v>
      </c>
      <c r="K122" s="139">
        <v>0</v>
      </c>
      <c r="L122" s="139" t="s">
        <v>825</v>
      </c>
      <c r="M122" s="139">
        <v>426175100</v>
      </c>
    </row>
    <row r="123" spans="2:13">
      <c r="B123" s="151" t="str">
        <f>_xlfn.IFNA(VLOOKUP(D123,标准编码!A:B,2,0),"")</f>
        <v/>
      </c>
      <c r="D123" s="247">
        <v>149106</v>
      </c>
      <c r="E123" s="247" t="s">
        <v>3282</v>
      </c>
      <c r="F123" s="247" t="s">
        <v>825</v>
      </c>
      <c r="G123" s="139">
        <v>1125065971.6099999</v>
      </c>
      <c r="H123" s="139">
        <v>0</v>
      </c>
      <c r="I123" s="139">
        <v>0</v>
      </c>
      <c r="J123" s="139">
        <v>0</v>
      </c>
      <c r="K123" s="139">
        <v>0</v>
      </c>
      <c r="L123" s="139" t="s">
        <v>825</v>
      </c>
      <c r="M123" s="139">
        <v>1125065971.6099999</v>
      </c>
    </row>
    <row r="124" spans="2:13">
      <c r="B124" s="151" t="str">
        <f>_xlfn.IFNA(VLOOKUP(D124,标准编码!A:B,2,0),"")</f>
        <v>可供出售金融资产</v>
      </c>
      <c r="D124" s="247">
        <v>1503</v>
      </c>
      <c r="E124" s="247" t="s">
        <v>3283</v>
      </c>
      <c r="F124" s="247" t="s">
        <v>825</v>
      </c>
      <c r="G124" s="139">
        <v>529088890.61000001</v>
      </c>
      <c r="H124" s="139">
        <v>560999815.64999998</v>
      </c>
      <c r="I124" s="139">
        <v>102742268</v>
      </c>
      <c r="J124" s="139">
        <v>560999815.64999998</v>
      </c>
      <c r="K124" s="139">
        <v>102742268</v>
      </c>
      <c r="L124" s="139" t="s">
        <v>825</v>
      </c>
      <c r="M124" s="139">
        <v>987346438.25999999</v>
      </c>
    </row>
    <row r="125" spans="2:13">
      <c r="B125" s="151" t="str">
        <f>_xlfn.IFNA(VLOOKUP(D125,标准编码!A:B,2,0),"")</f>
        <v/>
      </c>
      <c r="D125" s="247">
        <v>150302</v>
      </c>
      <c r="E125" s="247" t="s">
        <v>3284</v>
      </c>
      <c r="F125" s="247" t="s">
        <v>825</v>
      </c>
      <c r="G125" s="139">
        <v>180748890.61000001</v>
      </c>
      <c r="H125" s="139">
        <v>497671821.25</v>
      </c>
      <c r="I125" s="139">
        <v>2742268</v>
      </c>
      <c r="J125" s="139">
        <v>497671821.25</v>
      </c>
      <c r="K125" s="139">
        <v>2742268</v>
      </c>
      <c r="L125" s="139" t="s">
        <v>825</v>
      </c>
      <c r="M125" s="139">
        <v>675678443.86000001</v>
      </c>
    </row>
    <row r="126" spans="2:13">
      <c r="B126" s="151" t="str">
        <f>_xlfn.IFNA(VLOOKUP(D126,标准编码!A:B,2,0),"")</f>
        <v/>
      </c>
      <c r="D126" s="247">
        <v>15030201</v>
      </c>
      <c r="E126" s="247" t="s">
        <v>3285</v>
      </c>
      <c r="F126" s="247" t="s">
        <v>825</v>
      </c>
      <c r="G126" s="139">
        <v>156939291.61000001</v>
      </c>
      <c r="H126" s="139">
        <v>430744353.00999999</v>
      </c>
      <c r="I126" s="139">
        <v>2742268</v>
      </c>
      <c r="J126" s="139">
        <v>430744353.00999999</v>
      </c>
      <c r="K126" s="139">
        <v>2742268</v>
      </c>
      <c r="L126" s="139" t="s">
        <v>825</v>
      </c>
      <c r="M126" s="139">
        <v>584941376.62</v>
      </c>
    </row>
    <row r="127" spans="2:13">
      <c r="B127" s="151" t="str">
        <f>_xlfn.IFNA(VLOOKUP(D127,标准编码!A:B,2,0),"")</f>
        <v/>
      </c>
      <c r="D127" s="247">
        <v>15030202</v>
      </c>
      <c r="E127" s="247" t="s">
        <v>3286</v>
      </c>
      <c r="F127" s="247" t="s">
        <v>825</v>
      </c>
      <c r="G127" s="139">
        <v>23809599</v>
      </c>
      <c r="H127" s="139">
        <v>66927468.240000002</v>
      </c>
      <c r="I127" s="139">
        <v>0</v>
      </c>
      <c r="J127" s="139">
        <v>66927468.240000002</v>
      </c>
      <c r="K127" s="139">
        <v>0</v>
      </c>
      <c r="L127" s="139" t="s">
        <v>825</v>
      </c>
      <c r="M127" s="139">
        <v>90737067.239999995</v>
      </c>
    </row>
    <row r="128" spans="2:13">
      <c r="B128" s="151" t="str">
        <f>_xlfn.IFNA(VLOOKUP(D128,标准编码!A:B,2,0),"")</f>
        <v/>
      </c>
      <c r="D128" s="247">
        <v>150303</v>
      </c>
      <c r="E128" s="247" t="s">
        <v>3287</v>
      </c>
      <c r="F128" s="247" t="s">
        <v>825</v>
      </c>
      <c r="G128" s="139">
        <v>348340000</v>
      </c>
      <c r="H128" s="139">
        <v>-301672000</v>
      </c>
      <c r="I128" s="139">
        <v>0</v>
      </c>
      <c r="J128" s="139">
        <v>-301672000</v>
      </c>
      <c r="K128" s="139">
        <v>0</v>
      </c>
      <c r="L128" s="139" t="s">
        <v>825</v>
      </c>
      <c r="M128" s="139">
        <v>46668000</v>
      </c>
    </row>
    <row r="129" spans="2:13">
      <c r="B129" s="151" t="str">
        <f>_xlfn.IFNA(VLOOKUP(D129,标准编码!A:B,2,0),"")</f>
        <v/>
      </c>
      <c r="D129" s="247">
        <v>150304</v>
      </c>
      <c r="E129" s="247" t="s">
        <v>3288</v>
      </c>
      <c r="F129" s="247" t="s">
        <v>3169</v>
      </c>
      <c r="G129" s="139">
        <v>0</v>
      </c>
      <c r="H129" s="139">
        <v>364999994.39999998</v>
      </c>
      <c r="I129" s="139">
        <v>100000000</v>
      </c>
      <c r="J129" s="139">
        <v>364999994.39999998</v>
      </c>
      <c r="K129" s="139">
        <v>100000000</v>
      </c>
      <c r="L129" s="139" t="s">
        <v>825</v>
      </c>
      <c r="M129" s="139">
        <v>264999994.40000001</v>
      </c>
    </row>
    <row r="130" spans="2:13">
      <c r="B130" s="151" t="str">
        <f>_xlfn.IFNA(VLOOKUP(D130,标准编码!A:B,2,0),"")</f>
        <v>长期股权投资</v>
      </c>
      <c r="D130" s="247">
        <v>1511</v>
      </c>
      <c r="E130" s="247" t="s">
        <v>3289</v>
      </c>
      <c r="F130" s="247" t="s">
        <v>825</v>
      </c>
      <c r="G130" s="139">
        <v>1993472059.26</v>
      </c>
      <c r="H130" s="139">
        <v>374957869.13999999</v>
      </c>
      <c r="I130" s="139">
        <v>136148572.34999999</v>
      </c>
      <c r="J130" s="139">
        <v>374957869.13999999</v>
      </c>
      <c r="K130" s="139">
        <v>136148572.34999999</v>
      </c>
      <c r="L130" s="139" t="s">
        <v>825</v>
      </c>
      <c r="M130" s="139">
        <v>2232281356.0500002</v>
      </c>
    </row>
    <row r="131" spans="2:13">
      <c r="B131" s="151" t="str">
        <f>_xlfn.IFNA(VLOOKUP(D131,标准编码!A:B,2,0),"")</f>
        <v/>
      </c>
      <c r="D131" s="247">
        <v>151101</v>
      </c>
      <c r="E131" s="247" t="s">
        <v>3290</v>
      </c>
      <c r="F131" s="247" t="s">
        <v>825</v>
      </c>
      <c r="G131" s="139">
        <v>1070367979.2</v>
      </c>
      <c r="H131" s="139">
        <v>297721241</v>
      </c>
      <c r="I131" s="139">
        <v>28000000</v>
      </c>
      <c r="J131" s="139">
        <v>297721241</v>
      </c>
      <c r="K131" s="139">
        <v>28000000</v>
      </c>
      <c r="L131" s="139" t="s">
        <v>825</v>
      </c>
      <c r="M131" s="139">
        <v>1340089220.2</v>
      </c>
    </row>
    <row r="132" spans="2:13">
      <c r="B132" s="151" t="str">
        <f>_xlfn.IFNA(VLOOKUP(D132,标准编码!A:B,2,0),"")</f>
        <v/>
      </c>
      <c r="D132" s="247">
        <v>15110101</v>
      </c>
      <c r="E132" s="247" t="s">
        <v>3291</v>
      </c>
      <c r="F132" s="247" t="s">
        <v>825</v>
      </c>
      <c r="G132" s="139">
        <v>1070367979.2</v>
      </c>
      <c r="H132" s="139">
        <v>297721241</v>
      </c>
      <c r="I132" s="139">
        <v>28000000</v>
      </c>
      <c r="J132" s="139">
        <v>297721241</v>
      </c>
      <c r="K132" s="139">
        <v>28000000</v>
      </c>
      <c r="L132" s="139" t="s">
        <v>825</v>
      </c>
      <c r="M132" s="139">
        <v>1340089220.2</v>
      </c>
    </row>
    <row r="133" spans="2:13">
      <c r="B133" s="151" t="str">
        <f>_xlfn.IFNA(VLOOKUP(D133,标准编码!A:B,2,0),"")</f>
        <v/>
      </c>
      <c r="D133" s="247">
        <v>151102</v>
      </c>
      <c r="E133" s="247" t="s">
        <v>3292</v>
      </c>
      <c r="F133" s="247" t="s">
        <v>825</v>
      </c>
      <c r="G133" s="139">
        <v>923104080.05999994</v>
      </c>
      <c r="H133" s="139">
        <v>77236628.140000001</v>
      </c>
      <c r="I133" s="139">
        <v>108148572.34999999</v>
      </c>
      <c r="J133" s="139">
        <v>77236628.140000001</v>
      </c>
      <c r="K133" s="139">
        <v>108148572.34999999</v>
      </c>
      <c r="L133" s="139" t="s">
        <v>825</v>
      </c>
      <c r="M133" s="139">
        <v>892192135.85000002</v>
      </c>
    </row>
    <row r="134" spans="2:13">
      <c r="B134" s="151" t="str">
        <f>_xlfn.IFNA(VLOOKUP(D134,标准编码!A:B,2,0),"")</f>
        <v/>
      </c>
      <c r="D134" s="247">
        <v>15110201</v>
      </c>
      <c r="E134" s="247" t="s">
        <v>3293</v>
      </c>
      <c r="F134" s="247" t="s">
        <v>825</v>
      </c>
      <c r="G134" s="139">
        <v>679914500</v>
      </c>
      <c r="H134" s="139">
        <v>53548900</v>
      </c>
      <c r="I134" s="139">
        <v>0</v>
      </c>
      <c r="J134" s="139">
        <v>53548900</v>
      </c>
      <c r="K134" s="139">
        <v>0</v>
      </c>
      <c r="L134" s="139" t="s">
        <v>825</v>
      </c>
      <c r="M134" s="139">
        <v>733463400</v>
      </c>
    </row>
    <row r="135" spans="2:13">
      <c r="B135" s="151" t="str">
        <f>_xlfn.IFNA(VLOOKUP(D135,标准编码!A:B,2,0),"")</f>
        <v/>
      </c>
      <c r="D135" s="247">
        <v>15110202</v>
      </c>
      <c r="E135" s="247" t="s">
        <v>3294</v>
      </c>
      <c r="F135" s="247" t="s">
        <v>825</v>
      </c>
      <c r="G135" s="139">
        <v>243189580.06</v>
      </c>
      <c r="H135" s="139">
        <v>23687728.140000001</v>
      </c>
      <c r="I135" s="139">
        <v>108148572.34999999</v>
      </c>
      <c r="J135" s="139">
        <v>23687728.140000001</v>
      </c>
      <c r="K135" s="139">
        <v>108148572.34999999</v>
      </c>
      <c r="L135" s="139" t="s">
        <v>825</v>
      </c>
      <c r="M135" s="139">
        <v>158728735.84999999</v>
      </c>
    </row>
    <row r="136" spans="2:13">
      <c r="B136" s="151" t="str">
        <f>_xlfn.IFNA(VLOOKUP(D136,标准编码!A:B,2,0),"")</f>
        <v>长期股权投资减值准备</v>
      </c>
      <c r="D136" s="247">
        <v>1512</v>
      </c>
      <c r="E136" s="247" t="s">
        <v>3295</v>
      </c>
      <c r="F136" s="247" t="s">
        <v>826</v>
      </c>
      <c r="G136" s="139">
        <v>8193403.6500000004</v>
      </c>
      <c r="H136" s="139">
        <v>8193403.6500000004</v>
      </c>
      <c r="I136" s="139">
        <v>0</v>
      </c>
      <c r="J136" s="139">
        <v>8193403.6500000004</v>
      </c>
      <c r="K136" s="139">
        <v>0</v>
      </c>
      <c r="L136" s="139" t="s">
        <v>3169</v>
      </c>
      <c r="M136" s="139">
        <v>0</v>
      </c>
    </row>
    <row r="137" spans="2:13">
      <c r="B137" s="151" t="str">
        <f>_xlfn.IFNA(VLOOKUP(D137,标准编码!A:B,2,0),"")</f>
        <v>投资性房地产</v>
      </c>
      <c r="D137" s="247">
        <v>1521</v>
      </c>
      <c r="E137" s="247" t="s">
        <v>3296</v>
      </c>
      <c r="F137" s="247" t="s">
        <v>825</v>
      </c>
      <c r="G137" s="139">
        <v>64063836.700000003</v>
      </c>
      <c r="H137" s="139">
        <v>603638092.96000004</v>
      </c>
      <c r="I137" s="139">
        <v>17736643.77</v>
      </c>
      <c r="J137" s="139">
        <v>603638092.96000004</v>
      </c>
      <c r="K137" s="139">
        <v>17736643.77</v>
      </c>
      <c r="L137" s="139" t="s">
        <v>825</v>
      </c>
      <c r="M137" s="139">
        <v>649965285.88999999</v>
      </c>
    </row>
    <row r="138" spans="2:13">
      <c r="B138" s="151" t="str">
        <f>_xlfn.IFNA(VLOOKUP(D138,标准编码!A:B,2,0),"")</f>
        <v/>
      </c>
      <c r="D138" s="247">
        <v>152101</v>
      </c>
      <c r="E138" s="247" t="s">
        <v>3297</v>
      </c>
      <c r="F138" s="247" t="s">
        <v>825</v>
      </c>
      <c r="G138" s="139">
        <v>80857092</v>
      </c>
      <c r="H138" s="139">
        <v>603638092.96000004</v>
      </c>
      <c r="I138" s="139">
        <v>0</v>
      </c>
      <c r="J138" s="139">
        <v>603638092.96000004</v>
      </c>
      <c r="K138" s="139">
        <v>0</v>
      </c>
      <c r="L138" s="139" t="s">
        <v>825</v>
      </c>
      <c r="M138" s="139">
        <v>684495184.96000004</v>
      </c>
    </row>
    <row r="139" spans="2:13">
      <c r="B139" s="151" t="str">
        <f>_xlfn.IFNA(VLOOKUP(D139,标准编码!A:B,2,0),"")</f>
        <v/>
      </c>
      <c r="D139" s="247">
        <v>15210101</v>
      </c>
      <c r="E139" s="247" t="s">
        <v>3298</v>
      </c>
      <c r="F139" s="247" t="s">
        <v>825</v>
      </c>
      <c r="G139" s="139">
        <v>80857092</v>
      </c>
      <c r="H139" s="139">
        <v>603638092.96000004</v>
      </c>
      <c r="I139" s="139">
        <v>0</v>
      </c>
      <c r="J139" s="139">
        <v>603638092.96000004</v>
      </c>
      <c r="K139" s="139">
        <v>0</v>
      </c>
      <c r="L139" s="139" t="s">
        <v>825</v>
      </c>
      <c r="M139" s="139">
        <v>684495184.96000004</v>
      </c>
    </row>
    <row r="140" spans="2:13">
      <c r="B140" s="151" t="str">
        <f>_xlfn.IFNA(VLOOKUP(D140,标准编码!A:B,2,0),"")</f>
        <v/>
      </c>
      <c r="D140" s="247">
        <v>152102</v>
      </c>
      <c r="E140" s="247" t="s">
        <v>3299</v>
      </c>
      <c r="F140" s="247" t="s">
        <v>826</v>
      </c>
      <c r="G140" s="139">
        <v>16793255.300000001</v>
      </c>
      <c r="H140" s="139">
        <v>0</v>
      </c>
      <c r="I140" s="139">
        <v>17736643.77</v>
      </c>
      <c r="J140" s="139">
        <v>0</v>
      </c>
      <c r="K140" s="139">
        <v>17736643.77</v>
      </c>
      <c r="L140" s="139" t="s">
        <v>826</v>
      </c>
      <c r="M140" s="139">
        <v>34529899.07</v>
      </c>
    </row>
    <row r="141" spans="2:13">
      <c r="B141" s="151" t="str">
        <f>_xlfn.IFNA(VLOOKUP(D141,标准编码!A:B,2,0),"")</f>
        <v/>
      </c>
      <c r="D141" s="247">
        <v>15210201</v>
      </c>
      <c r="E141" s="247" t="s">
        <v>3300</v>
      </c>
      <c r="F141" s="247" t="s">
        <v>826</v>
      </c>
      <c r="G141" s="139">
        <v>16793255.300000001</v>
      </c>
      <c r="H141" s="139">
        <v>0</v>
      </c>
      <c r="I141" s="139">
        <v>17736643.77</v>
      </c>
      <c r="J141" s="139">
        <v>0</v>
      </c>
      <c r="K141" s="139">
        <v>17736643.77</v>
      </c>
      <c r="L141" s="139" t="s">
        <v>826</v>
      </c>
      <c r="M141" s="139">
        <v>34529899.07</v>
      </c>
    </row>
    <row r="142" spans="2:13">
      <c r="B142" s="151" t="str">
        <f>_xlfn.IFNA(VLOOKUP(D142,标准编码!A:B,2,0),"")</f>
        <v>长期应收款</v>
      </c>
      <c r="D142" s="247">
        <v>1531</v>
      </c>
      <c r="E142" s="247" t="s">
        <v>3301</v>
      </c>
      <c r="F142" s="247" t="s">
        <v>825</v>
      </c>
      <c r="G142" s="139">
        <v>1380162730.3399999</v>
      </c>
      <c r="H142" s="139">
        <v>183569013.18000001</v>
      </c>
      <c r="I142" s="139">
        <v>1593777921.4400001</v>
      </c>
      <c r="J142" s="139">
        <v>183569013.18000001</v>
      </c>
      <c r="K142" s="139">
        <v>1593777921.4400001</v>
      </c>
      <c r="L142" s="139" t="s">
        <v>826</v>
      </c>
      <c r="M142" s="139">
        <v>30046177.920000002</v>
      </c>
    </row>
    <row r="143" spans="2:13">
      <c r="B143" s="151" t="str">
        <f>_xlfn.IFNA(VLOOKUP(D143,标准编码!A:B,2,0),"")</f>
        <v/>
      </c>
      <c r="D143" s="247">
        <v>153101</v>
      </c>
      <c r="E143" s="247" t="s">
        <v>3302</v>
      </c>
      <c r="F143" s="247" t="s">
        <v>3169</v>
      </c>
      <c r="G143" s="139">
        <v>0</v>
      </c>
      <c r="H143" s="139">
        <v>169230309.86000001</v>
      </c>
      <c r="I143" s="139">
        <v>682220921.44000006</v>
      </c>
      <c r="J143" s="139">
        <v>169230309.86000001</v>
      </c>
      <c r="K143" s="139">
        <v>682220921.44000006</v>
      </c>
      <c r="L143" s="139" t="s">
        <v>826</v>
      </c>
      <c r="M143" s="139">
        <v>512990611.57999998</v>
      </c>
    </row>
    <row r="144" spans="2:13">
      <c r="B144" s="151" t="str">
        <f>_xlfn.IFNA(VLOOKUP(D144,标准编码!A:B,2,0),"")</f>
        <v/>
      </c>
      <c r="D144" s="247">
        <v>15310101</v>
      </c>
      <c r="E144" s="247" t="s">
        <v>3303</v>
      </c>
      <c r="F144" s="247" t="s">
        <v>3169</v>
      </c>
      <c r="G144" s="139">
        <v>0</v>
      </c>
      <c r="H144" s="139">
        <v>74398961.200000003</v>
      </c>
      <c r="I144" s="139">
        <v>0</v>
      </c>
      <c r="J144" s="139">
        <v>74398961.200000003</v>
      </c>
      <c r="K144" s="139">
        <v>0</v>
      </c>
      <c r="L144" s="139" t="s">
        <v>825</v>
      </c>
      <c r="M144" s="139">
        <v>74398961.200000003</v>
      </c>
    </row>
    <row r="145" spans="2:13">
      <c r="B145" s="151" t="str">
        <f>_xlfn.IFNA(VLOOKUP(D145,标准编码!A:B,2,0),"")</f>
        <v/>
      </c>
      <c r="D145" s="247">
        <v>1531010101</v>
      </c>
      <c r="E145" s="247" t="s">
        <v>3304</v>
      </c>
      <c r="F145" s="247" t="s">
        <v>3169</v>
      </c>
      <c r="G145" s="139">
        <v>0</v>
      </c>
      <c r="H145" s="139">
        <v>63050885.409999996</v>
      </c>
      <c r="I145" s="139">
        <v>0</v>
      </c>
      <c r="J145" s="139">
        <v>63050885.409999996</v>
      </c>
      <c r="K145" s="139">
        <v>0</v>
      </c>
      <c r="L145" s="139" t="s">
        <v>825</v>
      </c>
      <c r="M145" s="139">
        <v>63050885.409999996</v>
      </c>
    </row>
    <row r="146" spans="2:13">
      <c r="B146" s="151" t="str">
        <f>_xlfn.IFNA(VLOOKUP(D146,标准编码!A:B,2,0),"")</f>
        <v/>
      </c>
      <c r="D146" s="247">
        <v>1531010102</v>
      </c>
      <c r="E146" s="247" t="s">
        <v>3305</v>
      </c>
      <c r="F146" s="247" t="s">
        <v>3169</v>
      </c>
      <c r="G146" s="139">
        <v>0</v>
      </c>
      <c r="H146" s="139">
        <v>11348075.789999999</v>
      </c>
      <c r="I146" s="139">
        <v>0</v>
      </c>
      <c r="J146" s="139">
        <v>11348075.789999999</v>
      </c>
      <c r="K146" s="139">
        <v>0</v>
      </c>
      <c r="L146" s="139" t="s">
        <v>825</v>
      </c>
      <c r="M146" s="139">
        <v>11348075.789999999</v>
      </c>
    </row>
    <row r="147" spans="2:13">
      <c r="B147" s="151" t="str">
        <f>_xlfn.IFNA(VLOOKUP(D147,标准编码!A:B,2,0),"")</f>
        <v/>
      </c>
      <c r="D147" s="247">
        <v>15310103</v>
      </c>
      <c r="E147" s="247" t="s">
        <v>3306</v>
      </c>
      <c r="F147" s="247" t="s">
        <v>3169</v>
      </c>
      <c r="G147" s="139">
        <v>0</v>
      </c>
      <c r="H147" s="139">
        <v>94831348.659999996</v>
      </c>
      <c r="I147" s="139">
        <v>682220921.44000006</v>
      </c>
      <c r="J147" s="139">
        <v>94831348.659999996</v>
      </c>
      <c r="K147" s="139">
        <v>682220921.44000006</v>
      </c>
      <c r="L147" s="139" t="s">
        <v>826</v>
      </c>
      <c r="M147" s="139">
        <v>587389572.77999997</v>
      </c>
    </row>
    <row r="148" spans="2:13">
      <c r="B148" s="151" t="str">
        <f>_xlfn.IFNA(VLOOKUP(D148,标准编码!A:B,2,0),"")</f>
        <v/>
      </c>
      <c r="D148" s="247">
        <v>1531010302</v>
      </c>
      <c r="E148" s="247" t="s">
        <v>3307</v>
      </c>
      <c r="F148" s="247" t="s">
        <v>3169</v>
      </c>
      <c r="G148" s="139">
        <v>0</v>
      </c>
      <c r="H148" s="139">
        <v>1500000</v>
      </c>
      <c r="I148" s="139">
        <v>0</v>
      </c>
      <c r="J148" s="139">
        <v>1500000</v>
      </c>
      <c r="K148" s="139">
        <v>0</v>
      </c>
      <c r="L148" s="139" t="s">
        <v>825</v>
      </c>
      <c r="M148" s="139">
        <v>1500000</v>
      </c>
    </row>
    <row r="149" spans="2:13">
      <c r="B149" s="151" t="str">
        <f>_xlfn.IFNA(VLOOKUP(D149,标准编码!A:B,2,0),"")</f>
        <v/>
      </c>
      <c r="D149" s="247">
        <v>1531010303</v>
      </c>
      <c r="E149" s="247" t="s">
        <v>3308</v>
      </c>
      <c r="F149" s="247" t="s">
        <v>3169</v>
      </c>
      <c r="G149" s="139">
        <v>0</v>
      </c>
      <c r="H149" s="139">
        <v>30734400</v>
      </c>
      <c r="I149" s="139">
        <v>5566227</v>
      </c>
      <c r="J149" s="139">
        <v>30734400</v>
      </c>
      <c r="K149" s="139">
        <v>5566227</v>
      </c>
      <c r="L149" s="139" t="s">
        <v>825</v>
      </c>
      <c r="M149" s="139">
        <v>25168173</v>
      </c>
    </row>
    <row r="150" spans="2:13">
      <c r="B150" s="151" t="str">
        <f>_xlfn.IFNA(VLOOKUP(D150,标准编码!A:B,2,0),"")</f>
        <v/>
      </c>
      <c r="D150" s="247">
        <v>1531010304</v>
      </c>
      <c r="E150" s="247" t="s">
        <v>3309</v>
      </c>
      <c r="F150" s="247" t="s">
        <v>3169</v>
      </c>
      <c r="G150" s="139">
        <v>0</v>
      </c>
      <c r="H150" s="139">
        <v>1282353.55</v>
      </c>
      <c r="I150" s="139">
        <v>0</v>
      </c>
      <c r="J150" s="139">
        <v>1282353.55</v>
      </c>
      <c r="K150" s="139">
        <v>0</v>
      </c>
      <c r="L150" s="139" t="s">
        <v>825</v>
      </c>
      <c r="M150" s="139">
        <v>1282353.55</v>
      </c>
    </row>
    <row r="151" spans="2:13">
      <c r="B151" s="151" t="str">
        <f>_xlfn.IFNA(VLOOKUP(D151,标准编码!A:B,2,0),"")</f>
        <v/>
      </c>
      <c r="D151" s="247">
        <v>1531010306</v>
      </c>
      <c r="E151" s="247" t="s">
        <v>3310</v>
      </c>
      <c r="F151" s="247" t="s">
        <v>3169</v>
      </c>
      <c r="G151" s="139">
        <v>0</v>
      </c>
      <c r="H151" s="139">
        <v>23637.74</v>
      </c>
      <c r="I151" s="139">
        <v>0</v>
      </c>
      <c r="J151" s="139">
        <v>23637.74</v>
      </c>
      <c r="K151" s="139">
        <v>0</v>
      </c>
      <c r="L151" s="139" t="s">
        <v>825</v>
      </c>
      <c r="M151" s="139">
        <v>23637.74</v>
      </c>
    </row>
    <row r="152" spans="2:13">
      <c r="B152" s="151" t="str">
        <f>_xlfn.IFNA(VLOOKUP(D152,标准编码!A:B,2,0),"")</f>
        <v/>
      </c>
      <c r="D152" s="247">
        <v>1531010307</v>
      </c>
      <c r="E152" s="247" t="s">
        <v>3311</v>
      </c>
      <c r="F152" s="247" t="s">
        <v>3169</v>
      </c>
      <c r="G152" s="139">
        <v>0</v>
      </c>
      <c r="H152" s="139">
        <v>204243.20000000001</v>
      </c>
      <c r="I152" s="139">
        <v>0</v>
      </c>
      <c r="J152" s="139">
        <v>204243.20000000001</v>
      </c>
      <c r="K152" s="139">
        <v>0</v>
      </c>
      <c r="L152" s="139" t="s">
        <v>825</v>
      </c>
      <c r="M152" s="139">
        <v>204243.20000000001</v>
      </c>
    </row>
    <row r="153" spans="2:13">
      <c r="B153" s="151" t="str">
        <f>_xlfn.IFNA(VLOOKUP(D153,标准编码!A:B,2,0),"")</f>
        <v/>
      </c>
      <c r="D153" s="247">
        <v>1531010310</v>
      </c>
      <c r="E153" s="247" t="s">
        <v>3312</v>
      </c>
      <c r="F153" s="247" t="s">
        <v>3169</v>
      </c>
      <c r="G153" s="139">
        <v>0</v>
      </c>
      <c r="H153" s="139">
        <v>1525554.79</v>
      </c>
      <c r="I153" s="139">
        <v>0</v>
      </c>
      <c r="J153" s="139">
        <v>1525554.79</v>
      </c>
      <c r="K153" s="139">
        <v>0</v>
      </c>
      <c r="L153" s="139" t="s">
        <v>825</v>
      </c>
      <c r="M153" s="139">
        <v>1525554.79</v>
      </c>
    </row>
    <row r="154" spans="2:13">
      <c r="B154" s="151" t="str">
        <f>_xlfn.IFNA(VLOOKUP(D154,标准编码!A:B,2,0),"")</f>
        <v/>
      </c>
      <c r="D154" s="247">
        <v>1531010314</v>
      </c>
      <c r="E154" s="247" t="s">
        <v>3313</v>
      </c>
      <c r="F154" s="247" t="s">
        <v>3169</v>
      </c>
      <c r="G154" s="139">
        <v>0</v>
      </c>
      <c r="H154" s="139">
        <v>381651</v>
      </c>
      <c r="I154" s="139">
        <v>0</v>
      </c>
      <c r="J154" s="139">
        <v>381651</v>
      </c>
      <c r="K154" s="139">
        <v>0</v>
      </c>
      <c r="L154" s="139" t="s">
        <v>825</v>
      </c>
      <c r="M154" s="139">
        <v>381651</v>
      </c>
    </row>
    <row r="155" spans="2:13">
      <c r="B155" s="151" t="str">
        <f>_xlfn.IFNA(VLOOKUP(D155,标准编码!A:B,2,0),"")</f>
        <v/>
      </c>
      <c r="D155" s="247">
        <v>1531010331</v>
      </c>
      <c r="E155" s="247" t="s">
        <v>3314</v>
      </c>
      <c r="F155" s="247" t="s">
        <v>3169</v>
      </c>
      <c r="G155" s="139">
        <v>0</v>
      </c>
      <c r="H155" s="139">
        <v>59179508.380000003</v>
      </c>
      <c r="I155" s="139">
        <v>676654694.44000006</v>
      </c>
      <c r="J155" s="139">
        <v>59179508.380000003</v>
      </c>
      <c r="K155" s="139">
        <v>676654694.44000006</v>
      </c>
      <c r="L155" s="139" t="s">
        <v>826</v>
      </c>
      <c r="M155" s="139">
        <v>617475186.05999994</v>
      </c>
    </row>
    <row r="156" spans="2:13">
      <c r="B156" s="151" t="str">
        <f>_xlfn.IFNA(VLOOKUP(D156,标准编码!A:B,2,0),"")</f>
        <v/>
      </c>
      <c r="D156" s="247">
        <v>153102</v>
      </c>
      <c r="E156" s="247" t="s">
        <v>3315</v>
      </c>
      <c r="F156" s="247" t="s">
        <v>825</v>
      </c>
      <c r="G156" s="139">
        <v>253028.38</v>
      </c>
      <c r="H156" s="139">
        <v>-6170915</v>
      </c>
      <c r="I156" s="139">
        <v>0</v>
      </c>
      <c r="J156" s="139">
        <v>-6170915</v>
      </c>
      <c r="K156" s="139">
        <v>0</v>
      </c>
      <c r="L156" s="139" t="s">
        <v>826</v>
      </c>
      <c r="M156" s="139">
        <v>5917886.6200000001</v>
      </c>
    </row>
    <row r="157" spans="2:13">
      <c r="B157" s="151" t="str">
        <f>_xlfn.IFNA(VLOOKUP(D157,标准编码!A:B,2,0),"")</f>
        <v/>
      </c>
      <c r="D157" s="247">
        <v>15310203</v>
      </c>
      <c r="E157" s="247" t="s">
        <v>3316</v>
      </c>
      <c r="F157" s="247" t="s">
        <v>825</v>
      </c>
      <c r="G157" s="139">
        <v>253028.38</v>
      </c>
      <c r="H157" s="139">
        <v>-6170915</v>
      </c>
      <c r="I157" s="139">
        <v>0</v>
      </c>
      <c r="J157" s="139">
        <v>-6170915</v>
      </c>
      <c r="K157" s="139">
        <v>0</v>
      </c>
      <c r="L157" s="139" t="s">
        <v>826</v>
      </c>
      <c r="M157" s="139">
        <v>5917886.6200000001</v>
      </c>
    </row>
    <row r="158" spans="2:13">
      <c r="B158" s="151" t="str">
        <f>_xlfn.IFNA(VLOOKUP(D158,标准编码!A:B,2,0),"")</f>
        <v/>
      </c>
      <c r="D158" s="247">
        <v>1531020303</v>
      </c>
      <c r="E158" s="247" t="s">
        <v>3317</v>
      </c>
      <c r="F158" s="247" t="s">
        <v>3169</v>
      </c>
      <c r="G158" s="139">
        <v>0</v>
      </c>
      <c r="H158" s="139">
        <v>-6175155</v>
      </c>
      <c r="I158" s="139">
        <v>0</v>
      </c>
      <c r="J158" s="139">
        <v>-6175155</v>
      </c>
      <c r="K158" s="139">
        <v>0</v>
      </c>
      <c r="L158" s="139" t="s">
        <v>826</v>
      </c>
      <c r="M158" s="139">
        <v>6175155</v>
      </c>
    </row>
    <row r="159" spans="2:13">
      <c r="B159" s="151" t="str">
        <f>_xlfn.IFNA(VLOOKUP(D159,标准编码!A:B,2,0),"")</f>
        <v/>
      </c>
      <c r="D159" s="247">
        <v>1531020331</v>
      </c>
      <c r="E159" s="247" t="s">
        <v>3318</v>
      </c>
      <c r="F159" s="247" t="s">
        <v>825</v>
      </c>
      <c r="G159" s="139">
        <v>253028.38</v>
      </c>
      <c r="H159" s="139">
        <v>4240</v>
      </c>
      <c r="I159" s="139">
        <v>0</v>
      </c>
      <c r="J159" s="139">
        <v>4240</v>
      </c>
      <c r="K159" s="139">
        <v>0</v>
      </c>
      <c r="L159" s="139" t="s">
        <v>825</v>
      </c>
      <c r="M159" s="139">
        <v>257268.38</v>
      </c>
    </row>
    <row r="160" spans="2:13">
      <c r="B160" s="151" t="str">
        <f>_xlfn.IFNA(VLOOKUP(D160,标准编码!A:B,2,0),"")</f>
        <v/>
      </c>
      <c r="D160" s="247">
        <v>153102033101</v>
      </c>
      <c r="E160" s="247" t="s">
        <v>3319</v>
      </c>
      <c r="F160" s="247" t="s">
        <v>825</v>
      </c>
      <c r="G160" s="139">
        <v>11810</v>
      </c>
      <c r="H160" s="139">
        <v>2745</v>
      </c>
      <c r="I160" s="139">
        <v>0</v>
      </c>
      <c r="J160" s="139">
        <v>2745</v>
      </c>
      <c r="K160" s="139">
        <v>0</v>
      </c>
      <c r="L160" s="139" t="s">
        <v>825</v>
      </c>
      <c r="M160" s="139">
        <v>14555</v>
      </c>
    </row>
    <row r="161" spans="2:13">
      <c r="B161" s="151" t="str">
        <f>_xlfn.IFNA(VLOOKUP(D161,标准编码!A:B,2,0),"")</f>
        <v/>
      </c>
      <c r="D161" s="247">
        <v>153102033102</v>
      </c>
      <c r="E161" s="247" t="s">
        <v>3320</v>
      </c>
      <c r="F161" s="247" t="s">
        <v>825</v>
      </c>
      <c r="G161" s="139">
        <v>133643.98000000001</v>
      </c>
      <c r="H161" s="139">
        <v>1495</v>
      </c>
      <c r="I161" s="139">
        <v>0</v>
      </c>
      <c r="J161" s="139">
        <v>1495</v>
      </c>
      <c r="K161" s="139">
        <v>0</v>
      </c>
      <c r="L161" s="139" t="s">
        <v>825</v>
      </c>
      <c r="M161" s="139">
        <v>135138.98000000001</v>
      </c>
    </row>
    <row r="162" spans="2:13">
      <c r="B162" s="151" t="str">
        <f>_xlfn.IFNA(VLOOKUP(D162,标准编码!A:B,2,0),"")</f>
        <v/>
      </c>
      <c r="D162" s="247">
        <v>153102033103</v>
      </c>
      <c r="E162" s="247" t="s">
        <v>3321</v>
      </c>
      <c r="F162" s="247" t="s">
        <v>825</v>
      </c>
      <c r="G162" s="139">
        <v>30</v>
      </c>
      <c r="H162" s="139">
        <v>0</v>
      </c>
      <c r="I162" s="139">
        <v>0</v>
      </c>
      <c r="J162" s="139">
        <v>0</v>
      </c>
      <c r="K162" s="139">
        <v>0</v>
      </c>
      <c r="L162" s="139" t="s">
        <v>825</v>
      </c>
      <c r="M162" s="139">
        <v>30</v>
      </c>
    </row>
    <row r="163" spans="2:13">
      <c r="B163" s="151" t="str">
        <f>_xlfn.IFNA(VLOOKUP(D163,标准编码!A:B,2,0),"")</f>
        <v/>
      </c>
      <c r="D163" s="247">
        <v>153102033104</v>
      </c>
      <c r="E163" s="247" t="s">
        <v>3322</v>
      </c>
      <c r="F163" s="247" t="s">
        <v>825</v>
      </c>
      <c r="G163" s="139">
        <v>25439.94</v>
      </c>
      <c r="H163" s="139">
        <v>0</v>
      </c>
      <c r="I163" s="139">
        <v>0</v>
      </c>
      <c r="J163" s="139">
        <v>0</v>
      </c>
      <c r="K163" s="139">
        <v>0</v>
      </c>
      <c r="L163" s="139" t="s">
        <v>825</v>
      </c>
      <c r="M163" s="139">
        <v>25439.94</v>
      </c>
    </row>
    <row r="164" spans="2:13">
      <c r="B164" s="151" t="str">
        <f>_xlfn.IFNA(VLOOKUP(D164,标准编码!A:B,2,0),"")</f>
        <v/>
      </c>
      <c r="D164" s="247">
        <v>153102033105</v>
      </c>
      <c r="E164" s="247" t="s">
        <v>3323</v>
      </c>
      <c r="F164" s="247" t="s">
        <v>825</v>
      </c>
      <c r="G164" s="139">
        <v>53077.279999999999</v>
      </c>
      <c r="H164" s="139">
        <v>0</v>
      </c>
      <c r="I164" s="139">
        <v>0</v>
      </c>
      <c r="J164" s="139">
        <v>0</v>
      </c>
      <c r="K164" s="139">
        <v>0</v>
      </c>
      <c r="L164" s="139" t="s">
        <v>825</v>
      </c>
      <c r="M164" s="139">
        <v>53077.279999999999</v>
      </c>
    </row>
    <row r="165" spans="2:13">
      <c r="B165" s="151" t="str">
        <f>_xlfn.IFNA(VLOOKUP(D165,标准编码!A:B,2,0),"")</f>
        <v/>
      </c>
      <c r="D165" s="247">
        <v>153102033106</v>
      </c>
      <c r="E165" s="247" t="s">
        <v>3324</v>
      </c>
      <c r="F165" s="247" t="s">
        <v>825</v>
      </c>
      <c r="G165" s="139">
        <v>26718.48</v>
      </c>
      <c r="H165" s="139">
        <v>0</v>
      </c>
      <c r="I165" s="139">
        <v>0</v>
      </c>
      <c r="J165" s="139">
        <v>0</v>
      </c>
      <c r="K165" s="139">
        <v>0</v>
      </c>
      <c r="L165" s="139" t="s">
        <v>825</v>
      </c>
      <c r="M165" s="139">
        <v>26718.48</v>
      </c>
    </row>
    <row r="166" spans="2:13">
      <c r="B166" s="151" t="str">
        <f>_xlfn.IFNA(VLOOKUP(D166,标准编码!A:B,2,0),"")</f>
        <v/>
      </c>
      <c r="D166" s="247">
        <v>153102033109</v>
      </c>
      <c r="E166" s="247" t="s">
        <v>3325</v>
      </c>
      <c r="F166" s="247" t="s">
        <v>825</v>
      </c>
      <c r="G166" s="139">
        <v>2308.6999999999998</v>
      </c>
      <c r="H166" s="139">
        <v>0</v>
      </c>
      <c r="I166" s="139">
        <v>0</v>
      </c>
      <c r="J166" s="139">
        <v>0</v>
      </c>
      <c r="K166" s="139">
        <v>0</v>
      </c>
      <c r="L166" s="139" t="s">
        <v>825</v>
      </c>
      <c r="M166" s="139">
        <v>2308.6999999999998</v>
      </c>
    </row>
    <row r="167" spans="2:13">
      <c r="B167" s="151" t="str">
        <f>_xlfn.IFNA(VLOOKUP(D167,标准编码!A:B,2,0),"")</f>
        <v/>
      </c>
      <c r="D167" s="247">
        <v>153105</v>
      </c>
      <c r="E167" s="247" t="s">
        <v>3326</v>
      </c>
      <c r="F167" s="247" t="s">
        <v>825</v>
      </c>
      <c r="G167" s="139">
        <v>500000000</v>
      </c>
      <c r="H167" s="139">
        <v>0</v>
      </c>
      <c r="I167" s="139">
        <v>500000000</v>
      </c>
      <c r="J167" s="139">
        <v>0</v>
      </c>
      <c r="K167" s="139">
        <v>500000000</v>
      </c>
      <c r="L167" s="139" t="s">
        <v>3169</v>
      </c>
      <c r="M167" s="139">
        <v>0</v>
      </c>
    </row>
    <row r="168" spans="2:13">
      <c r="B168" s="151" t="str">
        <f>_xlfn.IFNA(VLOOKUP(D168,标准编码!A:B,2,0),"")</f>
        <v/>
      </c>
      <c r="D168" s="247">
        <v>153199</v>
      </c>
      <c r="E168" s="247" t="s">
        <v>3327</v>
      </c>
      <c r="F168" s="247" t="s">
        <v>825</v>
      </c>
      <c r="G168" s="139">
        <v>879909701.96000004</v>
      </c>
      <c r="H168" s="139">
        <v>20509618.32</v>
      </c>
      <c r="I168" s="139">
        <v>411557000</v>
      </c>
      <c r="J168" s="139">
        <v>20509618.32</v>
      </c>
      <c r="K168" s="139">
        <v>411557000</v>
      </c>
      <c r="L168" s="139" t="s">
        <v>825</v>
      </c>
      <c r="M168" s="139">
        <v>488862320.27999997</v>
      </c>
    </row>
    <row r="169" spans="2:13">
      <c r="B169" s="151" t="str">
        <f>_xlfn.IFNA(VLOOKUP(D169,标准编码!A:B,2,0),"")</f>
        <v/>
      </c>
      <c r="D169" s="247">
        <v>15319901</v>
      </c>
      <c r="E169" s="247" t="s">
        <v>3328</v>
      </c>
      <c r="F169" s="247" t="s">
        <v>825</v>
      </c>
      <c r="G169" s="139">
        <v>449014201.95999998</v>
      </c>
      <c r="H169" s="139">
        <v>20509618.32</v>
      </c>
      <c r="I169" s="139">
        <v>350000000</v>
      </c>
      <c r="J169" s="139">
        <v>20509618.32</v>
      </c>
      <c r="K169" s="139">
        <v>350000000</v>
      </c>
      <c r="L169" s="139" t="s">
        <v>825</v>
      </c>
      <c r="M169" s="139">
        <v>119523820.28</v>
      </c>
    </row>
    <row r="170" spans="2:13">
      <c r="B170" s="151" t="str">
        <f>_xlfn.IFNA(VLOOKUP(D170,标准编码!A:B,2,0),"")</f>
        <v/>
      </c>
      <c r="D170" s="247">
        <v>15319902</v>
      </c>
      <c r="E170" s="247" t="s">
        <v>3329</v>
      </c>
      <c r="F170" s="247" t="s">
        <v>825</v>
      </c>
      <c r="G170" s="139">
        <v>369338500</v>
      </c>
      <c r="H170" s="139">
        <v>0</v>
      </c>
      <c r="I170" s="139">
        <v>0</v>
      </c>
      <c r="J170" s="139">
        <v>0</v>
      </c>
      <c r="K170" s="139">
        <v>0</v>
      </c>
      <c r="L170" s="139" t="s">
        <v>825</v>
      </c>
      <c r="M170" s="139">
        <v>369338500</v>
      </c>
    </row>
    <row r="171" spans="2:13">
      <c r="B171" s="151" t="str">
        <f>_xlfn.IFNA(VLOOKUP(D171,标准编码!A:B,2,0),"")</f>
        <v/>
      </c>
      <c r="D171" s="247">
        <v>15319903</v>
      </c>
      <c r="E171" s="247" t="s">
        <v>3330</v>
      </c>
      <c r="F171" s="247" t="s">
        <v>825</v>
      </c>
      <c r="G171" s="139">
        <v>61557000</v>
      </c>
      <c r="H171" s="139">
        <v>0</v>
      </c>
      <c r="I171" s="139">
        <v>61557000</v>
      </c>
      <c r="J171" s="139">
        <v>0</v>
      </c>
      <c r="K171" s="139">
        <v>61557000</v>
      </c>
      <c r="L171" s="139" t="s">
        <v>3169</v>
      </c>
      <c r="M171" s="139">
        <v>0</v>
      </c>
    </row>
    <row r="172" spans="2:13">
      <c r="B172" s="151" t="str">
        <f>_xlfn.IFNA(VLOOKUP(D172,标准编码!A:B,2,0),"")</f>
        <v>固定资产</v>
      </c>
      <c r="D172" s="247">
        <v>1601</v>
      </c>
      <c r="E172" s="247" t="s">
        <v>3331</v>
      </c>
      <c r="F172" s="247" t="s">
        <v>825</v>
      </c>
      <c r="G172" s="139">
        <v>4959380222.8500004</v>
      </c>
      <c r="H172" s="139">
        <v>3611972.82</v>
      </c>
      <c r="I172" s="139">
        <v>608099645.57000005</v>
      </c>
      <c r="J172" s="139">
        <v>3611972.82</v>
      </c>
      <c r="K172" s="139">
        <v>608099645.57000005</v>
      </c>
      <c r="L172" s="139" t="s">
        <v>825</v>
      </c>
      <c r="M172" s="139">
        <v>4354892550.1000004</v>
      </c>
    </row>
    <row r="173" spans="2:13">
      <c r="B173" s="151" t="str">
        <f>_xlfn.IFNA(VLOOKUP(D173,标准编码!A:B,2,0),"")</f>
        <v/>
      </c>
      <c r="D173" s="247">
        <v>160101</v>
      </c>
      <c r="E173" s="247" t="s">
        <v>3332</v>
      </c>
      <c r="F173" s="247" t="s">
        <v>825</v>
      </c>
      <c r="G173" s="139">
        <v>879833955.77999997</v>
      </c>
      <c r="H173" s="139">
        <v>2723065.29</v>
      </c>
      <c r="I173" s="139">
        <v>605930460.57000005</v>
      </c>
      <c r="J173" s="139">
        <v>2723065.29</v>
      </c>
      <c r="K173" s="139">
        <v>605930460.57000005</v>
      </c>
      <c r="L173" s="139" t="s">
        <v>825</v>
      </c>
      <c r="M173" s="139">
        <v>276626560.5</v>
      </c>
    </row>
    <row r="174" spans="2:13">
      <c r="B174" s="151" t="str">
        <f>_xlfn.IFNA(VLOOKUP(D174,标准编码!A:B,2,0),"")</f>
        <v/>
      </c>
      <c r="D174" s="247">
        <v>16010101</v>
      </c>
      <c r="E174" s="247" t="s">
        <v>3333</v>
      </c>
      <c r="F174" s="247" t="s">
        <v>825</v>
      </c>
      <c r="G174" s="139">
        <v>728206596.66999996</v>
      </c>
      <c r="H174" s="139">
        <v>2668322.29</v>
      </c>
      <c r="I174" s="139">
        <v>605930460.57000005</v>
      </c>
      <c r="J174" s="139">
        <v>2668322.29</v>
      </c>
      <c r="K174" s="139">
        <v>605930460.57000005</v>
      </c>
      <c r="L174" s="139" t="s">
        <v>825</v>
      </c>
      <c r="M174" s="139">
        <v>124944458.39</v>
      </c>
    </row>
    <row r="175" spans="2:13">
      <c r="B175" s="151" t="str">
        <f>_xlfn.IFNA(VLOOKUP(D175,标准编码!A:B,2,0),"")</f>
        <v/>
      </c>
      <c r="D175" s="247">
        <v>16010102</v>
      </c>
      <c r="E175" s="247" t="s">
        <v>3334</v>
      </c>
      <c r="F175" s="247" t="s">
        <v>825</v>
      </c>
      <c r="G175" s="139">
        <v>5733356.9199999999</v>
      </c>
      <c r="H175" s="139">
        <v>54743</v>
      </c>
      <c r="I175" s="139">
        <v>0</v>
      </c>
      <c r="J175" s="139">
        <v>54743</v>
      </c>
      <c r="K175" s="139">
        <v>0</v>
      </c>
      <c r="L175" s="139" t="s">
        <v>825</v>
      </c>
      <c r="M175" s="139">
        <v>5788099.9199999999</v>
      </c>
    </row>
    <row r="176" spans="2:13">
      <c r="B176" s="151" t="str">
        <f>_xlfn.IFNA(VLOOKUP(D176,标准编码!A:B,2,0),"")</f>
        <v/>
      </c>
      <c r="D176" s="247">
        <v>16010103</v>
      </c>
      <c r="E176" s="247" t="s">
        <v>3335</v>
      </c>
      <c r="F176" s="247" t="s">
        <v>825</v>
      </c>
      <c r="G176" s="139">
        <v>143161744.84</v>
      </c>
      <c r="H176" s="139">
        <v>0</v>
      </c>
      <c r="I176" s="139">
        <v>0</v>
      </c>
      <c r="J176" s="139">
        <v>0</v>
      </c>
      <c r="K176" s="139">
        <v>0</v>
      </c>
      <c r="L176" s="139" t="s">
        <v>825</v>
      </c>
      <c r="M176" s="139">
        <v>143161744.84</v>
      </c>
    </row>
    <row r="177" spans="2:13">
      <c r="B177" s="151" t="str">
        <f>_xlfn.IFNA(VLOOKUP(D177,标准编码!A:B,2,0),"")</f>
        <v/>
      </c>
      <c r="D177" s="247">
        <v>16010105</v>
      </c>
      <c r="E177" s="247" t="s">
        <v>3336</v>
      </c>
      <c r="F177" s="247" t="s">
        <v>825</v>
      </c>
      <c r="G177" s="139">
        <v>2732257.35</v>
      </c>
      <c r="H177" s="139">
        <v>0</v>
      </c>
      <c r="I177" s="139">
        <v>0</v>
      </c>
      <c r="J177" s="139">
        <v>0</v>
      </c>
      <c r="K177" s="139">
        <v>0</v>
      </c>
      <c r="L177" s="139" t="s">
        <v>825</v>
      </c>
      <c r="M177" s="139">
        <v>2732257.35</v>
      </c>
    </row>
    <row r="178" spans="2:13">
      <c r="B178" s="151" t="str">
        <f>_xlfn.IFNA(VLOOKUP(D178,标准编码!A:B,2,0),"")</f>
        <v/>
      </c>
      <c r="D178" s="247">
        <v>160103</v>
      </c>
      <c r="E178" s="247" t="s">
        <v>3337</v>
      </c>
      <c r="F178" s="247" t="s">
        <v>825</v>
      </c>
      <c r="G178" s="139">
        <v>3964615.56</v>
      </c>
      <c r="H178" s="139">
        <v>0</v>
      </c>
      <c r="I178" s="139">
        <v>2169185</v>
      </c>
      <c r="J178" s="139">
        <v>0</v>
      </c>
      <c r="K178" s="139">
        <v>2169185</v>
      </c>
      <c r="L178" s="139" t="s">
        <v>825</v>
      </c>
      <c r="M178" s="139">
        <v>1795430.56</v>
      </c>
    </row>
    <row r="179" spans="2:13">
      <c r="B179" s="151" t="str">
        <f>_xlfn.IFNA(VLOOKUP(D179,标准编码!A:B,2,0),"")</f>
        <v/>
      </c>
      <c r="D179" s="247">
        <v>160104</v>
      </c>
      <c r="E179" s="247" t="s">
        <v>3338</v>
      </c>
      <c r="F179" s="247" t="s">
        <v>825</v>
      </c>
      <c r="G179" s="139">
        <v>4681651.51</v>
      </c>
      <c r="H179" s="139">
        <v>398872.76</v>
      </c>
      <c r="I179" s="139">
        <v>0</v>
      </c>
      <c r="J179" s="139">
        <v>398872.76</v>
      </c>
      <c r="K179" s="139">
        <v>0</v>
      </c>
      <c r="L179" s="139" t="s">
        <v>825</v>
      </c>
      <c r="M179" s="139">
        <v>5080524.2699999996</v>
      </c>
    </row>
    <row r="180" spans="2:13">
      <c r="B180" s="151" t="str">
        <f>_xlfn.IFNA(VLOOKUP(D180,标准编码!A:B,2,0),"")</f>
        <v/>
      </c>
      <c r="D180" s="247">
        <v>160105</v>
      </c>
      <c r="E180" s="247" t="s">
        <v>3339</v>
      </c>
      <c r="F180" s="247" t="s">
        <v>3169</v>
      </c>
      <c r="G180" s="139">
        <v>0</v>
      </c>
      <c r="H180" s="139">
        <v>490034.77</v>
      </c>
      <c r="I180" s="139">
        <v>0</v>
      </c>
      <c r="J180" s="139">
        <v>490034.77</v>
      </c>
      <c r="K180" s="139">
        <v>0</v>
      </c>
      <c r="L180" s="139" t="s">
        <v>825</v>
      </c>
      <c r="M180" s="139">
        <v>490034.77</v>
      </c>
    </row>
    <row r="181" spans="2:13">
      <c r="B181" s="151" t="str">
        <f>_xlfn.IFNA(VLOOKUP(D181,标准编码!A:B,2,0),"")</f>
        <v/>
      </c>
      <c r="D181" s="247">
        <v>160107</v>
      </c>
      <c r="E181" s="247" t="s">
        <v>3340</v>
      </c>
      <c r="F181" s="247" t="s">
        <v>825</v>
      </c>
      <c r="G181" s="139">
        <v>4070900000</v>
      </c>
      <c r="H181" s="139">
        <v>0</v>
      </c>
      <c r="I181" s="139">
        <v>0</v>
      </c>
      <c r="J181" s="139">
        <v>0</v>
      </c>
      <c r="K181" s="139">
        <v>0</v>
      </c>
      <c r="L181" s="139" t="s">
        <v>825</v>
      </c>
      <c r="M181" s="139">
        <v>4070900000</v>
      </c>
    </row>
    <row r="182" spans="2:13">
      <c r="B182" s="151" t="str">
        <f>_xlfn.IFNA(VLOOKUP(D182,标准编码!A:B,2,0),"")</f>
        <v>累计折旧</v>
      </c>
      <c r="D182" s="247">
        <v>1602</v>
      </c>
      <c r="E182" s="247" t="s">
        <v>3341</v>
      </c>
      <c r="F182" s="247" t="s">
        <v>826</v>
      </c>
      <c r="G182" s="139">
        <v>1440720349</v>
      </c>
      <c r="H182" s="139">
        <v>13050169.380000001</v>
      </c>
      <c r="I182" s="139">
        <v>94680966.159999996</v>
      </c>
      <c r="J182" s="139">
        <v>13050169.380000001</v>
      </c>
      <c r="K182" s="139">
        <v>94680966.159999996</v>
      </c>
      <c r="L182" s="139" t="s">
        <v>826</v>
      </c>
      <c r="M182" s="139">
        <v>1522351145.78</v>
      </c>
    </row>
    <row r="183" spans="2:13">
      <c r="B183" s="151" t="str">
        <f>_xlfn.IFNA(VLOOKUP(D183,标准编码!A:B,2,0),"")</f>
        <v/>
      </c>
      <c r="D183" s="247">
        <v>160201</v>
      </c>
      <c r="E183" s="247" t="s">
        <v>3342</v>
      </c>
      <c r="F183" s="247" t="s">
        <v>826</v>
      </c>
      <c r="G183" s="139">
        <v>51474358.170000002</v>
      </c>
      <c r="H183" s="139">
        <v>11166511.75</v>
      </c>
      <c r="I183" s="139">
        <v>12546686.880000001</v>
      </c>
      <c r="J183" s="139">
        <v>11166511.75</v>
      </c>
      <c r="K183" s="139">
        <v>12546686.880000001</v>
      </c>
      <c r="L183" s="139" t="s">
        <v>826</v>
      </c>
      <c r="M183" s="139">
        <v>52854533.299999997</v>
      </c>
    </row>
    <row r="184" spans="2:13">
      <c r="B184" s="151" t="str">
        <f>_xlfn.IFNA(VLOOKUP(D184,标准编码!A:B,2,0),"")</f>
        <v/>
      </c>
      <c r="D184" s="247">
        <v>16020101</v>
      </c>
      <c r="E184" s="247" t="s">
        <v>3343</v>
      </c>
      <c r="F184" s="247" t="s">
        <v>826</v>
      </c>
      <c r="G184" s="139">
        <v>25365448.48</v>
      </c>
      <c r="H184" s="139">
        <v>11166511.75</v>
      </c>
      <c r="I184" s="139">
        <v>9318884.75</v>
      </c>
      <c r="J184" s="139">
        <v>11166511.75</v>
      </c>
      <c r="K184" s="139">
        <v>9318884.75</v>
      </c>
      <c r="L184" s="139" t="s">
        <v>826</v>
      </c>
      <c r="M184" s="139">
        <v>23517821.48</v>
      </c>
    </row>
    <row r="185" spans="2:13">
      <c r="B185" s="151" t="str">
        <f>_xlfn.IFNA(VLOOKUP(D185,标准编码!A:B,2,0),"")</f>
        <v/>
      </c>
      <c r="D185" s="247">
        <v>16020102</v>
      </c>
      <c r="E185" s="247" t="s">
        <v>3344</v>
      </c>
      <c r="F185" s="247" t="s">
        <v>826</v>
      </c>
      <c r="G185" s="139">
        <v>3456411.24</v>
      </c>
      <c r="H185" s="139">
        <v>0</v>
      </c>
      <c r="I185" s="139">
        <v>148446.49</v>
      </c>
      <c r="J185" s="139">
        <v>0</v>
      </c>
      <c r="K185" s="139">
        <v>148446.49</v>
      </c>
      <c r="L185" s="139" t="s">
        <v>826</v>
      </c>
      <c r="M185" s="139">
        <v>3604857.73</v>
      </c>
    </row>
    <row r="186" spans="2:13">
      <c r="B186" s="151" t="str">
        <f>_xlfn.IFNA(VLOOKUP(D186,标准编码!A:B,2,0),"")</f>
        <v/>
      </c>
      <c r="D186" s="247">
        <v>16020103</v>
      </c>
      <c r="E186" s="247" t="s">
        <v>3345</v>
      </c>
      <c r="F186" s="247" t="s">
        <v>826</v>
      </c>
      <c r="G186" s="139">
        <v>21969434.300000001</v>
      </c>
      <c r="H186" s="139">
        <v>0</v>
      </c>
      <c r="I186" s="139">
        <v>3011049.24</v>
      </c>
      <c r="J186" s="139">
        <v>0</v>
      </c>
      <c r="K186" s="139">
        <v>3011049.24</v>
      </c>
      <c r="L186" s="139" t="s">
        <v>826</v>
      </c>
      <c r="M186" s="139">
        <v>24980483.539999999</v>
      </c>
    </row>
    <row r="187" spans="2:13">
      <c r="B187" s="151" t="str">
        <f>_xlfn.IFNA(VLOOKUP(D187,标准编码!A:B,2,0),"")</f>
        <v/>
      </c>
      <c r="D187" s="247">
        <v>16020105</v>
      </c>
      <c r="E187" s="247" t="s">
        <v>3346</v>
      </c>
      <c r="F187" s="247" t="s">
        <v>826</v>
      </c>
      <c r="G187" s="139">
        <v>683064.15</v>
      </c>
      <c r="H187" s="139">
        <v>0</v>
      </c>
      <c r="I187" s="139">
        <v>68306.399999999994</v>
      </c>
      <c r="J187" s="139">
        <v>0</v>
      </c>
      <c r="K187" s="139">
        <v>68306.399999999994</v>
      </c>
      <c r="L187" s="139" t="s">
        <v>826</v>
      </c>
      <c r="M187" s="139">
        <v>751370.55</v>
      </c>
    </row>
    <row r="188" spans="2:13">
      <c r="B188" s="151" t="str">
        <f>_xlfn.IFNA(VLOOKUP(D188,标准编码!A:B,2,0),"")</f>
        <v/>
      </c>
      <c r="D188" s="247">
        <v>160203</v>
      </c>
      <c r="E188" s="247" t="s">
        <v>3347</v>
      </c>
      <c r="F188" s="247" t="s">
        <v>826</v>
      </c>
      <c r="G188" s="139">
        <v>3208854.82</v>
      </c>
      <c r="H188" s="139">
        <v>1883657.63</v>
      </c>
      <c r="I188" s="139">
        <v>111193.43</v>
      </c>
      <c r="J188" s="139">
        <v>1883657.63</v>
      </c>
      <c r="K188" s="139">
        <v>111193.43</v>
      </c>
      <c r="L188" s="139" t="s">
        <v>826</v>
      </c>
      <c r="M188" s="139">
        <v>1436390.62</v>
      </c>
    </row>
    <row r="189" spans="2:13">
      <c r="B189" s="151" t="str">
        <f>_xlfn.IFNA(VLOOKUP(D189,标准编码!A:B,2,0),"")</f>
        <v/>
      </c>
      <c r="D189" s="247">
        <v>160204</v>
      </c>
      <c r="E189" s="247" t="s">
        <v>3348</v>
      </c>
      <c r="F189" s="247" t="s">
        <v>826</v>
      </c>
      <c r="G189" s="139">
        <v>1931136.01</v>
      </c>
      <c r="H189" s="139">
        <v>0</v>
      </c>
      <c r="I189" s="139">
        <v>605085.65</v>
      </c>
      <c r="J189" s="139">
        <v>0</v>
      </c>
      <c r="K189" s="139">
        <v>605085.65</v>
      </c>
      <c r="L189" s="139" t="s">
        <v>826</v>
      </c>
      <c r="M189" s="139">
        <v>2536221.66</v>
      </c>
    </row>
    <row r="190" spans="2:13">
      <c r="B190" s="151" t="str">
        <f>_xlfn.IFNA(VLOOKUP(D190,标准编码!A:B,2,0),"")</f>
        <v/>
      </c>
      <c r="D190" s="247">
        <v>160207</v>
      </c>
      <c r="E190" s="247" t="s">
        <v>3349</v>
      </c>
      <c r="F190" s="247" t="s">
        <v>826</v>
      </c>
      <c r="G190" s="139">
        <v>1384106000</v>
      </c>
      <c r="H190" s="139">
        <v>0</v>
      </c>
      <c r="I190" s="139">
        <v>81418000.200000003</v>
      </c>
      <c r="J190" s="139">
        <v>0</v>
      </c>
      <c r="K190" s="139">
        <v>81418000.200000003</v>
      </c>
      <c r="L190" s="139" t="s">
        <v>826</v>
      </c>
      <c r="M190" s="139">
        <v>1465524000.2</v>
      </c>
    </row>
    <row r="191" spans="2:13">
      <c r="B191" s="151" t="str">
        <f>_xlfn.IFNA(VLOOKUP(D191,标准编码!A:B,2,0),"")</f>
        <v>固定资产减值准备</v>
      </c>
      <c r="D191" s="247">
        <v>1603</v>
      </c>
      <c r="E191" s="247" t="s">
        <v>3350</v>
      </c>
      <c r="F191" s="247" t="s">
        <v>826</v>
      </c>
      <c r="G191" s="139">
        <v>7400539.3399999999</v>
      </c>
      <c r="H191" s="139">
        <v>305946.62</v>
      </c>
      <c r="I191" s="139">
        <v>0</v>
      </c>
      <c r="J191" s="139">
        <v>305946.62</v>
      </c>
      <c r="K191" s="139">
        <v>0</v>
      </c>
      <c r="L191" s="139" t="s">
        <v>826</v>
      </c>
      <c r="M191" s="139">
        <v>7094592.7199999997</v>
      </c>
    </row>
    <row r="192" spans="2:13">
      <c r="B192" s="151" t="str">
        <f>_xlfn.IFNA(VLOOKUP(D192,标准编码!A:B,2,0),"")</f>
        <v/>
      </c>
      <c r="D192" s="247">
        <v>160301</v>
      </c>
      <c r="E192" s="247" t="s">
        <v>3351</v>
      </c>
      <c r="F192" s="247" t="s">
        <v>826</v>
      </c>
      <c r="G192" s="139">
        <v>7400539.3399999999</v>
      </c>
      <c r="H192" s="139">
        <v>305946.62</v>
      </c>
      <c r="I192" s="139">
        <v>0</v>
      </c>
      <c r="J192" s="139">
        <v>305946.62</v>
      </c>
      <c r="K192" s="139">
        <v>0</v>
      </c>
      <c r="L192" s="139" t="s">
        <v>826</v>
      </c>
      <c r="M192" s="139">
        <v>7094592.7199999997</v>
      </c>
    </row>
    <row r="193" spans="2:13">
      <c r="B193" s="151" t="str">
        <f>_xlfn.IFNA(VLOOKUP(D193,标准编码!A:B,2,0),"")</f>
        <v/>
      </c>
      <c r="D193" s="247">
        <v>16030101</v>
      </c>
      <c r="E193" s="247" t="s">
        <v>3352</v>
      </c>
      <c r="F193" s="247" t="s">
        <v>826</v>
      </c>
      <c r="G193" s="139">
        <v>7400539.3399999999</v>
      </c>
      <c r="H193" s="139">
        <v>305946.62</v>
      </c>
      <c r="I193" s="139">
        <v>0</v>
      </c>
      <c r="J193" s="139">
        <v>305946.62</v>
      </c>
      <c r="K193" s="139">
        <v>0</v>
      </c>
      <c r="L193" s="139" t="s">
        <v>826</v>
      </c>
      <c r="M193" s="139">
        <v>7094592.7199999997</v>
      </c>
    </row>
    <row r="194" spans="2:13">
      <c r="B194" s="151" t="str">
        <f>_xlfn.IFNA(VLOOKUP(D194,标准编码!A:B,2,0),"")</f>
        <v>在建工程</v>
      </c>
      <c r="D194" s="247">
        <v>1604</v>
      </c>
      <c r="E194" s="247" t="s">
        <v>3353</v>
      </c>
      <c r="F194" s="247" t="s">
        <v>825</v>
      </c>
      <c r="G194" s="139">
        <v>91590263.939999998</v>
      </c>
      <c r="H194" s="139">
        <v>57224500.18</v>
      </c>
      <c r="I194" s="139">
        <v>0</v>
      </c>
      <c r="J194" s="139">
        <v>57224500.18</v>
      </c>
      <c r="K194" s="139">
        <v>0</v>
      </c>
      <c r="L194" s="139" t="s">
        <v>825</v>
      </c>
      <c r="M194" s="139">
        <v>148814764.12</v>
      </c>
    </row>
    <row r="195" spans="2:13">
      <c r="B195" s="151" t="str">
        <f>_xlfn.IFNA(VLOOKUP(D195,标准编码!A:B,2,0),"")</f>
        <v/>
      </c>
      <c r="D195" s="247">
        <v>160401</v>
      </c>
      <c r="E195" s="247" t="s">
        <v>3354</v>
      </c>
      <c r="F195" s="247" t="s">
        <v>3169</v>
      </c>
      <c r="G195" s="139">
        <v>0</v>
      </c>
      <c r="H195" s="139">
        <v>0</v>
      </c>
      <c r="I195" s="139">
        <v>0</v>
      </c>
      <c r="J195" s="139">
        <v>0</v>
      </c>
      <c r="K195" s="139">
        <v>0</v>
      </c>
      <c r="L195" s="139" t="s">
        <v>3169</v>
      </c>
      <c r="M195" s="139">
        <v>0</v>
      </c>
    </row>
    <row r="196" spans="2:13">
      <c r="B196" s="151" t="str">
        <f>_xlfn.IFNA(VLOOKUP(D196,标准编码!A:B,2,0),"")</f>
        <v/>
      </c>
      <c r="D196" s="247">
        <v>16040101</v>
      </c>
      <c r="E196" s="247" t="s">
        <v>3355</v>
      </c>
      <c r="F196" s="247" t="s">
        <v>826</v>
      </c>
      <c r="G196" s="139">
        <v>1501157.69</v>
      </c>
      <c r="H196" s="139">
        <v>0</v>
      </c>
      <c r="I196" s="139">
        <v>0</v>
      </c>
      <c r="J196" s="139">
        <v>0</v>
      </c>
      <c r="K196" s="139">
        <v>0</v>
      </c>
      <c r="L196" s="139" t="s">
        <v>826</v>
      </c>
      <c r="M196" s="139">
        <v>1501157.69</v>
      </c>
    </row>
    <row r="197" spans="2:13">
      <c r="B197" s="151" t="str">
        <f>_xlfn.IFNA(VLOOKUP(D197,标准编码!A:B,2,0),"")</f>
        <v/>
      </c>
      <c r="D197" s="247">
        <v>1604010102</v>
      </c>
      <c r="E197" s="247" t="s">
        <v>3356</v>
      </c>
      <c r="F197" s="247" t="s">
        <v>826</v>
      </c>
      <c r="G197" s="139">
        <v>1501157.69</v>
      </c>
      <c r="H197" s="139">
        <v>0</v>
      </c>
      <c r="I197" s="139">
        <v>0</v>
      </c>
      <c r="J197" s="139">
        <v>0</v>
      </c>
      <c r="K197" s="139">
        <v>0</v>
      </c>
      <c r="L197" s="139" t="s">
        <v>826</v>
      </c>
      <c r="M197" s="139">
        <v>1501157.69</v>
      </c>
    </row>
    <row r="198" spans="2:13">
      <c r="B198" s="151" t="str">
        <f>_xlfn.IFNA(VLOOKUP(D198,标准编码!A:B,2,0),"")</f>
        <v/>
      </c>
      <c r="D198" s="247">
        <v>16040102</v>
      </c>
      <c r="E198" s="247" t="s">
        <v>3357</v>
      </c>
      <c r="F198" s="247" t="s">
        <v>825</v>
      </c>
      <c r="G198" s="139">
        <v>1501157.69</v>
      </c>
      <c r="H198" s="139">
        <v>0</v>
      </c>
      <c r="I198" s="139">
        <v>0</v>
      </c>
      <c r="J198" s="139">
        <v>0</v>
      </c>
      <c r="K198" s="139">
        <v>0</v>
      </c>
      <c r="L198" s="139" t="s">
        <v>825</v>
      </c>
      <c r="M198" s="139">
        <v>1501157.69</v>
      </c>
    </row>
    <row r="199" spans="2:13">
      <c r="B199" s="151" t="str">
        <f>_xlfn.IFNA(VLOOKUP(D199,标准编码!A:B,2,0),"")</f>
        <v/>
      </c>
      <c r="D199" s="247">
        <v>160404</v>
      </c>
      <c r="E199" s="247" t="s">
        <v>3358</v>
      </c>
      <c r="F199" s="247" t="s">
        <v>825</v>
      </c>
      <c r="G199" s="139">
        <v>91590263.939999998</v>
      </c>
      <c r="H199" s="139">
        <v>57224500.18</v>
      </c>
      <c r="I199" s="139">
        <v>0</v>
      </c>
      <c r="J199" s="139">
        <v>57224500.18</v>
      </c>
      <c r="K199" s="139">
        <v>0</v>
      </c>
      <c r="L199" s="139" t="s">
        <v>825</v>
      </c>
      <c r="M199" s="139">
        <v>148814764.12</v>
      </c>
    </row>
    <row r="200" spans="2:13">
      <c r="B200" s="151" t="str">
        <f>_xlfn.IFNA(VLOOKUP(D200,标准编码!A:B,2,0),"")</f>
        <v/>
      </c>
      <c r="D200" s="247">
        <v>16040401</v>
      </c>
      <c r="E200" s="247" t="s">
        <v>3359</v>
      </c>
      <c r="F200" s="247" t="s">
        <v>825</v>
      </c>
      <c r="G200" s="139">
        <v>81551693.969999999</v>
      </c>
      <c r="H200" s="139">
        <v>46068956.979999997</v>
      </c>
      <c r="I200" s="139">
        <v>0</v>
      </c>
      <c r="J200" s="139">
        <v>46068956.979999997</v>
      </c>
      <c r="K200" s="139">
        <v>0</v>
      </c>
      <c r="L200" s="139" t="s">
        <v>825</v>
      </c>
      <c r="M200" s="139">
        <v>127620650.95</v>
      </c>
    </row>
    <row r="201" spans="2:13">
      <c r="B201" s="151" t="str">
        <f>_xlfn.IFNA(VLOOKUP(D201,标准编码!A:B,2,0),"")</f>
        <v/>
      </c>
      <c r="D201" s="247">
        <v>1604040101</v>
      </c>
      <c r="E201" s="247" t="s">
        <v>3360</v>
      </c>
      <c r="F201" s="247" t="s">
        <v>825</v>
      </c>
      <c r="G201" s="139">
        <v>81551693.969999999</v>
      </c>
      <c r="H201" s="139">
        <v>28329582.140000001</v>
      </c>
      <c r="I201" s="139">
        <v>0</v>
      </c>
      <c r="J201" s="139">
        <v>28329582.140000001</v>
      </c>
      <c r="K201" s="139">
        <v>0</v>
      </c>
      <c r="L201" s="139" t="s">
        <v>825</v>
      </c>
      <c r="M201" s="139">
        <v>109881276.11</v>
      </c>
    </row>
    <row r="202" spans="2:13">
      <c r="B202" s="151" t="str">
        <f>_xlfn.IFNA(VLOOKUP(D202,标准编码!A:B,2,0),"")</f>
        <v/>
      </c>
      <c r="D202" s="247">
        <v>1604040102</v>
      </c>
      <c r="E202" s="247" t="s">
        <v>3361</v>
      </c>
      <c r="F202" s="247" t="s">
        <v>3169</v>
      </c>
      <c r="G202" s="139">
        <v>0</v>
      </c>
      <c r="H202" s="139">
        <v>17739374.84</v>
      </c>
      <c r="I202" s="139">
        <v>0</v>
      </c>
      <c r="J202" s="139">
        <v>17739374.84</v>
      </c>
      <c r="K202" s="139">
        <v>0</v>
      </c>
      <c r="L202" s="139" t="s">
        <v>825</v>
      </c>
      <c r="M202" s="139">
        <v>17739374.84</v>
      </c>
    </row>
    <row r="203" spans="2:13">
      <c r="B203" s="151" t="str">
        <f>_xlfn.IFNA(VLOOKUP(D203,标准编码!A:B,2,0),"")</f>
        <v/>
      </c>
      <c r="D203" s="247">
        <v>16040403</v>
      </c>
      <c r="E203" s="247" t="s">
        <v>3362</v>
      </c>
      <c r="F203" s="247" t="s">
        <v>825</v>
      </c>
      <c r="G203" s="139">
        <v>10038569.970000001</v>
      </c>
      <c r="H203" s="139">
        <v>11155543.199999999</v>
      </c>
      <c r="I203" s="139">
        <v>0</v>
      </c>
      <c r="J203" s="139">
        <v>11155543.199999999</v>
      </c>
      <c r="K203" s="139">
        <v>0</v>
      </c>
      <c r="L203" s="139" t="s">
        <v>825</v>
      </c>
      <c r="M203" s="139">
        <v>21194113.170000002</v>
      </c>
    </row>
    <row r="204" spans="2:13">
      <c r="B204" s="151" t="str">
        <f>_xlfn.IFNA(VLOOKUP(D204,标准编码!A:B,2,0),"")</f>
        <v/>
      </c>
      <c r="D204" s="247">
        <v>1604040301</v>
      </c>
      <c r="E204" s="247" t="s">
        <v>3363</v>
      </c>
      <c r="F204" s="247" t="s">
        <v>3169</v>
      </c>
      <c r="G204" s="139">
        <v>0</v>
      </c>
      <c r="H204" s="139">
        <v>2180502.84</v>
      </c>
      <c r="I204" s="139">
        <v>0</v>
      </c>
      <c r="J204" s="139">
        <v>2180502.84</v>
      </c>
      <c r="K204" s="139">
        <v>0</v>
      </c>
      <c r="L204" s="139" t="s">
        <v>825</v>
      </c>
      <c r="M204" s="139">
        <v>2180502.84</v>
      </c>
    </row>
    <row r="205" spans="2:13">
      <c r="B205" s="151" t="str">
        <f>_xlfn.IFNA(VLOOKUP(D205,标准编码!A:B,2,0),"")</f>
        <v/>
      </c>
      <c r="D205" s="247">
        <v>1604040302</v>
      </c>
      <c r="E205" s="247" t="s">
        <v>3364</v>
      </c>
      <c r="F205" s="247" t="s">
        <v>825</v>
      </c>
      <c r="G205" s="139">
        <v>100000</v>
      </c>
      <c r="H205" s="139">
        <v>0</v>
      </c>
      <c r="I205" s="139">
        <v>0</v>
      </c>
      <c r="J205" s="139">
        <v>0</v>
      </c>
      <c r="K205" s="139">
        <v>0</v>
      </c>
      <c r="L205" s="139" t="s">
        <v>825</v>
      </c>
      <c r="M205" s="139">
        <v>100000</v>
      </c>
    </row>
    <row r="206" spans="2:13">
      <c r="B206" s="151" t="str">
        <f>_xlfn.IFNA(VLOOKUP(D206,标准编码!A:B,2,0),"")</f>
        <v/>
      </c>
      <c r="D206" s="247">
        <v>1604040304</v>
      </c>
      <c r="E206" s="247" t="s">
        <v>3365</v>
      </c>
      <c r="F206" s="247" t="s">
        <v>825</v>
      </c>
      <c r="G206" s="139">
        <v>6720364.1500000004</v>
      </c>
      <c r="H206" s="139">
        <v>2673069.81</v>
      </c>
      <c r="I206" s="139">
        <v>0</v>
      </c>
      <c r="J206" s="139">
        <v>2673069.81</v>
      </c>
      <c r="K206" s="139">
        <v>0</v>
      </c>
      <c r="L206" s="139" t="s">
        <v>825</v>
      </c>
      <c r="M206" s="139">
        <v>9393433.9600000009</v>
      </c>
    </row>
    <row r="207" spans="2:13">
      <c r="B207" s="151" t="str">
        <f>_xlfn.IFNA(VLOOKUP(D207,标准编码!A:B,2,0),"")</f>
        <v/>
      </c>
      <c r="D207" s="247">
        <v>1604040306</v>
      </c>
      <c r="E207" s="247" t="s">
        <v>3366</v>
      </c>
      <c r="F207" s="247" t="s">
        <v>3169</v>
      </c>
      <c r="G207" s="139">
        <v>0</v>
      </c>
      <c r="H207" s="139">
        <v>739433.95</v>
      </c>
      <c r="I207" s="139">
        <v>0</v>
      </c>
      <c r="J207" s="139">
        <v>739433.95</v>
      </c>
      <c r="K207" s="139">
        <v>0</v>
      </c>
      <c r="L207" s="139" t="s">
        <v>825</v>
      </c>
      <c r="M207" s="139">
        <v>739433.95</v>
      </c>
    </row>
    <row r="208" spans="2:13">
      <c r="B208" s="151" t="str">
        <f>_xlfn.IFNA(VLOOKUP(D208,标准编码!A:B,2,0),"")</f>
        <v/>
      </c>
      <c r="D208" s="247">
        <v>1604040310</v>
      </c>
      <c r="E208" s="247" t="s">
        <v>3367</v>
      </c>
      <c r="F208" s="247" t="s">
        <v>825</v>
      </c>
      <c r="G208" s="139">
        <v>1809201.89</v>
      </c>
      <c r="H208" s="139">
        <v>204849.06</v>
      </c>
      <c r="I208" s="139">
        <v>0</v>
      </c>
      <c r="J208" s="139">
        <v>204849.06</v>
      </c>
      <c r="K208" s="139">
        <v>0</v>
      </c>
      <c r="L208" s="139" t="s">
        <v>825</v>
      </c>
      <c r="M208" s="139">
        <v>2014050.95</v>
      </c>
    </row>
    <row r="209" spans="2:13">
      <c r="B209" s="151" t="str">
        <f>_xlfn.IFNA(VLOOKUP(D209,标准编码!A:B,2,0),"")</f>
        <v/>
      </c>
      <c r="D209" s="247">
        <v>1604040313</v>
      </c>
      <c r="E209" s="247" t="s">
        <v>3368</v>
      </c>
      <c r="F209" s="247" t="s">
        <v>825</v>
      </c>
      <c r="G209" s="139">
        <v>59612.26</v>
      </c>
      <c r="H209" s="139">
        <v>35377.360000000001</v>
      </c>
      <c r="I209" s="139">
        <v>0</v>
      </c>
      <c r="J209" s="139">
        <v>35377.360000000001</v>
      </c>
      <c r="K209" s="139">
        <v>0</v>
      </c>
      <c r="L209" s="139" t="s">
        <v>825</v>
      </c>
      <c r="M209" s="139">
        <v>94989.62</v>
      </c>
    </row>
    <row r="210" spans="2:13">
      <c r="B210" s="151" t="str">
        <f>_xlfn.IFNA(VLOOKUP(D210,标准编码!A:B,2,0),"")</f>
        <v/>
      </c>
      <c r="D210" s="247">
        <v>1604040314</v>
      </c>
      <c r="E210" s="247" t="s">
        <v>3369</v>
      </c>
      <c r="F210" s="247" t="s">
        <v>825</v>
      </c>
      <c r="G210" s="139">
        <v>17433.96</v>
      </c>
      <c r="H210" s="139">
        <v>8000</v>
      </c>
      <c r="I210" s="139">
        <v>0</v>
      </c>
      <c r="J210" s="139">
        <v>8000</v>
      </c>
      <c r="K210" s="139">
        <v>0</v>
      </c>
      <c r="L210" s="139" t="s">
        <v>825</v>
      </c>
      <c r="M210" s="139">
        <v>25433.96</v>
      </c>
    </row>
    <row r="211" spans="2:13">
      <c r="B211" s="151" t="str">
        <f>_xlfn.IFNA(VLOOKUP(D211,标准编码!A:B,2,0),"")</f>
        <v/>
      </c>
      <c r="D211" s="247">
        <v>1604040331</v>
      </c>
      <c r="E211" s="247" t="s">
        <v>3370</v>
      </c>
      <c r="F211" s="247" t="s">
        <v>825</v>
      </c>
      <c r="G211" s="139">
        <v>1331957.71</v>
      </c>
      <c r="H211" s="139">
        <v>5314310.18</v>
      </c>
      <c r="I211" s="139">
        <v>0</v>
      </c>
      <c r="J211" s="139">
        <v>5314310.18</v>
      </c>
      <c r="K211" s="139">
        <v>0</v>
      </c>
      <c r="L211" s="139" t="s">
        <v>825</v>
      </c>
      <c r="M211" s="139">
        <v>6646267.8899999997</v>
      </c>
    </row>
    <row r="212" spans="2:13">
      <c r="B212" s="151" t="str">
        <f>_xlfn.IFNA(VLOOKUP(D212,标准编码!A:B,2,0),"")</f>
        <v/>
      </c>
      <c r="D212" s="247">
        <v>160404033101</v>
      </c>
      <c r="E212" s="247" t="s">
        <v>3371</v>
      </c>
      <c r="F212" s="247" t="s">
        <v>825</v>
      </c>
      <c r="G212" s="139">
        <v>489696.23</v>
      </c>
      <c r="H212" s="139">
        <v>28301.89</v>
      </c>
      <c r="I212" s="139">
        <v>0</v>
      </c>
      <c r="J212" s="139">
        <v>28301.89</v>
      </c>
      <c r="K212" s="139">
        <v>0</v>
      </c>
      <c r="L212" s="139" t="s">
        <v>825</v>
      </c>
      <c r="M212" s="139">
        <v>517998.12</v>
      </c>
    </row>
    <row r="213" spans="2:13">
      <c r="B213" s="151" t="str">
        <f>_xlfn.IFNA(VLOOKUP(D213,标准编码!A:B,2,0),"")</f>
        <v/>
      </c>
      <c r="D213" s="247">
        <v>160404033102</v>
      </c>
      <c r="E213" s="247" t="s">
        <v>3372</v>
      </c>
      <c r="F213" s="247" t="s">
        <v>825</v>
      </c>
      <c r="G213" s="139">
        <v>442700.94</v>
      </c>
      <c r="H213" s="139">
        <v>384591.51</v>
      </c>
      <c r="I213" s="139">
        <v>0</v>
      </c>
      <c r="J213" s="139">
        <v>384591.51</v>
      </c>
      <c r="K213" s="139">
        <v>0</v>
      </c>
      <c r="L213" s="139" t="s">
        <v>825</v>
      </c>
      <c r="M213" s="139">
        <v>827292.45</v>
      </c>
    </row>
    <row r="214" spans="2:13">
      <c r="B214" s="151" t="str">
        <f>_xlfn.IFNA(VLOOKUP(D214,标准编码!A:B,2,0),"")</f>
        <v/>
      </c>
      <c r="D214" s="247">
        <v>160404033103</v>
      </c>
      <c r="E214" s="247" t="s">
        <v>3373</v>
      </c>
      <c r="F214" s="247" t="s">
        <v>825</v>
      </c>
      <c r="G214" s="139">
        <v>152830.19</v>
      </c>
      <c r="H214" s="139">
        <v>0</v>
      </c>
      <c r="I214" s="139">
        <v>0</v>
      </c>
      <c r="J214" s="139">
        <v>0</v>
      </c>
      <c r="K214" s="139">
        <v>0</v>
      </c>
      <c r="L214" s="139" t="s">
        <v>825</v>
      </c>
      <c r="M214" s="139">
        <v>152830.19</v>
      </c>
    </row>
    <row r="215" spans="2:13">
      <c r="B215" s="151" t="str">
        <f>_xlfn.IFNA(VLOOKUP(D215,标准编码!A:B,2,0),"")</f>
        <v/>
      </c>
      <c r="D215" s="247">
        <v>160404033109</v>
      </c>
      <c r="E215" s="247" t="s">
        <v>3374</v>
      </c>
      <c r="F215" s="247" t="s">
        <v>825</v>
      </c>
      <c r="G215" s="139">
        <v>246730.35</v>
      </c>
      <c r="H215" s="139">
        <v>4901416.78</v>
      </c>
      <c r="I215" s="139">
        <v>0</v>
      </c>
      <c r="J215" s="139">
        <v>4901416.78</v>
      </c>
      <c r="K215" s="139">
        <v>0</v>
      </c>
      <c r="L215" s="139" t="s">
        <v>825</v>
      </c>
      <c r="M215" s="139">
        <v>5148147.13</v>
      </c>
    </row>
    <row r="216" spans="2:13">
      <c r="B216" s="151" t="str">
        <f>_xlfn.IFNA(VLOOKUP(D216,标准编码!A:B,2,0),"")</f>
        <v/>
      </c>
      <c r="D216" s="247">
        <v>160412</v>
      </c>
      <c r="E216" s="247" t="s">
        <v>3375</v>
      </c>
      <c r="F216" s="247" t="s">
        <v>3169</v>
      </c>
      <c r="G216" s="139">
        <v>0</v>
      </c>
      <c r="H216" s="139">
        <v>0</v>
      </c>
      <c r="I216" s="139">
        <v>0</v>
      </c>
      <c r="J216" s="139">
        <v>0</v>
      </c>
      <c r="K216" s="139">
        <v>0</v>
      </c>
      <c r="L216" s="139" t="s">
        <v>3169</v>
      </c>
      <c r="M216" s="139">
        <v>0</v>
      </c>
    </row>
    <row r="217" spans="2:13">
      <c r="B217" s="151" t="str">
        <f>_xlfn.IFNA(VLOOKUP(D217,标准编码!A:B,2,0),"")</f>
        <v/>
      </c>
      <c r="D217" s="247">
        <v>16041201</v>
      </c>
      <c r="E217" s="247" t="s">
        <v>3376</v>
      </c>
      <c r="F217" s="247" t="s">
        <v>3169</v>
      </c>
      <c r="G217" s="139">
        <v>0</v>
      </c>
      <c r="H217" s="139">
        <v>0</v>
      </c>
      <c r="I217" s="139">
        <v>0</v>
      </c>
      <c r="J217" s="139">
        <v>0</v>
      </c>
      <c r="K217" s="139">
        <v>0</v>
      </c>
      <c r="L217" s="139" t="s">
        <v>3169</v>
      </c>
      <c r="M217" s="139">
        <v>0</v>
      </c>
    </row>
    <row r="218" spans="2:13">
      <c r="B218" s="151" t="str">
        <f>_xlfn.IFNA(VLOOKUP(D218,标准编码!A:B,2,0),"")</f>
        <v/>
      </c>
      <c r="D218" s="247">
        <v>1604120101</v>
      </c>
      <c r="E218" s="247" t="s">
        <v>3377</v>
      </c>
      <c r="F218" s="247" t="s">
        <v>3169</v>
      </c>
      <c r="G218" s="139">
        <v>0</v>
      </c>
      <c r="H218" s="139">
        <v>0</v>
      </c>
      <c r="I218" s="139">
        <v>0</v>
      </c>
      <c r="J218" s="139">
        <v>0</v>
      </c>
      <c r="K218" s="139">
        <v>0</v>
      </c>
      <c r="L218" s="139" t="s">
        <v>3169</v>
      </c>
      <c r="M218" s="139">
        <v>0</v>
      </c>
    </row>
    <row r="219" spans="2:13">
      <c r="B219" s="151" t="str">
        <f>_xlfn.IFNA(VLOOKUP(D219,标准编码!A:B,2,0),"")</f>
        <v/>
      </c>
      <c r="D219" s="247">
        <v>1604120102</v>
      </c>
      <c r="E219" s="247" t="s">
        <v>3378</v>
      </c>
      <c r="F219" s="247" t="s">
        <v>3169</v>
      </c>
      <c r="G219" s="139">
        <v>0</v>
      </c>
      <c r="H219" s="139">
        <v>0</v>
      </c>
      <c r="I219" s="139">
        <v>0</v>
      </c>
      <c r="J219" s="139">
        <v>0</v>
      </c>
      <c r="K219" s="139">
        <v>0</v>
      </c>
      <c r="L219" s="139" t="s">
        <v>3169</v>
      </c>
      <c r="M219" s="139">
        <v>0</v>
      </c>
    </row>
    <row r="220" spans="2:13">
      <c r="B220" s="151" t="str">
        <f>_xlfn.IFNA(VLOOKUP(D220,标准编码!A:B,2,0),"")</f>
        <v/>
      </c>
      <c r="D220" s="247">
        <v>16041203</v>
      </c>
      <c r="E220" s="247" t="s">
        <v>3379</v>
      </c>
      <c r="F220" s="247" t="s">
        <v>3169</v>
      </c>
      <c r="G220" s="139">
        <v>0</v>
      </c>
      <c r="H220" s="139">
        <v>0</v>
      </c>
      <c r="I220" s="139">
        <v>0</v>
      </c>
      <c r="J220" s="139">
        <v>0</v>
      </c>
      <c r="K220" s="139">
        <v>0</v>
      </c>
      <c r="L220" s="139" t="s">
        <v>3169</v>
      </c>
      <c r="M220" s="139">
        <v>0</v>
      </c>
    </row>
    <row r="221" spans="2:13">
      <c r="B221" s="151" t="str">
        <f>_xlfn.IFNA(VLOOKUP(D221,标准编码!A:B,2,0),"")</f>
        <v/>
      </c>
      <c r="D221" s="247">
        <v>1604120331</v>
      </c>
      <c r="E221" s="247" t="s">
        <v>3380</v>
      </c>
      <c r="F221" s="247" t="s">
        <v>3169</v>
      </c>
      <c r="G221" s="139">
        <v>0</v>
      </c>
      <c r="H221" s="139">
        <v>0</v>
      </c>
      <c r="I221" s="139">
        <v>0</v>
      </c>
      <c r="J221" s="139">
        <v>0</v>
      </c>
      <c r="K221" s="139">
        <v>0</v>
      </c>
      <c r="L221" s="139" t="s">
        <v>3169</v>
      </c>
      <c r="M221" s="139">
        <v>0</v>
      </c>
    </row>
    <row r="222" spans="2:13">
      <c r="B222" s="151" t="str">
        <f>_xlfn.IFNA(VLOOKUP(D222,标准编码!A:B,2,0),"")</f>
        <v/>
      </c>
      <c r="D222" s="247">
        <v>160412033104</v>
      </c>
      <c r="E222" s="247" t="s">
        <v>3381</v>
      </c>
      <c r="F222" s="247" t="s">
        <v>3169</v>
      </c>
      <c r="G222" s="139">
        <v>0</v>
      </c>
      <c r="H222" s="139">
        <v>0</v>
      </c>
      <c r="I222" s="139">
        <v>0</v>
      </c>
      <c r="J222" s="139">
        <v>0</v>
      </c>
      <c r="K222" s="139">
        <v>0</v>
      </c>
      <c r="L222" s="139" t="s">
        <v>3169</v>
      </c>
      <c r="M222" s="139">
        <v>0</v>
      </c>
    </row>
    <row r="223" spans="2:13">
      <c r="B223" s="151" t="str">
        <f>_xlfn.IFNA(VLOOKUP(D223,标准编码!A:B,2,0),"")</f>
        <v>固定资产清理</v>
      </c>
      <c r="D223" s="247">
        <v>1606</v>
      </c>
      <c r="E223" s="247" t="s">
        <v>3382</v>
      </c>
      <c r="F223" s="247" t="s">
        <v>3169</v>
      </c>
      <c r="G223" s="139">
        <v>0</v>
      </c>
      <c r="H223" s="139">
        <v>2464050.13</v>
      </c>
      <c r="I223" s="139">
        <v>2464050.13</v>
      </c>
      <c r="J223" s="139">
        <v>2464050.13</v>
      </c>
      <c r="K223" s="139">
        <v>2464050.13</v>
      </c>
      <c r="L223" s="139" t="s">
        <v>3169</v>
      </c>
      <c r="M223" s="139">
        <v>0</v>
      </c>
    </row>
    <row r="224" spans="2:13">
      <c r="B224" s="151" t="str">
        <f>_xlfn.IFNA(VLOOKUP(D224,标准编码!A:B,2,0),"")</f>
        <v/>
      </c>
      <c r="D224" s="247">
        <v>160601</v>
      </c>
      <c r="E224" s="247" t="s">
        <v>3383</v>
      </c>
      <c r="F224" s="247" t="s">
        <v>3169</v>
      </c>
      <c r="G224" s="139">
        <v>0</v>
      </c>
      <c r="H224" s="139">
        <v>1897563.23</v>
      </c>
      <c r="I224" s="139">
        <v>1897563.23</v>
      </c>
      <c r="J224" s="139">
        <v>1897563.23</v>
      </c>
      <c r="K224" s="139">
        <v>1897563.23</v>
      </c>
      <c r="L224" s="139" t="s">
        <v>3169</v>
      </c>
      <c r="M224" s="139">
        <v>0</v>
      </c>
    </row>
    <row r="225" spans="2:13">
      <c r="B225" s="151" t="str">
        <f>_xlfn.IFNA(VLOOKUP(D225,标准编码!A:B,2,0),"")</f>
        <v/>
      </c>
      <c r="D225" s="247">
        <v>160603</v>
      </c>
      <c r="E225" s="247" t="s">
        <v>3384</v>
      </c>
      <c r="F225" s="247" t="s">
        <v>3169</v>
      </c>
      <c r="G225" s="139">
        <v>0</v>
      </c>
      <c r="H225" s="139">
        <v>566486.9</v>
      </c>
      <c r="I225" s="139">
        <v>566486.9</v>
      </c>
      <c r="J225" s="139">
        <v>566486.9</v>
      </c>
      <c r="K225" s="139">
        <v>566486.9</v>
      </c>
      <c r="L225" s="139" t="s">
        <v>3169</v>
      </c>
      <c r="M225" s="139">
        <v>0</v>
      </c>
    </row>
    <row r="226" spans="2:13">
      <c r="B226" s="151" t="str">
        <f>_xlfn.IFNA(VLOOKUP(D226,标准编码!A:B,2,0),"")</f>
        <v>长期待摊费用</v>
      </c>
      <c r="D226" s="247">
        <v>1801</v>
      </c>
      <c r="E226" s="247" t="s">
        <v>3385</v>
      </c>
      <c r="F226" s="247" t="s">
        <v>825</v>
      </c>
      <c r="G226" s="139">
        <v>37984790.729999997</v>
      </c>
      <c r="H226" s="139">
        <v>3137042.3</v>
      </c>
      <c r="I226" s="139">
        <v>14370336.720000001</v>
      </c>
      <c r="J226" s="139">
        <v>3137042.3</v>
      </c>
      <c r="K226" s="139">
        <v>14370336.720000001</v>
      </c>
      <c r="L226" s="139" t="s">
        <v>825</v>
      </c>
      <c r="M226" s="139">
        <v>26751496.309999999</v>
      </c>
    </row>
    <row r="227" spans="2:13">
      <c r="B227" s="151" t="str">
        <f>_xlfn.IFNA(VLOOKUP(D227,标准编码!A:B,2,0),"")</f>
        <v/>
      </c>
      <c r="D227" s="247">
        <v>180103</v>
      </c>
      <c r="E227" s="247" t="s">
        <v>3386</v>
      </c>
      <c r="F227" s="247" t="s">
        <v>825</v>
      </c>
      <c r="G227" s="139">
        <v>5442538.4400000004</v>
      </c>
      <c r="H227" s="139">
        <v>3137042.3</v>
      </c>
      <c r="I227" s="139">
        <v>3522919.29</v>
      </c>
      <c r="J227" s="139">
        <v>3137042.3</v>
      </c>
      <c r="K227" s="139">
        <v>3522919.29</v>
      </c>
      <c r="L227" s="139" t="s">
        <v>825</v>
      </c>
      <c r="M227" s="139">
        <v>5056661.45</v>
      </c>
    </row>
    <row r="228" spans="2:13">
      <c r="B228" s="151" t="str">
        <f>_xlfn.IFNA(VLOOKUP(D228,标准编码!A:B,2,0),"")</f>
        <v/>
      </c>
      <c r="D228" s="247">
        <v>180119</v>
      </c>
      <c r="E228" s="247" t="s">
        <v>3387</v>
      </c>
      <c r="F228" s="247" t="s">
        <v>825</v>
      </c>
      <c r="G228" s="139">
        <v>32542252.289999999</v>
      </c>
      <c r="H228" s="139">
        <v>0</v>
      </c>
      <c r="I228" s="139">
        <v>10847417.43</v>
      </c>
      <c r="J228" s="139">
        <v>0</v>
      </c>
      <c r="K228" s="139">
        <v>10847417.43</v>
      </c>
      <c r="L228" s="139" t="s">
        <v>825</v>
      </c>
      <c r="M228" s="139">
        <v>21694834.859999999</v>
      </c>
    </row>
    <row r="229" spans="2:13">
      <c r="B229" s="151" t="str">
        <f>_xlfn.IFNA(VLOOKUP(D229,标准编码!A:B,2,0),"")</f>
        <v/>
      </c>
      <c r="D229" s="247">
        <v>18011901</v>
      </c>
      <c r="E229" s="247" t="s">
        <v>3388</v>
      </c>
      <c r="F229" s="247" t="s">
        <v>825</v>
      </c>
      <c r="G229" s="139">
        <v>32542252.289999999</v>
      </c>
      <c r="H229" s="139">
        <v>0</v>
      </c>
      <c r="I229" s="139">
        <v>10847417.43</v>
      </c>
      <c r="J229" s="139">
        <v>0</v>
      </c>
      <c r="K229" s="139">
        <v>10847417.43</v>
      </c>
      <c r="L229" s="139" t="s">
        <v>825</v>
      </c>
      <c r="M229" s="139">
        <v>21694834.859999999</v>
      </c>
    </row>
    <row r="230" spans="2:13">
      <c r="B230" s="151" t="str">
        <f>_xlfn.IFNA(VLOOKUP(D230,标准编码!A:B,2,0),"")</f>
        <v>短期借款</v>
      </c>
      <c r="D230" s="247">
        <v>2001</v>
      </c>
      <c r="E230" s="247" t="s">
        <v>3389</v>
      </c>
      <c r="F230" s="247" t="s">
        <v>826</v>
      </c>
      <c r="G230" s="139">
        <v>1070000000</v>
      </c>
      <c r="H230" s="139">
        <v>1580000000</v>
      </c>
      <c r="I230" s="139">
        <v>1184000000</v>
      </c>
      <c r="J230" s="139">
        <v>1580000000</v>
      </c>
      <c r="K230" s="139">
        <v>1184000000</v>
      </c>
      <c r="L230" s="139" t="s">
        <v>826</v>
      </c>
      <c r="M230" s="139">
        <v>674000000</v>
      </c>
    </row>
    <row r="231" spans="2:13">
      <c r="B231" s="151" t="str">
        <f>_xlfn.IFNA(VLOOKUP(D231,标准编码!A:B,2,0),"")</f>
        <v/>
      </c>
      <c r="D231" s="247">
        <v>200102</v>
      </c>
      <c r="E231" s="247" t="s">
        <v>3390</v>
      </c>
      <c r="F231" s="247" t="s">
        <v>826</v>
      </c>
      <c r="G231" s="139">
        <v>820000000</v>
      </c>
      <c r="H231" s="139">
        <v>820000000</v>
      </c>
      <c r="I231" s="139">
        <v>450000000</v>
      </c>
      <c r="J231" s="139">
        <v>820000000</v>
      </c>
      <c r="K231" s="139">
        <v>450000000</v>
      </c>
      <c r="L231" s="139" t="s">
        <v>826</v>
      </c>
      <c r="M231" s="139">
        <v>450000000</v>
      </c>
    </row>
    <row r="232" spans="2:13">
      <c r="B232" s="151" t="str">
        <f>_xlfn.IFNA(VLOOKUP(D232,标准编码!A:B,2,0),"")</f>
        <v/>
      </c>
      <c r="D232" s="247">
        <v>20010201</v>
      </c>
      <c r="E232" s="247" t="s">
        <v>3391</v>
      </c>
      <c r="F232" s="247" t="s">
        <v>826</v>
      </c>
      <c r="G232" s="139">
        <v>820000000</v>
      </c>
      <c r="H232" s="139">
        <v>820000000</v>
      </c>
      <c r="I232" s="139">
        <v>450000000</v>
      </c>
      <c r="J232" s="139">
        <v>820000000</v>
      </c>
      <c r="K232" s="139">
        <v>450000000</v>
      </c>
      <c r="L232" s="139" t="s">
        <v>826</v>
      </c>
      <c r="M232" s="139">
        <v>450000000</v>
      </c>
    </row>
    <row r="233" spans="2:13">
      <c r="B233" s="151" t="str">
        <f>_xlfn.IFNA(VLOOKUP(D233,标准编码!A:B,2,0),"")</f>
        <v/>
      </c>
      <c r="D233" s="247">
        <v>200107</v>
      </c>
      <c r="E233" s="247" t="s">
        <v>3392</v>
      </c>
      <c r="F233" s="247" t="s">
        <v>826</v>
      </c>
      <c r="G233" s="139">
        <v>200000000</v>
      </c>
      <c r="H233" s="139">
        <v>200000000</v>
      </c>
      <c r="I233" s="139">
        <v>110497500</v>
      </c>
      <c r="J233" s="139">
        <v>200000000</v>
      </c>
      <c r="K233" s="139">
        <v>110497500</v>
      </c>
      <c r="L233" s="139" t="s">
        <v>826</v>
      </c>
      <c r="M233" s="139">
        <v>110497500</v>
      </c>
    </row>
    <row r="234" spans="2:13">
      <c r="B234" s="151" t="str">
        <f>_xlfn.IFNA(VLOOKUP(D234,标准编码!A:B,2,0),"")</f>
        <v/>
      </c>
      <c r="D234" s="247">
        <v>20010701</v>
      </c>
      <c r="E234" s="247" t="s">
        <v>3393</v>
      </c>
      <c r="F234" s="247" t="s">
        <v>826</v>
      </c>
      <c r="G234" s="139">
        <v>200000000</v>
      </c>
      <c r="H234" s="139">
        <v>200000000</v>
      </c>
      <c r="I234" s="139">
        <v>49410500</v>
      </c>
      <c r="J234" s="139">
        <v>200000000</v>
      </c>
      <c r="K234" s="139">
        <v>49410500</v>
      </c>
      <c r="L234" s="139" t="s">
        <v>826</v>
      </c>
      <c r="M234" s="139">
        <v>49410500</v>
      </c>
    </row>
    <row r="235" spans="2:13">
      <c r="B235" s="151" t="str">
        <f>_xlfn.IFNA(VLOOKUP(D235,标准编码!A:B,2,0),"")</f>
        <v/>
      </c>
      <c r="D235" s="247">
        <v>20010702</v>
      </c>
      <c r="E235" s="247" t="s">
        <v>3394</v>
      </c>
      <c r="F235" s="247" t="s">
        <v>3169</v>
      </c>
      <c r="G235" s="139">
        <v>0</v>
      </c>
      <c r="H235" s="139">
        <v>0</v>
      </c>
      <c r="I235" s="139">
        <v>61087000</v>
      </c>
      <c r="J235" s="139">
        <v>0</v>
      </c>
      <c r="K235" s="139">
        <v>61087000</v>
      </c>
      <c r="L235" s="139" t="s">
        <v>826</v>
      </c>
      <c r="M235" s="139">
        <v>61087000</v>
      </c>
    </row>
    <row r="236" spans="2:13">
      <c r="B236" s="151" t="str">
        <f>_xlfn.IFNA(VLOOKUP(D236,标准编码!A:B,2,0),"")</f>
        <v/>
      </c>
      <c r="D236" s="247">
        <v>200108</v>
      </c>
      <c r="E236" s="247" t="s">
        <v>3395</v>
      </c>
      <c r="F236" s="247" t="s">
        <v>826</v>
      </c>
      <c r="G236" s="139">
        <v>50000000</v>
      </c>
      <c r="H236" s="139">
        <v>50000000</v>
      </c>
      <c r="I236" s="139">
        <v>0</v>
      </c>
      <c r="J236" s="139">
        <v>50000000</v>
      </c>
      <c r="K236" s="139">
        <v>0</v>
      </c>
      <c r="L236" s="139" t="s">
        <v>3169</v>
      </c>
      <c r="M236" s="139">
        <v>0</v>
      </c>
    </row>
    <row r="237" spans="2:13">
      <c r="B237" s="151" t="str">
        <f>_xlfn.IFNA(VLOOKUP(D237,标准编码!A:B,2,0),"")</f>
        <v/>
      </c>
      <c r="D237" s="247">
        <v>200110</v>
      </c>
      <c r="E237" s="247" t="s">
        <v>3396</v>
      </c>
      <c r="F237" s="247" t="s">
        <v>3169</v>
      </c>
      <c r="G237" s="139">
        <v>0</v>
      </c>
      <c r="H237" s="139">
        <v>0</v>
      </c>
      <c r="I237" s="139">
        <v>102392500</v>
      </c>
      <c r="J237" s="139">
        <v>0</v>
      </c>
      <c r="K237" s="139">
        <v>102392500</v>
      </c>
      <c r="L237" s="139" t="s">
        <v>826</v>
      </c>
      <c r="M237" s="139">
        <v>102392500</v>
      </c>
    </row>
    <row r="238" spans="2:13">
      <c r="B238" s="151" t="str">
        <f>_xlfn.IFNA(VLOOKUP(D238,标准编码!A:B,2,0),"")</f>
        <v/>
      </c>
      <c r="D238" s="247">
        <v>200117</v>
      </c>
      <c r="E238" s="247" t="s">
        <v>3397</v>
      </c>
      <c r="F238" s="247" t="s">
        <v>3169</v>
      </c>
      <c r="G238" s="139">
        <v>0</v>
      </c>
      <c r="H238" s="139">
        <v>510000000</v>
      </c>
      <c r="I238" s="139">
        <v>510000000</v>
      </c>
      <c r="J238" s="139">
        <v>510000000</v>
      </c>
      <c r="K238" s="139">
        <v>510000000</v>
      </c>
      <c r="L238" s="139" t="s">
        <v>3169</v>
      </c>
      <c r="M238" s="139">
        <v>0</v>
      </c>
    </row>
    <row r="239" spans="2:13">
      <c r="B239" s="151" t="str">
        <f>_xlfn.IFNA(VLOOKUP(D239,标准编码!A:B,2,0),"")</f>
        <v/>
      </c>
      <c r="D239" s="247">
        <v>20011701</v>
      </c>
      <c r="E239" s="247" t="s">
        <v>3398</v>
      </c>
      <c r="F239" s="247" t="s">
        <v>3169</v>
      </c>
      <c r="G239" s="139">
        <v>0</v>
      </c>
      <c r="H239" s="139">
        <v>450000000</v>
      </c>
      <c r="I239" s="139">
        <v>450000000</v>
      </c>
      <c r="J239" s="139">
        <v>450000000</v>
      </c>
      <c r="K239" s="139">
        <v>450000000</v>
      </c>
      <c r="L239" s="139" t="s">
        <v>3169</v>
      </c>
      <c r="M239" s="139">
        <v>0</v>
      </c>
    </row>
    <row r="240" spans="2:13">
      <c r="B240" s="151" t="str">
        <f>_xlfn.IFNA(VLOOKUP(D240,标准编码!A:B,2,0),"")</f>
        <v/>
      </c>
      <c r="D240" s="247">
        <v>20011702</v>
      </c>
      <c r="E240" s="247" t="s">
        <v>3399</v>
      </c>
      <c r="F240" s="247" t="s">
        <v>3169</v>
      </c>
      <c r="G240" s="139">
        <v>0</v>
      </c>
      <c r="H240" s="139">
        <v>60000000</v>
      </c>
      <c r="I240" s="139">
        <v>60000000</v>
      </c>
      <c r="J240" s="139">
        <v>60000000</v>
      </c>
      <c r="K240" s="139">
        <v>60000000</v>
      </c>
      <c r="L240" s="139" t="s">
        <v>3169</v>
      </c>
      <c r="M240" s="139">
        <v>0</v>
      </c>
    </row>
    <row r="241" spans="2:13">
      <c r="B241" s="151" t="str">
        <f>_xlfn.IFNA(VLOOKUP(D241,标准编码!A:B,2,0),"")</f>
        <v/>
      </c>
      <c r="D241" s="247">
        <v>200119</v>
      </c>
      <c r="E241" s="247" t="s">
        <v>3400</v>
      </c>
      <c r="F241" s="247" t="s">
        <v>3169</v>
      </c>
      <c r="G241" s="139">
        <v>0</v>
      </c>
      <c r="H241" s="139">
        <v>0</v>
      </c>
      <c r="I241" s="139">
        <v>11110000</v>
      </c>
      <c r="J241" s="139">
        <v>0</v>
      </c>
      <c r="K241" s="139">
        <v>11110000</v>
      </c>
      <c r="L241" s="139" t="s">
        <v>826</v>
      </c>
      <c r="M241" s="139">
        <v>11110000</v>
      </c>
    </row>
    <row r="242" spans="2:13">
      <c r="B242" s="151" t="str">
        <f>_xlfn.IFNA(VLOOKUP(D242,标准编码!A:B,2,0),"")</f>
        <v>应付票据</v>
      </c>
      <c r="D242" s="247">
        <v>2201</v>
      </c>
      <c r="E242" s="247" t="s">
        <v>3401</v>
      </c>
      <c r="F242" s="247" t="s">
        <v>3169</v>
      </c>
      <c r="G242" s="139">
        <v>0</v>
      </c>
      <c r="H242" s="139">
        <v>2760930.5</v>
      </c>
      <c r="I242" s="139">
        <v>2760930.5</v>
      </c>
      <c r="J242" s="139">
        <v>2760930.5</v>
      </c>
      <c r="K242" s="139">
        <v>2760930.5</v>
      </c>
      <c r="L242" s="139" t="s">
        <v>3169</v>
      </c>
      <c r="M242" s="139">
        <v>0</v>
      </c>
    </row>
    <row r="243" spans="2:13">
      <c r="B243" s="151" t="str">
        <f>_xlfn.IFNA(VLOOKUP(D243,标准编码!A:B,2,0),"")</f>
        <v/>
      </c>
      <c r="D243" s="247">
        <v>220101</v>
      </c>
      <c r="E243" s="247" t="s">
        <v>3402</v>
      </c>
      <c r="F243" s="247" t="s">
        <v>3169</v>
      </c>
      <c r="G243" s="139">
        <v>0</v>
      </c>
      <c r="H243" s="139">
        <v>2760930.5</v>
      </c>
      <c r="I243" s="139">
        <v>2760930.5</v>
      </c>
      <c r="J243" s="139">
        <v>2760930.5</v>
      </c>
      <c r="K243" s="139">
        <v>2760930.5</v>
      </c>
      <c r="L243" s="139" t="s">
        <v>3169</v>
      </c>
      <c r="M243" s="139">
        <v>0</v>
      </c>
    </row>
    <row r="244" spans="2:13">
      <c r="B244" s="151" t="str">
        <f>_xlfn.IFNA(VLOOKUP(D244,标准编码!A:B,2,0),"")</f>
        <v>应付账款</v>
      </c>
      <c r="D244" s="247">
        <v>2202</v>
      </c>
      <c r="E244" s="247" t="s">
        <v>3403</v>
      </c>
      <c r="F244" s="247" t="s">
        <v>826</v>
      </c>
      <c r="G244" s="139">
        <v>165411704.72</v>
      </c>
      <c r="H244" s="139">
        <v>136045164.16999999</v>
      </c>
      <c r="I244" s="139">
        <v>119222838.39</v>
      </c>
      <c r="J244" s="139">
        <v>136045164.16999999</v>
      </c>
      <c r="K244" s="139">
        <v>119222838.39</v>
      </c>
      <c r="L244" s="139" t="s">
        <v>826</v>
      </c>
      <c r="M244" s="139">
        <v>148589378.94</v>
      </c>
    </row>
    <row r="245" spans="2:13">
      <c r="B245" s="151" t="str">
        <f>_xlfn.IFNA(VLOOKUP(D245,标准编码!A:B,2,0),"")</f>
        <v/>
      </c>
      <c r="D245" s="247">
        <v>220201</v>
      </c>
      <c r="E245" s="247" t="s">
        <v>3404</v>
      </c>
      <c r="F245" s="247" t="s">
        <v>826</v>
      </c>
      <c r="G245" s="139">
        <v>4064750</v>
      </c>
      <c r="H245" s="139">
        <v>0</v>
      </c>
      <c r="I245" s="139">
        <v>0</v>
      </c>
      <c r="J245" s="139">
        <v>0</v>
      </c>
      <c r="K245" s="139">
        <v>0</v>
      </c>
      <c r="L245" s="139" t="s">
        <v>826</v>
      </c>
      <c r="M245" s="139">
        <v>4064750</v>
      </c>
    </row>
    <row r="246" spans="2:13">
      <c r="B246" s="151" t="str">
        <f>_xlfn.IFNA(VLOOKUP(D246,标准编码!A:B,2,0),"")</f>
        <v/>
      </c>
      <c r="D246" s="247">
        <v>220202</v>
      </c>
      <c r="E246" s="247" t="s">
        <v>3405</v>
      </c>
      <c r="F246" s="247" t="s">
        <v>826</v>
      </c>
      <c r="G246" s="139">
        <v>1512761.1</v>
      </c>
      <c r="H246" s="139">
        <v>0</v>
      </c>
      <c r="I246" s="139">
        <v>0</v>
      </c>
      <c r="J246" s="139">
        <v>0</v>
      </c>
      <c r="K246" s="139">
        <v>0</v>
      </c>
      <c r="L246" s="139" t="s">
        <v>826</v>
      </c>
      <c r="M246" s="139">
        <v>1512761.1</v>
      </c>
    </row>
    <row r="247" spans="2:13">
      <c r="B247" s="151" t="str">
        <f>_xlfn.IFNA(VLOOKUP(D247,标准编码!A:B,2,0),"")</f>
        <v/>
      </c>
      <c r="D247" s="247">
        <v>220203</v>
      </c>
      <c r="E247" s="247" t="s">
        <v>3406</v>
      </c>
      <c r="F247" s="247" t="s">
        <v>826</v>
      </c>
      <c r="G247" s="139">
        <v>616770.13</v>
      </c>
      <c r="H247" s="139">
        <v>0</v>
      </c>
      <c r="I247" s="139">
        <v>0</v>
      </c>
      <c r="J247" s="139">
        <v>0</v>
      </c>
      <c r="K247" s="139">
        <v>0</v>
      </c>
      <c r="L247" s="139" t="s">
        <v>826</v>
      </c>
      <c r="M247" s="139">
        <v>616770.13</v>
      </c>
    </row>
    <row r="248" spans="2:13">
      <c r="B248" s="151" t="str">
        <f>_xlfn.IFNA(VLOOKUP(D248,标准编码!A:B,2,0),"")</f>
        <v/>
      </c>
      <c r="D248" s="247">
        <v>220204</v>
      </c>
      <c r="E248" s="247" t="s">
        <v>3407</v>
      </c>
      <c r="F248" s="247" t="s">
        <v>826</v>
      </c>
      <c r="G248" s="139">
        <v>126816.2</v>
      </c>
      <c r="H248" s="139">
        <v>0</v>
      </c>
      <c r="I248" s="139">
        <v>0</v>
      </c>
      <c r="J248" s="139">
        <v>0</v>
      </c>
      <c r="K248" s="139">
        <v>0</v>
      </c>
      <c r="L248" s="139" t="s">
        <v>826</v>
      </c>
      <c r="M248" s="139">
        <v>126816.2</v>
      </c>
    </row>
    <row r="249" spans="2:13">
      <c r="B249" s="151" t="str">
        <f>_xlfn.IFNA(VLOOKUP(D249,标准编码!A:B,2,0),"")</f>
        <v/>
      </c>
      <c r="D249" s="247">
        <v>220205</v>
      </c>
      <c r="E249" s="247" t="s">
        <v>3408</v>
      </c>
      <c r="F249" s="247" t="s">
        <v>826</v>
      </c>
      <c r="G249" s="139">
        <v>1835032.5</v>
      </c>
      <c r="H249" s="139">
        <v>0</v>
      </c>
      <c r="I249" s="139">
        <v>0</v>
      </c>
      <c r="J249" s="139">
        <v>0</v>
      </c>
      <c r="K249" s="139">
        <v>0</v>
      </c>
      <c r="L249" s="139" t="s">
        <v>826</v>
      </c>
      <c r="M249" s="139">
        <v>1835032.5</v>
      </c>
    </row>
    <row r="250" spans="2:13">
      <c r="B250" s="151" t="str">
        <f>_xlfn.IFNA(VLOOKUP(D250,标准编码!A:B,2,0),"")</f>
        <v/>
      </c>
      <c r="D250" s="247">
        <v>220206</v>
      </c>
      <c r="E250" s="247" t="s">
        <v>3409</v>
      </c>
      <c r="F250" s="247" t="s">
        <v>826</v>
      </c>
      <c r="G250" s="139">
        <v>89</v>
      </c>
      <c r="H250" s="139">
        <v>0</v>
      </c>
      <c r="I250" s="139">
        <v>0</v>
      </c>
      <c r="J250" s="139">
        <v>0</v>
      </c>
      <c r="K250" s="139">
        <v>0</v>
      </c>
      <c r="L250" s="139" t="s">
        <v>826</v>
      </c>
      <c r="M250" s="139">
        <v>89</v>
      </c>
    </row>
    <row r="251" spans="2:13">
      <c r="B251" s="151" t="str">
        <f>_xlfn.IFNA(VLOOKUP(D251,标准编码!A:B,2,0),"")</f>
        <v/>
      </c>
      <c r="D251" s="247">
        <v>220207</v>
      </c>
      <c r="E251" s="247" t="s">
        <v>3410</v>
      </c>
      <c r="F251" s="247" t="s">
        <v>826</v>
      </c>
      <c r="G251" s="139">
        <v>58485.18</v>
      </c>
      <c r="H251" s="139">
        <v>102644151.08</v>
      </c>
      <c r="I251" s="139">
        <v>102563292.16</v>
      </c>
      <c r="J251" s="139">
        <v>102644151.08</v>
      </c>
      <c r="K251" s="139">
        <v>102563292.16</v>
      </c>
      <c r="L251" s="139" t="s">
        <v>825</v>
      </c>
      <c r="M251" s="139">
        <v>22373.74</v>
      </c>
    </row>
    <row r="252" spans="2:13">
      <c r="B252" s="151" t="str">
        <f>_xlfn.IFNA(VLOOKUP(D252,标准编码!A:B,2,0),"")</f>
        <v/>
      </c>
      <c r="D252" s="247">
        <v>220208</v>
      </c>
      <c r="E252" s="247" t="s">
        <v>3411</v>
      </c>
      <c r="F252" s="247" t="s">
        <v>826</v>
      </c>
      <c r="G252" s="139">
        <v>157197000.61000001</v>
      </c>
      <c r="H252" s="139">
        <v>33401013.09</v>
      </c>
      <c r="I252" s="139">
        <v>16659546.23</v>
      </c>
      <c r="J252" s="139">
        <v>33401013.09</v>
      </c>
      <c r="K252" s="139">
        <v>16659546.23</v>
      </c>
      <c r="L252" s="139" t="s">
        <v>826</v>
      </c>
      <c r="M252" s="139">
        <v>140455533.75</v>
      </c>
    </row>
    <row r="253" spans="2:13">
      <c r="B253" s="151" t="str">
        <f>_xlfn.IFNA(VLOOKUP(D253,标准编码!A:B,2,0),"")</f>
        <v>预收账款</v>
      </c>
      <c r="D253" s="247">
        <v>2203</v>
      </c>
      <c r="E253" s="247" t="s">
        <v>3412</v>
      </c>
      <c r="F253" s="247" t="s">
        <v>826</v>
      </c>
      <c r="G253" s="139">
        <v>89064781.909999996</v>
      </c>
      <c r="H253" s="139">
        <v>432582108.18000001</v>
      </c>
      <c r="I253" s="139">
        <v>365617596.04000002</v>
      </c>
      <c r="J253" s="139">
        <v>432582108.18000001</v>
      </c>
      <c r="K253" s="139">
        <v>365617596.04000002</v>
      </c>
      <c r="L253" s="139" t="s">
        <v>826</v>
      </c>
      <c r="M253" s="139">
        <v>22100269.77</v>
      </c>
    </row>
    <row r="254" spans="2:13">
      <c r="B254" s="151" t="str">
        <f>_xlfn.IFNA(VLOOKUP(D254,标准编码!A:B,2,0),"")</f>
        <v/>
      </c>
      <c r="D254" s="247">
        <v>220302</v>
      </c>
      <c r="E254" s="247" t="s">
        <v>3413</v>
      </c>
      <c r="F254" s="247" t="s">
        <v>826</v>
      </c>
      <c r="G254" s="139">
        <v>82408126</v>
      </c>
      <c r="H254" s="139">
        <v>414236372.95999998</v>
      </c>
      <c r="I254" s="139">
        <v>341457521.24000001</v>
      </c>
      <c r="J254" s="139">
        <v>414236372.95999998</v>
      </c>
      <c r="K254" s="139">
        <v>341457521.24000001</v>
      </c>
      <c r="L254" s="139" t="s">
        <v>826</v>
      </c>
      <c r="M254" s="139">
        <v>9629274.2799999993</v>
      </c>
    </row>
    <row r="255" spans="2:13">
      <c r="B255" s="151" t="str">
        <f>_xlfn.IFNA(VLOOKUP(D255,标准编码!A:B,2,0),"")</f>
        <v/>
      </c>
      <c r="D255" s="247">
        <v>220304</v>
      </c>
      <c r="E255" s="247" t="s">
        <v>3414</v>
      </c>
      <c r="F255" s="247" t="s">
        <v>3169</v>
      </c>
      <c r="G255" s="139">
        <v>0</v>
      </c>
      <c r="H255" s="139">
        <v>0</v>
      </c>
      <c r="I255" s="139">
        <v>0</v>
      </c>
      <c r="J255" s="139">
        <v>0</v>
      </c>
      <c r="K255" s="139">
        <v>0</v>
      </c>
      <c r="L255" s="139" t="s">
        <v>3169</v>
      </c>
      <c r="M255" s="139">
        <v>0</v>
      </c>
    </row>
    <row r="256" spans="2:13">
      <c r="B256" s="151" t="str">
        <f>_xlfn.IFNA(VLOOKUP(D256,标准编码!A:B,2,0),"")</f>
        <v/>
      </c>
      <c r="D256" s="247">
        <v>22030401</v>
      </c>
      <c r="E256" s="247" t="s">
        <v>3415</v>
      </c>
      <c r="F256" s="247" t="s">
        <v>3169</v>
      </c>
      <c r="G256" s="139">
        <v>0</v>
      </c>
      <c r="H256" s="139">
        <v>0</v>
      </c>
      <c r="I256" s="139">
        <v>0</v>
      </c>
      <c r="J256" s="139">
        <v>0</v>
      </c>
      <c r="K256" s="139">
        <v>0</v>
      </c>
      <c r="L256" s="139" t="s">
        <v>3169</v>
      </c>
      <c r="M256" s="139">
        <v>0</v>
      </c>
    </row>
    <row r="257" spans="2:13">
      <c r="B257" s="151" t="str">
        <f>_xlfn.IFNA(VLOOKUP(D257,标准编码!A:B,2,0),"")</f>
        <v/>
      </c>
      <c r="D257" s="247">
        <v>22030402</v>
      </c>
      <c r="E257" s="247" t="s">
        <v>3416</v>
      </c>
      <c r="F257" s="247" t="s">
        <v>3169</v>
      </c>
      <c r="G257" s="139">
        <v>0</v>
      </c>
      <c r="H257" s="139">
        <v>0</v>
      </c>
      <c r="I257" s="139">
        <v>0</v>
      </c>
      <c r="J257" s="139">
        <v>0</v>
      </c>
      <c r="K257" s="139">
        <v>0</v>
      </c>
      <c r="L257" s="139" t="s">
        <v>3169</v>
      </c>
      <c r="M257" s="139">
        <v>0</v>
      </c>
    </row>
    <row r="258" spans="2:13">
      <c r="B258" s="151" t="str">
        <f>_xlfn.IFNA(VLOOKUP(D258,标准编码!A:B,2,0),"")</f>
        <v/>
      </c>
      <c r="D258" s="247">
        <v>22030403</v>
      </c>
      <c r="E258" s="247" t="s">
        <v>3417</v>
      </c>
      <c r="F258" s="247" t="s">
        <v>3169</v>
      </c>
      <c r="G258" s="139">
        <v>0</v>
      </c>
      <c r="H258" s="139">
        <v>0</v>
      </c>
      <c r="I258" s="139">
        <v>0</v>
      </c>
      <c r="J258" s="139">
        <v>0</v>
      </c>
      <c r="K258" s="139">
        <v>0</v>
      </c>
      <c r="L258" s="139" t="s">
        <v>3169</v>
      </c>
      <c r="M258" s="139">
        <v>0</v>
      </c>
    </row>
    <row r="259" spans="2:13">
      <c r="B259" s="151" t="str">
        <f>_xlfn.IFNA(VLOOKUP(D259,标准编码!A:B,2,0),"")</f>
        <v/>
      </c>
      <c r="D259" s="247">
        <v>22030404</v>
      </c>
      <c r="E259" s="247" t="s">
        <v>3418</v>
      </c>
      <c r="F259" s="247" t="s">
        <v>3169</v>
      </c>
      <c r="G259" s="139">
        <v>0</v>
      </c>
      <c r="H259" s="139">
        <v>0</v>
      </c>
      <c r="I259" s="139">
        <v>0</v>
      </c>
      <c r="J259" s="139">
        <v>0</v>
      </c>
      <c r="K259" s="139">
        <v>0</v>
      </c>
      <c r="L259" s="139" t="s">
        <v>3169</v>
      </c>
      <c r="M259" s="139">
        <v>0</v>
      </c>
    </row>
    <row r="260" spans="2:13">
      <c r="B260" s="151" t="str">
        <f>_xlfn.IFNA(VLOOKUP(D260,标准编码!A:B,2,0),"")</f>
        <v/>
      </c>
      <c r="D260" s="247">
        <v>22030405</v>
      </c>
      <c r="E260" s="247" t="s">
        <v>3419</v>
      </c>
      <c r="F260" s="247" t="s">
        <v>3169</v>
      </c>
      <c r="G260" s="139">
        <v>0</v>
      </c>
      <c r="H260" s="139">
        <v>0</v>
      </c>
      <c r="I260" s="139">
        <v>0</v>
      </c>
      <c r="J260" s="139">
        <v>0</v>
      </c>
      <c r="K260" s="139">
        <v>0</v>
      </c>
      <c r="L260" s="139" t="s">
        <v>3169</v>
      </c>
      <c r="M260" s="139">
        <v>0</v>
      </c>
    </row>
    <row r="261" spans="2:13">
      <c r="B261" s="151" t="str">
        <f>_xlfn.IFNA(VLOOKUP(D261,标准编码!A:B,2,0),"")</f>
        <v/>
      </c>
      <c r="D261" s="247">
        <v>220305</v>
      </c>
      <c r="E261" s="247" t="s">
        <v>3420</v>
      </c>
      <c r="F261" s="247" t="s">
        <v>826</v>
      </c>
      <c r="G261" s="139">
        <v>6656554.4699999997</v>
      </c>
      <c r="H261" s="139">
        <v>18345633.780000001</v>
      </c>
      <c r="I261" s="139">
        <v>24160074.800000001</v>
      </c>
      <c r="J261" s="139">
        <v>18345633.780000001</v>
      </c>
      <c r="K261" s="139">
        <v>24160074.800000001</v>
      </c>
      <c r="L261" s="139" t="s">
        <v>826</v>
      </c>
      <c r="M261" s="139">
        <v>12470995.49</v>
      </c>
    </row>
    <row r="262" spans="2:13">
      <c r="B262" s="151" t="str">
        <f>_xlfn.IFNA(VLOOKUP(D262,标准编码!A:B,2,0),"")</f>
        <v/>
      </c>
      <c r="D262" s="247">
        <v>220306</v>
      </c>
      <c r="E262" s="247" t="s">
        <v>3421</v>
      </c>
      <c r="F262" s="247" t="s">
        <v>826</v>
      </c>
      <c r="G262" s="139">
        <v>101.44</v>
      </c>
      <c r="H262" s="139">
        <v>101.44</v>
      </c>
      <c r="I262" s="139">
        <v>0</v>
      </c>
      <c r="J262" s="139">
        <v>101.44</v>
      </c>
      <c r="K262" s="139">
        <v>0</v>
      </c>
      <c r="L262" s="139" t="s">
        <v>3169</v>
      </c>
      <c r="M262" s="139">
        <v>0</v>
      </c>
    </row>
    <row r="263" spans="2:13">
      <c r="B263" s="151" t="str">
        <f>_xlfn.IFNA(VLOOKUP(D263,标准编码!A:B,2,0),"")</f>
        <v/>
      </c>
      <c r="D263" s="247">
        <v>22030601</v>
      </c>
      <c r="E263" s="247" t="s">
        <v>3422</v>
      </c>
      <c r="F263" s="247" t="s">
        <v>826</v>
      </c>
      <c r="G263" s="139">
        <v>101.44</v>
      </c>
      <c r="H263" s="139">
        <v>101.44</v>
      </c>
      <c r="I263" s="139">
        <v>0</v>
      </c>
      <c r="J263" s="139">
        <v>101.44</v>
      </c>
      <c r="K263" s="139">
        <v>0</v>
      </c>
      <c r="L263" s="139" t="s">
        <v>3169</v>
      </c>
      <c r="M263" s="139">
        <v>0</v>
      </c>
    </row>
    <row r="264" spans="2:13">
      <c r="B264" s="151" t="str">
        <f>_xlfn.IFNA(VLOOKUP(D264,标准编码!A:B,2,0),"")</f>
        <v>应付职工薪酬</v>
      </c>
      <c r="D264" s="247">
        <v>2211</v>
      </c>
      <c r="E264" s="247" t="s">
        <v>3423</v>
      </c>
      <c r="F264" s="247" t="s">
        <v>826</v>
      </c>
      <c r="G264" s="139">
        <v>10434324.199999999</v>
      </c>
      <c r="H264" s="139">
        <v>35581528.009999998</v>
      </c>
      <c r="I264" s="139">
        <v>38784188.700000003</v>
      </c>
      <c r="J264" s="139">
        <v>35581528.009999998</v>
      </c>
      <c r="K264" s="139">
        <v>38784188.700000003</v>
      </c>
      <c r="L264" s="139" t="s">
        <v>826</v>
      </c>
      <c r="M264" s="139">
        <v>13636984.890000001</v>
      </c>
    </row>
    <row r="265" spans="2:13">
      <c r="B265" s="151" t="str">
        <f>_xlfn.IFNA(VLOOKUP(D265,标准编码!A:B,2,0),"")</f>
        <v/>
      </c>
      <c r="D265" s="247">
        <v>221101</v>
      </c>
      <c r="E265" s="247" t="s">
        <v>3424</v>
      </c>
      <c r="F265" s="247" t="s">
        <v>826</v>
      </c>
      <c r="G265" s="139">
        <v>7804307.79</v>
      </c>
      <c r="H265" s="139">
        <v>23253435.640000001</v>
      </c>
      <c r="I265" s="139">
        <v>24459750.73</v>
      </c>
      <c r="J265" s="139">
        <v>23253435.640000001</v>
      </c>
      <c r="K265" s="139">
        <v>24459750.73</v>
      </c>
      <c r="L265" s="139" t="s">
        <v>826</v>
      </c>
      <c r="M265" s="139">
        <v>9010622.8800000008</v>
      </c>
    </row>
    <row r="266" spans="2:13">
      <c r="B266" s="151" t="str">
        <f>_xlfn.IFNA(VLOOKUP(D266,标准编码!A:B,2,0),"")</f>
        <v/>
      </c>
      <c r="D266" s="247">
        <v>22110101</v>
      </c>
      <c r="E266" s="247" t="s">
        <v>3425</v>
      </c>
      <c r="F266" s="247" t="s">
        <v>826</v>
      </c>
      <c r="G266" s="139">
        <v>23592</v>
      </c>
      <c r="H266" s="139">
        <v>4316633.79</v>
      </c>
      <c r="I266" s="139">
        <v>4293041.79</v>
      </c>
      <c r="J266" s="139">
        <v>4316633.79</v>
      </c>
      <c r="K266" s="139">
        <v>4293041.79</v>
      </c>
      <c r="L266" s="139" t="s">
        <v>3169</v>
      </c>
      <c r="M266" s="139">
        <v>0</v>
      </c>
    </row>
    <row r="267" spans="2:13">
      <c r="B267" s="151" t="str">
        <f>_xlfn.IFNA(VLOOKUP(D267,标准编码!A:B,2,0),"")</f>
        <v/>
      </c>
      <c r="D267" s="247">
        <v>22110102</v>
      </c>
      <c r="E267" s="247" t="s">
        <v>3426</v>
      </c>
      <c r="F267" s="247" t="s">
        <v>826</v>
      </c>
      <c r="G267" s="139">
        <v>1773996.91</v>
      </c>
      <c r="H267" s="139">
        <v>6734335.25</v>
      </c>
      <c r="I267" s="139">
        <v>7612038.3399999999</v>
      </c>
      <c r="J267" s="139">
        <v>6734335.25</v>
      </c>
      <c r="K267" s="139">
        <v>7612038.3399999999</v>
      </c>
      <c r="L267" s="139" t="s">
        <v>826</v>
      </c>
      <c r="M267" s="139">
        <v>2651700</v>
      </c>
    </row>
    <row r="268" spans="2:13">
      <c r="B268" s="151" t="str">
        <f>_xlfn.IFNA(VLOOKUP(D268,标准编码!A:B,2,0),"")</f>
        <v/>
      </c>
      <c r="D268" s="247">
        <v>22110103</v>
      </c>
      <c r="E268" s="247" t="s">
        <v>3427</v>
      </c>
      <c r="F268" s="247" t="s">
        <v>826</v>
      </c>
      <c r="G268" s="139">
        <v>2253196</v>
      </c>
      <c r="H268" s="139">
        <v>12202466.6</v>
      </c>
      <c r="I268" s="139">
        <v>12554670.6</v>
      </c>
      <c r="J268" s="139">
        <v>12202466.6</v>
      </c>
      <c r="K268" s="139">
        <v>12554670.6</v>
      </c>
      <c r="L268" s="139" t="s">
        <v>826</v>
      </c>
      <c r="M268" s="139">
        <v>2605400</v>
      </c>
    </row>
    <row r="269" spans="2:13">
      <c r="B269" s="151" t="str">
        <f>_xlfn.IFNA(VLOOKUP(D269,标准编码!A:B,2,0),"")</f>
        <v/>
      </c>
      <c r="D269" s="247">
        <v>22110104</v>
      </c>
      <c r="E269" s="247" t="s">
        <v>3428</v>
      </c>
      <c r="F269" s="247" t="s">
        <v>826</v>
      </c>
      <c r="G269" s="139">
        <v>3753522.88</v>
      </c>
      <c r="H269" s="139">
        <v>0</v>
      </c>
      <c r="I269" s="139">
        <v>0</v>
      </c>
      <c r="J269" s="139">
        <v>0</v>
      </c>
      <c r="K269" s="139">
        <v>0</v>
      </c>
      <c r="L269" s="139" t="s">
        <v>826</v>
      </c>
      <c r="M269" s="139">
        <v>3753522.88</v>
      </c>
    </row>
    <row r="270" spans="2:13">
      <c r="B270" s="151" t="str">
        <f>_xlfn.IFNA(VLOOKUP(D270,标准编码!A:B,2,0),"")</f>
        <v/>
      </c>
      <c r="D270" s="247">
        <v>221102</v>
      </c>
      <c r="E270" s="247" t="s">
        <v>3429</v>
      </c>
      <c r="F270" s="247" t="s">
        <v>3169</v>
      </c>
      <c r="G270" s="139">
        <v>0</v>
      </c>
      <c r="H270" s="139">
        <v>6832176.5899999999</v>
      </c>
      <c r="I270" s="139">
        <v>6832176.5899999999</v>
      </c>
      <c r="J270" s="139">
        <v>6832176.5899999999</v>
      </c>
      <c r="K270" s="139">
        <v>6832176.5899999999</v>
      </c>
      <c r="L270" s="139" t="s">
        <v>3169</v>
      </c>
      <c r="M270" s="139">
        <v>0</v>
      </c>
    </row>
    <row r="271" spans="2:13">
      <c r="B271" s="151" t="str">
        <f>_xlfn.IFNA(VLOOKUP(D271,标准编码!A:B,2,0),"")</f>
        <v/>
      </c>
      <c r="D271" s="247">
        <v>22110201</v>
      </c>
      <c r="E271" s="247" t="s">
        <v>3430</v>
      </c>
      <c r="F271" s="247" t="s">
        <v>3169</v>
      </c>
      <c r="G271" s="139">
        <v>0</v>
      </c>
      <c r="H271" s="139">
        <v>2813400.15</v>
      </c>
      <c r="I271" s="139">
        <v>2813400.15</v>
      </c>
      <c r="J271" s="139">
        <v>2813400.15</v>
      </c>
      <c r="K271" s="139">
        <v>2813400.15</v>
      </c>
      <c r="L271" s="139" t="s">
        <v>3169</v>
      </c>
      <c r="M271" s="139">
        <v>0</v>
      </c>
    </row>
    <row r="272" spans="2:13">
      <c r="B272" s="151" t="str">
        <f>_xlfn.IFNA(VLOOKUP(D272,标准编码!A:B,2,0),"")</f>
        <v/>
      </c>
      <c r="D272" s="247">
        <v>2211020101</v>
      </c>
      <c r="E272" s="247" t="s">
        <v>3431</v>
      </c>
      <c r="F272" s="247" t="s">
        <v>3169</v>
      </c>
      <c r="G272" s="139">
        <v>0</v>
      </c>
      <c r="H272" s="139">
        <v>2575795.0099999998</v>
      </c>
      <c r="I272" s="139">
        <v>2575795.0099999998</v>
      </c>
      <c r="J272" s="139">
        <v>2575795.0099999998</v>
      </c>
      <c r="K272" s="139">
        <v>2575795.0099999998</v>
      </c>
      <c r="L272" s="139" t="s">
        <v>3169</v>
      </c>
      <c r="M272" s="139">
        <v>0</v>
      </c>
    </row>
    <row r="273" spans="2:13">
      <c r="B273" s="151" t="str">
        <f>_xlfn.IFNA(VLOOKUP(D273,标准编码!A:B,2,0),"")</f>
        <v/>
      </c>
      <c r="D273" s="247">
        <v>2211020102</v>
      </c>
      <c r="E273" s="247" t="s">
        <v>3432</v>
      </c>
      <c r="F273" s="247" t="s">
        <v>3169</v>
      </c>
      <c r="G273" s="139">
        <v>0</v>
      </c>
      <c r="H273" s="139">
        <v>237605.14</v>
      </c>
      <c r="I273" s="139">
        <v>237605.14</v>
      </c>
      <c r="J273" s="139">
        <v>237605.14</v>
      </c>
      <c r="K273" s="139">
        <v>237605.14</v>
      </c>
      <c r="L273" s="139" t="s">
        <v>3169</v>
      </c>
      <c r="M273" s="139">
        <v>0</v>
      </c>
    </row>
    <row r="274" spans="2:13">
      <c r="B274" s="151" t="str">
        <f>_xlfn.IFNA(VLOOKUP(D274,标准编码!A:B,2,0),"")</f>
        <v/>
      </c>
      <c r="D274" s="247">
        <v>22110202</v>
      </c>
      <c r="E274" s="247" t="s">
        <v>3433</v>
      </c>
      <c r="F274" s="247" t="s">
        <v>3169</v>
      </c>
      <c r="G274" s="139">
        <v>0</v>
      </c>
      <c r="H274" s="139">
        <v>2022248.16</v>
      </c>
      <c r="I274" s="139">
        <v>2022248.16</v>
      </c>
      <c r="J274" s="139">
        <v>2022248.16</v>
      </c>
      <c r="K274" s="139">
        <v>2022248.16</v>
      </c>
      <c r="L274" s="139" t="s">
        <v>3169</v>
      </c>
      <c r="M274" s="139">
        <v>0</v>
      </c>
    </row>
    <row r="275" spans="2:13">
      <c r="B275" s="151" t="str">
        <f>_xlfn.IFNA(VLOOKUP(D275,标准编码!A:B,2,0),"")</f>
        <v/>
      </c>
      <c r="D275" s="247">
        <v>2211020201</v>
      </c>
      <c r="E275" s="247" t="s">
        <v>3434</v>
      </c>
      <c r="F275" s="247" t="s">
        <v>3169</v>
      </c>
      <c r="G275" s="139">
        <v>0</v>
      </c>
      <c r="H275" s="139">
        <v>1931840.36</v>
      </c>
      <c r="I275" s="139">
        <v>1931840.36</v>
      </c>
      <c r="J275" s="139">
        <v>1931840.36</v>
      </c>
      <c r="K275" s="139">
        <v>1931840.36</v>
      </c>
      <c r="L275" s="139" t="s">
        <v>3169</v>
      </c>
      <c r="M275" s="139">
        <v>0</v>
      </c>
    </row>
    <row r="276" spans="2:13">
      <c r="B276" s="151" t="str">
        <f>_xlfn.IFNA(VLOOKUP(D276,标准编码!A:B,2,0),"")</f>
        <v/>
      </c>
      <c r="D276" s="247">
        <v>2211020202</v>
      </c>
      <c r="E276" s="247" t="s">
        <v>3435</v>
      </c>
      <c r="F276" s="247" t="s">
        <v>3169</v>
      </c>
      <c r="G276" s="139">
        <v>0</v>
      </c>
      <c r="H276" s="139">
        <v>90407.8</v>
      </c>
      <c r="I276" s="139">
        <v>90407.8</v>
      </c>
      <c r="J276" s="139">
        <v>90407.8</v>
      </c>
      <c r="K276" s="139">
        <v>90407.8</v>
      </c>
      <c r="L276" s="139" t="s">
        <v>3169</v>
      </c>
      <c r="M276" s="139">
        <v>0</v>
      </c>
    </row>
    <row r="277" spans="2:13">
      <c r="B277" s="151" t="str">
        <f>_xlfn.IFNA(VLOOKUP(D277,标准编码!A:B,2,0),"")</f>
        <v/>
      </c>
      <c r="D277" s="247">
        <v>22110203</v>
      </c>
      <c r="E277" s="247" t="s">
        <v>3436</v>
      </c>
      <c r="F277" s="247" t="s">
        <v>3169</v>
      </c>
      <c r="G277" s="139">
        <v>0</v>
      </c>
      <c r="H277" s="139">
        <v>114594.76</v>
      </c>
      <c r="I277" s="139">
        <v>114594.76</v>
      </c>
      <c r="J277" s="139">
        <v>114594.76</v>
      </c>
      <c r="K277" s="139">
        <v>114594.76</v>
      </c>
      <c r="L277" s="139" t="s">
        <v>3169</v>
      </c>
      <c r="M277" s="139">
        <v>0</v>
      </c>
    </row>
    <row r="278" spans="2:13">
      <c r="B278" s="151" t="str">
        <f>_xlfn.IFNA(VLOOKUP(D278,标准编码!A:B,2,0),"")</f>
        <v/>
      </c>
      <c r="D278" s="247">
        <v>2211020301</v>
      </c>
      <c r="E278" s="247" t="s">
        <v>3437</v>
      </c>
      <c r="F278" s="247" t="s">
        <v>3169</v>
      </c>
      <c r="G278" s="139">
        <v>0</v>
      </c>
      <c r="H278" s="139">
        <v>91992</v>
      </c>
      <c r="I278" s="139">
        <v>91992</v>
      </c>
      <c r="J278" s="139">
        <v>91992</v>
      </c>
      <c r="K278" s="139">
        <v>91992</v>
      </c>
      <c r="L278" s="139" t="s">
        <v>3169</v>
      </c>
      <c r="M278" s="139">
        <v>0</v>
      </c>
    </row>
    <row r="279" spans="2:13">
      <c r="B279" s="151" t="str">
        <f>_xlfn.IFNA(VLOOKUP(D279,标准编码!A:B,2,0),"")</f>
        <v/>
      </c>
      <c r="D279" s="247">
        <v>2211020302</v>
      </c>
      <c r="E279" s="247" t="s">
        <v>3438</v>
      </c>
      <c r="F279" s="247" t="s">
        <v>3169</v>
      </c>
      <c r="G279" s="139">
        <v>0</v>
      </c>
      <c r="H279" s="139">
        <v>22602.76</v>
      </c>
      <c r="I279" s="139">
        <v>22602.76</v>
      </c>
      <c r="J279" s="139">
        <v>22602.76</v>
      </c>
      <c r="K279" s="139">
        <v>22602.76</v>
      </c>
      <c r="L279" s="139" t="s">
        <v>3169</v>
      </c>
      <c r="M279" s="139">
        <v>0</v>
      </c>
    </row>
    <row r="280" spans="2:13">
      <c r="B280" s="151" t="str">
        <f>_xlfn.IFNA(VLOOKUP(D280,标准编码!A:B,2,0),"")</f>
        <v/>
      </c>
      <c r="D280" s="247">
        <v>22110204</v>
      </c>
      <c r="E280" s="247" t="s">
        <v>3439</v>
      </c>
      <c r="F280" s="247" t="s">
        <v>3169</v>
      </c>
      <c r="G280" s="139">
        <v>0</v>
      </c>
      <c r="H280" s="139">
        <v>217426.21</v>
      </c>
      <c r="I280" s="139">
        <v>217426.21</v>
      </c>
      <c r="J280" s="139">
        <v>217426.21</v>
      </c>
      <c r="K280" s="139">
        <v>217426.21</v>
      </c>
      <c r="L280" s="139" t="s">
        <v>3169</v>
      </c>
      <c r="M280" s="139">
        <v>0</v>
      </c>
    </row>
    <row r="281" spans="2:13">
      <c r="B281" s="151" t="str">
        <f>_xlfn.IFNA(VLOOKUP(D281,标准编码!A:B,2,0),"")</f>
        <v/>
      </c>
      <c r="D281" s="247">
        <v>22110205</v>
      </c>
      <c r="E281" s="247" t="s">
        <v>3440</v>
      </c>
      <c r="F281" s="247" t="s">
        <v>3169</v>
      </c>
      <c r="G281" s="139">
        <v>0</v>
      </c>
      <c r="H281" s="139">
        <v>36796.910000000003</v>
      </c>
      <c r="I281" s="139">
        <v>36796.910000000003</v>
      </c>
      <c r="J281" s="139">
        <v>36796.910000000003</v>
      </c>
      <c r="K281" s="139">
        <v>36796.910000000003</v>
      </c>
      <c r="L281" s="139" t="s">
        <v>3169</v>
      </c>
      <c r="M281" s="139">
        <v>0</v>
      </c>
    </row>
    <row r="282" spans="2:13">
      <c r="B282" s="151" t="str">
        <f>_xlfn.IFNA(VLOOKUP(D282,标准编码!A:B,2,0),"")</f>
        <v/>
      </c>
      <c r="D282" s="247">
        <v>22110206</v>
      </c>
      <c r="E282" s="247" t="s">
        <v>3441</v>
      </c>
      <c r="F282" s="247" t="s">
        <v>3169</v>
      </c>
      <c r="G282" s="139">
        <v>0</v>
      </c>
      <c r="H282" s="139">
        <v>1627710.4</v>
      </c>
      <c r="I282" s="139">
        <v>1627710.4</v>
      </c>
      <c r="J282" s="139">
        <v>1627710.4</v>
      </c>
      <c r="K282" s="139">
        <v>1627710.4</v>
      </c>
      <c r="L282" s="139" t="s">
        <v>3169</v>
      </c>
      <c r="M282" s="139">
        <v>0</v>
      </c>
    </row>
    <row r="283" spans="2:13">
      <c r="B283" s="151" t="str">
        <f>_xlfn.IFNA(VLOOKUP(D283,标准编码!A:B,2,0),"")</f>
        <v/>
      </c>
      <c r="D283" s="247">
        <v>2211020601</v>
      </c>
      <c r="E283" s="247" t="s">
        <v>3442</v>
      </c>
      <c r="F283" s="247" t="s">
        <v>3169</v>
      </c>
      <c r="G283" s="139">
        <v>0</v>
      </c>
      <c r="H283" s="139">
        <v>1845459.38</v>
      </c>
      <c r="I283" s="139">
        <v>1845459.38</v>
      </c>
      <c r="J283" s="139">
        <v>1845459.38</v>
      </c>
      <c r="K283" s="139">
        <v>1845459.38</v>
      </c>
      <c r="L283" s="139" t="s">
        <v>3169</v>
      </c>
      <c r="M283" s="139">
        <v>0</v>
      </c>
    </row>
    <row r="284" spans="2:13">
      <c r="B284" s="151" t="str">
        <f>_xlfn.IFNA(VLOOKUP(D284,标准编码!A:B,2,0),"")</f>
        <v/>
      </c>
      <c r="D284" s="247">
        <v>2211020602</v>
      </c>
      <c r="E284" s="247" t="s">
        <v>3443</v>
      </c>
      <c r="F284" s="247" t="s">
        <v>3169</v>
      </c>
      <c r="G284" s="139">
        <v>0</v>
      </c>
      <c r="H284" s="139">
        <v>-217748.98</v>
      </c>
      <c r="I284" s="139">
        <v>-217748.98</v>
      </c>
      <c r="J284" s="139">
        <v>-217748.98</v>
      </c>
      <c r="K284" s="139">
        <v>-217748.98</v>
      </c>
      <c r="L284" s="139" t="s">
        <v>3169</v>
      </c>
      <c r="M284" s="139">
        <v>0</v>
      </c>
    </row>
    <row r="285" spans="2:13">
      <c r="B285" s="151" t="str">
        <f>_xlfn.IFNA(VLOOKUP(D285,标准编码!A:B,2,0),"")</f>
        <v/>
      </c>
      <c r="D285" s="247">
        <v>221103</v>
      </c>
      <c r="E285" s="247" t="s">
        <v>3444</v>
      </c>
      <c r="F285" s="247" t="s">
        <v>3169</v>
      </c>
      <c r="G285" s="139">
        <v>0</v>
      </c>
      <c r="H285" s="139">
        <v>2373521.62</v>
      </c>
      <c r="I285" s="139">
        <v>2373521.62</v>
      </c>
      <c r="J285" s="139">
        <v>2373521.62</v>
      </c>
      <c r="K285" s="139">
        <v>2373521.62</v>
      </c>
      <c r="L285" s="139" t="s">
        <v>3169</v>
      </c>
      <c r="M285" s="139">
        <v>0</v>
      </c>
    </row>
    <row r="286" spans="2:13">
      <c r="B286" s="151" t="str">
        <f>_xlfn.IFNA(VLOOKUP(D286,标准编码!A:B,2,0),"")</f>
        <v/>
      </c>
      <c r="D286" s="247">
        <v>22110301</v>
      </c>
      <c r="E286" s="247" t="s">
        <v>3445</v>
      </c>
      <c r="F286" s="247" t="s">
        <v>3169</v>
      </c>
      <c r="G286" s="139">
        <v>0</v>
      </c>
      <c r="H286" s="139">
        <v>1700954.92</v>
      </c>
      <c r="I286" s="139">
        <v>1700954.92</v>
      </c>
      <c r="J286" s="139">
        <v>1700954.92</v>
      </c>
      <c r="K286" s="139">
        <v>1700954.92</v>
      </c>
      <c r="L286" s="139" t="s">
        <v>3169</v>
      </c>
      <c r="M286" s="139">
        <v>0</v>
      </c>
    </row>
    <row r="287" spans="2:13">
      <c r="B287" s="151" t="str">
        <f>_xlfn.IFNA(VLOOKUP(D287,标准编码!A:B,2,0),"")</f>
        <v/>
      </c>
      <c r="D287" s="247">
        <v>22110302</v>
      </c>
      <c r="E287" s="247" t="s">
        <v>3446</v>
      </c>
      <c r="F287" s="247" t="s">
        <v>3169</v>
      </c>
      <c r="G287" s="139">
        <v>0</v>
      </c>
      <c r="H287" s="139">
        <v>672566.7</v>
      </c>
      <c r="I287" s="139">
        <v>672566.7</v>
      </c>
      <c r="J287" s="139">
        <v>672566.7</v>
      </c>
      <c r="K287" s="139">
        <v>672566.7</v>
      </c>
      <c r="L287" s="139" t="s">
        <v>3169</v>
      </c>
      <c r="M287" s="139">
        <v>0</v>
      </c>
    </row>
    <row r="288" spans="2:13">
      <c r="B288" s="151" t="str">
        <f>_xlfn.IFNA(VLOOKUP(D288,标准编码!A:B,2,0),"")</f>
        <v/>
      </c>
      <c r="D288" s="247">
        <v>221104</v>
      </c>
      <c r="E288" s="247" t="s">
        <v>3447</v>
      </c>
      <c r="F288" s="247" t="s">
        <v>826</v>
      </c>
      <c r="G288" s="139">
        <v>2568926.29</v>
      </c>
      <c r="H288" s="139">
        <v>143092.38</v>
      </c>
      <c r="I288" s="139">
        <v>2071589.7</v>
      </c>
      <c r="J288" s="139">
        <v>143092.38</v>
      </c>
      <c r="K288" s="139">
        <v>2071589.7</v>
      </c>
      <c r="L288" s="139" t="s">
        <v>826</v>
      </c>
      <c r="M288" s="139">
        <v>4497423.6100000003</v>
      </c>
    </row>
    <row r="289" spans="2:13">
      <c r="B289" s="151" t="str">
        <f>_xlfn.IFNA(VLOOKUP(D289,标准编码!A:B,2,0),"")</f>
        <v/>
      </c>
      <c r="D289" s="247">
        <v>221105</v>
      </c>
      <c r="E289" s="247" t="s">
        <v>3448</v>
      </c>
      <c r="F289" s="247" t="s">
        <v>826</v>
      </c>
      <c r="G289" s="139">
        <v>61090.12</v>
      </c>
      <c r="H289" s="139">
        <v>436493.11</v>
      </c>
      <c r="I289" s="139">
        <v>504341.39</v>
      </c>
      <c r="J289" s="139">
        <v>436493.11</v>
      </c>
      <c r="K289" s="139">
        <v>504341.39</v>
      </c>
      <c r="L289" s="139" t="s">
        <v>826</v>
      </c>
      <c r="M289" s="139">
        <v>128938.4</v>
      </c>
    </row>
    <row r="290" spans="2:13">
      <c r="B290" s="151" t="str">
        <f>_xlfn.IFNA(VLOOKUP(D290,标准编码!A:B,2,0),"")</f>
        <v/>
      </c>
      <c r="D290" s="247">
        <v>221107</v>
      </c>
      <c r="E290" s="247" t="s">
        <v>3449</v>
      </c>
      <c r="F290" s="247" t="s">
        <v>3169</v>
      </c>
      <c r="G290" s="139">
        <v>0</v>
      </c>
      <c r="H290" s="139">
        <v>2542808.67</v>
      </c>
      <c r="I290" s="139">
        <v>2542808.67</v>
      </c>
      <c r="J290" s="139">
        <v>2542808.67</v>
      </c>
      <c r="K290" s="139">
        <v>2542808.67</v>
      </c>
      <c r="L290" s="139" t="s">
        <v>3169</v>
      </c>
      <c r="M290" s="139">
        <v>0</v>
      </c>
    </row>
    <row r="291" spans="2:13">
      <c r="B291" s="151" t="str">
        <f>_xlfn.IFNA(VLOOKUP(D291,标准编码!A:B,2,0),"")</f>
        <v>应交税费</v>
      </c>
      <c r="D291" s="247">
        <v>2221</v>
      </c>
      <c r="E291" s="247" t="s">
        <v>3450</v>
      </c>
      <c r="F291" s="247" t="s">
        <v>825</v>
      </c>
      <c r="G291" s="139">
        <v>28692085.539999999</v>
      </c>
      <c r="H291" s="139">
        <v>119584581.2</v>
      </c>
      <c r="I291" s="139">
        <v>134638276.80000001</v>
      </c>
      <c r="J291" s="139">
        <v>119584581.2</v>
      </c>
      <c r="K291" s="139">
        <v>134638276.80000001</v>
      </c>
      <c r="L291" s="139" t="s">
        <v>825</v>
      </c>
      <c r="M291" s="139">
        <v>13638389.939999999</v>
      </c>
    </row>
    <row r="292" spans="2:13">
      <c r="B292" s="151" t="str">
        <f>_xlfn.IFNA(VLOOKUP(D292,标准编码!A:B,2,0),"")</f>
        <v/>
      </c>
      <c r="D292" s="247">
        <v>222101</v>
      </c>
      <c r="E292" s="247" t="s">
        <v>3451</v>
      </c>
      <c r="F292" s="247" t="s">
        <v>826</v>
      </c>
      <c r="G292" s="139">
        <v>1218049.6100000001</v>
      </c>
      <c r="H292" s="139">
        <v>2187978.23</v>
      </c>
      <c r="I292" s="139">
        <v>8481128.6199999992</v>
      </c>
      <c r="J292" s="139">
        <v>2187978.23</v>
      </c>
      <c r="K292" s="139">
        <v>8481128.6199999992</v>
      </c>
      <c r="L292" s="139" t="s">
        <v>826</v>
      </c>
      <c r="M292" s="139">
        <v>7511200</v>
      </c>
    </row>
    <row r="293" spans="2:13">
      <c r="B293" s="151" t="str">
        <f>_xlfn.IFNA(VLOOKUP(D293,标准编码!A:B,2,0),"")</f>
        <v/>
      </c>
      <c r="D293" s="247">
        <v>222102</v>
      </c>
      <c r="E293" s="247" t="s">
        <v>3452</v>
      </c>
      <c r="F293" s="247" t="s">
        <v>825</v>
      </c>
      <c r="G293" s="139">
        <v>16193390.640000001</v>
      </c>
      <c r="H293" s="139">
        <v>112090986.41</v>
      </c>
      <c r="I293" s="139">
        <v>108411324.88</v>
      </c>
      <c r="J293" s="139">
        <v>112090986.41</v>
      </c>
      <c r="K293" s="139">
        <v>108411324.88</v>
      </c>
      <c r="L293" s="139" t="s">
        <v>825</v>
      </c>
      <c r="M293" s="139">
        <v>19873052.170000002</v>
      </c>
    </row>
    <row r="294" spans="2:13">
      <c r="B294" s="151" t="str">
        <f>_xlfn.IFNA(VLOOKUP(D294,标准编码!A:B,2,0),"")</f>
        <v/>
      </c>
      <c r="D294" s="247">
        <v>22210201</v>
      </c>
      <c r="E294" s="247" t="s">
        <v>3453</v>
      </c>
      <c r="F294" s="247" t="s">
        <v>825</v>
      </c>
      <c r="G294" s="139">
        <v>554919801.69000006</v>
      </c>
      <c r="H294" s="139">
        <v>110395763.06</v>
      </c>
      <c r="I294" s="139">
        <v>-92.66</v>
      </c>
      <c r="J294" s="139">
        <v>110395763.06</v>
      </c>
      <c r="K294" s="139">
        <v>-92.66</v>
      </c>
      <c r="L294" s="139" t="s">
        <v>825</v>
      </c>
      <c r="M294" s="139">
        <v>665315657.40999997</v>
      </c>
    </row>
    <row r="295" spans="2:13">
      <c r="B295" s="151" t="str">
        <f>_xlfn.IFNA(VLOOKUP(D295,标准编码!A:B,2,0),"")</f>
        <v/>
      </c>
      <c r="D295" s="247">
        <v>22210202</v>
      </c>
      <c r="E295" s="247" t="s">
        <v>3454</v>
      </c>
      <c r="F295" s="247" t="s">
        <v>826</v>
      </c>
      <c r="G295" s="139">
        <v>543122646.88999999</v>
      </c>
      <c r="H295" s="139">
        <v>153216.73000000001</v>
      </c>
      <c r="I295" s="139">
        <v>108105870.14</v>
      </c>
      <c r="J295" s="139">
        <v>153216.73000000001</v>
      </c>
      <c r="K295" s="139">
        <v>108105870.14</v>
      </c>
      <c r="L295" s="139" t="s">
        <v>826</v>
      </c>
      <c r="M295" s="139">
        <v>651075300.29999995</v>
      </c>
    </row>
    <row r="296" spans="2:13">
      <c r="B296" s="151" t="str">
        <f>_xlfn.IFNA(VLOOKUP(D296,标准编码!A:B,2,0),"")</f>
        <v/>
      </c>
      <c r="D296" s="247">
        <v>2221020201</v>
      </c>
      <c r="E296" s="247" t="s">
        <v>3455</v>
      </c>
      <c r="F296" s="247" t="s">
        <v>826</v>
      </c>
      <c r="G296" s="139">
        <v>343135687.26999998</v>
      </c>
      <c r="H296" s="139">
        <v>0</v>
      </c>
      <c r="I296" s="139">
        <v>93567607.950000003</v>
      </c>
      <c r="J296" s="139">
        <v>0</v>
      </c>
      <c r="K296" s="139">
        <v>93567607.950000003</v>
      </c>
      <c r="L296" s="139" t="s">
        <v>826</v>
      </c>
      <c r="M296" s="139">
        <v>436703295.22000003</v>
      </c>
    </row>
    <row r="297" spans="2:13">
      <c r="B297" s="151" t="str">
        <f>_xlfn.IFNA(VLOOKUP(D297,标准编码!A:B,2,0),"")</f>
        <v/>
      </c>
      <c r="D297" s="247">
        <v>2221020202</v>
      </c>
      <c r="E297" s="247" t="s">
        <v>3456</v>
      </c>
      <c r="F297" s="247" t="s">
        <v>826</v>
      </c>
      <c r="G297" s="139">
        <v>52629.23</v>
      </c>
      <c r="H297" s="139">
        <v>0</v>
      </c>
      <c r="I297" s="139">
        <v>63190.04</v>
      </c>
      <c r="J297" s="139">
        <v>0</v>
      </c>
      <c r="K297" s="139">
        <v>63190.04</v>
      </c>
      <c r="L297" s="139" t="s">
        <v>826</v>
      </c>
      <c r="M297" s="139">
        <v>115819.27</v>
      </c>
    </row>
    <row r="298" spans="2:13">
      <c r="B298" s="151" t="str">
        <f>_xlfn.IFNA(VLOOKUP(D298,标准编码!A:B,2,0),"")</f>
        <v/>
      </c>
      <c r="D298" s="247">
        <v>2221020203</v>
      </c>
      <c r="E298" s="247" t="s">
        <v>3457</v>
      </c>
      <c r="F298" s="247" t="s">
        <v>826</v>
      </c>
      <c r="G298" s="139">
        <v>8717.9500000000007</v>
      </c>
      <c r="H298" s="139">
        <v>0</v>
      </c>
      <c r="I298" s="139">
        <v>0</v>
      </c>
      <c r="J298" s="139">
        <v>0</v>
      </c>
      <c r="K298" s="139">
        <v>0</v>
      </c>
      <c r="L298" s="139" t="s">
        <v>826</v>
      </c>
      <c r="M298" s="139">
        <v>8717.9500000000007</v>
      </c>
    </row>
    <row r="299" spans="2:13">
      <c r="B299" s="151" t="str">
        <f>_xlfn.IFNA(VLOOKUP(D299,标准编码!A:B,2,0),"")</f>
        <v/>
      </c>
      <c r="D299" s="247">
        <v>2221020204</v>
      </c>
      <c r="E299" s="247" t="s">
        <v>3458</v>
      </c>
      <c r="F299" s="247" t="s">
        <v>826</v>
      </c>
      <c r="G299" s="139">
        <v>171104333.90000001</v>
      </c>
      <c r="H299" s="139">
        <v>153216.73000000001</v>
      </c>
      <c r="I299" s="139">
        <v>1159764.0900000001</v>
      </c>
      <c r="J299" s="139">
        <v>153216.73000000001</v>
      </c>
      <c r="K299" s="139">
        <v>1159764.0900000001</v>
      </c>
      <c r="L299" s="139" t="s">
        <v>826</v>
      </c>
      <c r="M299" s="139">
        <v>172110881.25999999</v>
      </c>
    </row>
    <row r="300" spans="2:13">
      <c r="B300" s="151" t="str">
        <f>_xlfn.IFNA(VLOOKUP(D300,标准编码!A:B,2,0),"")</f>
        <v/>
      </c>
      <c r="D300" s="247">
        <v>2221020205</v>
      </c>
      <c r="E300" s="247" t="s">
        <v>3459</v>
      </c>
      <c r="F300" s="247" t="s">
        <v>826</v>
      </c>
      <c r="G300" s="139">
        <v>4560651.74</v>
      </c>
      <c r="H300" s="139">
        <v>0</v>
      </c>
      <c r="I300" s="139">
        <v>1152660.4099999999</v>
      </c>
      <c r="J300" s="139">
        <v>0</v>
      </c>
      <c r="K300" s="139">
        <v>1152660.4099999999</v>
      </c>
      <c r="L300" s="139" t="s">
        <v>826</v>
      </c>
      <c r="M300" s="139">
        <v>5713312.1500000004</v>
      </c>
    </row>
    <row r="301" spans="2:13">
      <c r="B301" s="151" t="str">
        <f>_xlfn.IFNA(VLOOKUP(D301,标准编码!A:B,2,0),"")</f>
        <v/>
      </c>
      <c r="D301" s="247">
        <v>2221020206</v>
      </c>
      <c r="E301" s="247" t="s">
        <v>3460</v>
      </c>
      <c r="F301" s="247" t="s">
        <v>826</v>
      </c>
      <c r="G301" s="139">
        <v>14818513.369999999</v>
      </c>
      <c r="H301" s="139">
        <v>0</v>
      </c>
      <c r="I301" s="139">
        <v>4955597.0599999996</v>
      </c>
      <c r="J301" s="139">
        <v>0</v>
      </c>
      <c r="K301" s="139">
        <v>4955597.0599999996</v>
      </c>
      <c r="L301" s="139" t="s">
        <v>826</v>
      </c>
      <c r="M301" s="139">
        <v>19774110.43</v>
      </c>
    </row>
    <row r="302" spans="2:13">
      <c r="B302" s="151" t="str">
        <f>_xlfn.IFNA(VLOOKUP(D302,标准编码!A:B,2,0),"")</f>
        <v/>
      </c>
      <c r="D302" s="247">
        <v>2221020207</v>
      </c>
      <c r="E302" s="247" t="s">
        <v>3461</v>
      </c>
      <c r="F302" s="247" t="s">
        <v>826</v>
      </c>
      <c r="G302" s="139">
        <v>368888.99</v>
      </c>
      <c r="H302" s="139">
        <v>0</v>
      </c>
      <c r="I302" s="139">
        <v>291556.59999999998</v>
      </c>
      <c r="J302" s="139">
        <v>0</v>
      </c>
      <c r="K302" s="139">
        <v>291556.59999999998</v>
      </c>
      <c r="L302" s="139" t="s">
        <v>826</v>
      </c>
      <c r="M302" s="139">
        <v>660445.59</v>
      </c>
    </row>
    <row r="303" spans="2:13">
      <c r="B303" s="151" t="str">
        <f>_xlfn.IFNA(VLOOKUP(D303,标准编码!A:B,2,0),"")</f>
        <v/>
      </c>
      <c r="D303" s="247">
        <v>2221020208</v>
      </c>
      <c r="E303" s="247" t="s">
        <v>3462</v>
      </c>
      <c r="F303" s="247" t="s">
        <v>826</v>
      </c>
      <c r="G303" s="139">
        <v>4103133.79</v>
      </c>
      <c r="H303" s="139">
        <v>0</v>
      </c>
      <c r="I303" s="139">
        <v>5637594.3300000001</v>
      </c>
      <c r="J303" s="139">
        <v>0</v>
      </c>
      <c r="K303" s="139">
        <v>5637594.3300000001</v>
      </c>
      <c r="L303" s="139" t="s">
        <v>826</v>
      </c>
      <c r="M303" s="139">
        <v>9740728.1199999992</v>
      </c>
    </row>
    <row r="304" spans="2:13">
      <c r="B304" s="151" t="str">
        <f>_xlfn.IFNA(VLOOKUP(D304,标准编码!A:B,2,0),"")</f>
        <v/>
      </c>
      <c r="D304" s="247">
        <v>2221020209</v>
      </c>
      <c r="E304" s="247" t="s">
        <v>3463</v>
      </c>
      <c r="F304" s="247" t="s">
        <v>826</v>
      </c>
      <c r="G304" s="139">
        <v>775805.78</v>
      </c>
      <c r="H304" s="139">
        <v>0</v>
      </c>
      <c r="I304" s="139">
        <v>680532.14</v>
      </c>
      <c r="J304" s="139">
        <v>0</v>
      </c>
      <c r="K304" s="139">
        <v>680532.14</v>
      </c>
      <c r="L304" s="139" t="s">
        <v>826</v>
      </c>
      <c r="M304" s="139">
        <v>1456337.9199999999</v>
      </c>
    </row>
    <row r="305" spans="2:13">
      <c r="B305" s="151" t="str">
        <f>_xlfn.IFNA(VLOOKUP(D305,标准编码!A:B,2,0),"")</f>
        <v/>
      </c>
      <c r="D305" s="247">
        <v>2221020210</v>
      </c>
      <c r="E305" s="247" t="s">
        <v>3464</v>
      </c>
      <c r="F305" s="247" t="s">
        <v>826</v>
      </c>
      <c r="G305" s="139">
        <v>1726371.24</v>
      </c>
      <c r="H305" s="139">
        <v>0</v>
      </c>
      <c r="I305" s="139">
        <v>0</v>
      </c>
      <c r="J305" s="139">
        <v>0</v>
      </c>
      <c r="K305" s="139">
        <v>0</v>
      </c>
      <c r="L305" s="139" t="s">
        <v>826</v>
      </c>
      <c r="M305" s="139">
        <v>1726371.24</v>
      </c>
    </row>
    <row r="306" spans="2:13">
      <c r="B306" s="151" t="str">
        <f>_xlfn.IFNA(VLOOKUP(D306,标准编码!A:B,2,0),"")</f>
        <v/>
      </c>
      <c r="D306" s="247">
        <v>2221020211</v>
      </c>
      <c r="E306" s="247" t="s">
        <v>3465</v>
      </c>
      <c r="F306" s="247" t="s">
        <v>826</v>
      </c>
      <c r="G306" s="139">
        <v>14761.9</v>
      </c>
      <c r="H306" s="139">
        <v>0</v>
      </c>
      <c r="I306" s="139">
        <v>0</v>
      </c>
      <c r="J306" s="139">
        <v>0</v>
      </c>
      <c r="K306" s="139">
        <v>0</v>
      </c>
      <c r="L306" s="139" t="s">
        <v>826</v>
      </c>
      <c r="M306" s="139">
        <v>14761.9</v>
      </c>
    </row>
    <row r="307" spans="2:13">
      <c r="B307" s="151" t="str">
        <f>_xlfn.IFNA(VLOOKUP(D307,标准编码!A:B,2,0),"")</f>
        <v/>
      </c>
      <c r="D307" s="247">
        <v>2221020212</v>
      </c>
      <c r="E307" s="247" t="s">
        <v>3466</v>
      </c>
      <c r="F307" s="247" t="s">
        <v>826</v>
      </c>
      <c r="G307" s="139">
        <v>2210268.11</v>
      </c>
      <c r="H307" s="139">
        <v>0</v>
      </c>
      <c r="I307" s="139">
        <v>597367.52</v>
      </c>
      <c r="J307" s="139">
        <v>0</v>
      </c>
      <c r="K307" s="139">
        <v>597367.52</v>
      </c>
      <c r="L307" s="139" t="s">
        <v>826</v>
      </c>
      <c r="M307" s="139">
        <v>2807635.63</v>
      </c>
    </row>
    <row r="308" spans="2:13">
      <c r="B308" s="151" t="str">
        <f>_xlfn.IFNA(VLOOKUP(D308,标准编码!A:B,2,0),"")</f>
        <v/>
      </c>
      <c r="D308" s="247">
        <v>2221020213</v>
      </c>
      <c r="E308" s="247" t="s">
        <v>3467</v>
      </c>
      <c r="F308" s="247" t="s">
        <v>826</v>
      </c>
      <c r="G308" s="139">
        <v>242883.62</v>
      </c>
      <c r="H308" s="139">
        <v>0</v>
      </c>
      <c r="I308" s="139">
        <v>0</v>
      </c>
      <c r="J308" s="139">
        <v>0</v>
      </c>
      <c r="K308" s="139">
        <v>0</v>
      </c>
      <c r="L308" s="139" t="s">
        <v>826</v>
      </c>
      <c r="M308" s="139">
        <v>242883.62</v>
      </c>
    </row>
    <row r="309" spans="2:13">
      <c r="B309" s="151" t="str">
        <f>_xlfn.IFNA(VLOOKUP(D309,标准编码!A:B,2,0),"")</f>
        <v/>
      </c>
      <c r="D309" s="247">
        <v>22210204</v>
      </c>
      <c r="E309" s="247" t="s">
        <v>3468</v>
      </c>
      <c r="F309" s="247" t="s">
        <v>825</v>
      </c>
      <c r="G309" s="139">
        <v>12125371.41</v>
      </c>
      <c r="H309" s="139">
        <v>1541390.02</v>
      </c>
      <c r="I309" s="139">
        <v>0</v>
      </c>
      <c r="J309" s="139">
        <v>1541390.02</v>
      </c>
      <c r="K309" s="139">
        <v>0</v>
      </c>
      <c r="L309" s="139" t="s">
        <v>825</v>
      </c>
      <c r="M309" s="139">
        <v>13666761.43</v>
      </c>
    </row>
    <row r="310" spans="2:13">
      <c r="B310" s="151" t="str">
        <f>_xlfn.IFNA(VLOOKUP(D310,标准编码!A:B,2,0),"")</f>
        <v/>
      </c>
      <c r="D310" s="247">
        <v>22210207</v>
      </c>
      <c r="E310" s="247" t="s">
        <v>3469</v>
      </c>
      <c r="F310" s="247" t="s">
        <v>825</v>
      </c>
      <c r="G310" s="139">
        <v>1580</v>
      </c>
      <c r="H310" s="139">
        <v>560</v>
      </c>
      <c r="I310" s="139">
        <v>0</v>
      </c>
      <c r="J310" s="139">
        <v>560</v>
      </c>
      <c r="K310" s="139">
        <v>0</v>
      </c>
      <c r="L310" s="139" t="s">
        <v>825</v>
      </c>
      <c r="M310" s="139">
        <v>2140</v>
      </c>
    </row>
    <row r="311" spans="2:13">
      <c r="B311" s="151" t="str">
        <f>_xlfn.IFNA(VLOOKUP(D311,标准编码!A:B,2,0),"")</f>
        <v/>
      </c>
      <c r="D311" s="247">
        <v>22210210</v>
      </c>
      <c r="E311" s="247" t="s">
        <v>3470</v>
      </c>
      <c r="F311" s="247" t="s">
        <v>826</v>
      </c>
      <c r="G311" s="139">
        <v>7730715.5700000003</v>
      </c>
      <c r="H311" s="139">
        <v>56.6</v>
      </c>
      <c r="I311" s="139">
        <v>305547.40000000002</v>
      </c>
      <c r="J311" s="139">
        <v>56.6</v>
      </c>
      <c r="K311" s="139">
        <v>305547.40000000002</v>
      </c>
      <c r="L311" s="139" t="s">
        <v>826</v>
      </c>
      <c r="M311" s="139">
        <v>8036206.3700000001</v>
      </c>
    </row>
    <row r="312" spans="2:13">
      <c r="B312" s="151" t="str">
        <f>_xlfn.IFNA(VLOOKUP(D312,标准编码!A:B,2,0),"")</f>
        <v/>
      </c>
      <c r="D312" s="247">
        <v>222103</v>
      </c>
      <c r="E312" s="247" t="s">
        <v>3471</v>
      </c>
      <c r="F312" s="247" t="s">
        <v>3169</v>
      </c>
      <c r="G312" s="139">
        <v>0</v>
      </c>
      <c r="H312" s="139">
        <v>153216.73000000001</v>
      </c>
      <c r="I312" s="139">
        <v>153216.73000000001</v>
      </c>
      <c r="J312" s="139">
        <v>153216.73000000001</v>
      </c>
      <c r="K312" s="139">
        <v>153216.73000000001</v>
      </c>
      <c r="L312" s="139" t="s">
        <v>3169</v>
      </c>
      <c r="M312" s="139">
        <v>0</v>
      </c>
    </row>
    <row r="313" spans="2:13">
      <c r="B313" s="151" t="str">
        <f>_xlfn.IFNA(VLOOKUP(D313,标准编码!A:B,2,0),"")</f>
        <v/>
      </c>
      <c r="D313" s="247">
        <v>222104</v>
      </c>
      <c r="E313" s="247" t="s">
        <v>3472</v>
      </c>
      <c r="F313" s="247" t="s">
        <v>825</v>
      </c>
      <c r="G313" s="139">
        <v>895398.9</v>
      </c>
      <c r="H313" s="139">
        <v>153216.73000000001</v>
      </c>
      <c r="I313" s="139">
        <v>153216.73000000001</v>
      </c>
      <c r="J313" s="139">
        <v>153216.73000000001</v>
      </c>
      <c r="K313" s="139">
        <v>153216.73000000001</v>
      </c>
      <c r="L313" s="139" t="s">
        <v>825</v>
      </c>
      <c r="M313" s="139">
        <v>895398.9</v>
      </c>
    </row>
    <row r="314" spans="2:13">
      <c r="B314" s="151" t="str">
        <f>_xlfn.IFNA(VLOOKUP(D314,标准编码!A:B,2,0),"")</f>
        <v/>
      </c>
      <c r="D314" s="247">
        <v>222105</v>
      </c>
      <c r="E314" s="247" t="s">
        <v>3473</v>
      </c>
      <c r="F314" s="247" t="s">
        <v>825</v>
      </c>
      <c r="G314" s="139">
        <v>12628129.91</v>
      </c>
      <c r="H314" s="139">
        <v>0</v>
      </c>
      <c r="I314" s="139">
        <v>10827664.310000001</v>
      </c>
      <c r="J314" s="139">
        <v>0</v>
      </c>
      <c r="K314" s="139">
        <v>10827664.310000001</v>
      </c>
      <c r="L314" s="139" t="s">
        <v>825</v>
      </c>
      <c r="M314" s="139">
        <v>1800465.6</v>
      </c>
    </row>
    <row r="315" spans="2:13">
      <c r="B315" s="151" t="str">
        <f>_xlfn.IFNA(VLOOKUP(D315,标准编码!A:B,2,0),"")</f>
        <v/>
      </c>
      <c r="D315" s="247">
        <v>222106</v>
      </c>
      <c r="E315" s="247" t="s">
        <v>3474</v>
      </c>
      <c r="F315" s="247" t="s">
        <v>3169</v>
      </c>
      <c r="G315" s="139">
        <v>0</v>
      </c>
      <c r="H315" s="139">
        <v>127191.28</v>
      </c>
      <c r="I315" s="139">
        <v>3679.25</v>
      </c>
      <c r="J315" s="139">
        <v>127191.28</v>
      </c>
      <c r="K315" s="139">
        <v>3679.25</v>
      </c>
      <c r="L315" s="139" t="s">
        <v>825</v>
      </c>
      <c r="M315" s="139">
        <v>123512.03</v>
      </c>
    </row>
    <row r="316" spans="2:13">
      <c r="B316" s="151" t="str">
        <f>_xlfn.IFNA(VLOOKUP(D316,标准编码!A:B,2,0),"")</f>
        <v/>
      </c>
      <c r="D316" s="247">
        <v>222109</v>
      </c>
      <c r="E316" s="247" t="s">
        <v>3475</v>
      </c>
      <c r="F316" s="247" t="s">
        <v>3169</v>
      </c>
      <c r="G316" s="139">
        <v>0</v>
      </c>
      <c r="H316" s="139">
        <v>0</v>
      </c>
      <c r="I316" s="139">
        <v>1307068.27</v>
      </c>
      <c r="J316" s="139">
        <v>0</v>
      </c>
      <c r="K316" s="139">
        <v>1307068.27</v>
      </c>
      <c r="L316" s="139" t="s">
        <v>826</v>
      </c>
      <c r="M316" s="139">
        <v>1307068.27</v>
      </c>
    </row>
    <row r="317" spans="2:13">
      <c r="B317" s="151" t="str">
        <f>_xlfn.IFNA(VLOOKUP(D317,标准编码!A:B,2,0),"")</f>
        <v/>
      </c>
      <c r="D317" s="247">
        <v>222112</v>
      </c>
      <c r="E317" s="247" t="s">
        <v>3476</v>
      </c>
      <c r="F317" s="247" t="s">
        <v>826</v>
      </c>
      <c r="G317" s="139">
        <v>989411.28</v>
      </c>
      <c r="H317" s="139">
        <v>2932971.93</v>
      </c>
      <c r="I317" s="139">
        <v>2932971.93</v>
      </c>
      <c r="J317" s="139">
        <v>2932971.93</v>
      </c>
      <c r="K317" s="139">
        <v>2932971.93</v>
      </c>
      <c r="L317" s="139" t="s">
        <v>826</v>
      </c>
      <c r="M317" s="139">
        <v>989411.28</v>
      </c>
    </row>
    <row r="318" spans="2:13">
      <c r="B318" s="151" t="str">
        <f>_xlfn.IFNA(VLOOKUP(D318,标准编码!A:B,2,0),"")</f>
        <v/>
      </c>
      <c r="D318" s="247">
        <v>22211201</v>
      </c>
      <c r="E318" s="247" t="s">
        <v>3477</v>
      </c>
      <c r="F318" s="247" t="s">
        <v>826</v>
      </c>
      <c r="G318" s="139">
        <v>1371002.73</v>
      </c>
      <c r="H318" s="139">
        <v>2864581.87</v>
      </c>
      <c r="I318" s="139">
        <v>2864581.87</v>
      </c>
      <c r="J318" s="139">
        <v>2864581.87</v>
      </c>
      <c r="K318" s="139">
        <v>2864581.87</v>
      </c>
      <c r="L318" s="139" t="s">
        <v>826</v>
      </c>
      <c r="M318" s="139">
        <v>1371002.73</v>
      </c>
    </row>
    <row r="319" spans="2:13">
      <c r="B319" s="151" t="str">
        <f>_xlfn.IFNA(VLOOKUP(D319,标准编码!A:B,2,0),"")</f>
        <v/>
      </c>
      <c r="D319" s="247">
        <v>22211202</v>
      </c>
      <c r="E319" s="247" t="s">
        <v>3478</v>
      </c>
      <c r="F319" s="247" t="s">
        <v>825</v>
      </c>
      <c r="G319" s="139">
        <v>381591.45</v>
      </c>
      <c r="H319" s="139">
        <v>68390.06</v>
      </c>
      <c r="I319" s="139">
        <v>68390.06</v>
      </c>
      <c r="J319" s="139">
        <v>68390.06</v>
      </c>
      <c r="K319" s="139">
        <v>68390.06</v>
      </c>
      <c r="L319" s="139" t="s">
        <v>825</v>
      </c>
      <c r="M319" s="139">
        <v>381591.45</v>
      </c>
    </row>
    <row r="320" spans="2:13">
      <c r="B320" s="151" t="str">
        <f>_xlfn.IFNA(VLOOKUP(D320,标准编码!A:B,2,0),"")</f>
        <v/>
      </c>
      <c r="D320" s="247">
        <v>222113</v>
      </c>
      <c r="E320" s="247" t="s">
        <v>3479</v>
      </c>
      <c r="F320" s="247" t="s">
        <v>825</v>
      </c>
      <c r="G320" s="139">
        <v>469337.79</v>
      </c>
      <c r="H320" s="139">
        <v>348687</v>
      </c>
      <c r="I320" s="139">
        <v>348687</v>
      </c>
      <c r="J320" s="139">
        <v>348687</v>
      </c>
      <c r="K320" s="139">
        <v>348687</v>
      </c>
      <c r="L320" s="139" t="s">
        <v>825</v>
      </c>
      <c r="M320" s="139">
        <v>469337.79</v>
      </c>
    </row>
    <row r="321" spans="2:13">
      <c r="B321" s="151" t="str">
        <f>_xlfn.IFNA(VLOOKUP(D321,标准编码!A:B,2,0),"")</f>
        <v/>
      </c>
      <c r="D321" s="247">
        <v>222114</v>
      </c>
      <c r="E321" s="247" t="s">
        <v>3480</v>
      </c>
      <c r="F321" s="247" t="s">
        <v>825</v>
      </c>
      <c r="G321" s="139">
        <v>84563.43</v>
      </c>
      <c r="H321" s="139">
        <v>115838.79</v>
      </c>
      <c r="I321" s="139">
        <v>115838.79</v>
      </c>
      <c r="J321" s="139">
        <v>115838.79</v>
      </c>
      <c r="K321" s="139">
        <v>115838.79</v>
      </c>
      <c r="L321" s="139" t="s">
        <v>825</v>
      </c>
      <c r="M321" s="139">
        <v>84563.43</v>
      </c>
    </row>
    <row r="322" spans="2:13">
      <c r="B322" s="151" t="str">
        <f>_xlfn.IFNA(VLOOKUP(D322,标准编码!A:B,2,0),"")</f>
        <v/>
      </c>
      <c r="D322" s="247">
        <v>22211401</v>
      </c>
      <c r="E322" s="247" t="s">
        <v>3481</v>
      </c>
      <c r="F322" s="247" t="s">
        <v>826</v>
      </c>
      <c r="G322" s="139">
        <v>37045.47</v>
      </c>
      <c r="H322" s="139">
        <v>98901.45</v>
      </c>
      <c r="I322" s="139">
        <v>100032.91</v>
      </c>
      <c r="J322" s="139">
        <v>98901.45</v>
      </c>
      <c r="K322" s="139">
        <v>100032.91</v>
      </c>
      <c r="L322" s="139" t="s">
        <v>826</v>
      </c>
      <c r="M322" s="139">
        <v>38176.93</v>
      </c>
    </row>
    <row r="323" spans="2:13">
      <c r="B323" s="151" t="str">
        <f>_xlfn.IFNA(VLOOKUP(D323,标准编码!A:B,2,0),"")</f>
        <v/>
      </c>
      <c r="D323" s="247">
        <v>22211402</v>
      </c>
      <c r="E323" s="247" t="s">
        <v>3482</v>
      </c>
      <c r="F323" s="247" t="s">
        <v>825</v>
      </c>
      <c r="G323" s="139">
        <v>57105.31</v>
      </c>
      <c r="H323" s="139">
        <v>1131.46</v>
      </c>
      <c r="I323" s="139">
        <v>0</v>
      </c>
      <c r="J323" s="139">
        <v>1131.46</v>
      </c>
      <c r="K323" s="139">
        <v>0</v>
      </c>
      <c r="L323" s="139" t="s">
        <v>825</v>
      </c>
      <c r="M323" s="139">
        <v>58236.77</v>
      </c>
    </row>
    <row r="324" spans="2:13">
      <c r="B324" s="151" t="str">
        <f>_xlfn.IFNA(VLOOKUP(D324,标准编码!A:B,2,0),"")</f>
        <v/>
      </c>
      <c r="D324" s="247">
        <v>22211403</v>
      </c>
      <c r="E324" s="247" t="s">
        <v>3483</v>
      </c>
      <c r="F324" s="247" t="s">
        <v>825</v>
      </c>
      <c r="G324" s="139">
        <v>1536.27</v>
      </c>
      <c r="H324" s="139">
        <v>0</v>
      </c>
      <c r="I324" s="139">
        <v>0</v>
      </c>
      <c r="J324" s="139">
        <v>0</v>
      </c>
      <c r="K324" s="139">
        <v>0</v>
      </c>
      <c r="L324" s="139" t="s">
        <v>825</v>
      </c>
      <c r="M324" s="139">
        <v>1536.27</v>
      </c>
    </row>
    <row r="325" spans="2:13">
      <c r="B325" s="151" t="str">
        <f>_xlfn.IFNA(VLOOKUP(D325,标准编码!A:B,2,0),"")</f>
        <v/>
      </c>
      <c r="D325" s="247">
        <v>22211404</v>
      </c>
      <c r="E325" s="247" t="s">
        <v>3484</v>
      </c>
      <c r="F325" s="247" t="s">
        <v>825</v>
      </c>
      <c r="G325" s="139">
        <v>26556.25</v>
      </c>
      <c r="H325" s="139">
        <v>0</v>
      </c>
      <c r="I325" s="139">
        <v>0</v>
      </c>
      <c r="J325" s="139">
        <v>0</v>
      </c>
      <c r="K325" s="139">
        <v>0</v>
      </c>
      <c r="L325" s="139" t="s">
        <v>825</v>
      </c>
      <c r="M325" s="139">
        <v>26556.25</v>
      </c>
    </row>
    <row r="326" spans="2:13">
      <c r="B326" s="151" t="str">
        <f>_xlfn.IFNA(VLOOKUP(D326,标准编码!A:B,2,0),"")</f>
        <v/>
      </c>
      <c r="D326" s="247">
        <v>22211405</v>
      </c>
      <c r="E326" s="247" t="s">
        <v>3485</v>
      </c>
      <c r="F326" s="247" t="s">
        <v>825</v>
      </c>
      <c r="G326" s="139">
        <v>58215.85</v>
      </c>
      <c r="H326" s="139">
        <v>15805.88</v>
      </c>
      <c r="I326" s="139">
        <v>15805.88</v>
      </c>
      <c r="J326" s="139">
        <v>15805.88</v>
      </c>
      <c r="K326" s="139">
        <v>15805.88</v>
      </c>
      <c r="L326" s="139" t="s">
        <v>825</v>
      </c>
      <c r="M326" s="139">
        <v>58215.85</v>
      </c>
    </row>
    <row r="327" spans="2:13">
      <c r="B327" s="151" t="str">
        <f>_xlfn.IFNA(VLOOKUP(D327,标准编码!A:B,2,0),"")</f>
        <v/>
      </c>
      <c r="D327" s="247">
        <v>22211406</v>
      </c>
      <c r="E327" s="247" t="s">
        <v>3486</v>
      </c>
      <c r="F327" s="247" t="s">
        <v>826</v>
      </c>
      <c r="G327" s="139">
        <v>22948.34</v>
      </c>
      <c r="H327" s="139">
        <v>0</v>
      </c>
      <c r="I327" s="139">
        <v>0</v>
      </c>
      <c r="J327" s="139">
        <v>0</v>
      </c>
      <c r="K327" s="139">
        <v>0</v>
      </c>
      <c r="L327" s="139" t="s">
        <v>826</v>
      </c>
      <c r="M327" s="139">
        <v>22948.34</v>
      </c>
    </row>
    <row r="328" spans="2:13">
      <c r="B328" s="151" t="str">
        <f>_xlfn.IFNA(VLOOKUP(D328,标准编码!A:B,2,0),"")</f>
        <v/>
      </c>
      <c r="D328" s="247">
        <v>22211407</v>
      </c>
      <c r="E328" s="247" t="s">
        <v>3487</v>
      </c>
      <c r="F328" s="247" t="s">
        <v>825</v>
      </c>
      <c r="G328" s="139">
        <v>1143.56</v>
      </c>
      <c r="H328" s="139">
        <v>0</v>
      </c>
      <c r="I328" s="139">
        <v>0</v>
      </c>
      <c r="J328" s="139">
        <v>0</v>
      </c>
      <c r="K328" s="139">
        <v>0</v>
      </c>
      <c r="L328" s="139" t="s">
        <v>825</v>
      </c>
      <c r="M328" s="139">
        <v>1143.56</v>
      </c>
    </row>
    <row r="329" spans="2:13">
      <c r="B329" s="151" t="str">
        <f>_xlfn.IFNA(VLOOKUP(D329,标准编码!A:B,2,0),"")</f>
        <v/>
      </c>
      <c r="D329" s="247">
        <v>222115</v>
      </c>
      <c r="E329" s="247" t="s">
        <v>3488</v>
      </c>
      <c r="F329" s="247" t="s">
        <v>825</v>
      </c>
      <c r="G329" s="139">
        <v>54997.78</v>
      </c>
      <c r="H329" s="139">
        <v>49416.46</v>
      </c>
      <c r="I329" s="139">
        <v>50063.01</v>
      </c>
      <c r="J329" s="139">
        <v>49416.46</v>
      </c>
      <c r="K329" s="139">
        <v>50063.01</v>
      </c>
      <c r="L329" s="139" t="s">
        <v>825</v>
      </c>
      <c r="M329" s="139">
        <v>54351.23</v>
      </c>
    </row>
    <row r="330" spans="2:13">
      <c r="B330" s="151" t="str">
        <f>_xlfn.IFNA(VLOOKUP(D330,标准编码!A:B,2,0),"")</f>
        <v/>
      </c>
      <c r="D330" s="247">
        <v>22211501</v>
      </c>
      <c r="E330" s="247" t="s">
        <v>3489</v>
      </c>
      <c r="F330" s="247" t="s">
        <v>826</v>
      </c>
      <c r="G330" s="139">
        <v>14858.65</v>
      </c>
      <c r="H330" s="139">
        <v>42883.42</v>
      </c>
      <c r="I330" s="139">
        <v>44014.879999999997</v>
      </c>
      <c r="J330" s="139">
        <v>42883.42</v>
      </c>
      <c r="K330" s="139">
        <v>44014.879999999997</v>
      </c>
      <c r="L330" s="139" t="s">
        <v>826</v>
      </c>
      <c r="M330" s="139">
        <v>15990.11</v>
      </c>
    </row>
    <row r="331" spans="2:13">
      <c r="B331" s="151" t="str">
        <f>_xlfn.IFNA(VLOOKUP(D331,标准编码!A:B,2,0),"")</f>
        <v/>
      </c>
      <c r="D331" s="247">
        <v>22211502</v>
      </c>
      <c r="E331" s="247" t="s">
        <v>3490</v>
      </c>
      <c r="F331" s="247" t="s">
        <v>825</v>
      </c>
      <c r="G331" s="139">
        <v>24572.74</v>
      </c>
      <c r="H331" s="139">
        <v>484.91</v>
      </c>
      <c r="I331" s="139">
        <v>0</v>
      </c>
      <c r="J331" s="139">
        <v>484.91</v>
      </c>
      <c r="K331" s="139">
        <v>0</v>
      </c>
      <c r="L331" s="139" t="s">
        <v>825</v>
      </c>
      <c r="M331" s="139">
        <v>25057.65</v>
      </c>
    </row>
    <row r="332" spans="2:13">
      <c r="B332" s="151" t="str">
        <f>_xlfn.IFNA(VLOOKUP(D332,标准编码!A:B,2,0),"")</f>
        <v/>
      </c>
      <c r="D332" s="247">
        <v>22211503</v>
      </c>
      <c r="E332" s="247" t="s">
        <v>3491</v>
      </c>
      <c r="F332" s="247" t="s">
        <v>825</v>
      </c>
      <c r="G332" s="139">
        <v>12189.07</v>
      </c>
      <c r="H332" s="139">
        <v>0</v>
      </c>
      <c r="I332" s="139">
        <v>0</v>
      </c>
      <c r="J332" s="139">
        <v>0</v>
      </c>
      <c r="K332" s="139">
        <v>0</v>
      </c>
      <c r="L332" s="139" t="s">
        <v>825</v>
      </c>
      <c r="M332" s="139">
        <v>12189.07</v>
      </c>
    </row>
    <row r="333" spans="2:13">
      <c r="B333" s="151" t="str">
        <f>_xlfn.IFNA(VLOOKUP(D333,标准编码!A:B,2,0),"")</f>
        <v/>
      </c>
      <c r="D333" s="247">
        <v>22211504</v>
      </c>
      <c r="E333" s="247" t="s">
        <v>3492</v>
      </c>
      <c r="F333" s="247" t="s">
        <v>825</v>
      </c>
      <c r="G333" s="139">
        <v>11381.24</v>
      </c>
      <c r="H333" s="139">
        <v>0</v>
      </c>
      <c r="I333" s="139">
        <v>0</v>
      </c>
      <c r="J333" s="139">
        <v>0</v>
      </c>
      <c r="K333" s="139">
        <v>0</v>
      </c>
      <c r="L333" s="139" t="s">
        <v>825</v>
      </c>
      <c r="M333" s="139">
        <v>11381.24</v>
      </c>
    </row>
    <row r="334" spans="2:13">
      <c r="B334" s="151" t="str">
        <f>_xlfn.IFNA(VLOOKUP(D334,标准编码!A:B,2,0),"")</f>
        <v/>
      </c>
      <c r="D334" s="247">
        <v>22211505</v>
      </c>
      <c r="E334" s="247" t="s">
        <v>3493</v>
      </c>
      <c r="F334" s="247" t="s">
        <v>825</v>
      </c>
      <c r="G334" s="139">
        <v>24949.69</v>
      </c>
      <c r="H334" s="139">
        <v>6048.13</v>
      </c>
      <c r="I334" s="139">
        <v>6048.13</v>
      </c>
      <c r="J334" s="139">
        <v>6048.13</v>
      </c>
      <c r="K334" s="139">
        <v>6048.13</v>
      </c>
      <c r="L334" s="139" t="s">
        <v>825</v>
      </c>
      <c r="M334" s="139">
        <v>24949.69</v>
      </c>
    </row>
    <row r="335" spans="2:13">
      <c r="B335" s="151" t="str">
        <f>_xlfn.IFNA(VLOOKUP(D335,标准编码!A:B,2,0),"")</f>
        <v/>
      </c>
      <c r="D335" s="247">
        <v>22211506</v>
      </c>
      <c r="E335" s="247" t="s">
        <v>3494</v>
      </c>
      <c r="F335" s="247" t="s">
        <v>826</v>
      </c>
      <c r="G335" s="139">
        <v>3726.41</v>
      </c>
      <c r="H335" s="139">
        <v>0</v>
      </c>
      <c r="I335" s="139">
        <v>0</v>
      </c>
      <c r="J335" s="139">
        <v>0</v>
      </c>
      <c r="K335" s="139">
        <v>0</v>
      </c>
      <c r="L335" s="139" t="s">
        <v>826</v>
      </c>
      <c r="M335" s="139">
        <v>3726.41</v>
      </c>
    </row>
    <row r="336" spans="2:13">
      <c r="B336" s="151" t="str">
        <f>_xlfn.IFNA(VLOOKUP(D336,标准编码!A:B,2,0),"")</f>
        <v/>
      </c>
      <c r="D336" s="247">
        <v>22211507</v>
      </c>
      <c r="E336" s="247" t="s">
        <v>3495</v>
      </c>
      <c r="F336" s="247" t="s">
        <v>825</v>
      </c>
      <c r="G336" s="139">
        <v>490.1</v>
      </c>
      <c r="H336" s="139">
        <v>0</v>
      </c>
      <c r="I336" s="139">
        <v>0</v>
      </c>
      <c r="J336" s="139">
        <v>0</v>
      </c>
      <c r="K336" s="139">
        <v>0</v>
      </c>
      <c r="L336" s="139" t="s">
        <v>825</v>
      </c>
      <c r="M336" s="139">
        <v>490.1</v>
      </c>
    </row>
    <row r="337" spans="2:13">
      <c r="B337" s="151" t="str">
        <f>_xlfn.IFNA(VLOOKUP(D337,标准编码!A:B,2,0),"")</f>
        <v/>
      </c>
      <c r="D337" s="247">
        <v>222116</v>
      </c>
      <c r="E337" s="247" t="s">
        <v>3496</v>
      </c>
      <c r="F337" s="247" t="s">
        <v>825</v>
      </c>
      <c r="G337" s="139">
        <v>57685.14</v>
      </c>
      <c r="H337" s="139">
        <v>38097.56</v>
      </c>
      <c r="I337" s="139">
        <v>38097.56</v>
      </c>
      <c r="J337" s="139">
        <v>38097.56</v>
      </c>
      <c r="K337" s="139">
        <v>38097.56</v>
      </c>
      <c r="L337" s="139" t="s">
        <v>825</v>
      </c>
      <c r="M337" s="139">
        <v>57685.14</v>
      </c>
    </row>
    <row r="338" spans="2:13">
      <c r="B338" s="151" t="str">
        <f>_xlfn.IFNA(VLOOKUP(D338,标准编码!A:B,2,0),"")</f>
        <v/>
      </c>
      <c r="D338" s="247">
        <v>22211601</v>
      </c>
      <c r="E338" s="247" t="s">
        <v>3497</v>
      </c>
      <c r="F338" s="247" t="s">
        <v>825</v>
      </c>
      <c r="G338" s="139">
        <v>4642.1000000000004</v>
      </c>
      <c r="H338" s="139">
        <v>32855.769999999997</v>
      </c>
      <c r="I338" s="139">
        <v>32855.769999999997</v>
      </c>
      <c r="J338" s="139">
        <v>32855.769999999997</v>
      </c>
      <c r="K338" s="139">
        <v>32855.769999999997</v>
      </c>
      <c r="L338" s="139" t="s">
        <v>825</v>
      </c>
      <c r="M338" s="139">
        <v>4642.1000000000004</v>
      </c>
    </row>
    <row r="339" spans="2:13">
      <c r="B339" s="151" t="str">
        <f>_xlfn.IFNA(VLOOKUP(D339,标准编码!A:B,2,0),"")</f>
        <v/>
      </c>
      <c r="D339" s="247">
        <v>22211602</v>
      </c>
      <c r="E339" s="247" t="s">
        <v>3498</v>
      </c>
      <c r="F339" s="247" t="s">
        <v>825</v>
      </c>
      <c r="G339" s="139">
        <v>16288.88</v>
      </c>
      <c r="H339" s="139">
        <v>0</v>
      </c>
      <c r="I339" s="139">
        <v>0</v>
      </c>
      <c r="J339" s="139">
        <v>0</v>
      </c>
      <c r="K339" s="139">
        <v>0</v>
      </c>
      <c r="L339" s="139" t="s">
        <v>825</v>
      </c>
      <c r="M339" s="139">
        <v>16288.88</v>
      </c>
    </row>
    <row r="340" spans="2:13">
      <c r="B340" s="151" t="str">
        <f>_xlfn.IFNA(VLOOKUP(D340,标准编码!A:B,2,0),"")</f>
        <v/>
      </c>
      <c r="D340" s="247">
        <v>22211603</v>
      </c>
      <c r="E340" s="247" t="s">
        <v>3499</v>
      </c>
      <c r="F340" s="247" t="s">
        <v>825</v>
      </c>
      <c r="G340" s="139">
        <v>438.32</v>
      </c>
      <c r="H340" s="139">
        <v>0</v>
      </c>
      <c r="I340" s="139">
        <v>0</v>
      </c>
      <c r="J340" s="139">
        <v>0</v>
      </c>
      <c r="K340" s="139">
        <v>0</v>
      </c>
      <c r="L340" s="139" t="s">
        <v>825</v>
      </c>
      <c r="M340" s="139">
        <v>438.32</v>
      </c>
    </row>
    <row r="341" spans="2:13">
      <c r="B341" s="151" t="str">
        <f>_xlfn.IFNA(VLOOKUP(D341,标准编码!A:B,2,0),"")</f>
        <v/>
      </c>
      <c r="D341" s="247">
        <v>22211604</v>
      </c>
      <c r="E341" s="247" t="s">
        <v>3500</v>
      </c>
      <c r="F341" s="247" t="s">
        <v>825</v>
      </c>
      <c r="G341" s="139">
        <v>7587.5</v>
      </c>
      <c r="H341" s="139">
        <v>0</v>
      </c>
      <c r="I341" s="139">
        <v>0</v>
      </c>
      <c r="J341" s="139">
        <v>0</v>
      </c>
      <c r="K341" s="139">
        <v>0</v>
      </c>
      <c r="L341" s="139" t="s">
        <v>825</v>
      </c>
      <c r="M341" s="139">
        <v>7587.5</v>
      </c>
    </row>
    <row r="342" spans="2:13">
      <c r="B342" s="151" t="str">
        <f>_xlfn.IFNA(VLOOKUP(D342,标准编码!A:B,2,0),"")</f>
        <v/>
      </c>
      <c r="D342" s="247">
        <v>22211605</v>
      </c>
      <c r="E342" s="247" t="s">
        <v>3501</v>
      </c>
      <c r="F342" s="247" t="s">
        <v>825</v>
      </c>
      <c r="G342" s="139">
        <v>16633.099999999999</v>
      </c>
      <c r="H342" s="139">
        <v>5241.79</v>
      </c>
      <c r="I342" s="139">
        <v>5241.79</v>
      </c>
      <c r="J342" s="139">
        <v>5241.79</v>
      </c>
      <c r="K342" s="139">
        <v>5241.79</v>
      </c>
      <c r="L342" s="139" t="s">
        <v>825</v>
      </c>
      <c r="M342" s="139">
        <v>16633.099999999999</v>
      </c>
    </row>
    <row r="343" spans="2:13">
      <c r="B343" s="151" t="str">
        <f>_xlfn.IFNA(VLOOKUP(D343,标准编码!A:B,2,0),"")</f>
        <v/>
      </c>
      <c r="D343" s="247">
        <v>22211606</v>
      </c>
      <c r="E343" s="247" t="s">
        <v>3502</v>
      </c>
      <c r="F343" s="247" t="s">
        <v>825</v>
      </c>
      <c r="G343" s="139">
        <v>11768.51</v>
      </c>
      <c r="H343" s="139">
        <v>0</v>
      </c>
      <c r="I343" s="139">
        <v>0</v>
      </c>
      <c r="J343" s="139">
        <v>0</v>
      </c>
      <c r="K343" s="139">
        <v>0</v>
      </c>
      <c r="L343" s="139" t="s">
        <v>825</v>
      </c>
      <c r="M343" s="139">
        <v>11768.51</v>
      </c>
    </row>
    <row r="344" spans="2:13">
      <c r="B344" s="151" t="str">
        <f>_xlfn.IFNA(VLOOKUP(D344,标准编码!A:B,2,0),"")</f>
        <v/>
      </c>
      <c r="D344" s="247">
        <v>22211607</v>
      </c>
      <c r="E344" s="247" t="s">
        <v>3503</v>
      </c>
      <c r="F344" s="247" t="s">
        <v>825</v>
      </c>
      <c r="G344" s="139">
        <v>326.73</v>
      </c>
      <c r="H344" s="139">
        <v>0</v>
      </c>
      <c r="I344" s="139">
        <v>0</v>
      </c>
      <c r="J344" s="139">
        <v>0</v>
      </c>
      <c r="K344" s="139">
        <v>0</v>
      </c>
      <c r="L344" s="139" t="s">
        <v>825</v>
      </c>
      <c r="M344" s="139">
        <v>326.73</v>
      </c>
    </row>
    <row r="345" spans="2:13">
      <c r="B345" s="151" t="str">
        <f>_xlfn.IFNA(VLOOKUP(D345,标准编码!A:B,2,0),"")</f>
        <v/>
      </c>
      <c r="D345" s="247">
        <v>222117</v>
      </c>
      <c r="E345" s="247" t="s">
        <v>3504</v>
      </c>
      <c r="F345" s="247" t="s">
        <v>3169</v>
      </c>
      <c r="G345" s="139">
        <v>0</v>
      </c>
      <c r="H345" s="139">
        <v>147976.91</v>
      </c>
      <c r="I345" s="139">
        <v>147976.91</v>
      </c>
      <c r="J345" s="139">
        <v>147976.91</v>
      </c>
      <c r="K345" s="139">
        <v>147976.91</v>
      </c>
      <c r="L345" s="139" t="s">
        <v>3169</v>
      </c>
      <c r="M345" s="139">
        <v>0</v>
      </c>
    </row>
    <row r="346" spans="2:13">
      <c r="B346" s="151" t="str">
        <f>_xlfn.IFNA(VLOOKUP(D346,标准编码!A:B,2,0),"")</f>
        <v/>
      </c>
      <c r="D346" s="247">
        <v>222118</v>
      </c>
      <c r="E346" s="247" t="s">
        <v>3505</v>
      </c>
      <c r="F346" s="247" t="s">
        <v>826</v>
      </c>
      <c r="G346" s="139">
        <v>132981.38</v>
      </c>
      <c r="H346" s="139">
        <v>1069173.17</v>
      </c>
      <c r="I346" s="139">
        <v>848488.59</v>
      </c>
      <c r="J346" s="139">
        <v>1069173.17</v>
      </c>
      <c r="K346" s="139">
        <v>848488.59</v>
      </c>
      <c r="L346" s="139" t="s">
        <v>825</v>
      </c>
      <c r="M346" s="139">
        <v>87703.2</v>
      </c>
    </row>
    <row r="347" spans="2:13">
      <c r="B347" s="151" t="str">
        <f>_xlfn.IFNA(VLOOKUP(D347,标准编码!A:B,2,0),"")</f>
        <v/>
      </c>
      <c r="D347" s="247">
        <v>222119</v>
      </c>
      <c r="E347" s="247" t="s">
        <v>3506</v>
      </c>
      <c r="F347" s="247" t="s">
        <v>3169</v>
      </c>
      <c r="G347" s="139">
        <v>0</v>
      </c>
      <c r="H347" s="139">
        <v>169830</v>
      </c>
      <c r="I347" s="139">
        <v>169830</v>
      </c>
      <c r="J347" s="139">
        <v>169830</v>
      </c>
      <c r="K347" s="139">
        <v>169830</v>
      </c>
      <c r="L347" s="139" t="s">
        <v>3169</v>
      </c>
      <c r="M347" s="139">
        <v>0</v>
      </c>
    </row>
    <row r="348" spans="2:13">
      <c r="B348" s="151" t="str">
        <f>_xlfn.IFNA(VLOOKUP(D348,标准编码!A:B,2,0),"")</f>
        <v/>
      </c>
      <c r="D348" s="247">
        <v>222126</v>
      </c>
      <c r="E348" s="247" t="s">
        <v>3507</v>
      </c>
      <c r="F348" s="247" t="s">
        <v>825</v>
      </c>
      <c r="G348" s="139">
        <v>394134.47</v>
      </c>
      <c r="H348" s="139">
        <v>0</v>
      </c>
      <c r="I348" s="139">
        <v>394134.47</v>
      </c>
      <c r="J348" s="139">
        <v>0</v>
      </c>
      <c r="K348" s="139">
        <v>394134.47</v>
      </c>
      <c r="L348" s="139" t="s">
        <v>3169</v>
      </c>
      <c r="M348" s="139">
        <v>0</v>
      </c>
    </row>
    <row r="349" spans="2:13">
      <c r="B349" s="151" t="str">
        <f>_xlfn.IFNA(VLOOKUP(D349,标准编码!A:B,2,0),"")</f>
        <v/>
      </c>
      <c r="D349" s="247">
        <v>222127</v>
      </c>
      <c r="E349" s="247" t="s">
        <v>3508</v>
      </c>
      <c r="F349" s="247" t="s">
        <v>825</v>
      </c>
      <c r="G349" s="139">
        <v>254889.75</v>
      </c>
      <c r="H349" s="139">
        <v>0</v>
      </c>
      <c r="I349" s="139">
        <v>254889.75</v>
      </c>
      <c r="J349" s="139">
        <v>0</v>
      </c>
      <c r="K349" s="139">
        <v>254889.75</v>
      </c>
      <c r="L349" s="139" t="s">
        <v>3169</v>
      </c>
      <c r="M349" s="139">
        <v>0</v>
      </c>
    </row>
    <row r="350" spans="2:13">
      <c r="B350" s="151" t="str">
        <f>_xlfn.IFNA(VLOOKUP(D350,标准编码!A:B,2,0),"")</f>
        <v/>
      </c>
      <c r="D350" s="247">
        <v>22212701</v>
      </c>
      <c r="E350" s="247" t="s">
        <v>3509</v>
      </c>
      <c r="F350" s="247" t="s">
        <v>825</v>
      </c>
      <c r="G350" s="139">
        <v>254889.75</v>
      </c>
      <c r="H350" s="139">
        <v>0</v>
      </c>
      <c r="I350" s="139">
        <v>254889.75</v>
      </c>
      <c r="J350" s="139">
        <v>0</v>
      </c>
      <c r="K350" s="139">
        <v>254889.75</v>
      </c>
      <c r="L350" s="139" t="s">
        <v>3169</v>
      </c>
      <c r="M350" s="139">
        <v>0</v>
      </c>
    </row>
    <row r="351" spans="2:13">
      <c r="B351" s="151" t="str">
        <f>_xlfn.IFNA(VLOOKUP(D351,标准编码!A:B,2,0),"")</f>
        <v>应付利息</v>
      </c>
      <c r="D351" s="247">
        <v>2231</v>
      </c>
      <c r="E351" s="247" t="s">
        <v>3510</v>
      </c>
      <c r="F351" s="247" t="s">
        <v>826</v>
      </c>
      <c r="G351" s="139">
        <v>127231219.66</v>
      </c>
      <c r="H351" s="139">
        <v>200649395</v>
      </c>
      <c r="I351" s="139">
        <v>172279927.66999999</v>
      </c>
      <c r="J351" s="139">
        <v>200649395</v>
      </c>
      <c r="K351" s="139">
        <v>172279927.66999999</v>
      </c>
      <c r="L351" s="139" t="s">
        <v>826</v>
      </c>
      <c r="M351" s="139">
        <v>98861752.329999998</v>
      </c>
    </row>
    <row r="352" spans="2:13">
      <c r="B352" s="151" t="str">
        <f>_xlfn.IFNA(VLOOKUP(D352,标准编码!A:B,2,0),"")</f>
        <v/>
      </c>
      <c r="D352" s="247">
        <v>223101</v>
      </c>
      <c r="E352" s="247" t="s">
        <v>3511</v>
      </c>
      <c r="F352" s="247" t="s">
        <v>826</v>
      </c>
      <c r="G352" s="139">
        <v>12242657.99</v>
      </c>
      <c r="H352" s="139">
        <v>0</v>
      </c>
      <c r="I352" s="139">
        <v>-1435280.21</v>
      </c>
      <c r="J352" s="139">
        <v>0</v>
      </c>
      <c r="K352" s="139">
        <v>-1435280.21</v>
      </c>
      <c r="L352" s="139" t="s">
        <v>826</v>
      </c>
      <c r="M352" s="139">
        <v>10807377.779999999</v>
      </c>
    </row>
    <row r="353" spans="2:13">
      <c r="B353" s="151" t="str">
        <f>_xlfn.IFNA(VLOOKUP(D353,标准编码!A:B,2,0),"")</f>
        <v/>
      </c>
      <c r="D353" s="247">
        <v>223102</v>
      </c>
      <c r="E353" s="247" t="s">
        <v>3512</v>
      </c>
      <c r="F353" s="247" t="s">
        <v>826</v>
      </c>
      <c r="G353" s="139">
        <v>88093611.120000005</v>
      </c>
      <c r="H353" s="139">
        <v>173754444.44999999</v>
      </c>
      <c r="I353" s="139">
        <v>144714722.22</v>
      </c>
      <c r="J353" s="139">
        <v>173754444.44999999</v>
      </c>
      <c r="K353" s="139">
        <v>144714722.22</v>
      </c>
      <c r="L353" s="139" t="s">
        <v>826</v>
      </c>
      <c r="M353" s="139">
        <v>59053888.890000001</v>
      </c>
    </row>
    <row r="354" spans="2:13">
      <c r="B354" s="151" t="str">
        <f>_xlfn.IFNA(VLOOKUP(D354,标准编码!A:B,2,0),"")</f>
        <v/>
      </c>
      <c r="D354" s="247">
        <v>223103</v>
      </c>
      <c r="E354" s="247" t="s">
        <v>3513</v>
      </c>
      <c r="F354" s="247" t="s">
        <v>826</v>
      </c>
      <c r="G354" s="139">
        <v>9848169.7300000004</v>
      </c>
      <c r="H354" s="139">
        <v>9848169.7300000004</v>
      </c>
      <c r="I354" s="139">
        <v>0</v>
      </c>
      <c r="J354" s="139">
        <v>9848169.7300000004</v>
      </c>
      <c r="K354" s="139">
        <v>0</v>
      </c>
      <c r="L354" s="139" t="s">
        <v>3169</v>
      </c>
      <c r="M354" s="139">
        <v>0</v>
      </c>
    </row>
    <row r="355" spans="2:13">
      <c r="B355" s="151" t="str">
        <f>_xlfn.IFNA(VLOOKUP(D355,标准编码!A:B,2,0),"")</f>
        <v/>
      </c>
      <c r="D355" s="247">
        <v>223104</v>
      </c>
      <c r="E355" s="247" t="s">
        <v>3514</v>
      </c>
      <c r="F355" s="247" t="s">
        <v>826</v>
      </c>
      <c r="G355" s="139">
        <v>17046780.82</v>
      </c>
      <c r="H355" s="139">
        <v>17046780.82</v>
      </c>
      <c r="I355" s="139">
        <v>29000485.66</v>
      </c>
      <c r="J355" s="139">
        <v>17046780.82</v>
      </c>
      <c r="K355" s="139">
        <v>29000485.66</v>
      </c>
      <c r="L355" s="139" t="s">
        <v>826</v>
      </c>
      <c r="M355" s="139">
        <v>29000485.66</v>
      </c>
    </row>
    <row r="356" spans="2:13">
      <c r="B356" s="151" t="str">
        <f>_xlfn.IFNA(VLOOKUP(D356,标准编码!A:B,2,0),"")</f>
        <v>其他应付款</v>
      </c>
      <c r="D356" s="247">
        <v>2241</v>
      </c>
      <c r="E356" s="247" t="s">
        <v>3515</v>
      </c>
      <c r="F356" s="247" t="s">
        <v>826</v>
      </c>
      <c r="G356" s="139">
        <v>1035231642.08</v>
      </c>
      <c r="H356" s="139">
        <v>2873412726.29</v>
      </c>
      <c r="I356" s="139">
        <v>2615880957.54</v>
      </c>
      <c r="J356" s="139">
        <v>2873412726.29</v>
      </c>
      <c r="K356" s="139">
        <v>2615880957.54</v>
      </c>
      <c r="L356" s="139" t="s">
        <v>826</v>
      </c>
      <c r="M356" s="139">
        <v>777699873.33000004</v>
      </c>
    </row>
    <row r="357" spans="2:13">
      <c r="B357" s="151" t="str">
        <f>_xlfn.IFNA(VLOOKUP(D357,标准编码!A:B,2,0),"")</f>
        <v/>
      </c>
      <c r="D357" s="247">
        <v>224101</v>
      </c>
      <c r="E357" s="247" t="s">
        <v>3516</v>
      </c>
      <c r="F357" s="247" t="s">
        <v>826</v>
      </c>
      <c r="G357" s="139">
        <v>5431954.2599999998</v>
      </c>
      <c r="H357" s="139">
        <v>8984510.5</v>
      </c>
      <c r="I357" s="139">
        <v>29453893.399999999</v>
      </c>
      <c r="J357" s="139">
        <v>8984510.5</v>
      </c>
      <c r="K357" s="139">
        <v>29453893.399999999</v>
      </c>
      <c r="L357" s="139" t="s">
        <v>826</v>
      </c>
      <c r="M357" s="139">
        <v>25901337.16</v>
      </c>
    </row>
    <row r="358" spans="2:13">
      <c r="B358" s="151" t="str">
        <f>_xlfn.IFNA(VLOOKUP(D358,标准编码!A:B,2,0),"")</f>
        <v/>
      </c>
      <c r="D358" s="247">
        <v>22410101</v>
      </c>
      <c r="E358" s="247" t="s">
        <v>3517</v>
      </c>
      <c r="F358" s="247" t="s">
        <v>826</v>
      </c>
      <c r="G358" s="139">
        <v>50636.9</v>
      </c>
      <c r="H358" s="139">
        <v>0</v>
      </c>
      <c r="I358" s="139">
        <v>0</v>
      </c>
      <c r="J358" s="139">
        <v>0</v>
      </c>
      <c r="K358" s="139">
        <v>0</v>
      </c>
      <c r="L358" s="139" t="s">
        <v>826</v>
      </c>
      <c r="M358" s="139">
        <v>50636.9</v>
      </c>
    </row>
    <row r="359" spans="2:13">
      <c r="B359" s="151" t="str">
        <f>_xlfn.IFNA(VLOOKUP(D359,标准编码!A:B,2,0),"")</f>
        <v/>
      </c>
      <c r="D359" s="247">
        <v>22410102</v>
      </c>
      <c r="E359" s="247" t="s">
        <v>3518</v>
      </c>
      <c r="F359" s="247" t="s">
        <v>826</v>
      </c>
      <c r="G359" s="139">
        <v>175400</v>
      </c>
      <c r="H359" s="139">
        <v>66000</v>
      </c>
      <c r="I359" s="139">
        <v>0</v>
      </c>
      <c r="J359" s="139">
        <v>66000</v>
      </c>
      <c r="K359" s="139">
        <v>0</v>
      </c>
      <c r="L359" s="139" t="s">
        <v>826</v>
      </c>
      <c r="M359" s="139">
        <v>109400</v>
      </c>
    </row>
    <row r="360" spans="2:13">
      <c r="B360" s="151" t="str">
        <f>_xlfn.IFNA(VLOOKUP(D360,标准编码!A:B,2,0),"")</f>
        <v/>
      </c>
      <c r="D360" s="247">
        <v>22410103</v>
      </c>
      <c r="E360" s="247" t="s">
        <v>3519</v>
      </c>
      <c r="F360" s="247" t="s">
        <v>826</v>
      </c>
      <c r="G360" s="139">
        <v>340281</v>
      </c>
      <c r="H360" s="139">
        <v>59500</v>
      </c>
      <c r="I360" s="139">
        <v>0</v>
      </c>
      <c r="J360" s="139">
        <v>59500</v>
      </c>
      <c r="K360" s="139">
        <v>0</v>
      </c>
      <c r="L360" s="139" t="s">
        <v>826</v>
      </c>
      <c r="M360" s="139">
        <v>280781</v>
      </c>
    </row>
    <row r="361" spans="2:13">
      <c r="B361" s="151" t="str">
        <f>_xlfn.IFNA(VLOOKUP(D361,标准编码!A:B,2,0),"")</f>
        <v/>
      </c>
      <c r="D361" s="247">
        <v>22410104</v>
      </c>
      <c r="E361" s="247" t="s">
        <v>3520</v>
      </c>
      <c r="F361" s="247" t="s">
        <v>826</v>
      </c>
      <c r="G361" s="139">
        <v>4122</v>
      </c>
      <c r="H361" s="139">
        <v>0</v>
      </c>
      <c r="I361" s="139">
        <v>0</v>
      </c>
      <c r="J361" s="139">
        <v>0</v>
      </c>
      <c r="K361" s="139">
        <v>0</v>
      </c>
      <c r="L361" s="139" t="s">
        <v>826</v>
      </c>
      <c r="M361" s="139">
        <v>4122</v>
      </c>
    </row>
    <row r="362" spans="2:13">
      <c r="B362" s="151" t="str">
        <f>_xlfn.IFNA(VLOOKUP(D362,标准编码!A:B,2,0),"")</f>
        <v/>
      </c>
      <c r="D362" s="247">
        <v>22410105</v>
      </c>
      <c r="E362" s="247" t="s">
        <v>3521</v>
      </c>
      <c r="F362" s="247" t="s">
        <v>826</v>
      </c>
      <c r="G362" s="139">
        <v>3000</v>
      </c>
      <c r="H362" s="139">
        <v>0</v>
      </c>
      <c r="I362" s="139">
        <v>0</v>
      </c>
      <c r="J362" s="139">
        <v>0</v>
      </c>
      <c r="K362" s="139">
        <v>0</v>
      </c>
      <c r="L362" s="139" t="s">
        <v>826</v>
      </c>
      <c r="M362" s="139">
        <v>3000</v>
      </c>
    </row>
    <row r="363" spans="2:13">
      <c r="B363" s="151" t="str">
        <f>_xlfn.IFNA(VLOOKUP(D363,标准编码!A:B,2,0),"")</f>
        <v/>
      </c>
      <c r="D363" s="247">
        <v>22410106</v>
      </c>
      <c r="E363" s="247" t="s">
        <v>3522</v>
      </c>
      <c r="F363" s="247" t="s">
        <v>826</v>
      </c>
      <c r="G363" s="139">
        <v>15337</v>
      </c>
      <c r="H363" s="139">
        <v>0</v>
      </c>
      <c r="I363" s="139">
        <v>0</v>
      </c>
      <c r="J363" s="139">
        <v>0</v>
      </c>
      <c r="K363" s="139">
        <v>0</v>
      </c>
      <c r="L363" s="139" t="s">
        <v>826</v>
      </c>
      <c r="M363" s="139">
        <v>15337</v>
      </c>
    </row>
    <row r="364" spans="2:13">
      <c r="B364" s="151" t="str">
        <f>_xlfn.IFNA(VLOOKUP(D364,标准编码!A:B,2,0),"")</f>
        <v/>
      </c>
      <c r="D364" s="247">
        <v>22410107</v>
      </c>
      <c r="E364" s="247" t="s">
        <v>3523</v>
      </c>
      <c r="F364" s="247" t="s">
        <v>826</v>
      </c>
      <c r="G364" s="139">
        <v>16707.7</v>
      </c>
      <c r="H364" s="139">
        <v>0</v>
      </c>
      <c r="I364" s="139">
        <v>0</v>
      </c>
      <c r="J364" s="139">
        <v>0</v>
      </c>
      <c r="K364" s="139">
        <v>0</v>
      </c>
      <c r="L364" s="139" t="s">
        <v>826</v>
      </c>
      <c r="M364" s="139">
        <v>16707.7</v>
      </c>
    </row>
    <row r="365" spans="2:13">
      <c r="B365" s="151" t="str">
        <f>_xlfn.IFNA(VLOOKUP(D365,标准编码!A:B,2,0),"")</f>
        <v/>
      </c>
      <c r="D365" s="247">
        <v>22410108</v>
      </c>
      <c r="E365" s="247" t="s">
        <v>3524</v>
      </c>
      <c r="F365" s="247" t="s">
        <v>826</v>
      </c>
      <c r="G365" s="139">
        <v>10000</v>
      </c>
      <c r="H365" s="139">
        <v>0</v>
      </c>
      <c r="I365" s="139">
        <v>0</v>
      </c>
      <c r="J365" s="139">
        <v>0</v>
      </c>
      <c r="K365" s="139">
        <v>0</v>
      </c>
      <c r="L365" s="139" t="s">
        <v>826</v>
      </c>
      <c r="M365" s="139">
        <v>10000</v>
      </c>
    </row>
    <row r="366" spans="2:13">
      <c r="B366" s="151" t="str">
        <f>_xlfn.IFNA(VLOOKUP(D366,标准编码!A:B,2,0),"")</f>
        <v/>
      </c>
      <c r="D366" s="247">
        <v>22410109</v>
      </c>
      <c r="E366" s="247" t="s">
        <v>3525</v>
      </c>
      <c r="F366" s="247" t="s">
        <v>826</v>
      </c>
      <c r="G366" s="139">
        <v>1100000</v>
      </c>
      <c r="H366" s="139">
        <v>1100000</v>
      </c>
      <c r="I366" s="139">
        <v>0</v>
      </c>
      <c r="J366" s="139">
        <v>1100000</v>
      </c>
      <c r="K366" s="139">
        <v>0</v>
      </c>
      <c r="L366" s="139" t="s">
        <v>3169</v>
      </c>
      <c r="M366" s="139">
        <v>0</v>
      </c>
    </row>
    <row r="367" spans="2:13">
      <c r="B367" s="151" t="str">
        <f>_xlfn.IFNA(VLOOKUP(D367,标准编码!A:B,2,0),"")</f>
        <v/>
      </c>
      <c r="D367" s="247">
        <v>22410110</v>
      </c>
      <c r="E367" s="247" t="s">
        <v>3526</v>
      </c>
      <c r="F367" s="247" t="s">
        <v>826</v>
      </c>
      <c r="G367" s="139">
        <v>5900</v>
      </c>
      <c r="H367" s="139">
        <v>0</v>
      </c>
      <c r="I367" s="139">
        <v>0</v>
      </c>
      <c r="J367" s="139">
        <v>0</v>
      </c>
      <c r="K367" s="139">
        <v>0</v>
      </c>
      <c r="L367" s="139" t="s">
        <v>826</v>
      </c>
      <c r="M367" s="139">
        <v>5900</v>
      </c>
    </row>
    <row r="368" spans="2:13">
      <c r="B368" s="151" t="str">
        <f>_xlfn.IFNA(VLOOKUP(D368,标准编码!A:B,2,0),"")</f>
        <v/>
      </c>
      <c r="D368" s="247">
        <v>22410111</v>
      </c>
      <c r="E368" s="247" t="s">
        <v>3527</v>
      </c>
      <c r="F368" s="247" t="s">
        <v>826</v>
      </c>
      <c r="G368" s="139">
        <v>4077.5</v>
      </c>
      <c r="H368" s="139">
        <v>0</v>
      </c>
      <c r="I368" s="139">
        <v>0</v>
      </c>
      <c r="J368" s="139">
        <v>0</v>
      </c>
      <c r="K368" s="139">
        <v>0</v>
      </c>
      <c r="L368" s="139" t="s">
        <v>826</v>
      </c>
      <c r="M368" s="139">
        <v>4077.5</v>
      </c>
    </row>
    <row r="369" spans="2:13">
      <c r="B369" s="151" t="str">
        <f>_xlfn.IFNA(VLOOKUP(D369,标准编码!A:B,2,0),"")</f>
        <v/>
      </c>
      <c r="D369" s="247">
        <v>22410112</v>
      </c>
      <c r="E369" s="247" t="s">
        <v>3528</v>
      </c>
      <c r="F369" s="247" t="s">
        <v>826</v>
      </c>
      <c r="G369" s="139">
        <v>69667</v>
      </c>
      <c r="H369" s="139">
        <v>0</v>
      </c>
      <c r="I369" s="139">
        <v>0</v>
      </c>
      <c r="J369" s="139">
        <v>0</v>
      </c>
      <c r="K369" s="139">
        <v>0</v>
      </c>
      <c r="L369" s="139" t="s">
        <v>826</v>
      </c>
      <c r="M369" s="139">
        <v>69667</v>
      </c>
    </row>
    <row r="370" spans="2:13">
      <c r="B370" s="151" t="str">
        <f>_xlfn.IFNA(VLOOKUP(D370,标准编码!A:B,2,0),"")</f>
        <v/>
      </c>
      <c r="D370" s="247">
        <v>22410113</v>
      </c>
      <c r="E370" s="247" t="s">
        <v>3529</v>
      </c>
      <c r="F370" s="247" t="s">
        <v>826</v>
      </c>
      <c r="G370" s="139">
        <v>2400</v>
      </c>
      <c r="H370" s="139">
        <v>1600</v>
      </c>
      <c r="I370" s="139">
        <v>0</v>
      </c>
      <c r="J370" s="139">
        <v>1600</v>
      </c>
      <c r="K370" s="139">
        <v>0</v>
      </c>
      <c r="L370" s="139" t="s">
        <v>826</v>
      </c>
      <c r="M370" s="139">
        <v>800</v>
      </c>
    </row>
    <row r="371" spans="2:13">
      <c r="B371" s="151" t="str">
        <f>_xlfn.IFNA(VLOOKUP(D371,标准编码!A:B,2,0),"")</f>
        <v/>
      </c>
      <c r="D371" s="247">
        <v>22410114</v>
      </c>
      <c r="E371" s="247" t="s">
        <v>3530</v>
      </c>
      <c r="F371" s="247" t="s">
        <v>826</v>
      </c>
      <c r="G371" s="139">
        <v>38190.75</v>
      </c>
      <c r="H371" s="139">
        <v>0</v>
      </c>
      <c r="I371" s="139">
        <v>0</v>
      </c>
      <c r="J371" s="139">
        <v>0</v>
      </c>
      <c r="K371" s="139">
        <v>0</v>
      </c>
      <c r="L371" s="139" t="s">
        <v>826</v>
      </c>
      <c r="M371" s="139">
        <v>38190.75</v>
      </c>
    </row>
    <row r="372" spans="2:13">
      <c r="B372" s="151" t="str">
        <f>_xlfn.IFNA(VLOOKUP(D372,标准编码!A:B,2,0),"")</f>
        <v/>
      </c>
      <c r="D372" s="247">
        <v>22410115</v>
      </c>
      <c r="E372" s="247" t="s">
        <v>3531</v>
      </c>
      <c r="F372" s="247" t="s">
        <v>826</v>
      </c>
      <c r="G372" s="139">
        <v>48300</v>
      </c>
      <c r="H372" s="139">
        <v>0</v>
      </c>
      <c r="I372" s="139">
        <v>0</v>
      </c>
      <c r="J372" s="139">
        <v>0</v>
      </c>
      <c r="K372" s="139">
        <v>0</v>
      </c>
      <c r="L372" s="139" t="s">
        <v>826</v>
      </c>
      <c r="M372" s="139">
        <v>48300</v>
      </c>
    </row>
    <row r="373" spans="2:13">
      <c r="B373" s="151" t="str">
        <f>_xlfn.IFNA(VLOOKUP(D373,标准编码!A:B,2,0),"")</f>
        <v/>
      </c>
      <c r="D373" s="247">
        <v>22410116</v>
      </c>
      <c r="E373" s="247" t="s">
        <v>3532</v>
      </c>
      <c r="F373" s="247" t="s">
        <v>826</v>
      </c>
      <c r="G373" s="139">
        <v>60000</v>
      </c>
      <c r="H373" s="139">
        <v>0</v>
      </c>
      <c r="I373" s="139">
        <v>0</v>
      </c>
      <c r="J373" s="139">
        <v>0</v>
      </c>
      <c r="K373" s="139">
        <v>0</v>
      </c>
      <c r="L373" s="139" t="s">
        <v>826</v>
      </c>
      <c r="M373" s="139">
        <v>60000</v>
      </c>
    </row>
    <row r="374" spans="2:13">
      <c r="B374" s="151" t="str">
        <f>_xlfn.IFNA(VLOOKUP(D374,标准编码!A:B,2,0),"")</f>
        <v/>
      </c>
      <c r="D374" s="247">
        <v>22410117</v>
      </c>
      <c r="E374" s="247" t="s">
        <v>3533</v>
      </c>
      <c r="F374" s="247" t="s">
        <v>826</v>
      </c>
      <c r="G374" s="139">
        <v>58297</v>
      </c>
      <c r="H374" s="139">
        <v>38155</v>
      </c>
      <c r="I374" s="139">
        <v>40000</v>
      </c>
      <c r="J374" s="139">
        <v>38155</v>
      </c>
      <c r="K374" s="139">
        <v>40000</v>
      </c>
      <c r="L374" s="139" t="s">
        <v>826</v>
      </c>
      <c r="M374" s="139">
        <v>60142</v>
      </c>
    </row>
    <row r="375" spans="2:13">
      <c r="B375" s="151" t="str">
        <f>_xlfn.IFNA(VLOOKUP(D375,标准编码!A:B,2,0),"")</f>
        <v/>
      </c>
      <c r="D375" s="247">
        <v>22410118</v>
      </c>
      <c r="E375" s="247" t="s">
        <v>3534</v>
      </c>
      <c r="F375" s="247" t="s">
        <v>826</v>
      </c>
      <c r="G375" s="139">
        <v>3175002.41</v>
      </c>
      <c r="H375" s="139">
        <v>7717355.5</v>
      </c>
      <c r="I375" s="139">
        <v>29413893.399999999</v>
      </c>
      <c r="J375" s="139">
        <v>7717355.5</v>
      </c>
      <c r="K375" s="139">
        <v>29413893.399999999</v>
      </c>
      <c r="L375" s="139" t="s">
        <v>826</v>
      </c>
      <c r="M375" s="139">
        <v>24871540.309999999</v>
      </c>
    </row>
    <row r="376" spans="2:13">
      <c r="B376" s="151" t="str">
        <f>_xlfn.IFNA(VLOOKUP(D376,标准编码!A:B,2,0),"")</f>
        <v/>
      </c>
      <c r="D376" s="247">
        <v>22410119</v>
      </c>
      <c r="E376" s="247" t="s">
        <v>3535</v>
      </c>
      <c r="F376" s="247" t="s">
        <v>826</v>
      </c>
      <c r="G376" s="139">
        <v>1900</v>
      </c>
      <c r="H376" s="139">
        <v>1900</v>
      </c>
      <c r="I376" s="139">
        <v>0</v>
      </c>
      <c r="J376" s="139">
        <v>1900</v>
      </c>
      <c r="K376" s="139">
        <v>0</v>
      </c>
      <c r="L376" s="139" t="s">
        <v>3169</v>
      </c>
      <c r="M376" s="139">
        <v>0</v>
      </c>
    </row>
    <row r="377" spans="2:13">
      <c r="B377" s="151" t="str">
        <f>_xlfn.IFNA(VLOOKUP(D377,标准编码!A:B,2,0),"")</f>
        <v/>
      </c>
      <c r="D377" s="247">
        <v>22410120</v>
      </c>
      <c r="E377" s="247" t="s">
        <v>3536</v>
      </c>
      <c r="F377" s="247" t="s">
        <v>826</v>
      </c>
      <c r="G377" s="139">
        <v>252685</v>
      </c>
      <c r="H377" s="139">
        <v>0</v>
      </c>
      <c r="I377" s="139">
        <v>0</v>
      </c>
      <c r="J377" s="139">
        <v>0</v>
      </c>
      <c r="K377" s="139">
        <v>0</v>
      </c>
      <c r="L377" s="139" t="s">
        <v>826</v>
      </c>
      <c r="M377" s="139">
        <v>252685</v>
      </c>
    </row>
    <row r="378" spans="2:13">
      <c r="B378" s="151" t="str">
        <f>_xlfn.IFNA(VLOOKUP(D378,标准编码!A:B,2,0),"")</f>
        <v/>
      </c>
      <c r="D378" s="247">
        <v>22410121</v>
      </c>
      <c r="E378" s="247" t="s">
        <v>3537</v>
      </c>
      <c r="F378" s="247" t="s">
        <v>826</v>
      </c>
      <c r="G378" s="139">
        <v>50</v>
      </c>
      <c r="H378" s="139">
        <v>0</v>
      </c>
      <c r="I378" s="139">
        <v>0</v>
      </c>
      <c r="J378" s="139">
        <v>0</v>
      </c>
      <c r="K378" s="139">
        <v>0</v>
      </c>
      <c r="L378" s="139" t="s">
        <v>826</v>
      </c>
      <c r="M378" s="139">
        <v>50</v>
      </c>
    </row>
    <row r="379" spans="2:13">
      <c r="B379" s="151" t="str">
        <f>_xlfn.IFNA(VLOOKUP(D379,标准编码!A:B,2,0),"")</f>
        <v/>
      </c>
      <c r="D379" s="247">
        <v>224102</v>
      </c>
      <c r="E379" s="247" t="s">
        <v>3538</v>
      </c>
      <c r="F379" s="247" t="s">
        <v>826</v>
      </c>
      <c r="G379" s="139">
        <v>660674672.5</v>
      </c>
      <c r="H379" s="139">
        <v>1973594578</v>
      </c>
      <c r="I379" s="139">
        <v>2335412569.6599998</v>
      </c>
      <c r="J379" s="139">
        <v>1973594578</v>
      </c>
      <c r="K379" s="139">
        <v>2335412569.6599998</v>
      </c>
      <c r="L379" s="139" t="s">
        <v>826</v>
      </c>
      <c r="M379" s="139">
        <v>1022492664.16</v>
      </c>
    </row>
    <row r="380" spans="2:13">
      <c r="B380" s="151" t="str">
        <f>_xlfn.IFNA(VLOOKUP(D380,标准编码!A:B,2,0),"")</f>
        <v/>
      </c>
      <c r="D380" s="247">
        <v>22410210</v>
      </c>
      <c r="E380" s="247" t="s">
        <v>3539</v>
      </c>
      <c r="F380" s="247" t="s">
        <v>825</v>
      </c>
      <c r="G380" s="139">
        <v>4955</v>
      </c>
      <c r="H380" s="139">
        <v>11418</v>
      </c>
      <c r="I380" s="139">
        <v>11418</v>
      </c>
      <c r="J380" s="139">
        <v>11418</v>
      </c>
      <c r="K380" s="139">
        <v>11418</v>
      </c>
      <c r="L380" s="139" t="s">
        <v>825</v>
      </c>
      <c r="M380" s="139">
        <v>4955</v>
      </c>
    </row>
    <row r="381" spans="2:13">
      <c r="B381" s="151" t="str">
        <f>_xlfn.IFNA(VLOOKUP(D381,标准编码!A:B,2,0),"")</f>
        <v/>
      </c>
      <c r="D381" s="247">
        <v>22410212</v>
      </c>
      <c r="E381" s="247" t="s">
        <v>3540</v>
      </c>
      <c r="F381" s="247" t="s">
        <v>826</v>
      </c>
      <c r="G381" s="139">
        <v>246.7</v>
      </c>
      <c r="H381" s="139">
        <v>0</v>
      </c>
      <c r="I381" s="139">
        <v>0</v>
      </c>
      <c r="J381" s="139">
        <v>0</v>
      </c>
      <c r="K381" s="139">
        <v>0</v>
      </c>
      <c r="L381" s="139" t="s">
        <v>826</v>
      </c>
      <c r="M381" s="139">
        <v>246.7</v>
      </c>
    </row>
    <row r="382" spans="2:13">
      <c r="B382" s="151" t="str">
        <f>_xlfn.IFNA(VLOOKUP(D382,标准编码!A:B,2,0),"")</f>
        <v/>
      </c>
      <c r="D382" s="247">
        <v>22410215</v>
      </c>
      <c r="E382" s="247" t="s">
        <v>3541</v>
      </c>
      <c r="F382" s="247" t="s">
        <v>826</v>
      </c>
      <c r="G382" s="139">
        <v>660679380.79999995</v>
      </c>
      <c r="H382" s="139">
        <v>1973583160</v>
      </c>
      <c r="I382" s="139">
        <v>2335401151.6599998</v>
      </c>
      <c r="J382" s="139">
        <v>1973583160</v>
      </c>
      <c r="K382" s="139">
        <v>2335401151.6599998</v>
      </c>
      <c r="L382" s="139" t="s">
        <v>826</v>
      </c>
      <c r="M382" s="139">
        <v>1022497372.46</v>
      </c>
    </row>
    <row r="383" spans="2:13">
      <c r="B383" s="151" t="str">
        <f>_xlfn.IFNA(VLOOKUP(D383,标准编码!A:B,2,0),"")</f>
        <v/>
      </c>
      <c r="D383" s="247">
        <v>2241021501</v>
      </c>
      <c r="E383" s="247" t="s">
        <v>3542</v>
      </c>
      <c r="F383" s="247" t="s">
        <v>826</v>
      </c>
      <c r="G383" s="139">
        <v>630586651.97000003</v>
      </c>
      <c r="H383" s="139">
        <v>1971619612.0899999</v>
      </c>
      <c r="I383" s="139">
        <v>2335401151.6599998</v>
      </c>
      <c r="J383" s="139">
        <v>1971619612.0899999</v>
      </c>
      <c r="K383" s="139">
        <v>2335401151.6599998</v>
      </c>
      <c r="L383" s="139" t="s">
        <v>826</v>
      </c>
      <c r="M383" s="139">
        <v>994368191.53999996</v>
      </c>
    </row>
    <row r="384" spans="2:13">
      <c r="B384" s="151" t="str">
        <f>_xlfn.IFNA(VLOOKUP(D384,标准编码!A:B,2,0),"")</f>
        <v/>
      </c>
      <c r="D384" s="247">
        <v>2241021502</v>
      </c>
      <c r="E384" s="247" t="s">
        <v>3543</v>
      </c>
      <c r="F384" s="247" t="s">
        <v>826</v>
      </c>
      <c r="G384" s="139">
        <v>25256938.09</v>
      </c>
      <c r="H384" s="139">
        <v>1963547.91</v>
      </c>
      <c r="I384" s="139">
        <v>0</v>
      </c>
      <c r="J384" s="139">
        <v>1963547.91</v>
      </c>
      <c r="K384" s="139">
        <v>0</v>
      </c>
      <c r="L384" s="139" t="s">
        <v>826</v>
      </c>
      <c r="M384" s="139">
        <v>23293390.18</v>
      </c>
    </row>
    <row r="385" spans="2:13">
      <c r="B385" s="151" t="str">
        <f>_xlfn.IFNA(VLOOKUP(D385,标准编码!A:B,2,0),"")</f>
        <v/>
      </c>
      <c r="D385" s="247">
        <v>224102150201</v>
      </c>
      <c r="E385" s="247" t="s">
        <v>3544</v>
      </c>
      <c r="F385" s="247" t="s">
        <v>826</v>
      </c>
      <c r="G385" s="139">
        <v>4258116.82</v>
      </c>
      <c r="H385" s="139">
        <v>0</v>
      </c>
      <c r="I385" s="139">
        <v>0</v>
      </c>
      <c r="J385" s="139">
        <v>0</v>
      </c>
      <c r="K385" s="139">
        <v>0</v>
      </c>
      <c r="L385" s="139" t="s">
        <v>826</v>
      </c>
      <c r="M385" s="139">
        <v>4258116.82</v>
      </c>
    </row>
    <row r="386" spans="2:13">
      <c r="B386" s="151" t="str">
        <f>_xlfn.IFNA(VLOOKUP(D386,标准编码!A:B,2,0),"")</f>
        <v/>
      </c>
      <c r="D386" s="247">
        <v>22410215020101</v>
      </c>
      <c r="E386" s="247" t="s">
        <v>3545</v>
      </c>
      <c r="F386" s="247" t="s">
        <v>826</v>
      </c>
      <c r="G386" s="139">
        <v>858902.82</v>
      </c>
      <c r="H386" s="139">
        <v>0</v>
      </c>
      <c r="I386" s="139">
        <v>0</v>
      </c>
      <c r="J386" s="139">
        <v>0</v>
      </c>
      <c r="K386" s="139">
        <v>0</v>
      </c>
      <c r="L386" s="139" t="s">
        <v>826</v>
      </c>
      <c r="M386" s="139">
        <v>858902.82</v>
      </c>
    </row>
    <row r="387" spans="2:13">
      <c r="B387" s="151" t="str">
        <f>_xlfn.IFNA(VLOOKUP(D387,标准编码!A:B,2,0),"")</f>
        <v/>
      </c>
      <c r="D387" s="247">
        <v>22410215020102</v>
      </c>
      <c r="E387" s="247" t="s">
        <v>3546</v>
      </c>
      <c r="F387" s="247" t="s">
        <v>826</v>
      </c>
      <c r="G387" s="139">
        <v>1064699.93</v>
      </c>
      <c r="H387" s="139">
        <v>0</v>
      </c>
      <c r="I387" s="139">
        <v>0</v>
      </c>
      <c r="J387" s="139">
        <v>0</v>
      </c>
      <c r="K387" s="139">
        <v>0</v>
      </c>
      <c r="L387" s="139" t="s">
        <v>826</v>
      </c>
      <c r="M387" s="139">
        <v>1064699.93</v>
      </c>
    </row>
    <row r="388" spans="2:13">
      <c r="B388" s="151" t="str">
        <f>_xlfn.IFNA(VLOOKUP(D388,标准编码!A:B,2,0),"")</f>
        <v/>
      </c>
      <c r="D388" s="247">
        <v>22410215020103</v>
      </c>
      <c r="E388" s="247" t="s">
        <v>3547</v>
      </c>
      <c r="F388" s="247" t="s">
        <v>826</v>
      </c>
      <c r="G388" s="139">
        <v>2134514.0699999998</v>
      </c>
      <c r="H388" s="139">
        <v>0</v>
      </c>
      <c r="I388" s="139">
        <v>0</v>
      </c>
      <c r="J388" s="139">
        <v>0</v>
      </c>
      <c r="K388" s="139">
        <v>0</v>
      </c>
      <c r="L388" s="139" t="s">
        <v>826</v>
      </c>
      <c r="M388" s="139">
        <v>2134514.0699999998</v>
      </c>
    </row>
    <row r="389" spans="2:13">
      <c r="B389" s="151" t="str">
        <f>_xlfn.IFNA(VLOOKUP(D389,标准编码!A:B,2,0),"")</f>
        <v/>
      </c>
      <c r="D389" s="247">
        <v>22410215020104</v>
      </c>
      <c r="E389" s="247" t="s">
        <v>3548</v>
      </c>
      <c r="F389" s="247" t="s">
        <v>826</v>
      </c>
      <c r="G389" s="139">
        <v>200000</v>
      </c>
      <c r="H389" s="139">
        <v>0</v>
      </c>
      <c r="I389" s="139">
        <v>0</v>
      </c>
      <c r="J389" s="139">
        <v>0</v>
      </c>
      <c r="K389" s="139">
        <v>0</v>
      </c>
      <c r="L389" s="139" t="s">
        <v>826</v>
      </c>
      <c r="M389" s="139">
        <v>200000</v>
      </c>
    </row>
    <row r="390" spans="2:13">
      <c r="B390" s="151" t="str">
        <f>_xlfn.IFNA(VLOOKUP(D390,标准编码!A:B,2,0),"")</f>
        <v/>
      </c>
      <c r="D390" s="247">
        <v>224102150202</v>
      </c>
      <c r="E390" s="247" t="s">
        <v>3549</v>
      </c>
      <c r="F390" s="247" t="s">
        <v>826</v>
      </c>
      <c r="G390" s="139">
        <v>2604500.34</v>
      </c>
      <c r="H390" s="139">
        <v>0</v>
      </c>
      <c r="I390" s="139">
        <v>0</v>
      </c>
      <c r="J390" s="139">
        <v>0</v>
      </c>
      <c r="K390" s="139">
        <v>0</v>
      </c>
      <c r="L390" s="139" t="s">
        <v>826</v>
      </c>
      <c r="M390" s="139">
        <v>2604500.34</v>
      </c>
    </row>
    <row r="391" spans="2:13">
      <c r="B391" s="151" t="str">
        <f>_xlfn.IFNA(VLOOKUP(D391,标准编码!A:B,2,0),"")</f>
        <v/>
      </c>
      <c r="D391" s="247">
        <v>224102150203</v>
      </c>
      <c r="E391" s="247" t="s">
        <v>3550</v>
      </c>
      <c r="F391" s="247" t="s">
        <v>826</v>
      </c>
      <c r="G391" s="139">
        <v>18394320.93</v>
      </c>
      <c r="H391" s="139">
        <v>1963547.91</v>
      </c>
      <c r="I391" s="139">
        <v>0</v>
      </c>
      <c r="J391" s="139">
        <v>1963547.91</v>
      </c>
      <c r="K391" s="139">
        <v>0</v>
      </c>
      <c r="L391" s="139" t="s">
        <v>826</v>
      </c>
      <c r="M391" s="139">
        <v>16430773.02</v>
      </c>
    </row>
    <row r="392" spans="2:13">
      <c r="B392" s="151" t="str">
        <f>_xlfn.IFNA(VLOOKUP(D392,标准编码!A:B,2,0),"")</f>
        <v/>
      </c>
      <c r="D392" s="247">
        <v>22410215020301</v>
      </c>
      <c r="E392" s="247" t="s">
        <v>3551</v>
      </c>
      <c r="F392" s="247" t="s">
        <v>826</v>
      </c>
      <c r="G392" s="139">
        <v>15252920.109999999</v>
      </c>
      <c r="H392" s="139">
        <v>147104.18</v>
      </c>
      <c r="I392" s="139">
        <v>0</v>
      </c>
      <c r="J392" s="139">
        <v>147104.18</v>
      </c>
      <c r="K392" s="139">
        <v>0</v>
      </c>
      <c r="L392" s="139" t="s">
        <v>826</v>
      </c>
      <c r="M392" s="139">
        <v>15105815.93</v>
      </c>
    </row>
    <row r="393" spans="2:13">
      <c r="B393" s="151" t="str">
        <f>_xlfn.IFNA(VLOOKUP(D393,标准编码!A:B,2,0),"")</f>
        <v/>
      </c>
      <c r="D393" s="247">
        <v>22410215020302</v>
      </c>
      <c r="E393" s="247" t="s">
        <v>3552</v>
      </c>
      <c r="F393" s="247" t="s">
        <v>826</v>
      </c>
      <c r="G393" s="139">
        <v>1816443.73</v>
      </c>
      <c r="H393" s="139">
        <v>1816443.73</v>
      </c>
      <c r="I393" s="139">
        <v>0</v>
      </c>
      <c r="J393" s="139">
        <v>1816443.73</v>
      </c>
      <c r="K393" s="139">
        <v>0</v>
      </c>
      <c r="L393" s="139" t="s">
        <v>3169</v>
      </c>
      <c r="M393" s="139">
        <v>0</v>
      </c>
    </row>
    <row r="394" spans="2:13">
      <c r="B394" s="151" t="str">
        <f>_xlfn.IFNA(VLOOKUP(D394,标准编码!A:B,2,0),"")</f>
        <v/>
      </c>
      <c r="D394" s="247">
        <v>22410215020303</v>
      </c>
      <c r="E394" s="247" t="s">
        <v>3553</v>
      </c>
      <c r="F394" s="247" t="s">
        <v>826</v>
      </c>
      <c r="G394" s="139">
        <v>62785.1</v>
      </c>
      <c r="H394" s="139">
        <v>0</v>
      </c>
      <c r="I394" s="139">
        <v>0</v>
      </c>
      <c r="J394" s="139">
        <v>0</v>
      </c>
      <c r="K394" s="139">
        <v>0</v>
      </c>
      <c r="L394" s="139" t="s">
        <v>826</v>
      </c>
      <c r="M394" s="139">
        <v>62785.1</v>
      </c>
    </row>
    <row r="395" spans="2:13">
      <c r="B395" s="151" t="str">
        <f>_xlfn.IFNA(VLOOKUP(D395,标准编码!A:B,2,0),"")</f>
        <v/>
      </c>
      <c r="D395" s="247">
        <v>22410215020304</v>
      </c>
      <c r="E395" s="247" t="s">
        <v>3554</v>
      </c>
      <c r="F395" s="247" t="s">
        <v>826</v>
      </c>
      <c r="G395" s="139">
        <v>730419.5</v>
      </c>
      <c r="H395" s="139">
        <v>0</v>
      </c>
      <c r="I395" s="139">
        <v>0</v>
      </c>
      <c r="J395" s="139">
        <v>0</v>
      </c>
      <c r="K395" s="139">
        <v>0</v>
      </c>
      <c r="L395" s="139" t="s">
        <v>826</v>
      </c>
      <c r="M395" s="139">
        <v>730419.5</v>
      </c>
    </row>
    <row r="396" spans="2:13">
      <c r="B396" s="151" t="str">
        <f>_xlfn.IFNA(VLOOKUP(D396,标准编码!A:B,2,0),"")</f>
        <v/>
      </c>
      <c r="D396" s="247">
        <v>22410215020305</v>
      </c>
      <c r="E396" s="247" t="s">
        <v>3555</v>
      </c>
      <c r="F396" s="247" t="s">
        <v>826</v>
      </c>
      <c r="G396" s="139">
        <v>237926.79</v>
      </c>
      <c r="H396" s="139">
        <v>0</v>
      </c>
      <c r="I396" s="139">
        <v>0</v>
      </c>
      <c r="J396" s="139">
        <v>0</v>
      </c>
      <c r="K396" s="139">
        <v>0</v>
      </c>
      <c r="L396" s="139" t="s">
        <v>826</v>
      </c>
      <c r="M396" s="139">
        <v>237926.79</v>
      </c>
    </row>
    <row r="397" spans="2:13">
      <c r="B397" s="151" t="str">
        <f>_xlfn.IFNA(VLOOKUP(D397,标准编码!A:B,2,0),"")</f>
        <v/>
      </c>
      <c r="D397" s="247">
        <v>22410215020306</v>
      </c>
      <c r="E397" s="247" t="s">
        <v>3556</v>
      </c>
      <c r="F397" s="247" t="s">
        <v>826</v>
      </c>
      <c r="G397" s="139">
        <v>153550</v>
      </c>
      <c r="H397" s="139">
        <v>0</v>
      </c>
      <c r="I397" s="139">
        <v>0</v>
      </c>
      <c r="J397" s="139">
        <v>0</v>
      </c>
      <c r="K397" s="139">
        <v>0</v>
      </c>
      <c r="L397" s="139" t="s">
        <v>826</v>
      </c>
      <c r="M397" s="139">
        <v>153550</v>
      </c>
    </row>
    <row r="398" spans="2:13">
      <c r="B398" s="151" t="str">
        <f>_xlfn.IFNA(VLOOKUP(D398,标准编码!A:B,2,0),"")</f>
        <v/>
      </c>
      <c r="D398" s="247">
        <v>22410215020307</v>
      </c>
      <c r="E398" s="247" t="s">
        <v>3557</v>
      </c>
      <c r="F398" s="247" t="s">
        <v>826</v>
      </c>
      <c r="G398" s="139">
        <v>136175.70000000001</v>
      </c>
      <c r="H398" s="139">
        <v>0</v>
      </c>
      <c r="I398" s="139">
        <v>0</v>
      </c>
      <c r="J398" s="139">
        <v>0</v>
      </c>
      <c r="K398" s="139">
        <v>0</v>
      </c>
      <c r="L398" s="139" t="s">
        <v>826</v>
      </c>
      <c r="M398" s="139">
        <v>136175.70000000001</v>
      </c>
    </row>
    <row r="399" spans="2:13">
      <c r="B399" s="151" t="str">
        <f>_xlfn.IFNA(VLOOKUP(D399,标准编码!A:B,2,0),"")</f>
        <v/>
      </c>
      <c r="D399" s="247">
        <v>22410215020308</v>
      </c>
      <c r="E399" s="247" t="s">
        <v>3558</v>
      </c>
      <c r="F399" s="247" t="s">
        <v>826</v>
      </c>
      <c r="G399" s="139">
        <v>3100</v>
      </c>
      <c r="H399" s="139">
        <v>0</v>
      </c>
      <c r="I399" s="139">
        <v>0</v>
      </c>
      <c r="J399" s="139">
        <v>0</v>
      </c>
      <c r="K399" s="139">
        <v>0</v>
      </c>
      <c r="L399" s="139" t="s">
        <v>826</v>
      </c>
      <c r="M399" s="139">
        <v>3100</v>
      </c>
    </row>
    <row r="400" spans="2:13">
      <c r="B400" s="151" t="str">
        <f>_xlfn.IFNA(VLOOKUP(D400,标准编码!A:B,2,0),"")</f>
        <v/>
      </c>
      <c r="D400" s="247">
        <v>22410215020309</v>
      </c>
      <c r="E400" s="247" t="s">
        <v>3559</v>
      </c>
      <c r="F400" s="247" t="s">
        <v>826</v>
      </c>
      <c r="G400" s="139">
        <v>1000</v>
      </c>
      <c r="H400" s="139">
        <v>0</v>
      </c>
      <c r="I400" s="139">
        <v>0</v>
      </c>
      <c r="J400" s="139">
        <v>0</v>
      </c>
      <c r="K400" s="139">
        <v>0</v>
      </c>
      <c r="L400" s="139" t="s">
        <v>826</v>
      </c>
      <c r="M400" s="139">
        <v>1000</v>
      </c>
    </row>
    <row r="401" spans="2:13">
      <c r="B401" s="151" t="str">
        <f>_xlfn.IFNA(VLOOKUP(D401,标准编码!A:B,2,0),"")</f>
        <v/>
      </c>
      <c r="D401" s="247">
        <v>2241021503</v>
      </c>
      <c r="E401" s="247" t="s">
        <v>3560</v>
      </c>
      <c r="F401" s="247" t="s">
        <v>826</v>
      </c>
      <c r="G401" s="139">
        <v>20607.3</v>
      </c>
      <c r="H401" s="139">
        <v>0</v>
      </c>
      <c r="I401" s="139">
        <v>0</v>
      </c>
      <c r="J401" s="139">
        <v>0</v>
      </c>
      <c r="K401" s="139">
        <v>0</v>
      </c>
      <c r="L401" s="139" t="s">
        <v>826</v>
      </c>
      <c r="M401" s="139">
        <v>20607.3</v>
      </c>
    </row>
    <row r="402" spans="2:13">
      <c r="B402" s="151" t="str">
        <f>_xlfn.IFNA(VLOOKUP(D402,标准编码!A:B,2,0),"")</f>
        <v/>
      </c>
      <c r="D402" s="247">
        <v>2241021504</v>
      </c>
      <c r="E402" s="247" t="s">
        <v>3561</v>
      </c>
      <c r="F402" s="247" t="s">
        <v>826</v>
      </c>
      <c r="G402" s="139">
        <v>179763.94</v>
      </c>
      <c r="H402" s="139">
        <v>0</v>
      </c>
      <c r="I402" s="139">
        <v>0</v>
      </c>
      <c r="J402" s="139">
        <v>0</v>
      </c>
      <c r="K402" s="139">
        <v>0</v>
      </c>
      <c r="L402" s="139" t="s">
        <v>826</v>
      </c>
      <c r="M402" s="139">
        <v>179763.94</v>
      </c>
    </row>
    <row r="403" spans="2:13">
      <c r="B403" s="151" t="str">
        <f>_xlfn.IFNA(VLOOKUP(D403,标准编码!A:B,2,0),"")</f>
        <v/>
      </c>
      <c r="D403" s="247">
        <v>2241021505</v>
      </c>
      <c r="E403" s="247" t="s">
        <v>3562</v>
      </c>
      <c r="F403" s="247" t="s">
        <v>826</v>
      </c>
      <c r="G403" s="139">
        <v>4635419.5</v>
      </c>
      <c r="H403" s="139">
        <v>0</v>
      </c>
      <c r="I403" s="139">
        <v>0</v>
      </c>
      <c r="J403" s="139">
        <v>0</v>
      </c>
      <c r="K403" s="139">
        <v>0</v>
      </c>
      <c r="L403" s="139" t="s">
        <v>826</v>
      </c>
      <c r="M403" s="139">
        <v>4635419.5</v>
      </c>
    </row>
    <row r="404" spans="2:13">
      <c r="B404" s="151" t="str">
        <f>_xlfn.IFNA(VLOOKUP(D404,标准编码!A:B,2,0),"")</f>
        <v/>
      </c>
      <c r="D404" s="247">
        <v>224104</v>
      </c>
      <c r="E404" s="247" t="s">
        <v>3563</v>
      </c>
      <c r="F404" s="247" t="s">
        <v>826</v>
      </c>
      <c r="G404" s="139">
        <v>38833078.350000001</v>
      </c>
      <c r="H404" s="139">
        <v>0</v>
      </c>
      <c r="I404" s="139">
        <v>0</v>
      </c>
      <c r="J404" s="139">
        <v>0</v>
      </c>
      <c r="K404" s="139">
        <v>0</v>
      </c>
      <c r="L404" s="139" t="s">
        <v>826</v>
      </c>
      <c r="M404" s="139">
        <v>38833078.350000001</v>
      </c>
    </row>
    <row r="405" spans="2:13">
      <c r="B405" s="151" t="str">
        <f>_xlfn.IFNA(VLOOKUP(D405,标准编码!A:B,2,0),"")</f>
        <v/>
      </c>
      <c r="D405" s="247">
        <v>22410401</v>
      </c>
      <c r="E405" s="247" t="s">
        <v>3564</v>
      </c>
      <c r="F405" s="247" t="s">
        <v>826</v>
      </c>
      <c r="G405" s="139">
        <v>1379527.92</v>
      </c>
      <c r="H405" s="139">
        <v>0</v>
      </c>
      <c r="I405" s="139">
        <v>0</v>
      </c>
      <c r="J405" s="139">
        <v>0</v>
      </c>
      <c r="K405" s="139">
        <v>0</v>
      </c>
      <c r="L405" s="139" t="s">
        <v>826</v>
      </c>
      <c r="M405" s="139">
        <v>1379527.92</v>
      </c>
    </row>
    <row r="406" spans="2:13">
      <c r="B406" s="151" t="str">
        <f>_xlfn.IFNA(VLOOKUP(D406,标准编码!A:B,2,0),"")</f>
        <v/>
      </c>
      <c r="D406" s="247">
        <v>22410402</v>
      </c>
      <c r="E406" s="247" t="s">
        <v>3565</v>
      </c>
      <c r="F406" s="247" t="s">
        <v>826</v>
      </c>
      <c r="G406" s="139">
        <v>40275668.93</v>
      </c>
      <c r="H406" s="139">
        <v>0</v>
      </c>
      <c r="I406" s="139">
        <v>0</v>
      </c>
      <c r="J406" s="139">
        <v>0</v>
      </c>
      <c r="K406" s="139">
        <v>0</v>
      </c>
      <c r="L406" s="139" t="s">
        <v>826</v>
      </c>
      <c r="M406" s="139">
        <v>40275668.93</v>
      </c>
    </row>
    <row r="407" spans="2:13">
      <c r="B407" s="151" t="str">
        <f>_xlfn.IFNA(VLOOKUP(D407,标准编码!A:B,2,0),"")</f>
        <v/>
      </c>
      <c r="D407" s="247">
        <v>22410403</v>
      </c>
      <c r="E407" s="247" t="s">
        <v>3566</v>
      </c>
      <c r="F407" s="247" t="s">
        <v>826</v>
      </c>
      <c r="G407" s="139">
        <v>4374.5</v>
      </c>
      <c r="H407" s="139">
        <v>0</v>
      </c>
      <c r="I407" s="139">
        <v>0</v>
      </c>
      <c r="J407" s="139">
        <v>0</v>
      </c>
      <c r="K407" s="139">
        <v>0</v>
      </c>
      <c r="L407" s="139" t="s">
        <v>826</v>
      </c>
      <c r="M407" s="139">
        <v>4374.5</v>
      </c>
    </row>
    <row r="408" spans="2:13">
      <c r="B408" s="151" t="str">
        <f>_xlfn.IFNA(VLOOKUP(D408,标准编码!A:B,2,0),"")</f>
        <v/>
      </c>
      <c r="D408" s="247">
        <v>22410404</v>
      </c>
      <c r="E408" s="247" t="s">
        <v>3567</v>
      </c>
      <c r="F408" s="247" t="s">
        <v>825</v>
      </c>
      <c r="G408" s="139">
        <v>2826493</v>
      </c>
      <c r="H408" s="139">
        <v>0</v>
      </c>
      <c r="I408" s="139">
        <v>0</v>
      </c>
      <c r="J408" s="139">
        <v>0</v>
      </c>
      <c r="K408" s="139">
        <v>0</v>
      </c>
      <c r="L408" s="139" t="s">
        <v>825</v>
      </c>
      <c r="M408" s="139">
        <v>2826493</v>
      </c>
    </row>
    <row r="409" spans="2:13">
      <c r="B409" s="151" t="str">
        <f>_xlfn.IFNA(VLOOKUP(D409,标准编码!A:B,2,0),"")</f>
        <v/>
      </c>
      <c r="D409" s="247">
        <v>224199</v>
      </c>
      <c r="E409" s="247" t="s">
        <v>3568</v>
      </c>
      <c r="F409" s="247" t="s">
        <v>826</v>
      </c>
      <c r="G409" s="139">
        <v>330291936.97000003</v>
      </c>
      <c r="H409" s="139">
        <v>890833637.78999996</v>
      </c>
      <c r="I409" s="139">
        <v>251014494.47999999</v>
      </c>
      <c r="J409" s="139">
        <v>890833637.78999996</v>
      </c>
      <c r="K409" s="139">
        <v>251014494.47999999</v>
      </c>
      <c r="L409" s="139" t="s">
        <v>825</v>
      </c>
      <c r="M409" s="139">
        <v>309527206.33999997</v>
      </c>
    </row>
    <row r="410" spans="2:13">
      <c r="B410" s="151" t="str">
        <f>_xlfn.IFNA(VLOOKUP(D410,标准编码!A:B,2,0),"")</f>
        <v/>
      </c>
      <c r="D410" s="247">
        <v>22419901</v>
      </c>
      <c r="E410" s="247" t="s">
        <v>3569</v>
      </c>
      <c r="F410" s="247" t="s">
        <v>826</v>
      </c>
      <c r="G410" s="139">
        <v>898336.73</v>
      </c>
      <c r="H410" s="139">
        <v>0</v>
      </c>
      <c r="I410" s="139">
        <v>0</v>
      </c>
      <c r="J410" s="139">
        <v>0</v>
      </c>
      <c r="K410" s="139">
        <v>0</v>
      </c>
      <c r="L410" s="139" t="s">
        <v>826</v>
      </c>
      <c r="M410" s="139">
        <v>898336.73</v>
      </c>
    </row>
    <row r="411" spans="2:13">
      <c r="B411" s="151" t="str">
        <f>_xlfn.IFNA(VLOOKUP(D411,标准编码!A:B,2,0),"")</f>
        <v/>
      </c>
      <c r="D411" s="247">
        <v>22419902</v>
      </c>
      <c r="E411" s="247" t="s">
        <v>3570</v>
      </c>
      <c r="F411" s="247" t="s">
        <v>826</v>
      </c>
      <c r="G411" s="139">
        <v>3000</v>
      </c>
      <c r="H411" s="139">
        <v>0</v>
      </c>
      <c r="I411" s="139">
        <v>0</v>
      </c>
      <c r="J411" s="139">
        <v>0</v>
      </c>
      <c r="K411" s="139">
        <v>0</v>
      </c>
      <c r="L411" s="139" t="s">
        <v>826</v>
      </c>
      <c r="M411" s="139">
        <v>3000</v>
      </c>
    </row>
    <row r="412" spans="2:13">
      <c r="B412" s="151" t="str">
        <f>_xlfn.IFNA(VLOOKUP(D412,标准编码!A:B,2,0),"")</f>
        <v/>
      </c>
      <c r="D412" s="247">
        <v>22419903</v>
      </c>
      <c r="E412" s="247" t="s">
        <v>3571</v>
      </c>
      <c r="F412" s="247" t="s">
        <v>826</v>
      </c>
      <c r="G412" s="139">
        <v>52972.82</v>
      </c>
      <c r="H412" s="139">
        <v>0</v>
      </c>
      <c r="I412" s="139">
        <v>0</v>
      </c>
      <c r="J412" s="139">
        <v>0</v>
      </c>
      <c r="K412" s="139">
        <v>0</v>
      </c>
      <c r="L412" s="139" t="s">
        <v>826</v>
      </c>
      <c r="M412" s="139">
        <v>52972.82</v>
      </c>
    </row>
    <row r="413" spans="2:13">
      <c r="B413" s="151" t="str">
        <f>_xlfn.IFNA(VLOOKUP(D413,标准编码!A:B,2,0),"")</f>
        <v/>
      </c>
      <c r="D413" s="247">
        <v>22419904</v>
      </c>
      <c r="E413" s="247" t="s">
        <v>3572</v>
      </c>
      <c r="F413" s="247" t="s">
        <v>826</v>
      </c>
      <c r="G413" s="139">
        <v>6624311.29</v>
      </c>
      <c r="H413" s="139">
        <v>0</v>
      </c>
      <c r="I413" s="139">
        <v>0</v>
      </c>
      <c r="J413" s="139">
        <v>0</v>
      </c>
      <c r="K413" s="139">
        <v>0</v>
      </c>
      <c r="L413" s="139" t="s">
        <v>826</v>
      </c>
      <c r="M413" s="139">
        <v>6624311.29</v>
      </c>
    </row>
    <row r="414" spans="2:13">
      <c r="B414" s="151" t="str">
        <f>_xlfn.IFNA(VLOOKUP(D414,标准编码!A:B,2,0),"")</f>
        <v/>
      </c>
      <c r="D414" s="247">
        <v>22419905</v>
      </c>
      <c r="E414" s="247" t="s">
        <v>3573</v>
      </c>
      <c r="F414" s="247" t="s">
        <v>826</v>
      </c>
      <c r="G414" s="139">
        <v>7996470.1399999997</v>
      </c>
      <c r="H414" s="139">
        <v>0</v>
      </c>
      <c r="I414" s="139">
        <v>0</v>
      </c>
      <c r="J414" s="139">
        <v>0</v>
      </c>
      <c r="K414" s="139">
        <v>0</v>
      </c>
      <c r="L414" s="139" t="s">
        <v>826</v>
      </c>
      <c r="M414" s="139">
        <v>7996470.1399999997</v>
      </c>
    </row>
    <row r="415" spans="2:13">
      <c r="B415" s="151" t="str">
        <f>_xlfn.IFNA(VLOOKUP(D415,标准编码!A:B,2,0),"")</f>
        <v/>
      </c>
      <c r="D415" s="247">
        <v>22419906</v>
      </c>
      <c r="E415" s="247" t="s">
        <v>3574</v>
      </c>
      <c r="F415" s="247" t="s">
        <v>826</v>
      </c>
      <c r="G415" s="139">
        <v>314716845.99000001</v>
      </c>
      <c r="H415" s="139">
        <v>890833637.78999996</v>
      </c>
      <c r="I415" s="139">
        <v>251014494.47999999</v>
      </c>
      <c r="J415" s="139">
        <v>890833637.78999996</v>
      </c>
      <c r="K415" s="139">
        <v>251014494.47999999</v>
      </c>
      <c r="L415" s="139" t="s">
        <v>825</v>
      </c>
      <c r="M415" s="139">
        <v>325102297.31999999</v>
      </c>
    </row>
    <row r="416" spans="2:13">
      <c r="B416" s="151" t="str">
        <f>_xlfn.IFNA(VLOOKUP(D416,标准编码!A:B,2,0),"")</f>
        <v/>
      </c>
      <c r="D416" s="247">
        <v>22419907</v>
      </c>
      <c r="E416" s="247" t="s">
        <v>3575</v>
      </c>
      <c r="F416" s="247" t="s">
        <v>3169</v>
      </c>
      <c r="G416" s="139">
        <v>0</v>
      </c>
      <c r="H416" s="139">
        <v>0</v>
      </c>
      <c r="I416" s="139">
        <v>0</v>
      </c>
      <c r="J416" s="139">
        <v>0</v>
      </c>
      <c r="K416" s="139">
        <v>0</v>
      </c>
      <c r="L416" s="139" t="s">
        <v>3169</v>
      </c>
      <c r="M416" s="139">
        <v>0</v>
      </c>
    </row>
    <row r="417" spans="2:13">
      <c r="B417" s="151" t="str">
        <f>_xlfn.IFNA(VLOOKUP(D417,标准编码!A:B,2,0),"")</f>
        <v>递延收益</v>
      </c>
      <c r="D417" s="247">
        <v>2401</v>
      </c>
      <c r="E417" s="247" t="s">
        <v>3576</v>
      </c>
      <c r="F417" s="247" t="s">
        <v>826</v>
      </c>
      <c r="G417" s="139">
        <v>126827176.13</v>
      </c>
      <c r="H417" s="139">
        <v>75566918.209999993</v>
      </c>
      <c r="I417" s="139">
        <v>4270000</v>
      </c>
      <c r="J417" s="139">
        <v>75566918.209999993</v>
      </c>
      <c r="K417" s="139">
        <v>4270000</v>
      </c>
      <c r="L417" s="139" t="s">
        <v>826</v>
      </c>
      <c r="M417" s="139">
        <v>55530257.920000002</v>
      </c>
    </row>
    <row r="418" spans="2:13">
      <c r="B418" s="151" t="str">
        <f>_xlfn.IFNA(VLOOKUP(D418,标准编码!A:B,2,0),"")</f>
        <v>长期借款</v>
      </c>
      <c r="D418" s="247">
        <v>2501</v>
      </c>
      <c r="E418" s="247" t="s">
        <v>3577</v>
      </c>
      <c r="F418" s="247" t="s">
        <v>826</v>
      </c>
      <c r="G418" s="139">
        <v>100000000</v>
      </c>
      <c r="H418" s="139">
        <v>100000000</v>
      </c>
      <c r="I418" s="139">
        <v>0</v>
      </c>
      <c r="J418" s="139">
        <v>100000000</v>
      </c>
      <c r="K418" s="139">
        <v>0</v>
      </c>
      <c r="L418" s="139" t="s">
        <v>3169</v>
      </c>
      <c r="M418" s="139">
        <v>0</v>
      </c>
    </row>
    <row r="419" spans="2:13">
      <c r="B419" s="151" t="str">
        <f>_xlfn.IFNA(VLOOKUP(D419,标准编码!A:B,2,0),"")</f>
        <v/>
      </c>
      <c r="D419" s="247">
        <v>250102</v>
      </c>
      <c r="E419" s="247" t="s">
        <v>3578</v>
      </c>
      <c r="F419" s="247" t="s">
        <v>3169</v>
      </c>
      <c r="G419" s="139">
        <v>0</v>
      </c>
      <c r="H419" s="139">
        <v>0</v>
      </c>
      <c r="I419" s="139">
        <v>0</v>
      </c>
      <c r="J419" s="139">
        <v>0</v>
      </c>
      <c r="K419" s="139">
        <v>0</v>
      </c>
      <c r="L419" s="139" t="s">
        <v>3169</v>
      </c>
      <c r="M419" s="139">
        <v>0</v>
      </c>
    </row>
    <row r="420" spans="2:13">
      <c r="B420" s="151" t="str">
        <f>_xlfn.IFNA(VLOOKUP(D420,标准编码!A:B,2,0),"")</f>
        <v/>
      </c>
      <c r="D420" s="247">
        <v>25010201</v>
      </c>
      <c r="E420" s="247" t="s">
        <v>3579</v>
      </c>
      <c r="F420" s="247" t="s">
        <v>3169</v>
      </c>
      <c r="G420" s="139">
        <v>0</v>
      </c>
      <c r="H420" s="139">
        <v>0</v>
      </c>
      <c r="I420" s="139">
        <v>0</v>
      </c>
      <c r="J420" s="139">
        <v>0</v>
      </c>
      <c r="K420" s="139">
        <v>0</v>
      </c>
      <c r="L420" s="139" t="s">
        <v>3169</v>
      </c>
      <c r="M420" s="139">
        <v>0</v>
      </c>
    </row>
    <row r="421" spans="2:13">
      <c r="B421" s="151" t="str">
        <f>_xlfn.IFNA(VLOOKUP(D421,标准编码!A:B,2,0),"")</f>
        <v/>
      </c>
      <c r="D421" s="247">
        <v>250107</v>
      </c>
      <c r="E421" s="247" t="s">
        <v>3580</v>
      </c>
      <c r="F421" s="247" t="s">
        <v>826</v>
      </c>
      <c r="G421" s="139">
        <v>100000000</v>
      </c>
      <c r="H421" s="139">
        <v>100000000</v>
      </c>
      <c r="I421" s="139">
        <v>0</v>
      </c>
      <c r="J421" s="139">
        <v>100000000</v>
      </c>
      <c r="K421" s="139">
        <v>0</v>
      </c>
      <c r="L421" s="139" t="s">
        <v>3169</v>
      </c>
      <c r="M421" s="139">
        <v>0</v>
      </c>
    </row>
    <row r="422" spans="2:13">
      <c r="B422" s="151" t="str">
        <f>_xlfn.IFNA(VLOOKUP(D422,标准编码!A:B,2,0),"")</f>
        <v/>
      </c>
      <c r="D422" s="247">
        <v>25010701</v>
      </c>
      <c r="E422" s="247" t="s">
        <v>3581</v>
      </c>
      <c r="F422" s="247" t="s">
        <v>826</v>
      </c>
      <c r="G422" s="139">
        <v>100000000</v>
      </c>
      <c r="H422" s="139">
        <v>100000000</v>
      </c>
      <c r="I422" s="139">
        <v>0</v>
      </c>
      <c r="J422" s="139">
        <v>100000000</v>
      </c>
      <c r="K422" s="139">
        <v>0</v>
      </c>
      <c r="L422" s="139" t="s">
        <v>3169</v>
      </c>
      <c r="M422" s="139">
        <v>0</v>
      </c>
    </row>
    <row r="423" spans="2:13">
      <c r="B423" s="151" t="str">
        <f>_xlfn.IFNA(VLOOKUP(D423,标准编码!A:B,2,0),"")</f>
        <v/>
      </c>
      <c r="D423" s="247">
        <v>250113</v>
      </c>
      <c r="E423" s="247" t="s">
        <v>3582</v>
      </c>
      <c r="F423" s="247" t="s">
        <v>3169</v>
      </c>
      <c r="G423" s="139">
        <v>0</v>
      </c>
      <c r="H423" s="139">
        <v>0</v>
      </c>
      <c r="I423" s="139">
        <v>0</v>
      </c>
      <c r="J423" s="139">
        <v>0</v>
      </c>
      <c r="K423" s="139">
        <v>0</v>
      </c>
      <c r="L423" s="139" t="s">
        <v>3169</v>
      </c>
      <c r="M423" s="139">
        <v>0</v>
      </c>
    </row>
    <row r="424" spans="2:13">
      <c r="B424" s="151" t="str">
        <f>_xlfn.IFNA(VLOOKUP(D424,标准编码!A:B,2,0),"")</f>
        <v/>
      </c>
      <c r="D424" s="247">
        <v>25011301</v>
      </c>
      <c r="E424" s="247" t="s">
        <v>3583</v>
      </c>
      <c r="F424" s="247" t="s">
        <v>3169</v>
      </c>
      <c r="G424" s="139">
        <v>0</v>
      </c>
      <c r="H424" s="139">
        <v>0</v>
      </c>
      <c r="I424" s="139">
        <v>0</v>
      </c>
      <c r="J424" s="139">
        <v>0</v>
      </c>
      <c r="K424" s="139">
        <v>0</v>
      </c>
      <c r="L424" s="139" t="s">
        <v>3169</v>
      </c>
      <c r="M424" s="139">
        <v>0</v>
      </c>
    </row>
    <row r="425" spans="2:13">
      <c r="B425" s="151" t="str">
        <f>_xlfn.IFNA(VLOOKUP(D425,标准编码!A:B,2,0),"")</f>
        <v/>
      </c>
      <c r="D425" s="247">
        <v>250128</v>
      </c>
      <c r="E425" s="247" t="s">
        <v>3584</v>
      </c>
      <c r="F425" s="247" t="s">
        <v>3169</v>
      </c>
      <c r="G425" s="139">
        <v>0</v>
      </c>
      <c r="H425" s="139">
        <v>0</v>
      </c>
      <c r="I425" s="139">
        <v>0</v>
      </c>
      <c r="J425" s="139">
        <v>0</v>
      </c>
      <c r="K425" s="139">
        <v>0</v>
      </c>
      <c r="L425" s="139" t="s">
        <v>3169</v>
      </c>
      <c r="M425" s="139">
        <v>0</v>
      </c>
    </row>
    <row r="426" spans="2:13">
      <c r="B426" s="151" t="str">
        <f>_xlfn.IFNA(VLOOKUP(D426,标准编码!A:B,2,0),"")</f>
        <v/>
      </c>
      <c r="D426" s="247">
        <v>25012801</v>
      </c>
      <c r="E426" s="247" t="s">
        <v>3585</v>
      </c>
      <c r="F426" s="247" t="s">
        <v>3169</v>
      </c>
      <c r="G426" s="139">
        <v>0</v>
      </c>
      <c r="H426" s="139">
        <v>0</v>
      </c>
      <c r="I426" s="139">
        <v>0</v>
      </c>
      <c r="J426" s="139">
        <v>0</v>
      </c>
      <c r="K426" s="139">
        <v>0</v>
      </c>
      <c r="L426" s="139" t="s">
        <v>3169</v>
      </c>
      <c r="M426" s="139">
        <v>0</v>
      </c>
    </row>
    <row r="427" spans="2:13">
      <c r="B427" s="151" t="str">
        <f>_xlfn.IFNA(VLOOKUP(D427,标准编码!A:B,2,0),"")</f>
        <v>应付债券</v>
      </c>
      <c r="D427" s="247">
        <v>2502</v>
      </c>
      <c r="E427" s="247" t="s">
        <v>3586</v>
      </c>
      <c r="F427" s="247" t="s">
        <v>826</v>
      </c>
      <c r="G427" s="139">
        <v>3974450656.1700001</v>
      </c>
      <c r="H427" s="139">
        <v>1001000000</v>
      </c>
      <c r="I427" s="139">
        <v>510092743.82999998</v>
      </c>
      <c r="J427" s="139">
        <v>1001000000</v>
      </c>
      <c r="K427" s="139">
        <v>510092743.82999998</v>
      </c>
      <c r="L427" s="139" t="s">
        <v>826</v>
      </c>
      <c r="M427" s="139">
        <v>3483543400</v>
      </c>
    </row>
    <row r="428" spans="2:13">
      <c r="B428" s="151" t="str">
        <f>_xlfn.IFNA(VLOOKUP(D428,标准编码!A:B,2,0),"")</f>
        <v/>
      </c>
      <c r="D428" s="247">
        <v>250201</v>
      </c>
      <c r="E428" s="247" t="s">
        <v>3587</v>
      </c>
      <c r="F428" s="247" t="s">
        <v>826</v>
      </c>
      <c r="G428" s="139">
        <v>998838356.16999996</v>
      </c>
      <c r="H428" s="139">
        <v>1000000000</v>
      </c>
      <c r="I428" s="139">
        <v>1161643.83</v>
      </c>
      <c r="J428" s="139">
        <v>1000000000</v>
      </c>
      <c r="K428" s="139">
        <v>1161643.83</v>
      </c>
      <c r="L428" s="139" t="s">
        <v>3169</v>
      </c>
      <c r="M428" s="139">
        <v>0</v>
      </c>
    </row>
    <row r="429" spans="2:13">
      <c r="B429" s="151" t="str">
        <f>_xlfn.IFNA(VLOOKUP(D429,标准编码!A:B,2,0),"")</f>
        <v/>
      </c>
      <c r="D429" s="247">
        <v>25020101</v>
      </c>
      <c r="E429" s="247" t="s">
        <v>3588</v>
      </c>
      <c r="F429" s="247" t="s">
        <v>826</v>
      </c>
      <c r="G429" s="139">
        <v>1000000000</v>
      </c>
      <c r="H429" s="139">
        <v>1000000000</v>
      </c>
      <c r="I429" s="139">
        <v>0</v>
      </c>
      <c r="J429" s="139">
        <v>1000000000</v>
      </c>
      <c r="K429" s="139">
        <v>0</v>
      </c>
      <c r="L429" s="139" t="s">
        <v>3169</v>
      </c>
      <c r="M429" s="139">
        <v>0</v>
      </c>
    </row>
    <row r="430" spans="2:13">
      <c r="B430" s="151" t="str">
        <f>_xlfn.IFNA(VLOOKUP(D430,标准编码!A:B,2,0),"")</f>
        <v/>
      </c>
      <c r="D430" s="247">
        <v>25020102</v>
      </c>
      <c r="E430" s="247" t="s">
        <v>3589</v>
      </c>
      <c r="F430" s="247" t="s">
        <v>825</v>
      </c>
      <c r="G430" s="139">
        <v>1161643.83</v>
      </c>
      <c r="H430" s="139">
        <v>0</v>
      </c>
      <c r="I430" s="139">
        <v>1161643.83</v>
      </c>
      <c r="J430" s="139">
        <v>0</v>
      </c>
      <c r="K430" s="139">
        <v>1161643.83</v>
      </c>
      <c r="L430" s="139" t="s">
        <v>3169</v>
      </c>
      <c r="M430" s="139">
        <v>0</v>
      </c>
    </row>
    <row r="431" spans="2:13">
      <c r="B431" s="151" t="str">
        <f>_xlfn.IFNA(VLOOKUP(D431,标准编码!A:B,2,0),"")</f>
        <v/>
      </c>
      <c r="D431" s="247">
        <v>250202</v>
      </c>
      <c r="E431" s="247" t="s">
        <v>3590</v>
      </c>
      <c r="F431" s="247" t="s">
        <v>826</v>
      </c>
      <c r="G431" s="139">
        <v>2975612300</v>
      </c>
      <c r="H431" s="139">
        <v>1000000</v>
      </c>
      <c r="I431" s="139">
        <v>508931100</v>
      </c>
      <c r="J431" s="139">
        <v>1000000</v>
      </c>
      <c r="K431" s="139">
        <v>508931100</v>
      </c>
      <c r="L431" s="139" t="s">
        <v>826</v>
      </c>
      <c r="M431" s="139">
        <v>3483543400</v>
      </c>
    </row>
    <row r="432" spans="2:13">
      <c r="B432" s="151" t="str">
        <f>_xlfn.IFNA(VLOOKUP(D432,标准编码!A:B,2,0),"")</f>
        <v/>
      </c>
      <c r="D432" s="247">
        <v>25020201</v>
      </c>
      <c r="E432" s="247" t="s">
        <v>3591</v>
      </c>
      <c r="F432" s="247" t="s">
        <v>826</v>
      </c>
      <c r="G432" s="139">
        <v>3000000000</v>
      </c>
      <c r="H432" s="139">
        <v>0</v>
      </c>
      <c r="I432" s="139">
        <v>500000000</v>
      </c>
      <c r="J432" s="139">
        <v>0</v>
      </c>
      <c r="K432" s="139">
        <v>500000000</v>
      </c>
      <c r="L432" s="139" t="s">
        <v>826</v>
      </c>
      <c r="M432" s="139">
        <v>3500000000</v>
      </c>
    </row>
    <row r="433" spans="2:13">
      <c r="B433" s="151" t="str">
        <f>_xlfn.IFNA(VLOOKUP(D433,标准编码!A:B,2,0),"")</f>
        <v/>
      </c>
      <c r="D433" s="247">
        <v>25020202</v>
      </c>
      <c r="E433" s="247" t="s">
        <v>3592</v>
      </c>
      <c r="F433" s="247" t="s">
        <v>825</v>
      </c>
      <c r="G433" s="139">
        <v>24387700</v>
      </c>
      <c r="H433" s="139">
        <v>1000000</v>
      </c>
      <c r="I433" s="139">
        <v>8931100</v>
      </c>
      <c r="J433" s="139">
        <v>1000000</v>
      </c>
      <c r="K433" s="139">
        <v>8931100</v>
      </c>
      <c r="L433" s="139" t="s">
        <v>825</v>
      </c>
      <c r="M433" s="139">
        <v>16456600</v>
      </c>
    </row>
    <row r="434" spans="2:13">
      <c r="B434" s="151" t="str">
        <f>_xlfn.IFNA(VLOOKUP(D434,标准编码!A:B,2,0),"")</f>
        <v>长期应付款</v>
      </c>
      <c r="D434" s="247">
        <v>2701</v>
      </c>
      <c r="E434" s="247" t="s">
        <v>3593</v>
      </c>
      <c r="F434" s="247" t="s">
        <v>826</v>
      </c>
      <c r="G434" s="139">
        <v>2711169784.2800002</v>
      </c>
      <c r="H434" s="139">
        <v>546500000</v>
      </c>
      <c r="I434" s="139">
        <v>183083182.00999999</v>
      </c>
      <c r="J434" s="139">
        <v>546500000</v>
      </c>
      <c r="K434" s="139">
        <v>183083182.00999999</v>
      </c>
      <c r="L434" s="139" t="s">
        <v>826</v>
      </c>
      <c r="M434" s="139">
        <v>2347752966.29</v>
      </c>
    </row>
    <row r="435" spans="2:13">
      <c r="B435" s="151" t="str">
        <f>_xlfn.IFNA(VLOOKUP(D435,标准编码!A:B,2,0),"")</f>
        <v/>
      </c>
      <c r="D435" s="247">
        <v>270104</v>
      </c>
      <c r="E435" s="247" t="s">
        <v>3594</v>
      </c>
      <c r="F435" s="247" t="s">
        <v>826</v>
      </c>
      <c r="G435" s="139">
        <v>2350640000</v>
      </c>
      <c r="H435" s="139">
        <v>0</v>
      </c>
      <c r="I435" s="139">
        <v>0</v>
      </c>
      <c r="J435" s="139">
        <v>0</v>
      </c>
      <c r="K435" s="139">
        <v>0</v>
      </c>
      <c r="L435" s="139" t="s">
        <v>826</v>
      </c>
      <c r="M435" s="139">
        <v>2350640000</v>
      </c>
    </row>
    <row r="436" spans="2:13">
      <c r="B436" s="151" t="str">
        <f>_xlfn.IFNA(VLOOKUP(D436,标准编码!A:B,2,0),"")</f>
        <v/>
      </c>
      <c r="D436" s="247">
        <v>27010401</v>
      </c>
      <c r="E436" s="247" t="s">
        <v>3595</v>
      </c>
      <c r="F436" s="247" t="s">
        <v>826</v>
      </c>
      <c r="G436" s="139">
        <v>1000000000</v>
      </c>
      <c r="H436" s="139">
        <v>0</v>
      </c>
      <c r="I436" s="139">
        <v>0</v>
      </c>
      <c r="J436" s="139">
        <v>0</v>
      </c>
      <c r="K436" s="139">
        <v>0</v>
      </c>
      <c r="L436" s="139" t="s">
        <v>826</v>
      </c>
      <c r="M436" s="139">
        <v>1000000000</v>
      </c>
    </row>
    <row r="437" spans="2:13">
      <c r="B437" s="151" t="str">
        <f>_xlfn.IFNA(VLOOKUP(D437,标准编码!A:B,2,0),"")</f>
        <v/>
      </c>
      <c r="D437" s="247">
        <v>27010402</v>
      </c>
      <c r="E437" s="247" t="s">
        <v>3596</v>
      </c>
      <c r="F437" s="247" t="s">
        <v>826</v>
      </c>
      <c r="G437" s="139">
        <v>250000000</v>
      </c>
      <c r="H437" s="139">
        <v>0</v>
      </c>
      <c r="I437" s="139">
        <v>0</v>
      </c>
      <c r="J437" s="139">
        <v>0</v>
      </c>
      <c r="K437" s="139">
        <v>0</v>
      </c>
      <c r="L437" s="139" t="s">
        <v>826</v>
      </c>
      <c r="M437" s="139">
        <v>250000000</v>
      </c>
    </row>
    <row r="438" spans="2:13">
      <c r="B438" s="151" t="str">
        <f>_xlfn.IFNA(VLOOKUP(D438,标准编码!A:B,2,0),"")</f>
        <v/>
      </c>
      <c r="D438" s="247">
        <v>27010403</v>
      </c>
      <c r="E438" s="247" t="s">
        <v>3597</v>
      </c>
      <c r="F438" s="247" t="s">
        <v>826</v>
      </c>
      <c r="G438" s="139">
        <v>1100640000</v>
      </c>
      <c r="H438" s="139">
        <v>0</v>
      </c>
      <c r="I438" s="139">
        <v>0</v>
      </c>
      <c r="J438" s="139">
        <v>0</v>
      </c>
      <c r="K438" s="139">
        <v>0</v>
      </c>
      <c r="L438" s="139" t="s">
        <v>826</v>
      </c>
      <c r="M438" s="139">
        <v>1100640000</v>
      </c>
    </row>
    <row r="439" spans="2:13">
      <c r="B439" s="151" t="str">
        <f>_xlfn.IFNA(VLOOKUP(D439,标准编码!A:B,2,0),"")</f>
        <v/>
      </c>
      <c r="D439" s="247">
        <v>270105</v>
      </c>
      <c r="E439" s="247" t="s">
        <v>3598</v>
      </c>
      <c r="F439" s="247" t="s">
        <v>825</v>
      </c>
      <c r="G439" s="139">
        <v>85970215.719999999</v>
      </c>
      <c r="H439" s="139">
        <v>0</v>
      </c>
      <c r="I439" s="139">
        <v>83083182.010000005</v>
      </c>
      <c r="J439" s="139">
        <v>0</v>
      </c>
      <c r="K439" s="139">
        <v>83083182.010000005</v>
      </c>
      <c r="L439" s="139" t="s">
        <v>825</v>
      </c>
      <c r="M439" s="139">
        <v>2887033.71</v>
      </c>
    </row>
    <row r="440" spans="2:13">
      <c r="B440" s="151" t="str">
        <f>_xlfn.IFNA(VLOOKUP(D440,标准编码!A:B,2,0),"")</f>
        <v/>
      </c>
      <c r="D440" s="247">
        <v>27010501</v>
      </c>
      <c r="E440" s="247" t="s">
        <v>3599</v>
      </c>
      <c r="F440" s="247" t="s">
        <v>826</v>
      </c>
      <c r="G440" s="139">
        <v>211585</v>
      </c>
      <c r="H440" s="139">
        <v>0</v>
      </c>
      <c r="I440" s="139">
        <v>0</v>
      </c>
      <c r="J440" s="139">
        <v>0</v>
      </c>
      <c r="K440" s="139">
        <v>0</v>
      </c>
      <c r="L440" s="139" t="s">
        <v>826</v>
      </c>
      <c r="M440" s="139">
        <v>211585</v>
      </c>
    </row>
    <row r="441" spans="2:13">
      <c r="B441" s="151" t="str">
        <f>_xlfn.IFNA(VLOOKUP(D441,标准编码!A:B,2,0),"")</f>
        <v/>
      </c>
      <c r="D441" s="247">
        <v>27010503</v>
      </c>
      <c r="E441" s="247" t="s">
        <v>3600</v>
      </c>
      <c r="F441" s="247" t="s">
        <v>825</v>
      </c>
      <c r="G441" s="139">
        <v>83083182.010000005</v>
      </c>
      <c r="H441" s="139">
        <v>0</v>
      </c>
      <c r="I441" s="139">
        <v>83083182.010000005</v>
      </c>
      <c r="J441" s="139">
        <v>0</v>
      </c>
      <c r="K441" s="139">
        <v>83083182.010000005</v>
      </c>
      <c r="L441" s="139" t="s">
        <v>3169</v>
      </c>
      <c r="M441" s="139">
        <v>0</v>
      </c>
    </row>
    <row r="442" spans="2:13">
      <c r="B442" s="151" t="str">
        <f>_xlfn.IFNA(VLOOKUP(D442,标准编码!A:B,2,0),"")</f>
        <v/>
      </c>
      <c r="D442" s="247">
        <v>27010504</v>
      </c>
      <c r="E442" s="247" t="s">
        <v>3601</v>
      </c>
      <c r="F442" s="247" t="s">
        <v>826</v>
      </c>
      <c r="G442" s="139">
        <v>3974979.24</v>
      </c>
      <c r="H442" s="139">
        <v>0</v>
      </c>
      <c r="I442" s="139">
        <v>0</v>
      </c>
      <c r="J442" s="139">
        <v>0</v>
      </c>
      <c r="K442" s="139">
        <v>0</v>
      </c>
      <c r="L442" s="139" t="s">
        <v>826</v>
      </c>
      <c r="M442" s="139">
        <v>3974979.24</v>
      </c>
    </row>
    <row r="443" spans="2:13">
      <c r="B443" s="151" t="str">
        <f>_xlfn.IFNA(VLOOKUP(D443,标准编码!A:B,2,0),"")</f>
        <v/>
      </c>
      <c r="D443" s="247">
        <v>27010505</v>
      </c>
      <c r="E443" s="247" t="s">
        <v>3602</v>
      </c>
      <c r="F443" s="247" t="s">
        <v>825</v>
      </c>
      <c r="G443" s="139">
        <v>7073597.9500000002</v>
      </c>
      <c r="H443" s="139">
        <v>0</v>
      </c>
      <c r="I443" s="139">
        <v>0</v>
      </c>
      <c r="J443" s="139">
        <v>0</v>
      </c>
      <c r="K443" s="139">
        <v>0</v>
      </c>
      <c r="L443" s="139" t="s">
        <v>825</v>
      </c>
      <c r="M443" s="139">
        <v>7073597.9500000002</v>
      </c>
    </row>
    <row r="444" spans="2:13">
      <c r="B444" s="151" t="str">
        <f>_xlfn.IFNA(VLOOKUP(D444,标准编码!A:B,2,0),"")</f>
        <v/>
      </c>
      <c r="D444" s="247">
        <v>270108</v>
      </c>
      <c r="E444" s="247" t="s">
        <v>3603</v>
      </c>
      <c r="F444" s="247" t="s">
        <v>826</v>
      </c>
      <c r="G444" s="139">
        <v>446500000</v>
      </c>
      <c r="H444" s="139">
        <v>546500000</v>
      </c>
      <c r="I444" s="139">
        <v>100000000</v>
      </c>
      <c r="J444" s="139">
        <v>546500000</v>
      </c>
      <c r="K444" s="139">
        <v>100000000</v>
      </c>
      <c r="L444" s="139" t="s">
        <v>3169</v>
      </c>
      <c r="M444" s="139">
        <v>0</v>
      </c>
    </row>
    <row r="445" spans="2:13">
      <c r="B445" s="151" t="str">
        <f>_xlfn.IFNA(VLOOKUP(D445,标准编码!A:B,2,0),"")</f>
        <v>专项应付款</v>
      </c>
      <c r="D445" s="247">
        <v>2711</v>
      </c>
      <c r="E445" s="247" t="s">
        <v>3604</v>
      </c>
      <c r="F445" s="247" t="s">
        <v>826</v>
      </c>
      <c r="G445" s="139">
        <v>515290000</v>
      </c>
      <c r="H445" s="139">
        <v>0</v>
      </c>
      <c r="I445" s="139">
        <v>0</v>
      </c>
      <c r="J445" s="139">
        <v>0</v>
      </c>
      <c r="K445" s="139">
        <v>0</v>
      </c>
      <c r="L445" s="139" t="s">
        <v>826</v>
      </c>
      <c r="M445" s="139">
        <v>515290000</v>
      </c>
    </row>
    <row r="446" spans="2:13">
      <c r="B446" s="151" t="str">
        <f>_xlfn.IFNA(VLOOKUP(D446,标准编码!A:B,2,0),"")</f>
        <v/>
      </c>
      <c r="D446" s="247">
        <v>271102</v>
      </c>
      <c r="E446" s="247" t="s">
        <v>3605</v>
      </c>
      <c r="F446" s="247" t="s">
        <v>826</v>
      </c>
      <c r="G446" s="139">
        <v>515290000</v>
      </c>
      <c r="H446" s="139">
        <v>0</v>
      </c>
      <c r="I446" s="139">
        <v>0</v>
      </c>
      <c r="J446" s="139">
        <v>0</v>
      </c>
      <c r="K446" s="139">
        <v>0</v>
      </c>
      <c r="L446" s="139" t="s">
        <v>826</v>
      </c>
      <c r="M446" s="139">
        <v>515290000</v>
      </c>
    </row>
    <row r="447" spans="2:13">
      <c r="B447" s="151" t="str">
        <f>_xlfn.IFNA(VLOOKUP(D447,标准编码!A:B,2,0),"")</f>
        <v/>
      </c>
      <c r="D447" s="247">
        <v>27110201</v>
      </c>
      <c r="E447" s="247" t="s">
        <v>3606</v>
      </c>
      <c r="F447" s="247" t="s">
        <v>826</v>
      </c>
      <c r="G447" s="139">
        <v>178677156</v>
      </c>
      <c r="H447" s="139">
        <v>0</v>
      </c>
      <c r="I447" s="139">
        <v>0</v>
      </c>
      <c r="J447" s="139">
        <v>0</v>
      </c>
      <c r="K447" s="139">
        <v>0</v>
      </c>
      <c r="L447" s="139" t="s">
        <v>826</v>
      </c>
      <c r="M447" s="139">
        <v>178677156</v>
      </c>
    </row>
    <row r="448" spans="2:13">
      <c r="B448" s="151" t="str">
        <f>_xlfn.IFNA(VLOOKUP(D448,标准编码!A:B,2,0),"")</f>
        <v/>
      </c>
      <c r="D448" s="247">
        <v>2711020101</v>
      </c>
      <c r="E448" s="247" t="s">
        <v>3607</v>
      </c>
      <c r="F448" s="247" t="s">
        <v>826</v>
      </c>
      <c r="G448" s="139">
        <v>178677156</v>
      </c>
      <c r="H448" s="139">
        <v>0</v>
      </c>
      <c r="I448" s="139">
        <v>0</v>
      </c>
      <c r="J448" s="139">
        <v>0</v>
      </c>
      <c r="K448" s="139">
        <v>0</v>
      </c>
      <c r="L448" s="139" t="s">
        <v>826</v>
      </c>
      <c r="M448" s="139">
        <v>178677156</v>
      </c>
    </row>
    <row r="449" spans="2:13">
      <c r="B449" s="151" t="str">
        <f>_xlfn.IFNA(VLOOKUP(D449,标准编码!A:B,2,0),"")</f>
        <v/>
      </c>
      <c r="D449" s="247">
        <v>271102010101</v>
      </c>
      <c r="E449" s="247" t="s">
        <v>3608</v>
      </c>
      <c r="F449" s="247" t="s">
        <v>826</v>
      </c>
      <c r="G449" s="139">
        <v>178677156</v>
      </c>
      <c r="H449" s="139">
        <v>0</v>
      </c>
      <c r="I449" s="139">
        <v>0</v>
      </c>
      <c r="J449" s="139">
        <v>0</v>
      </c>
      <c r="K449" s="139">
        <v>0</v>
      </c>
      <c r="L449" s="139" t="s">
        <v>826</v>
      </c>
      <c r="M449" s="139">
        <v>178677156</v>
      </c>
    </row>
    <row r="450" spans="2:13">
      <c r="B450" s="151" t="str">
        <f>_xlfn.IFNA(VLOOKUP(D450,标准编码!A:B,2,0),"")</f>
        <v/>
      </c>
      <c r="D450" s="247">
        <v>27110202</v>
      </c>
      <c r="E450" s="247" t="s">
        <v>3609</v>
      </c>
      <c r="F450" s="247" t="s">
        <v>826</v>
      </c>
      <c r="G450" s="139">
        <v>336612844</v>
      </c>
      <c r="H450" s="139">
        <v>0</v>
      </c>
      <c r="I450" s="139">
        <v>0</v>
      </c>
      <c r="J450" s="139">
        <v>0</v>
      </c>
      <c r="K450" s="139">
        <v>0</v>
      </c>
      <c r="L450" s="139" t="s">
        <v>826</v>
      </c>
      <c r="M450" s="139">
        <v>336612844</v>
      </c>
    </row>
    <row r="451" spans="2:13">
      <c r="B451" s="151" t="str">
        <f>_xlfn.IFNA(VLOOKUP(D451,标准编码!A:B,2,0),"")</f>
        <v/>
      </c>
      <c r="D451" s="247">
        <v>2711020201</v>
      </c>
      <c r="E451" s="247" t="s">
        <v>3610</v>
      </c>
      <c r="F451" s="247" t="s">
        <v>826</v>
      </c>
      <c r="G451" s="139">
        <v>336612844</v>
      </c>
      <c r="H451" s="139">
        <v>0</v>
      </c>
      <c r="I451" s="139">
        <v>0</v>
      </c>
      <c r="J451" s="139">
        <v>0</v>
      </c>
      <c r="K451" s="139">
        <v>0</v>
      </c>
      <c r="L451" s="139" t="s">
        <v>826</v>
      </c>
      <c r="M451" s="139">
        <v>336612844</v>
      </c>
    </row>
    <row r="452" spans="2:13">
      <c r="B452" s="151" t="str">
        <f>_xlfn.IFNA(VLOOKUP(D452,标准编码!A:B,2,0),"")</f>
        <v>递延所得税负债</v>
      </c>
      <c r="D452" s="247">
        <v>2901</v>
      </c>
      <c r="E452" s="247" t="s">
        <v>3611</v>
      </c>
      <c r="F452" s="247" t="s">
        <v>826</v>
      </c>
      <c r="G452" s="139">
        <v>5952399.75</v>
      </c>
      <c r="H452" s="139">
        <v>0</v>
      </c>
      <c r="I452" s="139">
        <v>16731867.060000001</v>
      </c>
      <c r="J452" s="139">
        <v>0</v>
      </c>
      <c r="K452" s="139">
        <v>16731867.060000001</v>
      </c>
      <c r="L452" s="139" t="s">
        <v>826</v>
      </c>
      <c r="M452" s="139">
        <v>22684266.809999999</v>
      </c>
    </row>
    <row r="453" spans="2:13">
      <c r="B453" s="151" t="str">
        <f>_xlfn.IFNA(VLOOKUP(D453,标准编码!A:B,2,0),"")</f>
        <v/>
      </c>
      <c r="D453" s="247">
        <v>290101</v>
      </c>
      <c r="E453" s="247" t="s">
        <v>3612</v>
      </c>
      <c r="F453" s="247" t="s">
        <v>826</v>
      </c>
      <c r="G453" s="139">
        <v>5952399.75</v>
      </c>
      <c r="H453" s="139">
        <v>0</v>
      </c>
      <c r="I453" s="139">
        <v>16731867.060000001</v>
      </c>
      <c r="J453" s="139">
        <v>0</v>
      </c>
      <c r="K453" s="139">
        <v>16731867.060000001</v>
      </c>
      <c r="L453" s="139" t="s">
        <v>826</v>
      </c>
      <c r="M453" s="139">
        <v>22684266.809999999</v>
      </c>
    </row>
    <row r="454" spans="2:13">
      <c r="B454" s="151" t="str">
        <f>_xlfn.IFNA(VLOOKUP(D454,标准编码!A:B,2,0),"")</f>
        <v>实收资本</v>
      </c>
      <c r="D454" s="247">
        <v>4001</v>
      </c>
      <c r="E454" s="247" t="s">
        <v>3613</v>
      </c>
      <c r="F454" s="247" t="s">
        <v>826</v>
      </c>
      <c r="G454" s="139">
        <v>3020000000</v>
      </c>
      <c r="H454" s="139">
        <v>0</v>
      </c>
      <c r="I454" s="139">
        <v>0</v>
      </c>
      <c r="J454" s="139">
        <v>0</v>
      </c>
      <c r="K454" s="139">
        <v>0</v>
      </c>
      <c r="L454" s="139" t="s">
        <v>826</v>
      </c>
      <c r="M454" s="139">
        <v>3020000000</v>
      </c>
    </row>
    <row r="455" spans="2:13">
      <c r="B455" s="151" t="str">
        <f>_xlfn.IFNA(VLOOKUP(D455,标准编码!A:B,2,0),"")</f>
        <v/>
      </c>
      <c r="D455" s="247">
        <v>400101</v>
      </c>
      <c r="E455" s="247" t="s">
        <v>3614</v>
      </c>
      <c r="F455" s="247" t="s">
        <v>826</v>
      </c>
      <c r="G455" s="139">
        <v>3020000000</v>
      </c>
      <c r="H455" s="139">
        <v>0</v>
      </c>
      <c r="I455" s="139">
        <v>0</v>
      </c>
      <c r="J455" s="139">
        <v>0</v>
      </c>
      <c r="K455" s="139">
        <v>0</v>
      </c>
      <c r="L455" s="139" t="s">
        <v>826</v>
      </c>
      <c r="M455" s="139">
        <v>3020000000</v>
      </c>
    </row>
    <row r="456" spans="2:13">
      <c r="B456" s="151" t="str">
        <f>_xlfn.IFNA(VLOOKUP(D456,标准编码!A:B,2,0),"")</f>
        <v/>
      </c>
      <c r="D456" s="247">
        <v>40010102</v>
      </c>
      <c r="E456" s="247" t="s">
        <v>3615</v>
      </c>
      <c r="F456" s="247" t="s">
        <v>826</v>
      </c>
      <c r="G456" s="139">
        <v>3020000000</v>
      </c>
      <c r="H456" s="139">
        <v>0</v>
      </c>
      <c r="I456" s="139">
        <v>0</v>
      </c>
      <c r="J456" s="139">
        <v>0</v>
      </c>
      <c r="K456" s="139">
        <v>0</v>
      </c>
      <c r="L456" s="139" t="s">
        <v>826</v>
      </c>
      <c r="M456" s="139">
        <v>3020000000</v>
      </c>
    </row>
    <row r="457" spans="2:13">
      <c r="B457" s="151" t="str">
        <f>_xlfn.IFNA(VLOOKUP(D457,标准编码!A:B,2,0),"")</f>
        <v>资本公积</v>
      </c>
      <c r="D457" s="247">
        <v>4002</v>
      </c>
      <c r="E457" s="247" t="s">
        <v>3616</v>
      </c>
      <c r="F457" s="247" t="s">
        <v>826</v>
      </c>
      <c r="G457" s="139">
        <v>3841836934.0599999</v>
      </c>
      <c r="H457" s="139">
        <v>0</v>
      </c>
      <c r="I457" s="139">
        <v>0</v>
      </c>
      <c r="J457" s="139">
        <v>0</v>
      </c>
      <c r="K457" s="139">
        <v>0</v>
      </c>
      <c r="L457" s="139" t="s">
        <v>826</v>
      </c>
      <c r="M457" s="139">
        <v>3841836934.0599999</v>
      </c>
    </row>
    <row r="458" spans="2:13">
      <c r="B458" s="151" t="str">
        <f>_xlfn.IFNA(VLOOKUP(D458,标准编码!A:B,2,0),"")</f>
        <v/>
      </c>
      <c r="D458" s="247">
        <v>400205</v>
      </c>
      <c r="E458" s="247" t="s">
        <v>3617</v>
      </c>
      <c r="F458" s="247" t="s">
        <v>826</v>
      </c>
      <c r="G458" s="139">
        <v>803410992.59000003</v>
      </c>
      <c r="H458" s="139">
        <v>0</v>
      </c>
      <c r="I458" s="139">
        <v>0</v>
      </c>
      <c r="J458" s="139">
        <v>0</v>
      </c>
      <c r="K458" s="139">
        <v>0</v>
      </c>
      <c r="L458" s="139" t="s">
        <v>826</v>
      </c>
      <c r="M458" s="139">
        <v>803410992.59000003</v>
      </c>
    </row>
    <row r="459" spans="2:13">
      <c r="B459" s="151" t="str">
        <f>_xlfn.IFNA(VLOOKUP(D459,标准编码!A:B,2,0),"")</f>
        <v/>
      </c>
      <c r="D459" s="247">
        <v>400207</v>
      </c>
      <c r="E459" s="247" t="s">
        <v>3618</v>
      </c>
      <c r="F459" s="247" t="s">
        <v>826</v>
      </c>
      <c r="G459" s="139">
        <v>428383897.22000003</v>
      </c>
      <c r="H459" s="139">
        <v>0</v>
      </c>
      <c r="I459" s="139">
        <v>0</v>
      </c>
      <c r="J459" s="139">
        <v>0</v>
      </c>
      <c r="K459" s="139">
        <v>0</v>
      </c>
      <c r="L459" s="139" t="s">
        <v>826</v>
      </c>
      <c r="M459" s="139">
        <v>428383897.22000003</v>
      </c>
    </row>
    <row r="460" spans="2:13">
      <c r="B460" s="151" t="str">
        <f>_xlfn.IFNA(VLOOKUP(D460,标准编码!A:B,2,0),"")</f>
        <v/>
      </c>
      <c r="D460" s="247">
        <v>400208</v>
      </c>
      <c r="E460" s="247" t="s">
        <v>3619</v>
      </c>
      <c r="F460" s="247" t="s">
        <v>826</v>
      </c>
      <c r="G460" s="139">
        <v>2610042044.25</v>
      </c>
      <c r="H460" s="139">
        <v>0</v>
      </c>
      <c r="I460" s="139">
        <v>0</v>
      </c>
      <c r="J460" s="139">
        <v>0</v>
      </c>
      <c r="K460" s="139">
        <v>0</v>
      </c>
      <c r="L460" s="139" t="s">
        <v>826</v>
      </c>
      <c r="M460" s="139">
        <v>2610042044.25</v>
      </c>
    </row>
    <row r="461" spans="2:13">
      <c r="B461" s="151" t="str">
        <f>_xlfn.IFNA(VLOOKUP(D461,标准编码!A:B,2,0),"")</f>
        <v>其他综合收益</v>
      </c>
      <c r="D461" s="247">
        <v>4003</v>
      </c>
      <c r="E461" s="247" t="s">
        <v>3620</v>
      </c>
      <c r="F461" s="247" t="s">
        <v>826</v>
      </c>
      <c r="G461" s="139">
        <v>17933942.329999998</v>
      </c>
      <c r="H461" s="139">
        <v>0</v>
      </c>
      <c r="I461" s="139">
        <v>50195601.18</v>
      </c>
      <c r="J461" s="139">
        <v>0</v>
      </c>
      <c r="K461" s="139">
        <v>50195601.18</v>
      </c>
      <c r="L461" s="139" t="s">
        <v>826</v>
      </c>
      <c r="M461" s="139">
        <v>68129543.510000005</v>
      </c>
    </row>
    <row r="462" spans="2:13">
      <c r="B462" s="151" t="str">
        <f>_xlfn.IFNA(VLOOKUP(D462,标准编码!A:B,2,0),"")</f>
        <v>盈余公积</v>
      </c>
      <c r="D462" s="247">
        <v>4101</v>
      </c>
      <c r="E462" s="247" t="s">
        <v>3621</v>
      </c>
      <c r="F462" s="247" t="s">
        <v>826</v>
      </c>
      <c r="G462" s="139">
        <v>148466200.28999999</v>
      </c>
      <c r="H462" s="139">
        <v>0</v>
      </c>
      <c r="I462" s="139">
        <v>7080640</v>
      </c>
      <c r="J462" s="139">
        <v>0</v>
      </c>
      <c r="K462" s="139">
        <v>7080640</v>
      </c>
      <c r="L462" s="139" t="s">
        <v>826</v>
      </c>
      <c r="M462" s="139">
        <v>155546840.28999999</v>
      </c>
    </row>
    <row r="463" spans="2:13">
      <c r="B463" s="151" t="str">
        <f>_xlfn.IFNA(VLOOKUP(D463,标准编码!A:B,2,0),"")</f>
        <v/>
      </c>
      <c r="D463" s="247">
        <v>410101</v>
      </c>
      <c r="E463" s="247" t="s">
        <v>3622</v>
      </c>
      <c r="F463" s="247" t="s">
        <v>826</v>
      </c>
      <c r="G463" s="139">
        <v>135544223.44</v>
      </c>
      <c r="H463" s="139">
        <v>0</v>
      </c>
      <c r="I463" s="139">
        <v>7080640</v>
      </c>
      <c r="J463" s="139">
        <v>0</v>
      </c>
      <c r="K463" s="139">
        <v>7080640</v>
      </c>
      <c r="L463" s="139" t="s">
        <v>826</v>
      </c>
      <c r="M463" s="139">
        <v>142624863.44</v>
      </c>
    </row>
    <row r="464" spans="2:13">
      <c r="B464" s="151" t="str">
        <f>_xlfn.IFNA(VLOOKUP(D464,标准编码!A:B,2,0),"")</f>
        <v/>
      </c>
      <c r="D464" s="247">
        <v>410104</v>
      </c>
      <c r="E464" s="247" t="s">
        <v>3623</v>
      </c>
      <c r="F464" s="247" t="s">
        <v>826</v>
      </c>
      <c r="G464" s="139">
        <v>12921976.85</v>
      </c>
      <c r="H464" s="139">
        <v>0</v>
      </c>
      <c r="I464" s="139">
        <v>0</v>
      </c>
      <c r="J464" s="139">
        <v>0</v>
      </c>
      <c r="K464" s="139">
        <v>0</v>
      </c>
      <c r="L464" s="139" t="s">
        <v>826</v>
      </c>
      <c r="M464" s="139">
        <v>12921976.85</v>
      </c>
    </row>
    <row r="465" spans="2:13">
      <c r="B465" s="151" t="str">
        <f>_xlfn.IFNA(VLOOKUP(D465,标准编码!A:B,2,0),"")</f>
        <v>本年利润</v>
      </c>
      <c r="D465" s="247">
        <v>4103</v>
      </c>
      <c r="E465" s="247" t="s">
        <v>3624</v>
      </c>
      <c r="F465" s="247" t="s">
        <v>3169</v>
      </c>
      <c r="G465" s="139">
        <v>0</v>
      </c>
      <c r="H465" s="139">
        <v>1917903552.02</v>
      </c>
      <c r="I465" s="139">
        <v>1917903552.02</v>
      </c>
      <c r="J465" s="139">
        <v>1917903552.02</v>
      </c>
      <c r="K465" s="139">
        <v>1917903552.02</v>
      </c>
      <c r="L465" s="139" t="s">
        <v>3169</v>
      </c>
      <c r="M465" s="139">
        <v>0</v>
      </c>
    </row>
    <row r="466" spans="2:13">
      <c r="B466" s="151" t="str">
        <f>_xlfn.IFNA(VLOOKUP(D466,标准编码!A:B,2,0),"")</f>
        <v>利润分配</v>
      </c>
      <c r="D466" s="247">
        <v>4104</v>
      </c>
      <c r="E466" s="247" t="s">
        <v>3625</v>
      </c>
      <c r="F466" s="247" t="s">
        <v>826</v>
      </c>
      <c r="G466" s="139">
        <v>837672284.46000004</v>
      </c>
      <c r="H466" s="139">
        <v>88203818.980000004</v>
      </c>
      <c r="I466" s="139">
        <v>246130378.22999999</v>
      </c>
      <c r="J466" s="139">
        <v>88203818.980000004</v>
      </c>
      <c r="K466" s="139">
        <v>246130378.22999999</v>
      </c>
      <c r="L466" s="139" t="s">
        <v>826</v>
      </c>
      <c r="M466" s="139">
        <v>995598843.71000004</v>
      </c>
    </row>
    <row r="467" spans="2:13">
      <c r="B467" s="151" t="str">
        <f>_xlfn.IFNA(VLOOKUP(D467,标准编码!A:B,2,0),"")</f>
        <v/>
      </c>
      <c r="D467" s="247">
        <v>410401</v>
      </c>
      <c r="E467" s="247" t="s">
        <v>3626</v>
      </c>
      <c r="F467" s="247" t="s">
        <v>825</v>
      </c>
      <c r="G467" s="139">
        <v>61531328.600000001</v>
      </c>
      <c r="H467" s="139">
        <v>7080640</v>
      </c>
      <c r="I467" s="139">
        <v>0</v>
      </c>
      <c r="J467" s="139">
        <v>7080640</v>
      </c>
      <c r="K467" s="139">
        <v>0</v>
      </c>
      <c r="L467" s="139" t="s">
        <v>825</v>
      </c>
      <c r="M467" s="139">
        <v>68611968.599999994</v>
      </c>
    </row>
    <row r="468" spans="2:13">
      <c r="B468" s="151" t="str">
        <f>_xlfn.IFNA(VLOOKUP(D468,标准编码!A:B,2,0),"")</f>
        <v/>
      </c>
      <c r="D468" s="247">
        <v>410403</v>
      </c>
      <c r="E468" s="247" t="s">
        <v>3627</v>
      </c>
      <c r="F468" s="247" t="s">
        <v>3169</v>
      </c>
      <c r="G468" s="139">
        <v>0</v>
      </c>
      <c r="H468" s="139">
        <v>16863600</v>
      </c>
      <c r="I468" s="139">
        <v>0</v>
      </c>
      <c r="J468" s="139">
        <v>16863600</v>
      </c>
      <c r="K468" s="139">
        <v>0</v>
      </c>
      <c r="L468" s="139" t="s">
        <v>825</v>
      </c>
      <c r="M468" s="139">
        <v>16863600</v>
      </c>
    </row>
    <row r="469" spans="2:13">
      <c r="B469" s="151" t="str">
        <f>_xlfn.IFNA(VLOOKUP(D469,标准编码!A:B,2,0),"")</f>
        <v/>
      </c>
      <c r="D469" s="247">
        <v>410410</v>
      </c>
      <c r="E469" s="247" t="s">
        <v>3628</v>
      </c>
      <c r="F469" s="247" t="s">
        <v>826</v>
      </c>
      <c r="G469" s="139">
        <v>899203613.05999994</v>
      </c>
      <c r="H469" s="139">
        <v>64259578.979999997</v>
      </c>
      <c r="I469" s="139">
        <v>246130378.22999999</v>
      </c>
      <c r="J469" s="139">
        <v>64259578.979999997</v>
      </c>
      <c r="K469" s="139">
        <v>246130378.22999999</v>
      </c>
      <c r="L469" s="139" t="s">
        <v>826</v>
      </c>
      <c r="M469" s="139">
        <v>1081074412.3099999</v>
      </c>
    </row>
    <row r="470" spans="2:13">
      <c r="B470" s="151" t="str">
        <f>_xlfn.IFNA(VLOOKUP(D470,标准编码!A:B,2,0),"")</f>
        <v>开发成本</v>
      </c>
      <c r="D470" s="247">
        <v>5002</v>
      </c>
      <c r="E470" s="247" t="s">
        <v>3629</v>
      </c>
      <c r="F470" s="247" t="s">
        <v>825</v>
      </c>
      <c r="G470" s="139">
        <v>35973875.850000001</v>
      </c>
      <c r="H470" s="139">
        <v>12907264.15</v>
      </c>
      <c r="I470" s="139">
        <v>50</v>
      </c>
      <c r="J470" s="139">
        <v>12907264.15</v>
      </c>
      <c r="K470" s="139">
        <v>50</v>
      </c>
      <c r="L470" s="139" t="s">
        <v>825</v>
      </c>
      <c r="M470" s="139">
        <v>48881090</v>
      </c>
    </row>
    <row r="471" spans="2:13">
      <c r="B471" s="151" t="str">
        <f>_xlfn.IFNA(VLOOKUP(D471,标准编码!A:B,2,0),"")</f>
        <v/>
      </c>
      <c r="D471" s="247">
        <v>500201</v>
      </c>
      <c r="E471" s="247" t="s">
        <v>3630</v>
      </c>
      <c r="F471" s="247" t="s">
        <v>825</v>
      </c>
      <c r="G471" s="139">
        <v>68333216.840000004</v>
      </c>
      <c r="H471" s="139">
        <v>0</v>
      </c>
      <c r="I471" s="139">
        <v>0</v>
      </c>
      <c r="J471" s="139">
        <v>0</v>
      </c>
      <c r="K471" s="139">
        <v>0</v>
      </c>
      <c r="L471" s="139" t="s">
        <v>825</v>
      </c>
      <c r="M471" s="139">
        <v>68333216.840000004</v>
      </c>
    </row>
    <row r="472" spans="2:13">
      <c r="B472" s="151" t="str">
        <f>_xlfn.IFNA(VLOOKUP(D472,标准编码!A:B,2,0),"")</f>
        <v/>
      </c>
      <c r="D472" s="247">
        <v>50020101</v>
      </c>
      <c r="E472" s="247" t="s">
        <v>3631</v>
      </c>
      <c r="F472" s="247" t="s">
        <v>825</v>
      </c>
      <c r="G472" s="139">
        <v>68333216.840000004</v>
      </c>
      <c r="H472" s="139">
        <v>0</v>
      </c>
      <c r="I472" s="139">
        <v>0</v>
      </c>
      <c r="J472" s="139">
        <v>0</v>
      </c>
      <c r="K472" s="139">
        <v>0</v>
      </c>
      <c r="L472" s="139" t="s">
        <v>825</v>
      </c>
      <c r="M472" s="139">
        <v>68333216.840000004</v>
      </c>
    </row>
    <row r="473" spans="2:13">
      <c r="B473" s="151" t="str">
        <f>_xlfn.IFNA(VLOOKUP(D473,标准编码!A:B,2,0),"")</f>
        <v/>
      </c>
      <c r="D473" s="247">
        <v>5002010101</v>
      </c>
      <c r="E473" s="247" t="s">
        <v>3632</v>
      </c>
      <c r="F473" s="247" t="s">
        <v>825</v>
      </c>
      <c r="G473" s="139">
        <v>68333216.840000004</v>
      </c>
      <c r="H473" s="139">
        <v>0</v>
      </c>
      <c r="I473" s="139">
        <v>0</v>
      </c>
      <c r="J473" s="139">
        <v>0</v>
      </c>
      <c r="K473" s="139">
        <v>0</v>
      </c>
      <c r="L473" s="139" t="s">
        <v>825</v>
      </c>
      <c r="M473" s="139">
        <v>68333216.840000004</v>
      </c>
    </row>
    <row r="474" spans="2:13">
      <c r="B474" s="151" t="str">
        <f>_xlfn.IFNA(VLOOKUP(D474,标准编码!A:B,2,0),"")</f>
        <v/>
      </c>
      <c r="D474" s="247">
        <v>500202</v>
      </c>
      <c r="E474" s="247" t="s">
        <v>3633</v>
      </c>
      <c r="F474" s="247" t="s">
        <v>825</v>
      </c>
      <c r="G474" s="139">
        <v>11110576.9</v>
      </c>
      <c r="H474" s="139">
        <v>440943.12</v>
      </c>
      <c r="I474" s="139">
        <v>0</v>
      </c>
      <c r="J474" s="139">
        <v>440943.12</v>
      </c>
      <c r="K474" s="139">
        <v>0</v>
      </c>
      <c r="L474" s="139" t="s">
        <v>825</v>
      </c>
      <c r="M474" s="139">
        <v>11551520.02</v>
      </c>
    </row>
    <row r="475" spans="2:13">
      <c r="B475" s="151" t="str">
        <f>_xlfn.IFNA(VLOOKUP(D475,标准编码!A:B,2,0),"")</f>
        <v/>
      </c>
      <c r="D475" s="247">
        <v>50020201</v>
      </c>
      <c r="E475" s="247" t="s">
        <v>3634</v>
      </c>
      <c r="F475" s="247" t="s">
        <v>825</v>
      </c>
      <c r="G475" s="139">
        <v>809161.2</v>
      </c>
      <c r="H475" s="139">
        <v>0</v>
      </c>
      <c r="I475" s="139">
        <v>0</v>
      </c>
      <c r="J475" s="139">
        <v>0</v>
      </c>
      <c r="K475" s="139">
        <v>0</v>
      </c>
      <c r="L475" s="139" t="s">
        <v>825</v>
      </c>
      <c r="M475" s="139">
        <v>809161.2</v>
      </c>
    </row>
    <row r="476" spans="2:13">
      <c r="B476" s="151" t="str">
        <f>_xlfn.IFNA(VLOOKUP(D476,标准编码!A:B,2,0),"")</f>
        <v/>
      </c>
      <c r="D476" s="247">
        <v>5002020101</v>
      </c>
      <c r="E476" s="247" t="s">
        <v>3635</v>
      </c>
      <c r="F476" s="247" t="s">
        <v>825</v>
      </c>
      <c r="G476" s="139">
        <v>809161.2</v>
      </c>
      <c r="H476" s="139">
        <v>0</v>
      </c>
      <c r="I476" s="139">
        <v>0</v>
      </c>
      <c r="J476" s="139">
        <v>0</v>
      </c>
      <c r="K476" s="139">
        <v>0</v>
      </c>
      <c r="L476" s="139" t="s">
        <v>825</v>
      </c>
      <c r="M476" s="139">
        <v>809161.2</v>
      </c>
    </row>
    <row r="477" spans="2:13">
      <c r="B477" s="151" t="str">
        <f>_xlfn.IFNA(VLOOKUP(D477,标准编码!A:B,2,0),"")</f>
        <v/>
      </c>
      <c r="D477" s="247">
        <v>50020202</v>
      </c>
      <c r="E477" s="247" t="s">
        <v>3636</v>
      </c>
      <c r="F477" s="247" t="s">
        <v>825</v>
      </c>
      <c r="G477" s="139">
        <v>2394630</v>
      </c>
      <c r="H477" s="139">
        <v>0</v>
      </c>
      <c r="I477" s="139">
        <v>0</v>
      </c>
      <c r="J477" s="139">
        <v>0</v>
      </c>
      <c r="K477" s="139">
        <v>0</v>
      </c>
      <c r="L477" s="139" t="s">
        <v>825</v>
      </c>
      <c r="M477" s="139">
        <v>2394630</v>
      </c>
    </row>
    <row r="478" spans="2:13">
      <c r="B478" s="151" t="str">
        <f>_xlfn.IFNA(VLOOKUP(D478,标准编码!A:B,2,0),"")</f>
        <v/>
      </c>
      <c r="D478" s="247">
        <v>5002020201</v>
      </c>
      <c r="E478" s="247" t="s">
        <v>3637</v>
      </c>
      <c r="F478" s="247" t="s">
        <v>825</v>
      </c>
      <c r="G478" s="139">
        <v>2394630</v>
      </c>
      <c r="H478" s="139">
        <v>0</v>
      </c>
      <c r="I478" s="139">
        <v>0</v>
      </c>
      <c r="J478" s="139">
        <v>0</v>
      </c>
      <c r="K478" s="139">
        <v>0</v>
      </c>
      <c r="L478" s="139" t="s">
        <v>825</v>
      </c>
      <c r="M478" s="139">
        <v>2394630</v>
      </c>
    </row>
    <row r="479" spans="2:13">
      <c r="B479" s="151" t="str">
        <f>_xlfn.IFNA(VLOOKUP(D479,标准编码!A:B,2,0),"")</f>
        <v/>
      </c>
      <c r="D479" s="247">
        <v>50020203</v>
      </c>
      <c r="E479" s="247" t="s">
        <v>3638</v>
      </c>
      <c r="F479" s="247" t="s">
        <v>825</v>
      </c>
      <c r="G479" s="139">
        <v>3705410</v>
      </c>
      <c r="H479" s="139">
        <v>1456.31</v>
      </c>
      <c r="I479" s="139">
        <v>0</v>
      </c>
      <c r="J479" s="139">
        <v>1456.31</v>
      </c>
      <c r="K479" s="139">
        <v>0</v>
      </c>
      <c r="L479" s="139" t="s">
        <v>825</v>
      </c>
      <c r="M479" s="139">
        <v>3706866.31</v>
      </c>
    </row>
    <row r="480" spans="2:13">
      <c r="B480" s="151" t="str">
        <f>_xlfn.IFNA(VLOOKUP(D480,标准编码!A:B,2,0),"")</f>
        <v/>
      </c>
      <c r="D480" s="247">
        <v>5002020301</v>
      </c>
      <c r="E480" s="247" t="s">
        <v>3639</v>
      </c>
      <c r="F480" s="247" t="s">
        <v>825</v>
      </c>
      <c r="G480" s="139">
        <v>98000</v>
      </c>
      <c r="H480" s="139">
        <v>0</v>
      </c>
      <c r="I480" s="139">
        <v>0</v>
      </c>
      <c r="J480" s="139">
        <v>0</v>
      </c>
      <c r="K480" s="139">
        <v>0</v>
      </c>
      <c r="L480" s="139" t="s">
        <v>825</v>
      </c>
      <c r="M480" s="139">
        <v>98000</v>
      </c>
    </row>
    <row r="481" spans="2:13">
      <c r="B481" s="151" t="str">
        <f>_xlfn.IFNA(VLOOKUP(D481,标准编码!A:B,2,0),"")</f>
        <v/>
      </c>
      <c r="D481" s="247">
        <v>5002020302</v>
      </c>
      <c r="E481" s="247" t="s">
        <v>3640</v>
      </c>
      <c r="F481" s="247" t="s">
        <v>825</v>
      </c>
      <c r="G481" s="139">
        <v>43000</v>
      </c>
      <c r="H481" s="139">
        <v>0</v>
      </c>
      <c r="I481" s="139">
        <v>0</v>
      </c>
      <c r="J481" s="139">
        <v>0</v>
      </c>
      <c r="K481" s="139">
        <v>0</v>
      </c>
      <c r="L481" s="139" t="s">
        <v>825</v>
      </c>
      <c r="M481" s="139">
        <v>43000</v>
      </c>
    </row>
    <row r="482" spans="2:13">
      <c r="B482" s="151" t="str">
        <f>_xlfn.IFNA(VLOOKUP(D482,标准编码!A:B,2,0),"")</f>
        <v/>
      </c>
      <c r="D482" s="247">
        <v>5002020303</v>
      </c>
      <c r="E482" s="247" t="s">
        <v>3641</v>
      </c>
      <c r="F482" s="247" t="s">
        <v>825</v>
      </c>
      <c r="G482" s="139">
        <v>120000</v>
      </c>
      <c r="H482" s="139">
        <v>0</v>
      </c>
      <c r="I482" s="139">
        <v>0</v>
      </c>
      <c r="J482" s="139">
        <v>0</v>
      </c>
      <c r="K482" s="139">
        <v>0</v>
      </c>
      <c r="L482" s="139" t="s">
        <v>825</v>
      </c>
      <c r="M482" s="139">
        <v>120000</v>
      </c>
    </row>
    <row r="483" spans="2:13">
      <c r="B483" s="151" t="str">
        <f>_xlfn.IFNA(VLOOKUP(D483,标准编码!A:B,2,0),"")</f>
        <v/>
      </c>
      <c r="D483" s="247">
        <v>5002020304</v>
      </c>
      <c r="E483" s="247" t="s">
        <v>3642</v>
      </c>
      <c r="F483" s="247" t="s">
        <v>825</v>
      </c>
      <c r="G483" s="139">
        <v>115110</v>
      </c>
      <c r="H483" s="139">
        <v>0</v>
      </c>
      <c r="I483" s="139">
        <v>0</v>
      </c>
      <c r="J483" s="139">
        <v>0</v>
      </c>
      <c r="K483" s="139">
        <v>0</v>
      </c>
      <c r="L483" s="139" t="s">
        <v>825</v>
      </c>
      <c r="M483" s="139">
        <v>115110</v>
      </c>
    </row>
    <row r="484" spans="2:13">
      <c r="B484" s="151" t="str">
        <f>_xlfn.IFNA(VLOOKUP(D484,标准编码!A:B,2,0),"")</f>
        <v/>
      </c>
      <c r="D484" s="247">
        <v>5002020305</v>
      </c>
      <c r="E484" s="247" t="s">
        <v>3643</v>
      </c>
      <c r="F484" s="247" t="s">
        <v>825</v>
      </c>
      <c r="G484" s="139">
        <v>59285</v>
      </c>
      <c r="H484" s="139">
        <v>0</v>
      </c>
      <c r="I484" s="139">
        <v>0</v>
      </c>
      <c r="J484" s="139">
        <v>0</v>
      </c>
      <c r="K484" s="139">
        <v>0</v>
      </c>
      <c r="L484" s="139" t="s">
        <v>825</v>
      </c>
      <c r="M484" s="139">
        <v>59285</v>
      </c>
    </row>
    <row r="485" spans="2:13">
      <c r="B485" s="151" t="str">
        <f>_xlfn.IFNA(VLOOKUP(D485,标准编码!A:B,2,0),"")</f>
        <v/>
      </c>
      <c r="D485" s="247">
        <v>5002020306</v>
      </c>
      <c r="E485" s="247" t="s">
        <v>3644</v>
      </c>
      <c r="F485" s="247" t="s">
        <v>825</v>
      </c>
      <c r="G485" s="139">
        <v>129399</v>
      </c>
      <c r="H485" s="139">
        <v>0</v>
      </c>
      <c r="I485" s="139">
        <v>0</v>
      </c>
      <c r="J485" s="139">
        <v>0</v>
      </c>
      <c r="K485" s="139">
        <v>0</v>
      </c>
      <c r="L485" s="139" t="s">
        <v>825</v>
      </c>
      <c r="M485" s="139">
        <v>129399</v>
      </c>
    </row>
    <row r="486" spans="2:13">
      <c r="B486" s="151" t="str">
        <f>_xlfn.IFNA(VLOOKUP(D486,标准编码!A:B,2,0),"")</f>
        <v/>
      </c>
      <c r="D486" s="247">
        <v>5002020307</v>
      </c>
      <c r="E486" s="247" t="s">
        <v>3645</v>
      </c>
      <c r="F486" s="247" t="s">
        <v>825</v>
      </c>
      <c r="G486" s="139">
        <v>92054.2</v>
      </c>
      <c r="H486" s="139">
        <v>0</v>
      </c>
      <c r="I486" s="139">
        <v>0</v>
      </c>
      <c r="J486" s="139">
        <v>0</v>
      </c>
      <c r="K486" s="139">
        <v>0</v>
      </c>
      <c r="L486" s="139" t="s">
        <v>825</v>
      </c>
      <c r="M486" s="139">
        <v>92054.2</v>
      </c>
    </row>
    <row r="487" spans="2:13">
      <c r="B487" s="151" t="str">
        <f>_xlfn.IFNA(VLOOKUP(D487,标准编码!A:B,2,0),"")</f>
        <v/>
      </c>
      <c r="D487" s="247">
        <v>5002020308</v>
      </c>
      <c r="E487" s="247" t="s">
        <v>3646</v>
      </c>
      <c r="F487" s="247" t="s">
        <v>825</v>
      </c>
      <c r="G487" s="139">
        <v>78044</v>
      </c>
      <c r="H487" s="139">
        <v>0</v>
      </c>
      <c r="I487" s="139">
        <v>0</v>
      </c>
      <c r="J487" s="139">
        <v>0</v>
      </c>
      <c r="K487" s="139">
        <v>0</v>
      </c>
      <c r="L487" s="139" t="s">
        <v>825</v>
      </c>
      <c r="M487" s="139">
        <v>78044</v>
      </c>
    </row>
    <row r="488" spans="2:13">
      <c r="B488" s="151" t="str">
        <f>_xlfn.IFNA(VLOOKUP(D488,标准编码!A:B,2,0),"")</f>
        <v/>
      </c>
      <c r="D488" s="247">
        <v>5002020309</v>
      </c>
      <c r="E488" s="247" t="s">
        <v>3647</v>
      </c>
      <c r="F488" s="247" t="s">
        <v>825</v>
      </c>
      <c r="G488" s="139">
        <v>2025162.8</v>
      </c>
      <c r="H488" s="139">
        <v>1456.31</v>
      </c>
      <c r="I488" s="139">
        <v>0</v>
      </c>
      <c r="J488" s="139">
        <v>1456.31</v>
      </c>
      <c r="K488" s="139">
        <v>0</v>
      </c>
      <c r="L488" s="139" t="s">
        <v>825</v>
      </c>
      <c r="M488" s="139">
        <v>2026619.11</v>
      </c>
    </row>
    <row r="489" spans="2:13">
      <c r="B489" s="151" t="str">
        <f>_xlfn.IFNA(VLOOKUP(D489,标准编码!A:B,2,0),"")</f>
        <v/>
      </c>
      <c r="D489" s="247">
        <v>5002020310</v>
      </c>
      <c r="E489" s="247" t="s">
        <v>3648</v>
      </c>
      <c r="F489" s="247" t="s">
        <v>825</v>
      </c>
      <c r="G489" s="139">
        <v>428221</v>
      </c>
      <c r="H489" s="139">
        <v>0</v>
      </c>
      <c r="I489" s="139">
        <v>0</v>
      </c>
      <c r="J489" s="139">
        <v>0</v>
      </c>
      <c r="K489" s="139">
        <v>0</v>
      </c>
      <c r="L489" s="139" t="s">
        <v>825</v>
      </c>
      <c r="M489" s="139">
        <v>428221</v>
      </c>
    </row>
    <row r="490" spans="2:13">
      <c r="B490" s="151" t="str">
        <f>_xlfn.IFNA(VLOOKUP(D490,标准编码!A:B,2,0),"")</f>
        <v/>
      </c>
      <c r="D490" s="247">
        <v>5002020311</v>
      </c>
      <c r="E490" s="247" t="s">
        <v>3649</v>
      </c>
      <c r="F490" s="247" t="s">
        <v>825</v>
      </c>
      <c r="G490" s="139">
        <v>517134</v>
      </c>
      <c r="H490" s="139">
        <v>0</v>
      </c>
      <c r="I490" s="139">
        <v>0</v>
      </c>
      <c r="J490" s="139">
        <v>0</v>
      </c>
      <c r="K490" s="139">
        <v>0</v>
      </c>
      <c r="L490" s="139" t="s">
        <v>825</v>
      </c>
      <c r="M490" s="139">
        <v>517134</v>
      </c>
    </row>
    <row r="491" spans="2:13">
      <c r="B491" s="151" t="str">
        <f>_xlfn.IFNA(VLOOKUP(D491,标准编码!A:B,2,0),"")</f>
        <v/>
      </c>
      <c r="D491" s="247">
        <v>50020206</v>
      </c>
      <c r="E491" s="247" t="s">
        <v>3650</v>
      </c>
      <c r="F491" s="247" t="s">
        <v>825</v>
      </c>
      <c r="G491" s="139">
        <v>341714</v>
      </c>
      <c r="H491" s="139">
        <v>0</v>
      </c>
      <c r="I491" s="139">
        <v>0</v>
      </c>
      <c r="J491" s="139">
        <v>0</v>
      </c>
      <c r="K491" s="139">
        <v>0</v>
      </c>
      <c r="L491" s="139" t="s">
        <v>825</v>
      </c>
      <c r="M491" s="139">
        <v>341714</v>
      </c>
    </row>
    <row r="492" spans="2:13">
      <c r="B492" s="151" t="str">
        <f>_xlfn.IFNA(VLOOKUP(D492,标准编码!A:B,2,0),"")</f>
        <v/>
      </c>
      <c r="D492" s="247">
        <v>5002020601</v>
      </c>
      <c r="E492" s="247" t="s">
        <v>3651</v>
      </c>
      <c r="F492" s="247" t="s">
        <v>825</v>
      </c>
      <c r="G492" s="139">
        <v>140014</v>
      </c>
      <c r="H492" s="139">
        <v>0</v>
      </c>
      <c r="I492" s="139">
        <v>0</v>
      </c>
      <c r="J492" s="139">
        <v>0</v>
      </c>
      <c r="K492" s="139">
        <v>0</v>
      </c>
      <c r="L492" s="139" t="s">
        <v>825</v>
      </c>
      <c r="M492" s="139">
        <v>140014</v>
      </c>
    </row>
    <row r="493" spans="2:13">
      <c r="B493" s="151" t="str">
        <f>_xlfn.IFNA(VLOOKUP(D493,标准编码!A:B,2,0),"")</f>
        <v/>
      </c>
      <c r="D493" s="247">
        <v>5002020602</v>
      </c>
      <c r="E493" s="247" t="s">
        <v>3652</v>
      </c>
      <c r="F493" s="247" t="s">
        <v>825</v>
      </c>
      <c r="G493" s="139">
        <v>201700</v>
      </c>
      <c r="H493" s="139">
        <v>0</v>
      </c>
      <c r="I493" s="139">
        <v>0</v>
      </c>
      <c r="J493" s="139">
        <v>0</v>
      </c>
      <c r="K493" s="139">
        <v>0</v>
      </c>
      <c r="L493" s="139" t="s">
        <v>825</v>
      </c>
      <c r="M493" s="139">
        <v>201700</v>
      </c>
    </row>
    <row r="494" spans="2:13">
      <c r="B494" s="151" t="str">
        <f>_xlfn.IFNA(VLOOKUP(D494,标准编码!A:B,2,0),"")</f>
        <v/>
      </c>
      <c r="D494" s="247">
        <v>50020207</v>
      </c>
      <c r="E494" s="247" t="s">
        <v>3653</v>
      </c>
      <c r="F494" s="247" t="s">
        <v>825</v>
      </c>
      <c r="G494" s="139">
        <v>5000</v>
      </c>
      <c r="H494" s="139">
        <v>0</v>
      </c>
      <c r="I494" s="139">
        <v>0</v>
      </c>
      <c r="J494" s="139">
        <v>0</v>
      </c>
      <c r="K494" s="139">
        <v>0</v>
      </c>
      <c r="L494" s="139" t="s">
        <v>825</v>
      </c>
      <c r="M494" s="139">
        <v>5000</v>
      </c>
    </row>
    <row r="495" spans="2:13">
      <c r="B495" s="151" t="str">
        <f>_xlfn.IFNA(VLOOKUP(D495,标准编码!A:B,2,0),"")</f>
        <v/>
      </c>
      <c r="D495" s="247">
        <v>5002020701</v>
      </c>
      <c r="E495" s="247" t="s">
        <v>3654</v>
      </c>
      <c r="F495" s="247" t="s">
        <v>825</v>
      </c>
      <c r="G495" s="139">
        <v>5000</v>
      </c>
      <c r="H495" s="139">
        <v>0</v>
      </c>
      <c r="I495" s="139">
        <v>0</v>
      </c>
      <c r="J495" s="139">
        <v>0</v>
      </c>
      <c r="K495" s="139">
        <v>0</v>
      </c>
      <c r="L495" s="139" t="s">
        <v>825</v>
      </c>
      <c r="M495" s="139">
        <v>5000</v>
      </c>
    </row>
    <row r="496" spans="2:13">
      <c r="B496" s="151" t="str">
        <f>_xlfn.IFNA(VLOOKUP(D496,标准编码!A:B,2,0),"")</f>
        <v/>
      </c>
      <c r="D496" s="247">
        <v>50020208</v>
      </c>
      <c r="E496" s="247" t="s">
        <v>3655</v>
      </c>
      <c r="F496" s="247" t="s">
        <v>3169</v>
      </c>
      <c r="G496" s="139">
        <v>0</v>
      </c>
      <c r="H496" s="139">
        <v>337822.81</v>
      </c>
      <c r="I496" s="139">
        <v>0</v>
      </c>
      <c r="J496" s="139">
        <v>337822.81</v>
      </c>
      <c r="K496" s="139">
        <v>0</v>
      </c>
      <c r="L496" s="139" t="s">
        <v>825</v>
      </c>
      <c r="M496" s="139">
        <v>337822.81</v>
      </c>
    </row>
    <row r="497" spans="2:13">
      <c r="B497" s="151" t="str">
        <f>_xlfn.IFNA(VLOOKUP(D497,标准编码!A:B,2,0),"")</f>
        <v/>
      </c>
      <c r="D497" s="247">
        <v>50020299</v>
      </c>
      <c r="E497" s="247" t="s">
        <v>3656</v>
      </c>
      <c r="F497" s="247" t="s">
        <v>825</v>
      </c>
      <c r="G497" s="139">
        <v>3854661.7</v>
      </c>
      <c r="H497" s="139">
        <v>101664</v>
      </c>
      <c r="I497" s="139">
        <v>0</v>
      </c>
      <c r="J497" s="139">
        <v>101664</v>
      </c>
      <c r="K497" s="139">
        <v>0</v>
      </c>
      <c r="L497" s="139" t="s">
        <v>825</v>
      </c>
      <c r="M497" s="139">
        <v>3956325.7</v>
      </c>
    </row>
    <row r="498" spans="2:13">
      <c r="B498" s="151" t="str">
        <f>_xlfn.IFNA(VLOOKUP(D498,标准编码!A:B,2,0),"")</f>
        <v/>
      </c>
      <c r="D498" s="247">
        <v>5002029901</v>
      </c>
      <c r="E498" s="247" t="s">
        <v>3657</v>
      </c>
      <c r="F498" s="247" t="s">
        <v>825</v>
      </c>
      <c r="G498" s="139">
        <v>2439675</v>
      </c>
      <c r="H498" s="139">
        <v>0</v>
      </c>
      <c r="I498" s="139">
        <v>0</v>
      </c>
      <c r="J498" s="139">
        <v>0</v>
      </c>
      <c r="K498" s="139">
        <v>0</v>
      </c>
      <c r="L498" s="139" t="s">
        <v>825</v>
      </c>
      <c r="M498" s="139">
        <v>2439675</v>
      </c>
    </row>
    <row r="499" spans="2:13">
      <c r="B499" s="151" t="str">
        <f>_xlfn.IFNA(VLOOKUP(D499,标准编码!A:B,2,0),"")</f>
        <v/>
      </c>
      <c r="D499" s="247">
        <v>5002029902</v>
      </c>
      <c r="E499" s="247" t="s">
        <v>3658</v>
      </c>
      <c r="F499" s="247" t="s">
        <v>825</v>
      </c>
      <c r="G499" s="139">
        <v>533847</v>
      </c>
      <c r="H499" s="139">
        <v>86064</v>
      </c>
      <c r="I499" s="139">
        <v>0</v>
      </c>
      <c r="J499" s="139">
        <v>86064</v>
      </c>
      <c r="K499" s="139">
        <v>0</v>
      </c>
      <c r="L499" s="139" t="s">
        <v>825</v>
      </c>
      <c r="M499" s="139">
        <v>619911</v>
      </c>
    </row>
    <row r="500" spans="2:13">
      <c r="B500" s="151" t="str">
        <f>_xlfn.IFNA(VLOOKUP(D500,标准编码!A:B,2,0),"")</f>
        <v/>
      </c>
      <c r="D500" s="247">
        <v>5002029903</v>
      </c>
      <c r="E500" s="247" t="s">
        <v>3659</v>
      </c>
      <c r="F500" s="247" t="s">
        <v>825</v>
      </c>
      <c r="G500" s="139">
        <v>89884</v>
      </c>
      <c r="H500" s="139">
        <v>0</v>
      </c>
      <c r="I500" s="139">
        <v>0</v>
      </c>
      <c r="J500" s="139">
        <v>0</v>
      </c>
      <c r="K500" s="139">
        <v>0</v>
      </c>
      <c r="L500" s="139" t="s">
        <v>825</v>
      </c>
      <c r="M500" s="139">
        <v>89884</v>
      </c>
    </row>
    <row r="501" spans="2:13">
      <c r="B501" s="151" t="str">
        <f>_xlfn.IFNA(VLOOKUP(D501,标准编码!A:B,2,0),"")</f>
        <v/>
      </c>
      <c r="D501" s="247">
        <v>5002029904</v>
      </c>
      <c r="E501" s="247" t="s">
        <v>3660</v>
      </c>
      <c r="F501" s="247" t="s">
        <v>825</v>
      </c>
      <c r="G501" s="139">
        <v>269993.8</v>
      </c>
      <c r="H501" s="139">
        <v>0</v>
      </c>
      <c r="I501" s="139">
        <v>0</v>
      </c>
      <c r="J501" s="139">
        <v>0</v>
      </c>
      <c r="K501" s="139">
        <v>0</v>
      </c>
      <c r="L501" s="139" t="s">
        <v>825</v>
      </c>
      <c r="M501" s="139">
        <v>269993.8</v>
      </c>
    </row>
    <row r="502" spans="2:13">
      <c r="B502" s="151" t="str">
        <f>_xlfn.IFNA(VLOOKUP(D502,标准编码!A:B,2,0),"")</f>
        <v/>
      </c>
      <c r="D502" s="247">
        <v>5002029905</v>
      </c>
      <c r="E502" s="247" t="s">
        <v>3661</v>
      </c>
      <c r="F502" s="247" t="s">
        <v>825</v>
      </c>
      <c r="G502" s="139">
        <v>521261.9</v>
      </c>
      <c r="H502" s="139">
        <v>15600</v>
      </c>
      <c r="I502" s="139">
        <v>0</v>
      </c>
      <c r="J502" s="139">
        <v>15600</v>
      </c>
      <c r="K502" s="139">
        <v>0</v>
      </c>
      <c r="L502" s="139" t="s">
        <v>825</v>
      </c>
      <c r="M502" s="139">
        <v>536861.9</v>
      </c>
    </row>
    <row r="503" spans="2:13">
      <c r="B503" s="151" t="str">
        <f>_xlfn.IFNA(VLOOKUP(D503,标准编码!A:B,2,0),"")</f>
        <v/>
      </c>
      <c r="D503" s="247">
        <v>500203</v>
      </c>
      <c r="E503" s="247" t="s">
        <v>3662</v>
      </c>
      <c r="F503" s="247" t="s">
        <v>825</v>
      </c>
      <c r="G503" s="139">
        <v>5015542.7</v>
      </c>
      <c r="H503" s="139">
        <v>435365</v>
      </c>
      <c r="I503" s="139">
        <v>0</v>
      </c>
      <c r="J503" s="139">
        <v>435365</v>
      </c>
      <c r="K503" s="139">
        <v>0</v>
      </c>
      <c r="L503" s="139" t="s">
        <v>825</v>
      </c>
      <c r="M503" s="139">
        <v>5450907.7000000002</v>
      </c>
    </row>
    <row r="504" spans="2:13">
      <c r="B504" s="151" t="str">
        <f>_xlfn.IFNA(VLOOKUP(D504,标准编码!A:B,2,0),"")</f>
        <v/>
      </c>
      <c r="D504" s="247">
        <v>50020306</v>
      </c>
      <c r="E504" s="247" t="s">
        <v>3663</v>
      </c>
      <c r="F504" s="247" t="s">
        <v>3169</v>
      </c>
      <c r="G504" s="139">
        <v>0</v>
      </c>
      <c r="H504" s="139">
        <v>435365</v>
      </c>
      <c r="I504" s="139">
        <v>0</v>
      </c>
      <c r="J504" s="139">
        <v>435365</v>
      </c>
      <c r="K504" s="139">
        <v>0</v>
      </c>
      <c r="L504" s="139" t="s">
        <v>825</v>
      </c>
      <c r="M504" s="139">
        <v>435365</v>
      </c>
    </row>
    <row r="505" spans="2:13">
      <c r="B505" s="151" t="str">
        <f>_xlfn.IFNA(VLOOKUP(D505,标准编码!A:B,2,0),"")</f>
        <v/>
      </c>
      <c r="D505" s="247">
        <v>50020399</v>
      </c>
      <c r="E505" s="247" t="s">
        <v>3664</v>
      </c>
      <c r="F505" s="247" t="s">
        <v>825</v>
      </c>
      <c r="G505" s="139">
        <v>5015542.7</v>
      </c>
      <c r="H505" s="139">
        <v>0</v>
      </c>
      <c r="I505" s="139">
        <v>0</v>
      </c>
      <c r="J505" s="139">
        <v>0</v>
      </c>
      <c r="K505" s="139">
        <v>0</v>
      </c>
      <c r="L505" s="139" t="s">
        <v>825</v>
      </c>
      <c r="M505" s="139">
        <v>5015542.7</v>
      </c>
    </row>
    <row r="506" spans="2:13">
      <c r="B506" s="151" t="str">
        <f>_xlfn.IFNA(VLOOKUP(D506,标准编码!A:B,2,0),"")</f>
        <v/>
      </c>
      <c r="D506" s="247">
        <v>5002039901</v>
      </c>
      <c r="E506" s="247" t="s">
        <v>3665</v>
      </c>
      <c r="F506" s="247" t="s">
        <v>825</v>
      </c>
      <c r="G506" s="139">
        <v>5015542.7</v>
      </c>
      <c r="H506" s="139">
        <v>0</v>
      </c>
      <c r="I506" s="139">
        <v>0</v>
      </c>
      <c r="J506" s="139">
        <v>0</v>
      </c>
      <c r="K506" s="139">
        <v>0</v>
      </c>
      <c r="L506" s="139" t="s">
        <v>825</v>
      </c>
      <c r="M506" s="139">
        <v>5015542.7</v>
      </c>
    </row>
    <row r="507" spans="2:13">
      <c r="B507" s="151" t="str">
        <f>_xlfn.IFNA(VLOOKUP(D507,标准编码!A:B,2,0),"")</f>
        <v/>
      </c>
      <c r="D507" s="247">
        <v>500204</v>
      </c>
      <c r="E507" s="247" t="s">
        <v>3666</v>
      </c>
      <c r="F507" s="247" t="s">
        <v>825</v>
      </c>
      <c r="G507" s="139">
        <v>226673933.96000001</v>
      </c>
      <c r="H507" s="139">
        <v>11999595.199999999</v>
      </c>
      <c r="I507" s="139">
        <v>0</v>
      </c>
      <c r="J507" s="139">
        <v>11999595.199999999</v>
      </c>
      <c r="K507" s="139">
        <v>0</v>
      </c>
      <c r="L507" s="139" t="s">
        <v>825</v>
      </c>
      <c r="M507" s="139">
        <v>238673529.16</v>
      </c>
    </row>
    <row r="508" spans="2:13">
      <c r="B508" s="151" t="str">
        <f>_xlfn.IFNA(VLOOKUP(D508,标准编码!A:B,2,0),"")</f>
        <v/>
      </c>
      <c r="D508" s="247">
        <v>50020401</v>
      </c>
      <c r="E508" s="247" t="s">
        <v>3667</v>
      </c>
      <c r="F508" s="247" t="s">
        <v>825</v>
      </c>
      <c r="G508" s="139">
        <v>3659750</v>
      </c>
      <c r="H508" s="139">
        <v>168815</v>
      </c>
      <c r="I508" s="139">
        <v>0</v>
      </c>
      <c r="J508" s="139">
        <v>168815</v>
      </c>
      <c r="K508" s="139">
        <v>0</v>
      </c>
      <c r="L508" s="139" t="s">
        <v>825</v>
      </c>
      <c r="M508" s="139">
        <v>3828565</v>
      </c>
    </row>
    <row r="509" spans="2:13">
      <c r="B509" s="151" t="str">
        <f>_xlfn.IFNA(VLOOKUP(D509,标准编码!A:B,2,0),"")</f>
        <v/>
      </c>
      <c r="D509" s="247">
        <v>50020499</v>
      </c>
      <c r="E509" s="247" t="s">
        <v>3668</v>
      </c>
      <c r="F509" s="247" t="s">
        <v>825</v>
      </c>
      <c r="G509" s="139">
        <v>223014183.96000001</v>
      </c>
      <c r="H509" s="139">
        <v>11830780.199999999</v>
      </c>
      <c r="I509" s="139">
        <v>0</v>
      </c>
      <c r="J509" s="139">
        <v>11830780.199999999</v>
      </c>
      <c r="K509" s="139">
        <v>0</v>
      </c>
      <c r="L509" s="139" t="s">
        <v>825</v>
      </c>
      <c r="M509" s="139">
        <v>234844964.16</v>
      </c>
    </row>
    <row r="510" spans="2:13">
      <c r="B510" s="151" t="str">
        <f>_xlfn.IFNA(VLOOKUP(D510,标准编码!A:B,2,0),"")</f>
        <v/>
      </c>
      <c r="D510" s="247">
        <v>5002049901</v>
      </c>
      <c r="E510" s="247" t="s">
        <v>3669</v>
      </c>
      <c r="F510" s="247" t="s">
        <v>825</v>
      </c>
      <c r="G510" s="139">
        <v>222309009.03</v>
      </c>
      <c r="H510" s="139">
        <v>11830780.199999999</v>
      </c>
      <c r="I510" s="139">
        <v>0</v>
      </c>
      <c r="J510" s="139">
        <v>11830780.199999999</v>
      </c>
      <c r="K510" s="139">
        <v>0</v>
      </c>
      <c r="L510" s="139" t="s">
        <v>825</v>
      </c>
      <c r="M510" s="139">
        <v>234139789.22999999</v>
      </c>
    </row>
    <row r="511" spans="2:13">
      <c r="B511" s="151" t="str">
        <f>_xlfn.IFNA(VLOOKUP(D511,标准编码!A:B,2,0),"")</f>
        <v/>
      </c>
      <c r="D511" s="247">
        <v>5002049902</v>
      </c>
      <c r="E511" s="247" t="s">
        <v>3670</v>
      </c>
      <c r="F511" s="247" t="s">
        <v>825</v>
      </c>
      <c r="G511" s="139">
        <v>705174.93</v>
      </c>
      <c r="H511" s="139">
        <v>0</v>
      </c>
      <c r="I511" s="139">
        <v>0</v>
      </c>
      <c r="J511" s="139">
        <v>0</v>
      </c>
      <c r="K511" s="139">
        <v>0</v>
      </c>
      <c r="L511" s="139" t="s">
        <v>825</v>
      </c>
      <c r="M511" s="139">
        <v>705174.93</v>
      </c>
    </row>
    <row r="512" spans="2:13">
      <c r="B512" s="151" t="str">
        <f>_xlfn.IFNA(VLOOKUP(D512,标准编码!A:B,2,0),"")</f>
        <v/>
      </c>
      <c r="D512" s="247">
        <v>500205</v>
      </c>
      <c r="E512" s="247" t="s">
        <v>3671</v>
      </c>
      <c r="F512" s="247" t="s">
        <v>3169</v>
      </c>
      <c r="G512" s="139">
        <v>0</v>
      </c>
      <c r="H512" s="139">
        <v>0</v>
      </c>
      <c r="I512" s="139">
        <v>0</v>
      </c>
      <c r="J512" s="139">
        <v>0</v>
      </c>
      <c r="K512" s="139">
        <v>0</v>
      </c>
      <c r="L512" s="139" t="s">
        <v>3169</v>
      </c>
      <c r="M512" s="139">
        <v>0</v>
      </c>
    </row>
    <row r="513" spans="2:13">
      <c r="B513" s="151" t="str">
        <f>_xlfn.IFNA(VLOOKUP(D513,标准编码!A:B,2,0),"")</f>
        <v/>
      </c>
      <c r="D513" s="247">
        <v>50020599</v>
      </c>
      <c r="E513" s="247" t="s">
        <v>3672</v>
      </c>
      <c r="F513" s="247" t="s">
        <v>3169</v>
      </c>
      <c r="G513" s="139">
        <v>0</v>
      </c>
      <c r="H513" s="139">
        <v>0</v>
      </c>
      <c r="I513" s="139">
        <v>0</v>
      </c>
      <c r="J513" s="139">
        <v>0</v>
      </c>
      <c r="K513" s="139">
        <v>0</v>
      </c>
      <c r="L513" s="139" t="s">
        <v>3169</v>
      </c>
      <c r="M513" s="139">
        <v>0</v>
      </c>
    </row>
    <row r="514" spans="2:13">
      <c r="B514" s="151" t="str">
        <f>_xlfn.IFNA(VLOOKUP(D514,标准编码!A:B,2,0),"")</f>
        <v/>
      </c>
      <c r="D514" s="247">
        <v>500206</v>
      </c>
      <c r="E514" s="247" t="s">
        <v>3673</v>
      </c>
      <c r="F514" s="247" t="s">
        <v>3169</v>
      </c>
      <c r="G514" s="139">
        <v>0</v>
      </c>
      <c r="H514" s="139">
        <v>0</v>
      </c>
      <c r="I514" s="139">
        <v>0</v>
      </c>
      <c r="J514" s="139">
        <v>0</v>
      </c>
      <c r="K514" s="139">
        <v>0</v>
      </c>
      <c r="L514" s="139" t="s">
        <v>3169</v>
      </c>
      <c r="M514" s="139">
        <v>0</v>
      </c>
    </row>
    <row r="515" spans="2:13">
      <c r="B515" s="151" t="str">
        <f>_xlfn.IFNA(VLOOKUP(D515,标准编码!A:B,2,0),"")</f>
        <v/>
      </c>
      <c r="D515" s="247">
        <v>500207</v>
      </c>
      <c r="E515" s="247" t="s">
        <v>3674</v>
      </c>
      <c r="F515" s="247" t="s">
        <v>825</v>
      </c>
      <c r="G515" s="139">
        <v>796539.15</v>
      </c>
      <c r="H515" s="139">
        <v>31360.83</v>
      </c>
      <c r="I515" s="139">
        <v>0</v>
      </c>
      <c r="J515" s="139">
        <v>31360.83</v>
      </c>
      <c r="K515" s="139">
        <v>0</v>
      </c>
      <c r="L515" s="139" t="s">
        <v>825</v>
      </c>
      <c r="M515" s="139">
        <v>827899.98</v>
      </c>
    </row>
    <row r="516" spans="2:13">
      <c r="B516" s="151" t="str">
        <f>_xlfn.IFNA(VLOOKUP(D516,标准编码!A:B,2,0),"")</f>
        <v/>
      </c>
      <c r="D516" s="247">
        <v>50020701</v>
      </c>
      <c r="E516" s="247" t="s">
        <v>3675</v>
      </c>
      <c r="F516" s="247" t="s">
        <v>825</v>
      </c>
      <c r="G516" s="139">
        <v>575815.15</v>
      </c>
      <c r="H516" s="139">
        <v>31052.83</v>
      </c>
      <c r="I516" s="139">
        <v>0</v>
      </c>
      <c r="J516" s="139">
        <v>31052.83</v>
      </c>
      <c r="K516" s="139">
        <v>0</v>
      </c>
      <c r="L516" s="139" t="s">
        <v>825</v>
      </c>
      <c r="M516" s="139">
        <v>606867.98</v>
      </c>
    </row>
    <row r="517" spans="2:13">
      <c r="B517" s="151" t="str">
        <f>_xlfn.IFNA(VLOOKUP(D517,标准编码!A:B,2,0),"")</f>
        <v/>
      </c>
      <c r="D517" s="247">
        <v>50020702</v>
      </c>
      <c r="E517" s="247" t="s">
        <v>3676</v>
      </c>
      <c r="F517" s="247" t="s">
        <v>825</v>
      </c>
      <c r="G517" s="139">
        <v>200000</v>
      </c>
      <c r="H517" s="139">
        <v>0</v>
      </c>
      <c r="I517" s="139">
        <v>0</v>
      </c>
      <c r="J517" s="139">
        <v>0</v>
      </c>
      <c r="K517" s="139">
        <v>0</v>
      </c>
      <c r="L517" s="139" t="s">
        <v>825</v>
      </c>
      <c r="M517" s="139">
        <v>200000</v>
      </c>
    </row>
    <row r="518" spans="2:13">
      <c r="B518" s="151" t="str">
        <f>_xlfn.IFNA(VLOOKUP(D518,标准编码!A:B,2,0),"")</f>
        <v/>
      </c>
      <c r="D518" s="247">
        <v>50020703</v>
      </c>
      <c r="E518" s="247" t="s">
        <v>3677</v>
      </c>
      <c r="F518" s="247" t="s">
        <v>825</v>
      </c>
      <c r="G518" s="139">
        <v>3874</v>
      </c>
      <c r="H518" s="139">
        <v>308</v>
      </c>
      <c r="I518" s="139">
        <v>0</v>
      </c>
      <c r="J518" s="139">
        <v>308</v>
      </c>
      <c r="K518" s="139">
        <v>0</v>
      </c>
      <c r="L518" s="139" t="s">
        <v>825</v>
      </c>
      <c r="M518" s="139">
        <v>4182</v>
      </c>
    </row>
    <row r="519" spans="2:13">
      <c r="B519" s="151" t="str">
        <f>_xlfn.IFNA(VLOOKUP(D519,标准编码!A:B,2,0),"")</f>
        <v/>
      </c>
      <c r="D519" s="247">
        <v>50020704</v>
      </c>
      <c r="E519" s="247" t="s">
        <v>3678</v>
      </c>
      <c r="F519" s="247" t="s">
        <v>825</v>
      </c>
      <c r="G519" s="139">
        <v>16850</v>
      </c>
      <c r="H519" s="139">
        <v>0</v>
      </c>
      <c r="I519" s="139">
        <v>0</v>
      </c>
      <c r="J519" s="139">
        <v>0</v>
      </c>
      <c r="K519" s="139">
        <v>0</v>
      </c>
      <c r="L519" s="139" t="s">
        <v>825</v>
      </c>
      <c r="M519" s="139">
        <v>16850</v>
      </c>
    </row>
    <row r="520" spans="2:13">
      <c r="B520" s="151" t="str">
        <f>_xlfn.IFNA(VLOOKUP(D520,标准编码!A:B,2,0),"")</f>
        <v/>
      </c>
      <c r="D520" s="247">
        <v>500299</v>
      </c>
      <c r="E520" s="247" t="s">
        <v>3679</v>
      </c>
      <c r="F520" s="247" t="s">
        <v>826</v>
      </c>
      <c r="G520" s="139">
        <v>275955933.69999999</v>
      </c>
      <c r="H520" s="139">
        <v>0</v>
      </c>
      <c r="I520" s="139">
        <v>50</v>
      </c>
      <c r="J520" s="139">
        <v>0</v>
      </c>
      <c r="K520" s="139">
        <v>50</v>
      </c>
      <c r="L520" s="139" t="s">
        <v>826</v>
      </c>
      <c r="M520" s="139">
        <v>275955983.69999999</v>
      </c>
    </row>
    <row r="521" spans="2:13">
      <c r="B521" s="151" t="str">
        <f>_xlfn.IFNA(VLOOKUP(D521,标准编码!A:B,2,0),"")</f>
        <v/>
      </c>
      <c r="D521" s="247">
        <v>50029902</v>
      </c>
      <c r="E521" s="247" t="s">
        <v>3680</v>
      </c>
      <c r="F521" s="247" t="s">
        <v>826</v>
      </c>
      <c r="G521" s="139">
        <v>275955933.69999999</v>
      </c>
      <c r="H521" s="139">
        <v>0</v>
      </c>
      <c r="I521" s="139">
        <v>50</v>
      </c>
      <c r="J521" s="139">
        <v>0</v>
      </c>
      <c r="K521" s="139">
        <v>50</v>
      </c>
      <c r="L521" s="139" t="s">
        <v>826</v>
      </c>
      <c r="M521" s="139">
        <v>275955983.69999999</v>
      </c>
    </row>
    <row r="522" spans="2:13">
      <c r="B522" s="151" t="str">
        <f>_xlfn.IFNA(VLOOKUP(D522,标准编码!A:B,2,0),"")</f>
        <v>开发间接费</v>
      </c>
      <c r="D522" s="247">
        <v>5102</v>
      </c>
      <c r="E522" s="247" t="s">
        <v>3681</v>
      </c>
      <c r="F522" s="247" t="s">
        <v>3169</v>
      </c>
      <c r="G522" s="139">
        <v>0</v>
      </c>
      <c r="H522" s="139">
        <v>13333280.07</v>
      </c>
      <c r="I522" s="139">
        <v>13333280.07</v>
      </c>
      <c r="J522" s="139">
        <v>13333280.07</v>
      </c>
      <c r="K522" s="139">
        <v>13333280.07</v>
      </c>
      <c r="L522" s="139" t="s">
        <v>3169</v>
      </c>
      <c r="M522" s="139">
        <v>0</v>
      </c>
    </row>
    <row r="523" spans="2:13">
      <c r="B523" s="151" t="str">
        <f>_xlfn.IFNA(VLOOKUP(D523,标准编码!A:B,2,0),"")</f>
        <v/>
      </c>
      <c r="D523" s="247">
        <v>510201</v>
      </c>
      <c r="E523" s="247" t="s">
        <v>3682</v>
      </c>
      <c r="F523" s="247" t="s">
        <v>3169</v>
      </c>
      <c r="G523" s="139">
        <v>0</v>
      </c>
      <c r="H523" s="139">
        <v>11730827.289999999</v>
      </c>
      <c r="I523" s="139">
        <v>11730827.289999999</v>
      </c>
      <c r="J523" s="139">
        <v>11730827.289999999</v>
      </c>
      <c r="K523" s="139">
        <v>11730827.289999999</v>
      </c>
      <c r="L523" s="139" t="s">
        <v>3169</v>
      </c>
      <c r="M523" s="139">
        <v>0</v>
      </c>
    </row>
    <row r="524" spans="2:13">
      <c r="B524" s="151" t="str">
        <f>_xlfn.IFNA(VLOOKUP(D524,标准编码!A:B,2,0),"")</f>
        <v/>
      </c>
      <c r="D524" s="247">
        <v>51020101</v>
      </c>
      <c r="E524" s="247" t="s">
        <v>3683</v>
      </c>
      <c r="F524" s="247" t="s">
        <v>3169</v>
      </c>
      <c r="G524" s="139">
        <v>0</v>
      </c>
      <c r="H524" s="139">
        <v>8025662</v>
      </c>
      <c r="I524" s="139">
        <v>8025662</v>
      </c>
      <c r="J524" s="139">
        <v>8025662</v>
      </c>
      <c r="K524" s="139">
        <v>8025662</v>
      </c>
      <c r="L524" s="139" t="s">
        <v>3169</v>
      </c>
      <c r="M524" s="139">
        <v>0</v>
      </c>
    </row>
    <row r="525" spans="2:13">
      <c r="B525" s="151" t="str">
        <f>_xlfn.IFNA(VLOOKUP(D525,标准编码!A:B,2,0),"")</f>
        <v/>
      </c>
      <c r="D525" s="247">
        <v>51020102</v>
      </c>
      <c r="E525" s="247" t="s">
        <v>3684</v>
      </c>
      <c r="F525" s="247" t="s">
        <v>3169</v>
      </c>
      <c r="G525" s="139">
        <v>0</v>
      </c>
      <c r="H525" s="139">
        <v>521537.87</v>
      </c>
      <c r="I525" s="139">
        <v>521537.87</v>
      </c>
      <c r="J525" s="139">
        <v>521537.87</v>
      </c>
      <c r="K525" s="139">
        <v>521537.87</v>
      </c>
      <c r="L525" s="139" t="s">
        <v>3169</v>
      </c>
      <c r="M525" s="139">
        <v>0</v>
      </c>
    </row>
    <row r="526" spans="2:13">
      <c r="B526" s="151" t="str">
        <f>_xlfn.IFNA(VLOOKUP(D526,标准编码!A:B,2,0),"")</f>
        <v/>
      </c>
      <c r="D526" s="247">
        <v>51020103</v>
      </c>
      <c r="E526" s="247" t="s">
        <v>3685</v>
      </c>
      <c r="F526" s="247" t="s">
        <v>3169</v>
      </c>
      <c r="G526" s="139">
        <v>0</v>
      </c>
      <c r="H526" s="139">
        <v>1746734.52</v>
      </c>
      <c r="I526" s="139">
        <v>1746734.52</v>
      </c>
      <c r="J526" s="139">
        <v>1746734.52</v>
      </c>
      <c r="K526" s="139">
        <v>1746734.52</v>
      </c>
      <c r="L526" s="139" t="s">
        <v>3169</v>
      </c>
      <c r="M526" s="139">
        <v>0</v>
      </c>
    </row>
    <row r="527" spans="2:13">
      <c r="B527" s="151" t="str">
        <f>_xlfn.IFNA(VLOOKUP(D527,标准编码!A:B,2,0),"")</f>
        <v/>
      </c>
      <c r="D527" s="247">
        <v>5102010301</v>
      </c>
      <c r="E527" s="247" t="s">
        <v>3686</v>
      </c>
      <c r="F527" s="247" t="s">
        <v>3169</v>
      </c>
      <c r="G527" s="139">
        <v>0</v>
      </c>
      <c r="H527" s="139">
        <v>11208.44</v>
      </c>
      <c r="I527" s="139">
        <v>11208.44</v>
      </c>
      <c r="J527" s="139">
        <v>11208.44</v>
      </c>
      <c r="K527" s="139">
        <v>11208.44</v>
      </c>
      <c r="L527" s="139" t="s">
        <v>3169</v>
      </c>
      <c r="M527" s="139">
        <v>0</v>
      </c>
    </row>
    <row r="528" spans="2:13">
      <c r="B528" s="151" t="str">
        <f>_xlfn.IFNA(VLOOKUP(D528,标准编码!A:B,2,0),"")</f>
        <v/>
      </c>
      <c r="D528" s="247">
        <v>5102010302</v>
      </c>
      <c r="E528" s="247" t="s">
        <v>3687</v>
      </c>
      <c r="F528" s="247" t="s">
        <v>3169</v>
      </c>
      <c r="G528" s="139">
        <v>0</v>
      </c>
      <c r="H528" s="139">
        <v>784593.79</v>
      </c>
      <c r="I528" s="139">
        <v>784593.79</v>
      </c>
      <c r="J528" s="139">
        <v>784593.79</v>
      </c>
      <c r="K528" s="139">
        <v>784593.79</v>
      </c>
      <c r="L528" s="139" t="s">
        <v>3169</v>
      </c>
      <c r="M528" s="139">
        <v>0</v>
      </c>
    </row>
    <row r="529" spans="2:13">
      <c r="B529" s="151" t="str">
        <f>_xlfn.IFNA(VLOOKUP(D529,标准编码!A:B,2,0),"")</f>
        <v/>
      </c>
      <c r="D529" s="247">
        <v>5102010303</v>
      </c>
      <c r="E529" s="247" t="s">
        <v>3688</v>
      </c>
      <c r="F529" s="247" t="s">
        <v>3169</v>
      </c>
      <c r="G529" s="139">
        <v>0</v>
      </c>
      <c r="H529" s="139">
        <v>0</v>
      </c>
      <c r="I529" s="139">
        <v>0</v>
      </c>
      <c r="J529" s="139">
        <v>0</v>
      </c>
      <c r="K529" s="139">
        <v>0</v>
      </c>
      <c r="L529" s="139" t="s">
        <v>3169</v>
      </c>
      <c r="M529" s="139">
        <v>0</v>
      </c>
    </row>
    <row r="530" spans="2:13">
      <c r="B530" s="151" t="str">
        <f>_xlfn.IFNA(VLOOKUP(D530,标准编码!A:B,2,0),"")</f>
        <v/>
      </c>
      <c r="D530" s="247">
        <v>5102010304</v>
      </c>
      <c r="E530" s="247" t="s">
        <v>3689</v>
      </c>
      <c r="F530" s="247" t="s">
        <v>3169</v>
      </c>
      <c r="G530" s="139">
        <v>0</v>
      </c>
      <c r="H530" s="139">
        <v>588443.6</v>
      </c>
      <c r="I530" s="139">
        <v>588443.6</v>
      </c>
      <c r="J530" s="139">
        <v>588443.6</v>
      </c>
      <c r="K530" s="139">
        <v>588443.6</v>
      </c>
      <c r="L530" s="139" t="s">
        <v>3169</v>
      </c>
      <c r="M530" s="139">
        <v>0</v>
      </c>
    </row>
    <row r="531" spans="2:13">
      <c r="B531" s="151" t="str">
        <f>_xlfn.IFNA(VLOOKUP(D531,标准编码!A:B,2,0),"")</f>
        <v/>
      </c>
      <c r="D531" s="247">
        <v>5102010305</v>
      </c>
      <c r="E531" s="247" t="s">
        <v>3690</v>
      </c>
      <c r="F531" s="247" t="s">
        <v>3169</v>
      </c>
      <c r="G531" s="139">
        <v>0</v>
      </c>
      <c r="H531" s="139">
        <v>6407.13</v>
      </c>
      <c r="I531" s="139">
        <v>6407.13</v>
      </c>
      <c r="J531" s="139">
        <v>6407.13</v>
      </c>
      <c r="K531" s="139">
        <v>6407.13</v>
      </c>
      <c r="L531" s="139" t="s">
        <v>3169</v>
      </c>
      <c r="M531" s="139">
        <v>0</v>
      </c>
    </row>
    <row r="532" spans="2:13">
      <c r="B532" s="151" t="str">
        <f>_xlfn.IFNA(VLOOKUP(D532,标准编码!A:B,2,0),"")</f>
        <v/>
      </c>
      <c r="D532" s="247">
        <v>5102010306</v>
      </c>
      <c r="E532" s="247" t="s">
        <v>3691</v>
      </c>
      <c r="F532" s="247" t="s">
        <v>3169</v>
      </c>
      <c r="G532" s="139">
        <v>0</v>
      </c>
      <c r="H532" s="139">
        <v>65618.67</v>
      </c>
      <c r="I532" s="139">
        <v>65618.67</v>
      </c>
      <c r="J532" s="139">
        <v>65618.67</v>
      </c>
      <c r="K532" s="139">
        <v>65618.67</v>
      </c>
      <c r="L532" s="139" t="s">
        <v>3169</v>
      </c>
      <c r="M532" s="139">
        <v>0</v>
      </c>
    </row>
    <row r="533" spans="2:13">
      <c r="B533" s="151" t="str">
        <f>_xlfn.IFNA(VLOOKUP(D533,标准编码!A:B,2,0),"")</f>
        <v/>
      </c>
      <c r="D533" s="247">
        <v>5102010307</v>
      </c>
      <c r="E533" s="247" t="s">
        <v>3692</v>
      </c>
      <c r="F533" s="247" t="s">
        <v>3169</v>
      </c>
      <c r="G533" s="139">
        <v>0</v>
      </c>
      <c r="H533" s="139">
        <v>28021.05</v>
      </c>
      <c r="I533" s="139">
        <v>28021.05</v>
      </c>
      <c r="J533" s="139">
        <v>28021.05</v>
      </c>
      <c r="K533" s="139">
        <v>28021.05</v>
      </c>
      <c r="L533" s="139" t="s">
        <v>3169</v>
      </c>
      <c r="M533" s="139">
        <v>0</v>
      </c>
    </row>
    <row r="534" spans="2:13">
      <c r="B534" s="151" t="str">
        <f>_xlfn.IFNA(VLOOKUP(D534,标准编码!A:B,2,0),"")</f>
        <v/>
      </c>
      <c r="D534" s="247">
        <v>5102010308</v>
      </c>
      <c r="E534" s="247" t="s">
        <v>3693</v>
      </c>
      <c r="F534" s="247" t="s">
        <v>3169</v>
      </c>
      <c r="G534" s="139">
        <v>0</v>
      </c>
      <c r="H534" s="139">
        <v>1602.07</v>
      </c>
      <c r="I534" s="139">
        <v>1602.07</v>
      </c>
      <c r="J534" s="139">
        <v>1602.07</v>
      </c>
      <c r="K534" s="139">
        <v>1602.07</v>
      </c>
      <c r="L534" s="139" t="s">
        <v>3169</v>
      </c>
      <c r="M534" s="139">
        <v>0</v>
      </c>
    </row>
    <row r="535" spans="2:13">
      <c r="B535" s="151" t="str">
        <f>_xlfn.IFNA(VLOOKUP(D535,标准编码!A:B,2,0),"")</f>
        <v/>
      </c>
      <c r="D535" s="247">
        <v>5102010309</v>
      </c>
      <c r="E535" s="247" t="s">
        <v>3694</v>
      </c>
      <c r="F535" s="247" t="s">
        <v>3169</v>
      </c>
      <c r="G535" s="139">
        <v>0</v>
      </c>
      <c r="H535" s="139">
        <v>260839.77</v>
      </c>
      <c r="I535" s="139">
        <v>260839.77</v>
      </c>
      <c r="J535" s="139">
        <v>260839.77</v>
      </c>
      <c r="K535" s="139">
        <v>260839.77</v>
      </c>
      <c r="L535" s="139" t="s">
        <v>3169</v>
      </c>
      <c r="M535" s="139">
        <v>0</v>
      </c>
    </row>
    <row r="536" spans="2:13">
      <c r="B536" s="151" t="str">
        <f>_xlfn.IFNA(VLOOKUP(D536,标准编码!A:B,2,0),"")</f>
        <v/>
      </c>
      <c r="D536" s="247">
        <v>51020104</v>
      </c>
      <c r="E536" s="247" t="s">
        <v>3695</v>
      </c>
      <c r="F536" s="247" t="s">
        <v>3169</v>
      </c>
      <c r="G536" s="139">
        <v>0</v>
      </c>
      <c r="H536" s="139">
        <v>633485.5</v>
      </c>
      <c r="I536" s="139">
        <v>633485.5</v>
      </c>
      <c r="J536" s="139">
        <v>633485.5</v>
      </c>
      <c r="K536" s="139">
        <v>633485.5</v>
      </c>
      <c r="L536" s="139" t="s">
        <v>3169</v>
      </c>
      <c r="M536" s="139">
        <v>0</v>
      </c>
    </row>
    <row r="537" spans="2:13">
      <c r="B537" s="151" t="str">
        <f>_xlfn.IFNA(VLOOKUP(D537,标准编码!A:B,2,0),"")</f>
        <v/>
      </c>
      <c r="D537" s="247">
        <v>51020105</v>
      </c>
      <c r="E537" s="247" t="s">
        <v>3696</v>
      </c>
      <c r="F537" s="247" t="s">
        <v>3169</v>
      </c>
      <c r="G537" s="139">
        <v>0</v>
      </c>
      <c r="H537" s="139">
        <v>160443.25</v>
      </c>
      <c r="I537" s="139">
        <v>160443.25</v>
      </c>
      <c r="J537" s="139">
        <v>160443.25</v>
      </c>
      <c r="K537" s="139">
        <v>160443.25</v>
      </c>
      <c r="L537" s="139" t="s">
        <v>3169</v>
      </c>
      <c r="M537" s="139">
        <v>0</v>
      </c>
    </row>
    <row r="538" spans="2:13">
      <c r="B538" s="151" t="str">
        <f>_xlfn.IFNA(VLOOKUP(D538,标准编码!A:B,2,0),"")</f>
        <v/>
      </c>
      <c r="D538" s="247">
        <v>51020106</v>
      </c>
      <c r="E538" s="247" t="s">
        <v>3697</v>
      </c>
      <c r="F538" s="247" t="s">
        <v>3169</v>
      </c>
      <c r="G538" s="139">
        <v>0</v>
      </c>
      <c r="H538" s="139">
        <v>642964.15</v>
      </c>
      <c r="I538" s="139">
        <v>642964.15</v>
      </c>
      <c r="J538" s="139">
        <v>642964.15</v>
      </c>
      <c r="K538" s="139">
        <v>642964.15</v>
      </c>
      <c r="L538" s="139" t="s">
        <v>3169</v>
      </c>
      <c r="M538" s="139">
        <v>0</v>
      </c>
    </row>
    <row r="539" spans="2:13">
      <c r="B539" s="151" t="str">
        <f>_xlfn.IFNA(VLOOKUP(D539,标准编码!A:B,2,0),"")</f>
        <v/>
      </c>
      <c r="D539" s="247">
        <v>510202</v>
      </c>
      <c r="E539" s="247" t="s">
        <v>3698</v>
      </c>
      <c r="F539" s="247" t="s">
        <v>3169</v>
      </c>
      <c r="G539" s="139">
        <v>0</v>
      </c>
      <c r="H539" s="139">
        <v>35308.620000000003</v>
      </c>
      <c r="I539" s="139">
        <v>35308.620000000003</v>
      </c>
      <c r="J539" s="139">
        <v>35308.620000000003</v>
      </c>
      <c r="K539" s="139">
        <v>35308.620000000003</v>
      </c>
      <c r="L539" s="139" t="s">
        <v>3169</v>
      </c>
      <c r="M539" s="139">
        <v>0</v>
      </c>
    </row>
    <row r="540" spans="2:13">
      <c r="B540" s="151" t="str">
        <f>_xlfn.IFNA(VLOOKUP(D540,标准编码!A:B,2,0),"")</f>
        <v/>
      </c>
      <c r="D540" s="247">
        <v>510203</v>
      </c>
      <c r="E540" s="247" t="s">
        <v>3699</v>
      </c>
      <c r="F540" s="247" t="s">
        <v>3169</v>
      </c>
      <c r="G540" s="139">
        <v>0</v>
      </c>
      <c r="H540" s="139">
        <v>5268.11</v>
      </c>
      <c r="I540" s="139">
        <v>5268.11</v>
      </c>
      <c r="J540" s="139">
        <v>5268.11</v>
      </c>
      <c r="K540" s="139">
        <v>5268.11</v>
      </c>
      <c r="L540" s="139" t="s">
        <v>3169</v>
      </c>
      <c r="M540" s="139">
        <v>0</v>
      </c>
    </row>
    <row r="541" spans="2:13">
      <c r="B541" s="151" t="str">
        <f>_xlfn.IFNA(VLOOKUP(D541,标准编码!A:B,2,0),"")</f>
        <v/>
      </c>
      <c r="D541" s="247">
        <v>510204</v>
      </c>
      <c r="E541" s="247" t="s">
        <v>3700</v>
      </c>
      <c r="F541" s="247" t="s">
        <v>3169</v>
      </c>
      <c r="G541" s="139">
        <v>0</v>
      </c>
      <c r="H541" s="139">
        <v>425.69</v>
      </c>
      <c r="I541" s="139">
        <v>425.69</v>
      </c>
      <c r="J541" s="139">
        <v>425.69</v>
      </c>
      <c r="K541" s="139">
        <v>425.69</v>
      </c>
      <c r="L541" s="139" t="s">
        <v>3169</v>
      </c>
      <c r="M541" s="139">
        <v>0</v>
      </c>
    </row>
    <row r="542" spans="2:13">
      <c r="B542" s="151" t="str">
        <f>_xlfn.IFNA(VLOOKUP(D542,标准编码!A:B,2,0),"")</f>
        <v/>
      </c>
      <c r="D542" s="247">
        <v>510206</v>
      </c>
      <c r="E542" s="247" t="s">
        <v>3701</v>
      </c>
      <c r="F542" s="247" t="s">
        <v>3169</v>
      </c>
      <c r="G542" s="139">
        <v>0</v>
      </c>
      <c r="H542" s="139">
        <v>894607.2</v>
      </c>
      <c r="I542" s="139">
        <v>894607.2</v>
      </c>
      <c r="J542" s="139">
        <v>894607.2</v>
      </c>
      <c r="K542" s="139">
        <v>894607.2</v>
      </c>
      <c r="L542" s="139" t="s">
        <v>3169</v>
      </c>
      <c r="M542" s="139">
        <v>0</v>
      </c>
    </row>
    <row r="543" spans="2:13">
      <c r="B543" s="151" t="str">
        <f>_xlfn.IFNA(VLOOKUP(D543,标准编码!A:B,2,0),"")</f>
        <v/>
      </c>
      <c r="D543" s="247">
        <v>510207</v>
      </c>
      <c r="E543" s="247" t="s">
        <v>3702</v>
      </c>
      <c r="F543" s="247" t="s">
        <v>3169</v>
      </c>
      <c r="G543" s="139">
        <v>0</v>
      </c>
      <c r="H543" s="139">
        <v>8849.56</v>
      </c>
      <c r="I543" s="139">
        <v>8849.56</v>
      </c>
      <c r="J543" s="139">
        <v>8849.56</v>
      </c>
      <c r="K543" s="139">
        <v>8849.56</v>
      </c>
      <c r="L543" s="139" t="s">
        <v>3169</v>
      </c>
      <c r="M543" s="139">
        <v>0</v>
      </c>
    </row>
    <row r="544" spans="2:13">
      <c r="B544" s="151" t="str">
        <f>_xlfn.IFNA(VLOOKUP(D544,标准编码!A:B,2,0),"")</f>
        <v/>
      </c>
      <c r="D544" s="247">
        <v>510208</v>
      </c>
      <c r="E544" s="247" t="s">
        <v>3703</v>
      </c>
      <c r="F544" s="247" t="s">
        <v>3169</v>
      </c>
      <c r="G544" s="139">
        <v>0</v>
      </c>
      <c r="H544" s="139">
        <v>186971.95</v>
      </c>
      <c r="I544" s="139">
        <v>186971.95</v>
      </c>
      <c r="J544" s="139">
        <v>186971.95</v>
      </c>
      <c r="K544" s="139">
        <v>186971.95</v>
      </c>
      <c r="L544" s="139" t="s">
        <v>3169</v>
      </c>
      <c r="M544" s="139">
        <v>0</v>
      </c>
    </row>
    <row r="545" spans="2:13">
      <c r="B545" s="151" t="str">
        <f>_xlfn.IFNA(VLOOKUP(D545,标准编码!A:B,2,0),"")</f>
        <v/>
      </c>
      <c r="D545" s="247">
        <v>510210</v>
      </c>
      <c r="E545" s="247" t="s">
        <v>3704</v>
      </c>
      <c r="F545" s="247" t="s">
        <v>3169</v>
      </c>
      <c r="G545" s="139">
        <v>0</v>
      </c>
      <c r="H545" s="139">
        <v>174130.64</v>
      </c>
      <c r="I545" s="139">
        <v>174130.64</v>
      </c>
      <c r="J545" s="139">
        <v>174130.64</v>
      </c>
      <c r="K545" s="139">
        <v>174130.64</v>
      </c>
      <c r="L545" s="139" t="s">
        <v>3169</v>
      </c>
      <c r="M545" s="139">
        <v>0</v>
      </c>
    </row>
    <row r="546" spans="2:13">
      <c r="B546" s="151" t="str">
        <f>_xlfn.IFNA(VLOOKUP(D546,标准编码!A:B,2,0),"")</f>
        <v/>
      </c>
      <c r="D546" s="247">
        <v>510212</v>
      </c>
      <c r="E546" s="247" t="s">
        <v>3705</v>
      </c>
      <c r="F546" s="247" t="s">
        <v>3169</v>
      </c>
      <c r="G546" s="139">
        <v>0</v>
      </c>
      <c r="H546" s="139">
        <v>1886.79</v>
      </c>
      <c r="I546" s="139">
        <v>1886.79</v>
      </c>
      <c r="J546" s="139">
        <v>1886.79</v>
      </c>
      <c r="K546" s="139">
        <v>1886.79</v>
      </c>
      <c r="L546" s="139" t="s">
        <v>3169</v>
      </c>
      <c r="M546" s="139">
        <v>0</v>
      </c>
    </row>
    <row r="547" spans="2:13">
      <c r="B547" s="151" t="str">
        <f>_xlfn.IFNA(VLOOKUP(D547,标准编码!A:B,2,0),"")</f>
        <v/>
      </c>
      <c r="D547" s="247">
        <v>510216</v>
      </c>
      <c r="E547" s="247" t="s">
        <v>3706</v>
      </c>
      <c r="F547" s="247" t="s">
        <v>3169</v>
      </c>
      <c r="G547" s="139">
        <v>0</v>
      </c>
      <c r="H547" s="139">
        <v>3211.01</v>
      </c>
      <c r="I547" s="139">
        <v>3211.01</v>
      </c>
      <c r="J547" s="139">
        <v>3211.01</v>
      </c>
      <c r="K547" s="139">
        <v>3211.01</v>
      </c>
      <c r="L547" s="139" t="s">
        <v>3169</v>
      </c>
      <c r="M547" s="139">
        <v>0</v>
      </c>
    </row>
    <row r="548" spans="2:13">
      <c r="B548" s="151" t="str">
        <f>_xlfn.IFNA(VLOOKUP(D548,标准编码!A:B,2,0),"")</f>
        <v/>
      </c>
      <c r="D548" s="247">
        <v>510218</v>
      </c>
      <c r="E548" s="247" t="s">
        <v>3707</v>
      </c>
      <c r="F548" s="247" t="s">
        <v>3169</v>
      </c>
      <c r="G548" s="139">
        <v>0</v>
      </c>
      <c r="H548" s="139">
        <v>7407.8</v>
      </c>
      <c r="I548" s="139">
        <v>7407.8</v>
      </c>
      <c r="J548" s="139">
        <v>7407.8</v>
      </c>
      <c r="K548" s="139">
        <v>7407.8</v>
      </c>
      <c r="L548" s="139" t="s">
        <v>3169</v>
      </c>
      <c r="M548" s="139">
        <v>0</v>
      </c>
    </row>
    <row r="549" spans="2:13">
      <c r="B549" s="151" t="str">
        <f>_xlfn.IFNA(VLOOKUP(D549,标准编码!A:B,2,0),"")</f>
        <v/>
      </c>
      <c r="D549" s="247">
        <v>510299</v>
      </c>
      <c r="E549" s="247" t="s">
        <v>3708</v>
      </c>
      <c r="F549" s="247" t="s">
        <v>3169</v>
      </c>
      <c r="G549" s="139">
        <v>0</v>
      </c>
      <c r="H549" s="139">
        <v>284385.40999999997</v>
      </c>
      <c r="I549" s="139">
        <v>284385.40999999997</v>
      </c>
      <c r="J549" s="139">
        <v>284385.40999999997</v>
      </c>
      <c r="K549" s="139">
        <v>284385.40999999997</v>
      </c>
      <c r="L549" s="139" t="s">
        <v>3169</v>
      </c>
      <c r="M549" s="139">
        <v>0</v>
      </c>
    </row>
    <row r="550" spans="2:13">
      <c r="B550" s="151" t="str">
        <f>_xlfn.IFNA(VLOOKUP(D550,标准编码!A:B,2,0),"")</f>
        <v/>
      </c>
      <c r="D550" s="247">
        <v>51029901</v>
      </c>
      <c r="E550" s="247" t="s">
        <v>3709</v>
      </c>
      <c r="F550" s="247" t="s">
        <v>3169</v>
      </c>
      <c r="G550" s="139">
        <v>0</v>
      </c>
      <c r="H550" s="139">
        <v>0</v>
      </c>
      <c r="I550" s="139">
        <v>0</v>
      </c>
      <c r="J550" s="139">
        <v>0</v>
      </c>
      <c r="K550" s="139">
        <v>0</v>
      </c>
      <c r="L550" s="139" t="s">
        <v>3169</v>
      </c>
      <c r="M550" s="139">
        <v>0</v>
      </c>
    </row>
    <row r="551" spans="2:13">
      <c r="B551" s="151" t="str">
        <f>_xlfn.IFNA(VLOOKUP(D551,标准编码!A:B,2,0),"")</f>
        <v/>
      </c>
      <c r="D551" s="247">
        <v>51029902</v>
      </c>
      <c r="E551" s="247" t="s">
        <v>3710</v>
      </c>
      <c r="F551" s="247" t="s">
        <v>3169</v>
      </c>
      <c r="G551" s="139">
        <v>0</v>
      </c>
      <c r="H551" s="139">
        <v>7722.87</v>
      </c>
      <c r="I551" s="139">
        <v>7722.87</v>
      </c>
      <c r="J551" s="139">
        <v>7722.87</v>
      </c>
      <c r="K551" s="139">
        <v>7722.87</v>
      </c>
      <c r="L551" s="139" t="s">
        <v>3169</v>
      </c>
      <c r="M551" s="139">
        <v>0</v>
      </c>
    </row>
    <row r="552" spans="2:13">
      <c r="B552" s="151" t="str">
        <f>_xlfn.IFNA(VLOOKUP(D552,标准编码!A:B,2,0),"")</f>
        <v/>
      </c>
      <c r="D552" s="247">
        <v>51029903</v>
      </c>
      <c r="E552" s="247" t="s">
        <v>3711</v>
      </c>
      <c r="F552" s="247" t="s">
        <v>3169</v>
      </c>
      <c r="G552" s="139">
        <v>0</v>
      </c>
      <c r="H552" s="139">
        <v>11353.28</v>
      </c>
      <c r="I552" s="139">
        <v>11353.28</v>
      </c>
      <c r="J552" s="139">
        <v>11353.28</v>
      </c>
      <c r="K552" s="139">
        <v>11353.28</v>
      </c>
      <c r="L552" s="139" t="s">
        <v>3169</v>
      </c>
      <c r="M552" s="139">
        <v>0</v>
      </c>
    </row>
    <row r="553" spans="2:13">
      <c r="B553" s="151" t="str">
        <f>_xlfn.IFNA(VLOOKUP(D553,标准编码!A:B,2,0),"")</f>
        <v/>
      </c>
      <c r="D553" s="247">
        <v>51029904</v>
      </c>
      <c r="E553" s="247" t="s">
        <v>3712</v>
      </c>
      <c r="F553" s="247" t="s">
        <v>3169</v>
      </c>
      <c r="G553" s="139">
        <v>0</v>
      </c>
      <c r="H553" s="139">
        <v>0</v>
      </c>
      <c r="I553" s="139">
        <v>0</v>
      </c>
      <c r="J553" s="139">
        <v>0</v>
      </c>
      <c r="K553" s="139">
        <v>0</v>
      </c>
      <c r="L553" s="139" t="s">
        <v>3169</v>
      </c>
      <c r="M553" s="139">
        <v>0</v>
      </c>
    </row>
    <row r="554" spans="2:13">
      <c r="B554" s="151" t="str">
        <f>_xlfn.IFNA(VLOOKUP(D554,标准编码!A:B,2,0),"")</f>
        <v/>
      </c>
      <c r="D554" s="247">
        <v>51029905</v>
      </c>
      <c r="E554" s="247" t="s">
        <v>3713</v>
      </c>
      <c r="F554" s="247" t="s">
        <v>3169</v>
      </c>
      <c r="G554" s="139">
        <v>0</v>
      </c>
      <c r="H554" s="139">
        <v>0</v>
      </c>
      <c r="I554" s="139">
        <v>0</v>
      </c>
      <c r="J554" s="139">
        <v>0</v>
      </c>
      <c r="K554" s="139">
        <v>0</v>
      </c>
      <c r="L554" s="139" t="s">
        <v>3169</v>
      </c>
      <c r="M554" s="139">
        <v>0</v>
      </c>
    </row>
    <row r="555" spans="2:13">
      <c r="B555" s="151" t="str">
        <f>_xlfn.IFNA(VLOOKUP(D555,标准编码!A:B,2,0),"")</f>
        <v/>
      </c>
      <c r="D555" s="247">
        <v>51029906</v>
      </c>
      <c r="E555" s="247" t="s">
        <v>3714</v>
      </c>
      <c r="F555" s="247" t="s">
        <v>3169</v>
      </c>
      <c r="G555" s="139">
        <v>0</v>
      </c>
      <c r="H555" s="139">
        <v>51024.27</v>
      </c>
      <c r="I555" s="139">
        <v>51024.27</v>
      </c>
      <c r="J555" s="139">
        <v>51024.27</v>
      </c>
      <c r="K555" s="139">
        <v>51024.27</v>
      </c>
      <c r="L555" s="139" t="s">
        <v>3169</v>
      </c>
      <c r="M555" s="139">
        <v>0</v>
      </c>
    </row>
    <row r="556" spans="2:13">
      <c r="B556" s="151" t="str">
        <f>_xlfn.IFNA(VLOOKUP(D556,标准编码!A:B,2,0),"")</f>
        <v/>
      </c>
      <c r="D556" s="247">
        <v>51029907</v>
      </c>
      <c r="E556" s="247" t="s">
        <v>3715</v>
      </c>
      <c r="F556" s="247" t="s">
        <v>3169</v>
      </c>
      <c r="G556" s="139">
        <v>0</v>
      </c>
      <c r="H556" s="139">
        <v>0</v>
      </c>
      <c r="I556" s="139">
        <v>0</v>
      </c>
      <c r="J556" s="139">
        <v>0</v>
      </c>
      <c r="K556" s="139">
        <v>0</v>
      </c>
      <c r="L556" s="139" t="s">
        <v>3169</v>
      </c>
      <c r="M556" s="139">
        <v>0</v>
      </c>
    </row>
    <row r="557" spans="2:13">
      <c r="B557" s="151" t="str">
        <f>_xlfn.IFNA(VLOOKUP(D557,标准编码!A:B,2,0),"")</f>
        <v/>
      </c>
      <c r="D557" s="247">
        <v>51029999</v>
      </c>
      <c r="E557" s="247" t="s">
        <v>3716</v>
      </c>
      <c r="F557" s="247" t="s">
        <v>3169</v>
      </c>
      <c r="G557" s="139">
        <v>0</v>
      </c>
      <c r="H557" s="139">
        <v>214284.99</v>
      </c>
      <c r="I557" s="139">
        <v>214284.99</v>
      </c>
      <c r="J557" s="139">
        <v>214284.99</v>
      </c>
      <c r="K557" s="139">
        <v>214284.99</v>
      </c>
      <c r="L557" s="139" t="s">
        <v>3169</v>
      </c>
      <c r="M557" s="139">
        <v>0</v>
      </c>
    </row>
    <row r="558" spans="2:13">
      <c r="B558" s="151" t="str">
        <f>_xlfn.IFNA(VLOOKUP(D558,标准编码!A:B,2,0),"")</f>
        <v>工程施工</v>
      </c>
      <c r="D558" s="247">
        <v>5401</v>
      </c>
      <c r="E558" s="247" t="s">
        <v>3717</v>
      </c>
      <c r="F558" s="247" t="s">
        <v>825</v>
      </c>
      <c r="G558" s="139">
        <v>958176719.22000003</v>
      </c>
      <c r="H558" s="139">
        <v>46759481.899999999</v>
      </c>
      <c r="I558" s="139">
        <v>0</v>
      </c>
      <c r="J558" s="139">
        <v>46759481.899999999</v>
      </c>
      <c r="K558" s="139">
        <v>0</v>
      </c>
      <c r="L558" s="139" t="s">
        <v>825</v>
      </c>
      <c r="M558" s="139">
        <v>1004936201.12</v>
      </c>
    </row>
    <row r="559" spans="2:13">
      <c r="B559" s="151" t="str">
        <f>_xlfn.IFNA(VLOOKUP(D559,标准编码!A:B,2,0),"")</f>
        <v/>
      </c>
      <c r="D559" s="247">
        <v>540101</v>
      </c>
      <c r="E559" s="247" t="s">
        <v>3718</v>
      </c>
      <c r="F559" s="247" t="s">
        <v>825</v>
      </c>
      <c r="G559" s="139">
        <v>802922798.33000004</v>
      </c>
      <c r="H559" s="139">
        <v>25988932.100000001</v>
      </c>
      <c r="I559" s="139">
        <v>0</v>
      </c>
      <c r="J559" s="139">
        <v>25988932.100000001</v>
      </c>
      <c r="K559" s="139">
        <v>0</v>
      </c>
      <c r="L559" s="139" t="s">
        <v>825</v>
      </c>
      <c r="M559" s="139">
        <v>828911730.42999995</v>
      </c>
    </row>
    <row r="560" spans="2:13">
      <c r="B560" s="151" t="str">
        <f>_xlfn.IFNA(VLOOKUP(D560,标准编码!A:B,2,0),"")</f>
        <v/>
      </c>
      <c r="D560" s="247">
        <v>54010101</v>
      </c>
      <c r="E560" s="247" t="s">
        <v>3719</v>
      </c>
      <c r="F560" s="247" t="s">
        <v>825</v>
      </c>
      <c r="G560" s="139">
        <v>802922798.33000004</v>
      </c>
      <c r="H560" s="139">
        <v>25988932.100000001</v>
      </c>
      <c r="I560" s="139">
        <v>0</v>
      </c>
      <c r="J560" s="139">
        <v>25988932.100000001</v>
      </c>
      <c r="K560" s="139">
        <v>0</v>
      </c>
      <c r="L560" s="139" t="s">
        <v>825</v>
      </c>
      <c r="M560" s="139">
        <v>828911730.42999995</v>
      </c>
    </row>
    <row r="561" spans="2:13">
      <c r="B561" s="151" t="str">
        <f>_xlfn.IFNA(VLOOKUP(D561,标准编码!A:B,2,0),"")</f>
        <v/>
      </c>
      <c r="D561" s="247">
        <v>5401010101</v>
      </c>
      <c r="E561" s="247" t="s">
        <v>3720</v>
      </c>
      <c r="F561" s="247" t="s">
        <v>825</v>
      </c>
      <c r="G561" s="139">
        <v>179260332</v>
      </c>
      <c r="H561" s="139">
        <v>10000000</v>
      </c>
      <c r="I561" s="139">
        <v>0</v>
      </c>
      <c r="J561" s="139">
        <v>10000000</v>
      </c>
      <c r="K561" s="139">
        <v>0</v>
      </c>
      <c r="L561" s="139" t="s">
        <v>825</v>
      </c>
      <c r="M561" s="139">
        <v>189260332</v>
      </c>
    </row>
    <row r="562" spans="2:13">
      <c r="B562" s="151" t="str">
        <f>_xlfn.IFNA(VLOOKUP(D562,标准编码!A:B,2,0),"")</f>
        <v/>
      </c>
      <c r="D562" s="247">
        <v>5401010102</v>
      </c>
      <c r="E562" s="247" t="s">
        <v>3721</v>
      </c>
      <c r="F562" s="247" t="s">
        <v>825</v>
      </c>
      <c r="G562" s="139">
        <v>176536534.90000001</v>
      </c>
      <c r="H562" s="139">
        <v>15000000</v>
      </c>
      <c r="I562" s="139">
        <v>0</v>
      </c>
      <c r="J562" s="139">
        <v>15000000</v>
      </c>
      <c r="K562" s="139">
        <v>0</v>
      </c>
      <c r="L562" s="139" t="s">
        <v>825</v>
      </c>
      <c r="M562" s="139">
        <v>191536534.90000001</v>
      </c>
    </row>
    <row r="563" spans="2:13">
      <c r="B563" s="151" t="str">
        <f>_xlfn.IFNA(VLOOKUP(D563,标准编码!A:B,2,0),"")</f>
        <v/>
      </c>
      <c r="D563" s="247">
        <v>5401010103</v>
      </c>
      <c r="E563" s="247" t="s">
        <v>3722</v>
      </c>
      <c r="F563" s="247" t="s">
        <v>825</v>
      </c>
      <c r="G563" s="139">
        <v>26948157.43</v>
      </c>
      <c r="H563" s="139">
        <v>0</v>
      </c>
      <c r="I563" s="139">
        <v>0</v>
      </c>
      <c r="J563" s="139">
        <v>0</v>
      </c>
      <c r="K563" s="139">
        <v>0</v>
      </c>
      <c r="L563" s="139" t="s">
        <v>825</v>
      </c>
      <c r="M563" s="139">
        <v>26948157.43</v>
      </c>
    </row>
    <row r="564" spans="2:13">
      <c r="B564" s="151" t="str">
        <f>_xlfn.IFNA(VLOOKUP(D564,标准编码!A:B,2,0),"")</f>
        <v/>
      </c>
      <c r="D564" s="247">
        <v>5401010104</v>
      </c>
      <c r="E564" s="247" t="s">
        <v>3723</v>
      </c>
      <c r="F564" s="247" t="s">
        <v>825</v>
      </c>
      <c r="G564" s="139">
        <v>5263438</v>
      </c>
      <c r="H564" s="139">
        <v>0</v>
      </c>
      <c r="I564" s="139">
        <v>0</v>
      </c>
      <c r="J564" s="139">
        <v>0</v>
      </c>
      <c r="K564" s="139">
        <v>0</v>
      </c>
      <c r="L564" s="139" t="s">
        <v>825</v>
      </c>
      <c r="M564" s="139">
        <v>5263438</v>
      </c>
    </row>
    <row r="565" spans="2:13">
      <c r="B565" s="151" t="str">
        <f>_xlfn.IFNA(VLOOKUP(D565,标准编码!A:B,2,0),"")</f>
        <v/>
      </c>
      <c r="D565" s="247">
        <v>5401010105</v>
      </c>
      <c r="E565" s="247" t="s">
        <v>3724</v>
      </c>
      <c r="F565" s="247" t="s">
        <v>825</v>
      </c>
      <c r="G565" s="139">
        <v>4710867.53</v>
      </c>
      <c r="H565" s="139">
        <v>0</v>
      </c>
      <c r="I565" s="139">
        <v>0</v>
      </c>
      <c r="J565" s="139">
        <v>0</v>
      </c>
      <c r="K565" s="139">
        <v>0</v>
      </c>
      <c r="L565" s="139" t="s">
        <v>825</v>
      </c>
      <c r="M565" s="139">
        <v>4710867.53</v>
      </c>
    </row>
    <row r="566" spans="2:13">
      <c r="B566" s="151" t="str">
        <f>_xlfn.IFNA(VLOOKUP(D566,标准编码!A:B,2,0),"")</f>
        <v/>
      </c>
      <c r="D566" s="247">
        <v>5401010106</v>
      </c>
      <c r="E566" s="247" t="s">
        <v>3725</v>
      </c>
      <c r="F566" s="247" t="s">
        <v>825</v>
      </c>
      <c r="G566" s="139">
        <v>812361</v>
      </c>
      <c r="H566" s="139">
        <v>988932.1</v>
      </c>
      <c r="I566" s="139">
        <v>0</v>
      </c>
      <c r="J566" s="139">
        <v>988932.1</v>
      </c>
      <c r="K566" s="139">
        <v>0</v>
      </c>
      <c r="L566" s="139" t="s">
        <v>825</v>
      </c>
      <c r="M566" s="139">
        <v>1801293.1</v>
      </c>
    </row>
    <row r="567" spans="2:13">
      <c r="B567" s="151" t="str">
        <f>_xlfn.IFNA(VLOOKUP(D567,标准编码!A:B,2,0),"")</f>
        <v/>
      </c>
      <c r="D567" s="247">
        <v>5401010107</v>
      </c>
      <c r="E567" s="247" t="s">
        <v>3726</v>
      </c>
      <c r="F567" s="247" t="s">
        <v>825</v>
      </c>
      <c r="G567" s="139">
        <v>0.03</v>
      </c>
      <c r="H567" s="139">
        <v>0</v>
      </c>
      <c r="I567" s="139">
        <v>0</v>
      </c>
      <c r="J567" s="139">
        <v>0</v>
      </c>
      <c r="K567" s="139">
        <v>0</v>
      </c>
      <c r="L567" s="139" t="s">
        <v>825</v>
      </c>
      <c r="M567" s="139">
        <v>0.03</v>
      </c>
    </row>
    <row r="568" spans="2:13">
      <c r="B568" s="151" t="str">
        <f>_xlfn.IFNA(VLOOKUP(D568,标准编码!A:B,2,0),"")</f>
        <v/>
      </c>
      <c r="D568" s="247">
        <v>5401010108</v>
      </c>
      <c r="E568" s="247" t="s">
        <v>3727</v>
      </c>
      <c r="F568" s="247" t="s">
        <v>825</v>
      </c>
      <c r="G568" s="139">
        <v>409391107.44</v>
      </c>
      <c r="H568" s="139">
        <v>0</v>
      </c>
      <c r="I568" s="139">
        <v>0</v>
      </c>
      <c r="J568" s="139">
        <v>0</v>
      </c>
      <c r="K568" s="139">
        <v>0</v>
      </c>
      <c r="L568" s="139" t="s">
        <v>825</v>
      </c>
      <c r="M568" s="139">
        <v>409391107.44</v>
      </c>
    </row>
    <row r="569" spans="2:13">
      <c r="B569" s="151" t="str">
        <f>_xlfn.IFNA(VLOOKUP(D569,标准编码!A:B,2,0),"")</f>
        <v/>
      </c>
      <c r="D569" s="247">
        <v>540102</v>
      </c>
      <c r="E569" s="247" t="s">
        <v>3728</v>
      </c>
      <c r="F569" s="247" t="s">
        <v>825</v>
      </c>
      <c r="G569" s="139">
        <v>59453933.090000004</v>
      </c>
      <c r="H569" s="139">
        <v>858299</v>
      </c>
      <c r="I569" s="139">
        <v>0</v>
      </c>
      <c r="J569" s="139">
        <v>858299</v>
      </c>
      <c r="K569" s="139">
        <v>0</v>
      </c>
      <c r="L569" s="139" t="s">
        <v>825</v>
      </c>
      <c r="M569" s="139">
        <v>60312232.090000004</v>
      </c>
    </row>
    <row r="570" spans="2:13">
      <c r="B570" s="151" t="str">
        <f>_xlfn.IFNA(VLOOKUP(D570,标准编码!A:B,2,0),"")</f>
        <v/>
      </c>
      <c r="D570" s="247">
        <v>54010201</v>
      </c>
      <c r="E570" s="247" t="s">
        <v>3729</v>
      </c>
      <c r="F570" s="247" t="s">
        <v>825</v>
      </c>
      <c r="G570" s="139">
        <v>47592207.840000004</v>
      </c>
      <c r="H570" s="139">
        <v>0</v>
      </c>
      <c r="I570" s="139">
        <v>0</v>
      </c>
      <c r="J570" s="139">
        <v>0</v>
      </c>
      <c r="K570" s="139">
        <v>0</v>
      </c>
      <c r="L570" s="139" t="s">
        <v>825</v>
      </c>
      <c r="M570" s="139">
        <v>47592207.840000004</v>
      </c>
    </row>
    <row r="571" spans="2:13">
      <c r="B571" s="151" t="str">
        <f>_xlfn.IFNA(VLOOKUP(D571,标准编码!A:B,2,0),"")</f>
        <v/>
      </c>
      <c r="D571" s="247">
        <v>54010202</v>
      </c>
      <c r="E571" s="247" t="s">
        <v>3730</v>
      </c>
      <c r="F571" s="247" t="s">
        <v>825</v>
      </c>
      <c r="G571" s="139">
        <v>736036.25</v>
      </c>
      <c r="H571" s="139">
        <v>0</v>
      </c>
      <c r="I571" s="139">
        <v>0</v>
      </c>
      <c r="J571" s="139">
        <v>0</v>
      </c>
      <c r="K571" s="139">
        <v>0</v>
      </c>
      <c r="L571" s="139" t="s">
        <v>825</v>
      </c>
      <c r="M571" s="139">
        <v>736036.25</v>
      </c>
    </row>
    <row r="572" spans="2:13">
      <c r="B572" s="151" t="str">
        <f>_xlfn.IFNA(VLOOKUP(D572,标准编码!A:B,2,0),"")</f>
        <v/>
      </c>
      <c r="D572" s="247">
        <v>54010203</v>
      </c>
      <c r="E572" s="247" t="s">
        <v>3731</v>
      </c>
      <c r="F572" s="247" t="s">
        <v>825</v>
      </c>
      <c r="G572" s="139">
        <v>5195584</v>
      </c>
      <c r="H572" s="139">
        <v>0</v>
      </c>
      <c r="I572" s="139">
        <v>0</v>
      </c>
      <c r="J572" s="139">
        <v>0</v>
      </c>
      <c r="K572" s="139">
        <v>0</v>
      </c>
      <c r="L572" s="139" t="s">
        <v>825</v>
      </c>
      <c r="M572" s="139">
        <v>5195584</v>
      </c>
    </row>
    <row r="573" spans="2:13">
      <c r="B573" s="151" t="str">
        <f>_xlfn.IFNA(VLOOKUP(D573,标准编码!A:B,2,0),"")</f>
        <v/>
      </c>
      <c r="D573" s="247">
        <v>54010204</v>
      </c>
      <c r="E573" s="247" t="s">
        <v>3732</v>
      </c>
      <c r="F573" s="247" t="s">
        <v>825</v>
      </c>
      <c r="G573" s="139">
        <v>5930105</v>
      </c>
      <c r="H573" s="139">
        <v>858299</v>
      </c>
      <c r="I573" s="139">
        <v>0</v>
      </c>
      <c r="J573" s="139">
        <v>858299</v>
      </c>
      <c r="K573" s="139">
        <v>0</v>
      </c>
      <c r="L573" s="139" t="s">
        <v>825</v>
      </c>
      <c r="M573" s="139">
        <v>6788404</v>
      </c>
    </row>
    <row r="574" spans="2:13">
      <c r="B574" s="151" t="str">
        <f>_xlfn.IFNA(VLOOKUP(D574,标准编码!A:B,2,0),"")</f>
        <v/>
      </c>
      <c r="D574" s="247">
        <v>540103</v>
      </c>
      <c r="E574" s="247" t="s">
        <v>3733</v>
      </c>
      <c r="F574" s="247" t="s">
        <v>825</v>
      </c>
      <c r="G574" s="139">
        <v>95799987.799999997</v>
      </c>
      <c r="H574" s="139">
        <v>19912250.800000001</v>
      </c>
      <c r="I574" s="139">
        <v>0</v>
      </c>
      <c r="J574" s="139">
        <v>19912250.800000001</v>
      </c>
      <c r="K574" s="139">
        <v>0</v>
      </c>
      <c r="L574" s="139" t="s">
        <v>825</v>
      </c>
      <c r="M574" s="139">
        <v>115712238.59999999</v>
      </c>
    </row>
    <row r="575" spans="2:13">
      <c r="B575" s="151" t="str">
        <f>_xlfn.IFNA(VLOOKUP(D575,标准编码!A:B,2,0),"")</f>
        <v>工程结算</v>
      </c>
      <c r="D575" s="247">
        <v>5402</v>
      </c>
      <c r="E575" s="247" t="s">
        <v>3734</v>
      </c>
      <c r="F575" s="247" t="s">
        <v>826</v>
      </c>
      <c r="G575" s="139">
        <v>548785611.75</v>
      </c>
      <c r="H575" s="139">
        <v>0</v>
      </c>
      <c r="I575" s="139">
        <v>19912250.800000001</v>
      </c>
      <c r="J575" s="139">
        <v>0</v>
      </c>
      <c r="K575" s="139">
        <v>19912250.800000001</v>
      </c>
      <c r="L575" s="139" t="s">
        <v>826</v>
      </c>
      <c r="M575" s="139">
        <v>568697862.54999995</v>
      </c>
    </row>
    <row r="576" spans="2:13">
      <c r="B576" s="151" t="str">
        <f>_xlfn.IFNA(VLOOKUP(D576,标准编码!A:B,2,0),"")</f>
        <v>主营业务收入</v>
      </c>
      <c r="D576" s="247">
        <v>6001</v>
      </c>
      <c r="E576" s="247" t="s">
        <v>3735</v>
      </c>
      <c r="F576" s="247" t="s">
        <v>3169</v>
      </c>
      <c r="G576" s="139">
        <v>0</v>
      </c>
      <c r="H576" s="139">
        <v>1459507276.3900001</v>
      </c>
      <c r="I576" s="139">
        <v>1459507276.3900001</v>
      </c>
      <c r="J576" s="139">
        <v>1459507276.3900001</v>
      </c>
      <c r="K576" s="139">
        <v>1459507276.3900001</v>
      </c>
      <c r="L576" s="139" t="s">
        <v>3169</v>
      </c>
      <c r="M576" s="139">
        <v>0</v>
      </c>
    </row>
    <row r="577" spans="2:13">
      <c r="B577" s="151" t="str">
        <f>_xlfn.IFNA(VLOOKUP(D577,标准编码!A:B,2,0),"")</f>
        <v/>
      </c>
      <c r="D577" s="247">
        <v>600106</v>
      </c>
      <c r="E577" s="247" t="s">
        <v>3736</v>
      </c>
      <c r="F577" s="247" t="s">
        <v>3169</v>
      </c>
      <c r="G577" s="139">
        <v>0</v>
      </c>
      <c r="H577" s="139">
        <v>10988571.16</v>
      </c>
      <c r="I577" s="139">
        <v>10988571.16</v>
      </c>
      <c r="J577" s="139">
        <v>10988571.16</v>
      </c>
      <c r="K577" s="139">
        <v>10988571.16</v>
      </c>
      <c r="L577" s="139" t="s">
        <v>3169</v>
      </c>
      <c r="M577" s="139">
        <v>0</v>
      </c>
    </row>
    <row r="578" spans="2:13">
      <c r="B578" s="151" t="str">
        <f>_xlfn.IFNA(VLOOKUP(D578,标准编码!A:B,2,0),"")</f>
        <v/>
      </c>
      <c r="D578" s="247">
        <v>60010602</v>
      </c>
      <c r="E578" s="247" t="s">
        <v>3737</v>
      </c>
      <c r="F578" s="247" t="s">
        <v>3169</v>
      </c>
      <c r="G578" s="139">
        <v>0</v>
      </c>
      <c r="H578" s="139">
        <v>10988571.16</v>
      </c>
      <c r="I578" s="139">
        <v>10988571.16</v>
      </c>
      <c r="J578" s="139">
        <v>10988571.16</v>
      </c>
      <c r="K578" s="139">
        <v>10988571.16</v>
      </c>
      <c r="L578" s="139" t="s">
        <v>3169</v>
      </c>
      <c r="M578" s="139">
        <v>0</v>
      </c>
    </row>
    <row r="579" spans="2:13">
      <c r="B579" s="151" t="str">
        <f>_xlfn.IFNA(VLOOKUP(D579,标准编码!A:B,2,0),"")</f>
        <v/>
      </c>
      <c r="D579" s="247">
        <v>6001060203</v>
      </c>
      <c r="E579" s="247" t="s">
        <v>3738</v>
      </c>
      <c r="F579" s="247" t="s">
        <v>3169</v>
      </c>
      <c r="G579" s="139">
        <v>0</v>
      </c>
      <c r="H579" s="139">
        <v>10988571.16</v>
      </c>
      <c r="I579" s="139">
        <v>10988571.16</v>
      </c>
      <c r="J579" s="139">
        <v>10988571.16</v>
      </c>
      <c r="K579" s="139">
        <v>10988571.16</v>
      </c>
      <c r="L579" s="139" t="s">
        <v>3169</v>
      </c>
      <c r="M579" s="139">
        <v>0</v>
      </c>
    </row>
    <row r="580" spans="2:13">
      <c r="B580" s="151" t="str">
        <f>_xlfn.IFNA(VLOOKUP(D580,标准编码!A:B,2,0),"")</f>
        <v/>
      </c>
      <c r="D580" s="247">
        <v>600108</v>
      </c>
      <c r="E580" s="247" t="s">
        <v>3739</v>
      </c>
      <c r="F580" s="247" t="s">
        <v>3169</v>
      </c>
      <c r="G580" s="139">
        <v>0</v>
      </c>
      <c r="H580" s="139">
        <v>676347290</v>
      </c>
      <c r="I580" s="139">
        <v>676347290</v>
      </c>
      <c r="J580" s="139">
        <v>676347290</v>
      </c>
      <c r="K580" s="139">
        <v>676347290</v>
      </c>
      <c r="L580" s="139" t="s">
        <v>3169</v>
      </c>
      <c r="M580" s="139">
        <v>0</v>
      </c>
    </row>
    <row r="581" spans="2:13">
      <c r="B581" s="151" t="str">
        <f>_xlfn.IFNA(VLOOKUP(D581,标准编码!A:B,2,0),"")</f>
        <v/>
      </c>
      <c r="D581" s="247">
        <v>60010801</v>
      </c>
      <c r="E581" s="247" t="s">
        <v>3740</v>
      </c>
      <c r="F581" s="247" t="s">
        <v>3169</v>
      </c>
      <c r="G581" s="139">
        <v>0</v>
      </c>
      <c r="H581" s="139">
        <v>676347290</v>
      </c>
      <c r="I581" s="139">
        <v>676347290</v>
      </c>
      <c r="J581" s="139">
        <v>676347290</v>
      </c>
      <c r="K581" s="139">
        <v>676347290</v>
      </c>
      <c r="L581" s="139" t="s">
        <v>3169</v>
      </c>
      <c r="M581" s="139">
        <v>0</v>
      </c>
    </row>
    <row r="582" spans="2:13">
      <c r="B582" s="151" t="str">
        <f>_xlfn.IFNA(VLOOKUP(D582,标准编码!A:B,2,0),"")</f>
        <v/>
      </c>
      <c r="D582" s="247">
        <v>600109</v>
      </c>
      <c r="E582" s="247" t="s">
        <v>3741</v>
      </c>
      <c r="F582" s="247" t="s">
        <v>3169</v>
      </c>
      <c r="G582" s="139">
        <v>0</v>
      </c>
      <c r="H582" s="139">
        <v>551485576.70000005</v>
      </c>
      <c r="I582" s="139">
        <v>551485576.70000005</v>
      </c>
      <c r="J582" s="139">
        <v>551485576.70000005</v>
      </c>
      <c r="K582" s="139">
        <v>551485576.70000005</v>
      </c>
      <c r="L582" s="139" t="s">
        <v>3169</v>
      </c>
      <c r="M582" s="139">
        <v>0</v>
      </c>
    </row>
    <row r="583" spans="2:13">
      <c r="B583" s="151" t="str">
        <f>_xlfn.IFNA(VLOOKUP(D583,标准编码!A:B,2,0),"")</f>
        <v/>
      </c>
      <c r="D583" s="247">
        <v>60010901</v>
      </c>
      <c r="E583" s="247" t="s">
        <v>3742</v>
      </c>
      <c r="F583" s="247" t="s">
        <v>3169</v>
      </c>
      <c r="G583" s="139">
        <v>0</v>
      </c>
      <c r="H583" s="139">
        <v>267706430.25</v>
      </c>
      <c r="I583" s="139">
        <v>267706430.25</v>
      </c>
      <c r="J583" s="139">
        <v>267706430.25</v>
      </c>
      <c r="K583" s="139">
        <v>267706430.25</v>
      </c>
      <c r="L583" s="139" t="s">
        <v>3169</v>
      </c>
      <c r="M583" s="139">
        <v>0</v>
      </c>
    </row>
    <row r="584" spans="2:13">
      <c r="B584" s="151" t="str">
        <f>_xlfn.IFNA(VLOOKUP(D584,标准编码!A:B,2,0),"")</f>
        <v/>
      </c>
      <c r="D584" s="247">
        <v>60010902</v>
      </c>
      <c r="E584" s="247" t="s">
        <v>3743</v>
      </c>
      <c r="F584" s="247" t="s">
        <v>3169</v>
      </c>
      <c r="G584" s="139">
        <v>0</v>
      </c>
      <c r="H584" s="139">
        <v>283779146.44999999</v>
      </c>
      <c r="I584" s="139">
        <v>283779146.44999999</v>
      </c>
      <c r="J584" s="139">
        <v>283779146.44999999</v>
      </c>
      <c r="K584" s="139">
        <v>283779146.44999999</v>
      </c>
      <c r="L584" s="139" t="s">
        <v>3169</v>
      </c>
      <c r="M584" s="139">
        <v>0</v>
      </c>
    </row>
    <row r="585" spans="2:13">
      <c r="B585" s="151" t="str">
        <f>_xlfn.IFNA(VLOOKUP(D585,标准编码!A:B,2,0),"")</f>
        <v/>
      </c>
      <c r="D585" s="247">
        <v>600110</v>
      </c>
      <c r="E585" s="247" t="s">
        <v>3744</v>
      </c>
      <c r="F585" s="247" t="s">
        <v>3169</v>
      </c>
      <c r="G585" s="139">
        <v>0</v>
      </c>
      <c r="H585" s="139">
        <v>83381480.849999994</v>
      </c>
      <c r="I585" s="139">
        <v>83381480.849999994</v>
      </c>
      <c r="J585" s="139">
        <v>83381480.849999994</v>
      </c>
      <c r="K585" s="139">
        <v>83381480.849999994</v>
      </c>
      <c r="L585" s="139" t="s">
        <v>3169</v>
      </c>
      <c r="M585" s="139">
        <v>0</v>
      </c>
    </row>
    <row r="586" spans="2:13">
      <c r="B586" s="151" t="str">
        <f>_xlfn.IFNA(VLOOKUP(D586,标准编码!A:B,2,0),"")</f>
        <v/>
      </c>
      <c r="D586" s="247">
        <v>600111</v>
      </c>
      <c r="E586" s="247" t="s">
        <v>3745</v>
      </c>
      <c r="F586" s="247" t="s">
        <v>3169</v>
      </c>
      <c r="G586" s="139">
        <v>0</v>
      </c>
      <c r="H586" s="139">
        <v>34030463.539999999</v>
      </c>
      <c r="I586" s="139">
        <v>34030463.539999999</v>
      </c>
      <c r="J586" s="139">
        <v>34030463.539999999</v>
      </c>
      <c r="K586" s="139">
        <v>34030463.539999999</v>
      </c>
      <c r="L586" s="139" t="s">
        <v>3169</v>
      </c>
      <c r="M586" s="139">
        <v>0</v>
      </c>
    </row>
    <row r="587" spans="2:13">
      <c r="B587" s="151" t="str">
        <f>_xlfn.IFNA(VLOOKUP(D587,标准编码!A:B,2,0),"")</f>
        <v/>
      </c>
      <c r="D587" s="247">
        <v>60011101</v>
      </c>
      <c r="E587" s="247" t="s">
        <v>3746</v>
      </c>
      <c r="F587" s="247" t="s">
        <v>3169</v>
      </c>
      <c r="G587" s="139">
        <v>0</v>
      </c>
      <c r="H587" s="139">
        <v>32310694.23</v>
      </c>
      <c r="I587" s="139">
        <v>32310694.23</v>
      </c>
      <c r="J587" s="139">
        <v>32310694.23</v>
      </c>
      <c r="K587" s="139">
        <v>32310694.23</v>
      </c>
      <c r="L587" s="139" t="s">
        <v>3169</v>
      </c>
      <c r="M587" s="139">
        <v>0</v>
      </c>
    </row>
    <row r="588" spans="2:13">
      <c r="B588" s="151" t="str">
        <f>_xlfn.IFNA(VLOOKUP(D588,标准编码!A:B,2,0),"")</f>
        <v/>
      </c>
      <c r="D588" s="247">
        <v>6001110101</v>
      </c>
      <c r="E588" s="247" t="s">
        <v>3747</v>
      </c>
      <c r="F588" s="247" t="s">
        <v>3169</v>
      </c>
      <c r="G588" s="139">
        <v>0</v>
      </c>
      <c r="H588" s="139">
        <v>24065148.66</v>
      </c>
      <c r="I588" s="139">
        <v>24065148.66</v>
      </c>
      <c r="J588" s="139">
        <v>24065148.66</v>
      </c>
      <c r="K588" s="139">
        <v>24065148.66</v>
      </c>
      <c r="L588" s="139" t="s">
        <v>3169</v>
      </c>
      <c r="M588" s="139">
        <v>0</v>
      </c>
    </row>
    <row r="589" spans="2:13">
      <c r="B589" s="151" t="str">
        <f>_xlfn.IFNA(VLOOKUP(D589,标准编码!A:B,2,0),"")</f>
        <v/>
      </c>
      <c r="D589" s="247">
        <v>600111010101</v>
      </c>
      <c r="E589" s="247" t="s">
        <v>3748</v>
      </c>
      <c r="F589" s="247" t="s">
        <v>3169</v>
      </c>
      <c r="G589" s="139">
        <v>0</v>
      </c>
      <c r="H589" s="139">
        <v>23636188.039999999</v>
      </c>
      <c r="I589" s="139">
        <v>23636188.039999999</v>
      </c>
      <c r="J589" s="139">
        <v>23636188.039999999</v>
      </c>
      <c r="K589" s="139">
        <v>23636188.039999999</v>
      </c>
      <c r="L589" s="139" t="s">
        <v>3169</v>
      </c>
      <c r="M589" s="139">
        <v>0</v>
      </c>
    </row>
    <row r="590" spans="2:13">
      <c r="B590" s="151" t="str">
        <f>_xlfn.IFNA(VLOOKUP(D590,标准编码!A:B,2,0),"")</f>
        <v/>
      </c>
      <c r="D590" s="247">
        <v>600111010102</v>
      </c>
      <c r="E590" s="247" t="s">
        <v>3749</v>
      </c>
      <c r="F590" s="247" t="s">
        <v>3169</v>
      </c>
      <c r="G590" s="139">
        <v>0</v>
      </c>
      <c r="H590" s="139">
        <v>428960.62</v>
      </c>
      <c r="I590" s="139">
        <v>428960.62</v>
      </c>
      <c r="J590" s="139">
        <v>428960.62</v>
      </c>
      <c r="K590" s="139">
        <v>428960.62</v>
      </c>
      <c r="L590" s="139" t="s">
        <v>3169</v>
      </c>
      <c r="M590" s="139">
        <v>0</v>
      </c>
    </row>
    <row r="591" spans="2:13">
      <c r="B591" s="151" t="str">
        <f>_xlfn.IFNA(VLOOKUP(D591,标准编码!A:B,2,0),"")</f>
        <v/>
      </c>
      <c r="D591" s="247">
        <v>6001110102</v>
      </c>
      <c r="E591" s="247" t="s">
        <v>3750</v>
      </c>
      <c r="F591" s="247" t="s">
        <v>3169</v>
      </c>
      <c r="G591" s="139">
        <v>0</v>
      </c>
      <c r="H591" s="139">
        <v>7975934.54</v>
      </c>
      <c r="I591" s="139">
        <v>7975934.54</v>
      </c>
      <c r="J591" s="139">
        <v>7975934.54</v>
      </c>
      <c r="K591" s="139">
        <v>7975934.54</v>
      </c>
      <c r="L591" s="139" t="s">
        <v>3169</v>
      </c>
      <c r="M591" s="139">
        <v>0</v>
      </c>
    </row>
    <row r="592" spans="2:13">
      <c r="B592" s="151" t="str">
        <f>_xlfn.IFNA(VLOOKUP(D592,标准编码!A:B,2,0),"")</f>
        <v/>
      </c>
      <c r="D592" s="247">
        <v>6001110103</v>
      </c>
      <c r="E592" s="247" t="s">
        <v>3751</v>
      </c>
      <c r="F592" s="247" t="s">
        <v>3169</v>
      </c>
      <c r="G592" s="139">
        <v>0</v>
      </c>
      <c r="H592" s="139">
        <v>269611.03000000003</v>
      </c>
      <c r="I592" s="139">
        <v>269611.03000000003</v>
      </c>
      <c r="J592" s="139">
        <v>269611.03000000003</v>
      </c>
      <c r="K592" s="139">
        <v>269611.03000000003</v>
      </c>
      <c r="L592" s="139" t="s">
        <v>3169</v>
      </c>
      <c r="M592" s="139">
        <v>0</v>
      </c>
    </row>
    <row r="593" spans="2:13">
      <c r="B593" s="151" t="str">
        <f>_xlfn.IFNA(VLOOKUP(D593,标准编码!A:B,2,0),"")</f>
        <v/>
      </c>
      <c r="D593" s="247">
        <v>60011102</v>
      </c>
      <c r="E593" s="247" t="s">
        <v>3752</v>
      </c>
      <c r="F593" s="247" t="s">
        <v>3169</v>
      </c>
      <c r="G593" s="139">
        <v>0</v>
      </c>
      <c r="H593" s="139">
        <v>1456848.56</v>
      </c>
      <c r="I593" s="139">
        <v>1456848.56</v>
      </c>
      <c r="J593" s="139">
        <v>1456848.56</v>
      </c>
      <c r="K593" s="139">
        <v>1456848.56</v>
      </c>
      <c r="L593" s="139" t="s">
        <v>3169</v>
      </c>
      <c r="M593" s="139">
        <v>0</v>
      </c>
    </row>
    <row r="594" spans="2:13">
      <c r="B594" s="151" t="str">
        <f>_xlfn.IFNA(VLOOKUP(D594,标准编码!A:B,2,0),"")</f>
        <v/>
      </c>
      <c r="D594" s="247">
        <v>6001110201</v>
      </c>
      <c r="E594" s="247" t="s">
        <v>3753</v>
      </c>
      <c r="F594" s="247" t="s">
        <v>3169</v>
      </c>
      <c r="G594" s="139">
        <v>0</v>
      </c>
      <c r="H594" s="139">
        <v>291458.65999999997</v>
      </c>
      <c r="I594" s="139">
        <v>291458.65999999997</v>
      </c>
      <c r="J594" s="139">
        <v>291458.65999999997</v>
      </c>
      <c r="K594" s="139">
        <v>291458.65999999997</v>
      </c>
      <c r="L594" s="139" t="s">
        <v>3169</v>
      </c>
      <c r="M594" s="139">
        <v>0</v>
      </c>
    </row>
    <row r="595" spans="2:13">
      <c r="B595" s="151" t="str">
        <f>_xlfn.IFNA(VLOOKUP(D595,标准编码!A:B,2,0),"")</f>
        <v/>
      </c>
      <c r="D595" s="247">
        <v>6001110202</v>
      </c>
      <c r="E595" s="247" t="s">
        <v>3754</v>
      </c>
      <c r="F595" s="247" t="s">
        <v>3169</v>
      </c>
      <c r="G595" s="139">
        <v>0</v>
      </c>
      <c r="H595" s="139">
        <v>291329.62</v>
      </c>
      <c r="I595" s="139">
        <v>291329.62</v>
      </c>
      <c r="J595" s="139">
        <v>291329.62</v>
      </c>
      <c r="K595" s="139">
        <v>291329.62</v>
      </c>
      <c r="L595" s="139" t="s">
        <v>3169</v>
      </c>
      <c r="M595" s="139">
        <v>0</v>
      </c>
    </row>
    <row r="596" spans="2:13">
      <c r="B596" s="151" t="str">
        <f>_xlfn.IFNA(VLOOKUP(D596,标准编码!A:B,2,0),"")</f>
        <v/>
      </c>
      <c r="D596" s="247">
        <v>6001110204</v>
      </c>
      <c r="E596" s="247" t="s">
        <v>3755</v>
      </c>
      <c r="F596" s="247" t="s">
        <v>3169</v>
      </c>
      <c r="G596" s="139">
        <v>0</v>
      </c>
      <c r="H596" s="139">
        <v>291391.52</v>
      </c>
      <c r="I596" s="139">
        <v>291391.52</v>
      </c>
      <c r="J596" s="139">
        <v>291391.52</v>
      </c>
      <c r="K596" s="139">
        <v>291391.52</v>
      </c>
      <c r="L596" s="139" t="s">
        <v>3169</v>
      </c>
      <c r="M596" s="139">
        <v>0</v>
      </c>
    </row>
    <row r="597" spans="2:13">
      <c r="B597" s="151" t="str">
        <f>_xlfn.IFNA(VLOOKUP(D597,标准编码!A:B,2,0),"")</f>
        <v/>
      </c>
      <c r="D597" s="247">
        <v>6001110205</v>
      </c>
      <c r="E597" s="247" t="s">
        <v>3756</v>
      </c>
      <c r="F597" s="247" t="s">
        <v>3169</v>
      </c>
      <c r="G597" s="139">
        <v>0</v>
      </c>
      <c r="H597" s="139">
        <v>291329.62</v>
      </c>
      <c r="I597" s="139">
        <v>291329.62</v>
      </c>
      <c r="J597" s="139">
        <v>291329.62</v>
      </c>
      <c r="K597" s="139">
        <v>291329.62</v>
      </c>
      <c r="L597" s="139" t="s">
        <v>3169</v>
      </c>
      <c r="M597" s="139">
        <v>0</v>
      </c>
    </row>
    <row r="598" spans="2:13">
      <c r="B598" s="151" t="str">
        <f>_xlfn.IFNA(VLOOKUP(D598,标准编码!A:B,2,0),"")</f>
        <v/>
      </c>
      <c r="D598" s="247">
        <v>6001110206</v>
      </c>
      <c r="E598" s="247" t="s">
        <v>3757</v>
      </c>
      <c r="F598" s="247" t="s">
        <v>3169</v>
      </c>
      <c r="G598" s="139">
        <v>0</v>
      </c>
      <c r="H598" s="139">
        <v>291339.14</v>
      </c>
      <c r="I598" s="139">
        <v>291339.14</v>
      </c>
      <c r="J598" s="139">
        <v>291339.14</v>
      </c>
      <c r="K598" s="139">
        <v>291339.14</v>
      </c>
      <c r="L598" s="139" t="s">
        <v>3169</v>
      </c>
      <c r="M598" s="139">
        <v>0</v>
      </c>
    </row>
    <row r="599" spans="2:13">
      <c r="B599" s="151" t="str">
        <f>_xlfn.IFNA(VLOOKUP(D599,标准编码!A:B,2,0),"")</f>
        <v/>
      </c>
      <c r="D599" s="247">
        <v>60011103</v>
      </c>
      <c r="E599" s="247" t="s">
        <v>3758</v>
      </c>
      <c r="F599" s="247" t="s">
        <v>3169</v>
      </c>
      <c r="G599" s="139">
        <v>0</v>
      </c>
      <c r="H599" s="139">
        <v>262920.75</v>
      </c>
      <c r="I599" s="139">
        <v>262920.75</v>
      </c>
      <c r="J599" s="139">
        <v>262920.75</v>
      </c>
      <c r="K599" s="139">
        <v>262920.75</v>
      </c>
      <c r="L599" s="139" t="s">
        <v>3169</v>
      </c>
      <c r="M599" s="139">
        <v>0</v>
      </c>
    </row>
    <row r="600" spans="2:13">
      <c r="B600" s="151" t="str">
        <f>_xlfn.IFNA(VLOOKUP(D600,标准编码!A:B,2,0),"")</f>
        <v/>
      </c>
      <c r="D600" s="247">
        <v>6001110306</v>
      </c>
      <c r="E600" s="247" t="s">
        <v>3759</v>
      </c>
      <c r="F600" s="247" t="s">
        <v>3169</v>
      </c>
      <c r="G600" s="139">
        <v>0</v>
      </c>
      <c r="H600" s="139">
        <v>61320.75</v>
      </c>
      <c r="I600" s="139">
        <v>61320.75</v>
      </c>
      <c r="J600" s="139">
        <v>61320.75</v>
      </c>
      <c r="K600" s="139">
        <v>61320.75</v>
      </c>
      <c r="L600" s="139" t="s">
        <v>3169</v>
      </c>
      <c r="M600" s="139">
        <v>0</v>
      </c>
    </row>
    <row r="601" spans="2:13">
      <c r="B601" s="151" t="str">
        <f>_xlfn.IFNA(VLOOKUP(D601,标准编码!A:B,2,0),"")</f>
        <v/>
      </c>
      <c r="D601" s="247">
        <v>6001110307</v>
      </c>
      <c r="E601" s="247" t="s">
        <v>3760</v>
      </c>
      <c r="F601" s="247" t="s">
        <v>3169</v>
      </c>
      <c r="G601" s="139">
        <v>0</v>
      </c>
      <c r="H601" s="139">
        <v>201600</v>
      </c>
      <c r="I601" s="139">
        <v>201600</v>
      </c>
      <c r="J601" s="139">
        <v>201600</v>
      </c>
      <c r="K601" s="139">
        <v>201600</v>
      </c>
      <c r="L601" s="139" t="s">
        <v>3169</v>
      </c>
      <c r="M601" s="139">
        <v>0</v>
      </c>
    </row>
    <row r="602" spans="2:13">
      <c r="B602" s="151" t="str">
        <f>_xlfn.IFNA(VLOOKUP(D602,标准编码!A:B,2,0),"")</f>
        <v/>
      </c>
      <c r="D602" s="247">
        <v>600112</v>
      </c>
      <c r="E602" s="247" t="s">
        <v>3761</v>
      </c>
      <c r="F602" s="247" t="s">
        <v>3169</v>
      </c>
      <c r="G602" s="139">
        <v>0</v>
      </c>
      <c r="H602" s="139">
        <v>43692049.219999999</v>
      </c>
      <c r="I602" s="139">
        <v>43692049.219999999</v>
      </c>
      <c r="J602" s="139">
        <v>43692049.219999999</v>
      </c>
      <c r="K602" s="139">
        <v>43692049.219999999</v>
      </c>
      <c r="L602" s="139" t="s">
        <v>3169</v>
      </c>
      <c r="M602" s="139">
        <v>0</v>
      </c>
    </row>
    <row r="603" spans="2:13">
      <c r="B603" s="151" t="str">
        <f>_xlfn.IFNA(VLOOKUP(D603,标准编码!A:B,2,0),"")</f>
        <v/>
      </c>
      <c r="D603" s="247">
        <v>60011201</v>
      </c>
      <c r="E603" s="247" t="s">
        <v>3762</v>
      </c>
      <c r="F603" s="247" t="s">
        <v>3169</v>
      </c>
      <c r="G603" s="139">
        <v>0</v>
      </c>
      <c r="H603" s="139">
        <v>43692049.219999999</v>
      </c>
      <c r="I603" s="139">
        <v>43692049.219999999</v>
      </c>
      <c r="J603" s="139">
        <v>43692049.219999999</v>
      </c>
      <c r="K603" s="139">
        <v>43692049.219999999</v>
      </c>
      <c r="L603" s="139" t="s">
        <v>3169</v>
      </c>
      <c r="M603" s="139">
        <v>0</v>
      </c>
    </row>
    <row r="604" spans="2:13">
      <c r="B604" s="151" t="str">
        <f>_xlfn.IFNA(VLOOKUP(D604,标准编码!A:B,2,0),"")</f>
        <v/>
      </c>
      <c r="D604" s="247">
        <v>6001120101</v>
      </c>
      <c r="E604" s="247" t="s">
        <v>3763</v>
      </c>
      <c r="F604" s="247" t="s">
        <v>3169</v>
      </c>
      <c r="G604" s="139">
        <v>0</v>
      </c>
      <c r="H604" s="139">
        <v>4560391.5199999996</v>
      </c>
      <c r="I604" s="139">
        <v>4560391.5199999996</v>
      </c>
      <c r="J604" s="139">
        <v>4560391.5199999996</v>
      </c>
      <c r="K604" s="139">
        <v>4560391.5199999996</v>
      </c>
      <c r="L604" s="139" t="s">
        <v>3169</v>
      </c>
      <c r="M604" s="139">
        <v>0</v>
      </c>
    </row>
    <row r="605" spans="2:13">
      <c r="B605" s="151" t="str">
        <f>_xlfn.IFNA(VLOOKUP(D605,标准编码!A:B,2,0),"")</f>
        <v/>
      </c>
      <c r="D605" s="247">
        <v>6001120102</v>
      </c>
      <c r="E605" s="247" t="s">
        <v>3764</v>
      </c>
      <c r="F605" s="247" t="s">
        <v>3169</v>
      </c>
      <c r="G605" s="139">
        <v>0</v>
      </c>
      <c r="H605" s="139">
        <v>11342427.4</v>
      </c>
      <c r="I605" s="139">
        <v>11342427.4</v>
      </c>
      <c r="J605" s="139">
        <v>11342427.4</v>
      </c>
      <c r="K605" s="139">
        <v>11342427.4</v>
      </c>
      <c r="L605" s="139" t="s">
        <v>3169</v>
      </c>
      <c r="M605" s="139">
        <v>0</v>
      </c>
    </row>
    <row r="606" spans="2:13">
      <c r="B606" s="151" t="str">
        <f>_xlfn.IFNA(VLOOKUP(D606,标准编码!A:B,2,0),"")</f>
        <v/>
      </c>
      <c r="D606" s="247">
        <v>6001120103</v>
      </c>
      <c r="E606" s="247" t="s">
        <v>3765</v>
      </c>
      <c r="F606" s="247" t="s">
        <v>3169</v>
      </c>
      <c r="G606" s="139">
        <v>0</v>
      </c>
      <c r="H606" s="139">
        <v>2936258.5</v>
      </c>
      <c r="I606" s="139">
        <v>2936258.5</v>
      </c>
      <c r="J606" s="139">
        <v>2936258.5</v>
      </c>
      <c r="K606" s="139">
        <v>2936258.5</v>
      </c>
      <c r="L606" s="139" t="s">
        <v>3169</v>
      </c>
      <c r="M606" s="139">
        <v>0</v>
      </c>
    </row>
    <row r="607" spans="2:13">
      <c r="B607" s="151" t="str">
        <f>_xlfn.IFNA(VLOOKUP(D607,标准编码!A:B,2,0),"")</f>
        <v/>
      </c>
      <c r="D607" s="247">
        <v>6001120104</v>
      </c>
      <c r="E607" s="247" t="s">
        <v>3766</v>
      </c>
      <c r="F607" s="247" t="s">
        <v>3169</v>
      </c>
      <c r="G607" s="139">
        <v>0</v>
      </c>
      <c r="H607" s="139">
        <v>0</v>
      </c>
      <c r="I607" s="139">
        <v>0</v>
      </c>
      <c r="J607" s="139">
        <v>0</v>
      </c>
      <c r="K607" s="139">
        <v>0</v>
      </c>
      <c r="L607" s="139" t="s">
        <v>3169</v>
      </c>
      <c r="M607" s="139">
        <v>0</v>
      </c>
    </row>
    <row r="608" spans="2:13">
      <c r="B608" s="151" t="str">
        <f>_xlfn.IFNA(VLOOKUP(D608,标准编码!A:B,2,0),"")</f>
        <v/>
      </c>
      <c r="D608" s="247">
        <v>6001120106</v>
      </c>
      <c r="E608" s="247" t="s">
        <v>3767</v>
      </c>
      <c r="F608" s="247" t="s">
        <v>3169</v>
      </c>
      <c r="G608" s="139">
        <v>0</v>
      </c>
      <c r="H608" s="139">
        <v>19912250.800000001</v>
      </c>
      <c r="I608" s="139">
        <v>19912250.800000001</v>
      </c>
      <c r="J608" s="139">
        <v>19912250.800000001</v>
      </c>
      <c r="K608" s="139">
        <v>19912250.800000001</v>
      </c>
      <c r="L608" s="139" t="s">
        <v>3169</v>
      </c>
      <c r="M608" s="139">
        <v>0</v>
      </c>
    </row>
    <row r="609" spans="2:13">
      <c r="B609" s="151" t="str">
        <f>_xlfn.IFNA(VLOOKUP(D609,标准编码!A:B,2,0),"")</f>
        <v/>
      </c>
      <c r="D609" s="247">
        <v>6001120107</v>
      </c>
      <c r="E609" s="247" t="s">
        <v>3768</v>
      </c>
      <c r="F609" s="247" t="s">
        <v>3169</v>
      </c>
      <c r="G609" s="139">
        <v>0</v>
      </c>
      <c r="H609" s="139">
        <v>4940721</v>
      </c>
      <c r="I609" s="139">
        <v>4940721</v>
      </c>
      <c r="J609" s="139">
        <v>4940721</v>
      </c>
      <c r="K609" s="139">
        <v>4940721</v>
      </c>
      <c r="L609" s="139" t="s">
        <v>3169</v>
      </c>
      <c r="M609" s="139">
        <v>0</v>
      </c>
    </row>
    <row r="610" spans="2:13">
      <c r="B610" s="151" t="str">
        <f>_xlfn.IFNA(VLOOKUP(D610,标准编码!A:B,2,0),"")</f>
        <v/>
      </c>
      <c r="D610" s="247">
        <v>600118</v>
      </c>
      <c r="E610" s="247" t="s">
        <v>3769</v>
      </c>
      <c r="F610" s="247" t="s">
        <v>3169</v>
      </c>
      <c r="G610" s="139">
        <v>0</v>
      </c>
      <c r="H610" s="139">
        <v>4507.08</v>
      </c>
      <c r="I610" s="139">
        <v>4507.08</v>
      </c>
      <c r="J610" s="139">
        <v>4507.08</v>
      </c>
      <c r="K610" s="139">
        <v>4507.08</v>
      </c>
      <c r="L610" s="139" t="s">
        <v>3169</v>
      </c>
      <c r="M610" s="139">
        <v>0</v>
      </c>
    </row>
    <row r="611" spans="2:13">
      <c r="B611" s="151" t="str">
        <f>_xlfn.IFNA(VLOOKUP(D611,标准编码!A:B,2,0),"")</f>
        <v/>
      </c>
      <c r="D611" s="247">
        <v>600131</v>
      </c>
      <c r="E611" s="247" t="s">
        <v>3770</v>
      </c>
      <c r="F611" s="247" t="s">
        <v>3169</v>
      </c>
      <c r="G611" s="139">
        <v>0</v>
      </c>
      <c r="H611" s="139">
        <v>59577337.840000004</v>
      </c>
      <c r="I611" s="139">
        <v>59577337.840000004</v>
      </c>
      <c r="J611" s="139">
        <v>59577337.840000004</v>
      </c>
      <c r="K611" s="139">
        <v>59577337.840000004</v>
      </c>
      <c r="L611" s="139" t="s">
        <v>3169</v>
      </c>
      <c r="M611" s="139">
        <v>0</v>
      </c>
    </row>
    <row r="612" spans="2:13">
      <c r="B612" s="151" t="str">
        <f>_xlfn.IFNA(VLOOKUP(D612,标准编码!A:B,2,0),"")</f>
        <v>其他业务收入</v>
      </c>
      <c r="D612" s="247">
        <v>6002</v>
      </c>
      <c r="E612" s="247" t="s">
        <v>3771</v>
      </c>
      <c r="F612" s="247" t="s">
        <v>3169</v>
      </c>
      <c r="G612" s="139">
        <v>0</v>
      </c>
      <c r="H612" s="139">
        <v>97794480.159999996</v>
      </c>
      <c r="I612" s="139">
        <v>97794480.159999996</v>
      </c>
      <c r="J612" s="139">
        <v>97794480.159999996</v>
      </c>
      <c r="K612" s="139">
        <v>97794480.159999996</v>
      </c>
      <c r="L612" s="139" t="s">
        <v>3169</v>
      </c>
      <c r="M612" s="139">
        <v>0</v>
      </c>
    </row>
    <row r="613" spans="2:13">
      <c r="B613" s="151" t="str">
        <f>_xlfn.IFNA(VLOOKUP(D613,标准编码!A:B,2,0),"")</f>
        <v/>
      </c>
      <c r="D613" s="247">
        <v>600206</v>
      </c>
      <c r="E613" s="247" t="s">
        <v>3772</v>
      </c>
      <c r="F613" s="247" t="s">
        <v>3169</v>
      </c>
      <c r="G613" s="139">
        <v>0</v>
      </c>
      <c r="H613" s="139">
        <v>4704728.5999999996</v>
      </c>
      <c r="I613" s="139">
        <v>4704728.5999999996</v>
      </c>
      <c r="J613" s="139">
        <v>4704728.5999999996</v>
      </c>
      <c r="K613" s="139">
        <v>4704728.5999999996</v>
      </c>
      <c r="L613" s="139" t="s">
        <v>3169</v>
      </c>
      <c r="M613" s="139">
        <v>0</v>
      </c>
    </row>
    <row r="614" spans="2:13">
      <c r="B614" s="151" t="str">
        <f>_xlfn.IFNA(VLOOKUP(D614,标准编码!A:B,2,0),"")</f>
        <v/>
      </c>
      <c r="D614" s="247">
        <v>600207</v>
      </c>
      <c r="E614" s="247" t="s">
        <v>3773</v>
      </c>
      <c r="F614" s="247" t="s">
        <v>3169</v>
      </c>
      <c r="G614" s="139">
        <v>0</v>
      </c>
      <c r="H614" s="139">
        <v>82393750.980000004</v>
      </c>
      <c r="I614" s="139">
        <v>82393750.980000004</v>
      </c>
      <c r="J614" s="139">
        <v>82393750.980000004</v>
      </c>
      <c r="K614" s="139">
        <v>82393750.980000004</v>
      </c>
      <c r="L614" s="139" t="s">
        <v>3169</v>
      </c>
      <c r="M614" s="139">
        <v>0</v>
      </c>
    </row>
    <row r="615" spans="2:13">
      <c r="B615" s="151" t="str">
        <f>_xlfn.IFNA(VLOOKUP(D615,标准编码!A:B,2,0),"")</f>
        <v/>
      </c>
      <c r="D615" s="247">
        <v>600219</v>
      </c>
      <c r="E615" s="247" t="s">
        <v>3774</v>
      </c>
      <c r="F615" s="247" t="s">
        <v>3169</v>
      </c>
      <c r="G615" s="139">
        <v>0</v>
      </c>
      <c r="H615" s="139">
        <v>4859276.7300000004</v>
      </c>
      <c r="I615" s="139">
        <v>4859276.7300000004</v>
      </c>
      <c r="J615" s="139">
        <v>4859276.7300000004</v>
      </c>
      <c r="K615" s="139">
        <v>4859276.7300000004</v>
      </c>
      <c r="L615" s="139" t="s">
        <v>3169</v>
      </c>
      <c r="M615" s="139">
        <v>0</v>
      </c>
    </row>
    <row r="616" spans="2:13">
      <c r="B616" s="151" t="str">
        <f>_xlfn.IFNA(VLOOKUP(D616,标准编码!A:B,2,0),"")</f>
        <v/>
      </c>
      <c r="D616" s="247">
        <v>600299</v>
      </c>
      <c r="E616" s="247" t="s">
        <v>3775</v>
      </c>
      <c r="F616" s="247" t="s">
        <v>3169</v>
      </c>
      <c r="G616" s="139">
        <v>0</v>
      </c>
      <c r="H616" s="139">
        <v>5836723.8499999996</v>
      </c>
      <c r="I616" s="139">
        <v>5836723.8499999996</v>
      </c>
      <c r="J616" s="139">
        <v>5836723.8499999996</v>
      </c>
      <c r="K616" s="139">
        <v>5836723.8499999996</v>
      </c>
      <c r="L616" s="139" t="s">
        <v>3169</v>
      </c>
      <c r="M616" s="139">
        <v>0</v>
      </c>
    </row>
    <row r="617" spans="2:13">
      <c r="B617" s="151" t="str">
        <f>_xlfn.IFNA(VLOOKUP(D617,标准编码!A:B,2,0),"")</f>
        <v>其他收益</v>
      </c>
      <c r="D617" s="247">
        <v>6102</v>
      </c>
      <c r="E617" s="247" t="s">
        <v>3776</v>
      </c>
      <c r="F617" s="247" t="s">
        <v>3169</v>
      </c>
      <c r="G617" s="139">
        <v>0</v>
      </c>
      <c r="H617" s="139">
        <v>74328000</v>
      </c>
      <c r="I617" s="139">
        <v>74328000</v>
      </c>
      <c r="J617" s="139">
        <v>74328000</v>
      </c>
      <c r="K617" s="139">
        <v>74328000</v>
      </c>
      <c r="L617" s="139" t="s">
        <v>3169</v>
      </c>
      <c r="M617" s="139">
        <v>0</v>
      </c>
    </row>
    <row r="618" spans="2:13">
      <c r="B618" s="151" t="str">
        <f>_xlfn.IFNA(VLOOKUP(D618,标准编码!A:B,2,0),"")</f>
        <v/>
      </c>
      <c r="D618" s="247">
        <v>610201</v>
      </c>
      <c r="E618" s="247" t="s">
        <v>3777</v>
      </c>
      <c r="F618" s="247" t="s">
        <v>3169</v>
      </c>
      <c r="G618" s="139">
        <v>0</v>
      </c>
      <c r="H618" s="139">
        <v>74328000</v>
      </c>
      <c r="I618" s="139">
        <v>74328000</v>
      </c>
      <c r="J618" s="139">
        <v>74328000</v>
      </c>
      <c r="K618" s="139">
        <v>74328000</v>
      </c>
      <c r="L618" s="139" t="s">
        <v>3169</v>
      </c>
      <c r="M618" s="139">
        <v>0</v>
      </c>
    </row>
    <row r="619" spans="2:13">
      <c r="B619" s="151" t="str">
        <f>_xlfn.IFNA(VLOOKUP(D619,标准编码!A:B,2,0),"")</f>
        <v>投资收益</v>
      </c>
      <c r="D619" s="247">
        <v>6111</v>
      </c>
      <c r="E619" s="247" t="s">
        <v>3778</v>
      </c>
      <c r="F619" s="247" t="s">
        <v>3169</v>
      </c>
      <c r="G619" s="139">
        <v>0</v>
      </c>
      <c r="H619" s="139">
        <v>246513625.72</v>
      </c>
      <c r="I619" s="139">
        <v>246513625.72</v>
      </c>
      <c r="J619" s="139">
        <v>246513625.72</v>
      </c>
      <c r="K619" s="139">
        <v>246513625.72</v>
      </c>
      <c r="L619" s="139" t="s">
        <v>3169</v>
      </c>
      <c r="M619" s="139">
        <v>0</v>
      </c>
    </row>
    <row r="620" spans="2:13">
      <c r="B620" s="151" t="str">
        <f>_xlfn.IFNA(VLOOKUP(D620,标准编码!A:B,2,0),"")</f>
        <v/>
      </c>
      <c r="D620" s="247">
        <v>611101</v>
      </c>
      <c r="E620" s="247" t="s">
        <v>3779</v>
      </c>
      <c r="F620" s="247" t="s">
        <v>3169</v>
      </c>
      <c r="G620" s="139">
        <v>0</v>
      </c>
      <c r="H620" s="139">
        <v>207430456.78</v>
      </c>
      <c r="I620" s="139">
        <v>207430456.78</v>
      </c>
      <c r="J620" s="139">
        <v>207430456.78</v>
      </c>
      <c r="K620" s="139">
        <v>207430456.78</v>
      </c>
      <c r="L620" s="139" t="s">
        <v>3169</v>
      </c>
      <c r="M620" s="139">
        <v>0</v>
      </c>
    </row>
    <row r="621" spans="2:13">
      <c r="B621" s="151" t="str">
        <f>_xlfn.IFNA(VLOOKUP(D621,标准编码!A:B,2,0),"")</f>
        <v/>
      </c>
      <c r="D621" s="247">
        <v>61110101</v>
      </c>
      <c r="E621" s="247" t="s">
        <v>3780</v>
      </c>
      <c r="F621" s="247" t="s">
        <v>3169</v>
      </c>
      <c r="G621" s="139">
        <v>0</v>
      </c>
      <c r="H621" s="139">
        <v>179831722.00999999</v>
      </c>
      <c r="I621" s="139">
        <v>179831722.00999999</v>
      </c>
      <c r="J621" s="139">
        <v>179831722.00999999</v>
      </c>
      <c r="K621" s="139">
        <v>179831722.00999999</v>
      </c>
      <c r="L621" s="139" t="s">
        <v>3169</v>
      </c>
      <c r="M621" s="139">
        <v>0</v>
      </c>
    </row>
    <row r="622" spans="2:13">
      <c r="B622" s="151" t="str">
        <f>_xlfn.IFNA(VLOOKUP(D622,标准编码!A:B,2,0),"")</f>
        <v/>
      </c>
      <c r="D622" s="247">
        <v>61110102</v>
      </c>
      <c r="E622" s="247" t="s">
        <v>3781</v>
      </c>
      <c r="F622" s="247" t="s">
        <v>3169</v>
      </c>
      <c r="G622" s="139">
        <v>0</v>
      </c>
      <c r="H622" s="139">
        <v>27598734.77</v>
      </c>
      <c r="I622" s="139">
        <v>27598734.77</v>
      </c>
      <c r="J622" s="139">
        <v>27598734.77</v>
      </c>
      <c r="K622" s="139">
        <v>27598734.77</v>
      </c>
      <c r="L622" s="139" t="s">
        <v>3169</v>
      </c>
      <c r="M622" s="139">
        <v>0</v>
      </c>
    </row>
    <row r="623" spans="2:13">
      <c r="B623" s="151" t="str">
        <f>_xlfn.IFNA(VLOOKUP(D623,标准编码!A:B,2,0),"")</f>
        <v/>
      </c>
      <c r="D623" s="247">
        <v>611105</v>
      </c>
      <c r="E623" s="247" t="s">
        <v>3782</v>
      </c>
      <c r="F623" s="247" t="s">
        <v>3169</v>
      </c>
      <c r="G623" s="139">
        <v>0</v>
      </c>
      <c r="H623" s="139">
        <v>39083168.939999998</v>
      </c>
      <c r="I623" s="139">
        <v>39083168.939999998</v>
      </c>
      <c r="J623" s="139">
        <v>39083168.939999998</v>
      </c>
      <c r="K623" s="139">
        <v>39083168.939999998</v>
      </c>
      <c r="L623" s="139" t="s">
        <v>3169</v>
      </c>
      <c r="M623" s="139">
        <v>0</v>
      </c>
    </row>
    <row r="624" spans="2:13">
      <c r="B624" s="151" t="str">
        <f>_xlfn.IFNA(VLOOKUP(D624,标准编码!A:B,2,0),"")</f>
        <v>营业外收入</v>
      </c>
      <c r="D624" s="247">
        <v>6301</v>
      </c>
      <c r="E624" s="247" t="s">
        <v>3783</v>
      </c>
      <c r="F624" s="247" t="s">
        <v>3169</v>
      </c>
      <c r="G624" s="139">
        <v>0</v>
      </c>
      <c r="H624" s="139">
        <v>36628434.68</v>
      </c>
      <c r="I624" s="139">
        <v>36628434.68</v>
      </c>
      <c r="J624" s="139">
        <v>36628434.68</v>
      </c>
      <c r="K624" s="139">
        <v>36628434.68</v>
      </c>
      <c r="L624" s="139" t="s">
        <v>3169</v>
      </c>
      <c r="M624" s="139">
        <v>0</v>
      </c>
    </row>
    <row r="625" spans="2:13">
      <c r="B625" s="151" t="str">
        <f>_xlfn.IFNA(VLOOKUP(D625,标准编码!A:B,2,0),"")</f>
        <v/>
      </c>
      <c r="D625" s="247">
        <v>630101</v>
      </c>
      <c r="E625" s="247" t="s">
        <v>3784</v>
      </c>
      <c r="F625" s="247" t="s">
        <v>3169</v>
      </c>
      <c r="G625" s="139">
        <v>0</v>
      </c>
      <c r="H625" s="139">
        <v>94448.27</v>
      </c>
      <c r="I625" s="139">
        <v>94448.27</v>
      </c>
      <c r="J625" s="139">
        <v>94448.27</v>
      </c>
      <c r="K625" s="139">
        <v>94448.27</v>
      </c>
      <c r="L625" s="139" t="s">
        <v>3169</v>
      </c>
      <c r="M625" s="139">
        <v>0</v>
      </c>
    </row>
    <row r="626" spans="2:13">
      <c r="B626" s="151" t="str">
        <f>_xlfn.IFNA(VLOOKUP(D626,标准编码!A:B,2,0),"")</f>
        <v/>
      </c>
      <c r="D626" s="247">
        <v>63010101</v>
      </c>
      <c r="E626" s="247" t="s">
        <v>3785</v>
      </c>
      <c r="F626" s="247" t="s">
        <v>3169</v>
      </c>
      <c r="G626" s="139">
        <v>0</v>
      </c>
      <c r="H626" s="139">
        <v>94448.27</v>
      </c>
      <c r="I626" s="139">
        <v>94448.27</v>
      </c>
      <c r="J626" s="139">
        <v>94448.27</v>
      </c>
      <c r="K626" s="139">
        <v>94448.27</v>
      </c>
      <c r="L626" s="139" t="s">
        <v>3169</v>
      </c>
      <c r="M626" s="139">
        <v>0</v>
      </c>
    </row>
    <row r="627" spans="2:13">
      <c r="B627" s="151" t="str">
        <f>_xlfn.IFNA(VLOOKUP(D627,标准编码!A:B,2,0),"")</f>
        <v/>
      </c>
      <c r="D627" s="247">
        <v>630106</v>
      </c>
      <c r="E627" s="247" t="s">
        <v>3786</v>
      </c>
      <c r="F627" s="247" t="s">
        <v>3169</v>
      </c>
      <c r="G627" s="139">
        <v>0</v>
      </c>
      <c r="H627" s="139">
        <v>1721</v>
      </c>
      <c r="I627" s="139">
        <v>1721</v>
      </c>
      <c r="J627" s="139">
        <v>1721</v>
      </c>
      <c r="K627" s="139">
        <v>1721</v>
      </c>
      <c r="L627" s="139" t="s">
        <v>3169</v>
      </c>
      <c r="M627" s="139">
        <v>0</v>
      </c>
    </row>
    <row r="628" spans="2:13">
      <c r="B628" s="151" t="str">
        <f>_xlfn.IFNA(VLOOKUP(D628,标准编码!A:B,2,0),"")</f>
        <v/>
      </c>
      <c r="D628" s="247">
        <v>630108</v>
      </c>
      <c r="E628" s="247" t="s">
        <v>3787</v>
      </c>
      <c r="F628" s="247" t="s">
        <v>3169</v>
      </c>
      <c r="G628" s="139">
        <v>0</v>
      </c>
      <c r="H628" s="139">
        <v>44110</v>
      </c>
      <c r="I628" s="139">
        <v>44110</v>
      </c>
      <c r="J628" s="139">
        <v>44110</v>
      </c>
      <c r="K628" s="139">
        <v>44110</v>
      </c>
      <c r="L628" s="139" t="s">
        <v>3169</v>
      </c>
      <c r="M628" s="139">
        <v>0</v>
      </c>
    </row>
    <row r="629" spans="2:13">
      <c r="B629" s="151" t="str">
        <f>_xlfn.IFNA(VLOOKUP(D629,标准编码!A:B,2,0),"")</f>
        <v/>
      </c>
      <c r="D629" s="247">
        <v>630110</v>
      </c>
      <c r="E629" s="247" t="s">
        <v>3788</v>
      </c>
      <c r="F629" s="247" t="s">
        <v>3169</v>
      </c>
      <c r="G629" s="139">
        <v>0</v>
      </c>
      <c r="H629" s="139">
        <v>35248957</v>
      </c>
      <c r="I629" s="139">
        <v>35248957</v>
      </c>
      <c r="J629" s="139">
        <v>35248957</v>
      </c>
      <c r="K629" s="139">
        <v>35248957</v>
      </c>
      <c r="L629" s="139" t="s">
        <v>3169</v>
      </c>
      <c r="M629" s="139">
        <v>0</v>
      </c>
    </row>
    <row r="630" spans="2:13">
      <c r="B630" s="151" t="str">
        <f>_xlfn.IFNA(VLOOKUP(D630,标准编码!A:B,2,0),"")</f>
        <v/>
      </c>
      <c r="D630" s="247">
        <v>630199</v>
      </c>
      <c r="E630" s="247" t="s">
        <v>3789</v>
      </c>
      <c r="F630" s="247" t="s">
        <v>3169</v>
      </c>
      <c r="G630" s="139">
        <v>0</v>
      </c>
      <c r="H630" s="139">
        <v>1239198.4099999999</v>
      </c>
      <c r="I630" s="139">
        <v>1239198.4099999999</v>
      </c>
      <c r="J630" s="139">
        <v>1239198.4099999999</v>
      </c>
      <c r="K630" s="139">
        <v>1239198.4099999999</v>
      </c>
      <c r="L630" s="139" t="s">
        <v>3169</v>
      </c>
      <c r="M630" s="139">
        <v>0</v>
      </c>
    </row>
    <row r="631" spans="2:13">
      <c r="B631" s="151" t="str">
        <f>_xlfn.IFNA(VLOOKUP(D631,标准编码!A:B,2,0),"")</f>
        <v>主营业务成本</v>
      </c>
      <c r="D631" s="247">
        <v>6401</v>
      </c>
      <c r="E631" s="247" t="s">
        <v>3790</v>
      </c>
      <c r="F631" s="247" t="s">
        <v>3169</v>
      </c>
      <c r="G631" s="139">
        <v>0</v>
      </c>
      <c r="H631" s="139">
        <v>1345692986.9000001</v>
      </c>
      <c r="I631" s="139">
        <v>1345692986.9000001</v>
      </c>
      <c r="J631" s="139">
        <v>1345692986.9000001</v>
      </c>
      <c r="K631" s="139">
        <v>1345692986.9000001</v>
      </c>
      <c r="L631" s="139" t="s">
        <v>3169</v>
      </c>
      <c r="M631" s="139">
        <v>0</v>
      </c>
    </row>
    <row r="632" spans="2:13">
      <c r="B632" s="151" t="str">
        <f>_xlfn.IFNA(VLOOKUP(D632,标准编码!A:B,2,0),"")</f>
        <v/>
      </c>
      <c r="D632" s="247">
        <v>640106</v>
      </c>
      <c r="E632" s="247" t="s">
        <v>3791</v>
      </c>
      <c r="F632" s="247" t="s">
        <v>3169</v>
      </c>
      <c r="G632" s="139">
        <v>0</v>
      </c>
      <c r="H632" s="139">
        <v>18980</v>
      </c>
      <c r="I632" s="139">
        <v>18980</v>
      </c>
      <c r="J632" s="139">
        <v>18980</v>
      </c>
      <c r="K632" s="139">
        <v>18980</v>
      </c>
      <c r="L632" s="139" t="s">
        <v>3169</v>
      </c>
      <c r="M632" s="139">
        <v>0</v>
      </c>
    </row>
    <row r="633" spans="2:13">
      <c r="B633" s="151" t="str">
        <f>_xlfn.IFNA(VLOOKUP(D633,标准编码!A:B,2,0),"")</f>
        <v/>
      </c>
      <c r="D633" s="247">
        <v>64010603</v>
      </c>
      <c r="E633" s="247" t="s">
        <v>3792</v>
      </c>
      <c r="F633" s="247" t="s">
        <v>3169</v>
      </c>
      <c r="G633" s="139">
        <v>0</v>
      </c>
      <c r="H633" s="139">
        <v>18980</v>
      </c>
      <c r="I633" s="139">
        <v>18980</v>
      </c>
      <c r="J633" s="139">
        <v>18980</v>
      </c>
      <c r="K633" s="139">
        <v>18980</v>
      </c>
      <c r="L633" s="139" t="s">
        <v>3169</v>
      </c>
      <c r="M633" s="139">
        <v>0</v>
      </c>
    </row>
    <row r="634" spans="2:13">
      <c r="B634" s="151" t="str">
        <f>_xlfn.IFNA(VLOOKUP(D634,标准编码!A:B,2,0),"")</f>
        <v/>
      </c>
      <c r="D634" s="247">
        <v>6401060301</v>
      </c>
      <c r="E634" s="247" t="s">
        <v>3793</v>
      </c>
      <c r="F634" s="247" t="s">
        <v>3169</v>
      </c>
      <c r="G634" s="139">
        <v>0</v>
      </c>
      <c r="H634" s="139">
        <v>18980</v>
      </c>
      <c r="I634" s="139">
        <v>18980</v>
      </c>
      <c r="J634" s="139">
        <v>18980</v>
      </c>
      <c r="K634" s="139">
        <v>18980</v>
      </c>
      <c r="L634" s="139" t="s">
        <v>3169</v>
      </c>
      <c r="M634" s="139">
        <v>0</v>
      </c>
    </row>
    <row r="635" spans="2:13">
      <c r="B635" s="151" t="str">
        <f>_xlfn.IFNA(VLOOKUP(D635,标准编码!A:B,2,0),"")</f>
        <v/>
      </c>
      <c r="D635" s="247">
        <v>640107</v>
      </c>
      <c r="E635" s="247" t="s">
        <v>3794</v>
      </c>
      <c r="F635" s="247" t="s">
        <v>3169</v>
      </c>
      <c r="G635" s="139">
        <v>0</v>
      </c>
      <c r="H635" s="139">
        <v>17802</v>
      </c>
      <c r="I635" s="139">
        <v>17802</v>
      </c>
      <c r="J635" s="139">
        <v>17802</v>
      </c>
      <c r="K635" s="139">
        <v>17802</v>
      </c>
      <c r="L635" s="139" t="s">
        <v>3169</v>
      </c>
      <c r="M635" s="139">
        <v>0</v>
      </c>
    </row>
    <row r="636" spans="2:13">
      <c r="B636" s="151" t="str">
        <f>_xlfn.IFNA(VLOOKUP(D636,标准编码!A:B,2,0),"")</f>
        <v/>
      </c>
      <c r="D636" s="247">
        <v>64010701</v>
      </c>
      <c r="E636" s="247" t="s">
        <v>3795</v>
      </c>
      <c r="F636" s="247" t="s">
        <v>3169</v>
      </c>
      <c r="G636" s="139">
        <v>0</v>
      </c>
      <c r="H636" s="139">
        <v>17802</v>
      </c>
      <c r="I636" s="139">
        <v>17802</v>
      </c>
      <c r="J636" s="139">
        <v>17802</v>
      </c>
      <c r="K636" s="139">
        <v>17802</v>
      </c>
      <c r="L636" s="139" t="s">
        <v>3169</v>
      </c>
      <c r="M636" s="139">
        <v>0</v>
      </c>
    </row>
    <row r="637" spans="2:13">
      <c r="B637" s="151" t="str">
        <f>_xlfn.IFNA(VLOOKUP(D637,标准编码!A:B,2,0),"")</f>
        <v/>
      </c>
      <c r="D637" s="247">
        <v>640108</v>
      </c>
      <c r="E637" s="247" t="s">
        <v>3796</v>
      </c>
      <c r="F637" s="247" t="s">
        <v>3169</v>
      </c>
      <c r="G637" s="139">
        <v>0</v>
      </c>
      <c r="H637" s="139">
        <v>681871950.14999998</v>
      </c>
      <c r="I637" s="139">
        <v>681871950.14999998</v>
      </c>
      <c r="J637" s="139">
        <v>681871950.14999998</v>
      </c>
      <c r="K637" s="139">
        <v>681871950.14999998</v>
      </c>
      <c r="L637" s="139" t="s">
        <v>3169</v>
      </c>
      <c r="M637" s="139">
        <v>0</v>
      </c>
    </row>
    <row r="638" spans="2:13">
      <c r="B638" s="151" t="str">
        <f>_xlfn.IFNA(VLOOKUP(D638,标准编码!A:B,2,0),"")</f>
        <v/>
      </c>
      <c r="D638" s="247">
        <v>64010801</v>
      </c>
      <c r="E638" s="247" t="s">
        <v>3797</v>
      </c>
      <c r="F638" s="247" t="s">
        <v>3169</v>
      </c>
      <c r="G638" s="139">
        <v>0</v>
      </c>
      <c r="H638" s="139">
        <v>681871950.14999998</v>
      </c>
      <c r="I638" s="139">
        <v>681871950.14999998</v>
      </c>
      <c r="J638" s="139">
        <v>681871950.14999998</v>
      </c>
      <c r="K638" s="139">
        <v>681871950.14999998</v>
      </c>
      <c r="L638" s="139" t="s">
        <v>3169</v>
      </c>
      <c r="M638" s="139">
        <v>0</v>
      </c>
    </row>
    <row r="639" spans="2:13">
      <c r="B639" s="151" t="str">
        <f>_xlfn.IFNA(VLOOKUP(D639,标准编码!A:B,2,0),"")</f>
        <v/>
      </c>
      <c r="D639" s="247">
        <v>640109</v>
      </c>
      <c r="E639" s="247" t="s">
        <v>3798</v>
      </c>
      <c r="F639" s="247" t="s">
        <v>3169</v>
      </c>
      <c r="G639" s="139">
        <v>0</v>
      </c>
      <c r="H639" s="139">
        <v>550094069.67999995</v>
      </c>
      <c r="I639" s="139">
        <v>550094069.67999995</v>
      </c>
      <c r="J639" s="139">
        <v>550094069.67999995</v>
      </c>
      <c r="K639" s="139">
        <v>550094069.67999995</v>
      </c>
      <c r="L639" s="139" t="s">
        <v>3169</v>
      </c>
      <c r="M639" s="139">
        <v>0</v>
      </c>
    </row>
    <row r="640" spans="2:13">
      <c r="B640" s="151" t="str">
        <f>_xlfn.IFNA(VLOOKUP(D640,标准编码!A:B,2,0),"")</f>
        <v/>
      </c>
      <c r="D640" s="247">
        <v>64010901</v>
      </c>
      <c r="E640" s="247" t="s">
        <v>3799</v>
      </c>
      <c r="F640" s="247" t="s">
        <v>3169</v>
      </c>
      <c r="G640" s="139">
        <v>0</v>
      </c>
      <c r="H640" s="139">
        <v>283540317.51999998</v>
      </c>
      <c r="I640" s="139">
        <v>283540317.51999998</v>
      </c>
      <c r="J640" s="139">
        <v>283540317.51999998</v>
      </c>
      <c r="K640" s="139">
        <v>283540317.51999998</v>
      </c>
      <c r="L640" s="139" t="s">
        <v>3169</v>
      </c>
      <c r="M640" s="139">
        <v>0</v>
      </c>
    </row>
    <row r="641" spans="2:13">
      <c r="B641" s="151" t="str">
        <f>_xlfn.IFNA(VLOOKUP(D641,标准编码!A:B,2,0),"")</f>
        <v/>
      </c>
      <c r="D641" s="247">
        <v>64010903</v>
      </c>
      <c r="E641" s="247" t="s">
        <v>3800</v>
      </c>
      <c r="F641" s="247" t="s">
        <v>3169</v>
      </c>
      <c r="G641" s="139">
        <v>0</v>
      </c>
      <c r="H641" s="139">
        <v>266553752.16</v>
      </c>
      <c r="I641" s="139">
        <v>266553752.16</v>
      </c>
      <c r="J641" s="139">
        <v>266553752.16</v>
      </c>
      <c r="K641" s="139">
        <v>266553752.16</v>
      </c>
      <c r="L641" s="139" t="s">
        <v>3169</v>
      </c>
      <c r="M641" s="139">
        <v>0</v>
      </c>
    </row>
    <row r="642" spans="2:13">
      <c r="B642" s="151" t="str">
        <f>_xlfn.IFNA(VLOOKUP(D642,标准编码!A:B,2,0),"")</f>
        <v/>
      </c>
      <c r="D642" s="247">
        <v>640110</v>
      </c>
      <c r="E642" s="247" t="s">
        <v>3801</v>
      </c>
      <c r="F642" s="247" t="s">
        <v>3169</v>
      </c>
      <c r="G642" s="139">
        <v>0</v>
      </c>
      <c r="H642" s="139">
        <v>80234035.420000002</v>
      </c>
      <c r="I642" s="139">
        <v>80234035.420000002</v>
      </c>
      <c r="J642" s="139">
        <v>80234035.420000002</v>
      </c>
      <c r="K642" s="139">
        <v>80234035.420000002</v>
      </c>
      <c r="L642" s="139" t="s">
        <v>3169</v>
      </c>
      <c r="M642" s="139">
        <v>0</v>
      </c>
    </row>
    <row r="643" spans="2:13">
      <c r="B643" s="151" t="str">
        <f>_xlfn.IFNA(VLOOKUP(D643,标准编码!A:B,2,0),"")</f>
        <v/>
      </c>
      <c r="D643" s="247">
        <v>64011001</v>
      </c>
      <c r="E643" s="247" t="s">
        <v>3802</v>
      </c>
      <c r="F643" s="247" t="s">
        <v>3169</v>
      </c>
      <c r="G643" s="139">
        <v>0</v>
      </c>
      <c r="H643" s="139">
        <v>80234035.420000002</v>
      </c>
      <c r="I643" s="139">
        <v>80234035.420000002</v>
      </c>
      <c r="J643" s="139">
        <v>80234035.420000002</v>
      </c>
      <c r="K643" s="139">
        <v>80234035.420000002</v>
      </c>
      <c r="L643" s="139" t="s">
        <v>3169</v>
      </c>
      <c r="M643" s="139">
        <v>0</v>
      </c>
    </row>
    <row r="644" spans="2:13">
      <c r="B644" s="151" t="str">
        <f>_xlfn.IFNA(VLOOKUP(D644,标准编码!A:B,2,0),"")</f>
        <v/>
      </c>
      <c r="D644" s="247">
        <v>640111</v>
      </c>
      <c r="E644" s="247" t="s">
        <v>3803</v>
      </c>
      <c r="F644" s="247" t="s">
        <v>3169</v>
      </c>
      <c r="G644" s="139">
        <v>0</v>
      </c>
      <c r="H644" s="139">
        <v>18611120.890000001</v>
      </c>
      <c r="I644" s="139">
        <v>18611120.890000001</v>
      </c>
      <c r="J644" s="139">
        <v>18611120.890000001</v>
      </c>
      <c r="K644" s="139">
        <v>18611120.890000001</v>
      </c>
      <c r="L644" s="139" t="s">
        <v>3169</v>
      </c>
      <c r="M644" s="139">
        <v>0</v>
      </c>
    </row>
    <row r="645" spans="2:13">
      <c r="B645" s="151" t="str">
        <f>_xlfn.IFNA(VLOOKUP(D645,标准编码!A:B,2,0),"")</f>
        <v/>
      </c>
      <c r="D645" s="247">
        <v>64011101</v>
      </c>
      <c r="E645" s="247" t="s">
        <v>3804</v>
      </c>
      <c r="F645" s="247" t="s">
        <v>3169</v>
      </c>
      <c r="G645" s="139">
        <v>0</v>
      </c>
      <c r="H645" s="139">
        <v>4536812.24</v>
      </c>
      <c r="I645" s="139">
        <v>4536812.24</v>
      </c>
      <c r="J645" s="139">
        <v>4536812.24</v>
      </c>
      <c r="K645" s="139">
        <v>4536812.24</v>
      </c>
      <c r="L645" s="139" t="s">
        <v>3169</v>
      </c>
      <c r="M645" s="139">
        <v>0</v>
      </c>
    </row>
    <row r="646" spans="2:13">
      <c r="B646" s="151" t="str">
        <f>_xlfn.IFNA(VLOOKUP(D646,标准编码!A:B,2,0),"")</f>
        <v/>
      </c>
      <c r="D646" s="247">
        <v>6401110101</v>
      </c>
      <c r="E646" s="247" t="s">
        <v>3805</v>
      </c>
      <c r="F646" s="247" t="s">
        <v>3169</v>
      </c>
      <c r="G646" s="139">
        <v>0</v>
      </c>
      <c r="H646" s="139">
        <v>350277.4</v>
      </c>
      <c r="I646" s="139">
        <v>350277.4</v>
      </c>
      <c r="J646" s="139">
        <v>350277.4</v>
      </c>
      <c r="K646" s="139">
        <v>350277.4</v>
      </c>
      <c r="L646" s="139" t="s">
        <v>3169</v>
      </c>
      <c r="M646" s="139">
        <v>0</v>
      </c>
    </row>
    <row r="647" spans="2:13">
      <c r="B647" s="151" t="str">
        <f>_xlfn.IFNA(VLOOKUP(D647,标准编码!A:B,2,0),"")</f>
        <v/>
      </c>
      <c r="D647" s="247">
        <v>640111010101</v>
      </c>
      <c r="E647" s="247" t="s">
        <v>3806</v>
      </c>
      <c r="F647" s="247" t="s">
        <v>3169</v>
      </c>
      <c r="G647" s="139">
        <v>0</v>
      </c>
      <c r="H647" s="139">
        <v>22335.13</v>
      </c>
      <c r="I647" s="139">
        <v>22335.13</v>
      </c>
      <c r="J647" s="139">
        <v>22335.13</v>
      </c>
      <c r="K647" s="139">
        <v>22335.13</v>
      </c>
      <c r="L647" s="139" t="s">
        <v>3169</v>
      </c>
      <c r="M647" s="139">
        <v>0</v>
      </c>
    </row>
    <row r="648" spans="2:13">
      <c r="B648" s="151" t="str">
        <f>_xlfn.IFNA(VLOOKUP(D648,标准编码!A:B,2,0),"")</f>
        <v/>
      </c>
      <c r="D648" s="247">
        <v>640111010102</v>
      </c>
      <c r="E648" s="247" t="s">
        <v>3807</v>
      </c>
      <c r="F648" s="247" t="s">
        <v>3169</v>
      </c>
      <c r="G648" s="139">
        <v>0</v>
      </c>
      <c r="H648" s="139">
        <v>249126.94</v>
      </c>
      <c r="I648" s="139">
        <v>249126.94</v>
      </c>
      <c r="J648" s="139">
        <v>249126.94</v>
      </c>
      <c r="K648" s="139">
        <v>249126.94</v>
      </c>
      <c r="L648" s="139" t="s">
        <v>3169</v>
      </c>
      <c r="M648" s="139">
        <v>0</v>
      </c>
    </row>
    <row r="649" spans="2:13">
      <c r="B649" s="151" t="str">
        <f>_xlfn.IFNA(VLOOKUP(D649,标准编码!A:B,2,0),"")</f>
        <v/>
      </c>
      <c r="D649" s="247">
        <v>640111010103</v>
      </c>
      <c r="E649" s="247" t="s">
        <v>3808</v>
      </c>
      <c r="F649" s="247" t="s">
        <v>3169</v>
      </c>
      <c r="G649" s="139">
        <v>0</v>
      </c>
      <c r="H649" s="139">
        <v>1057.33</v>
      </c>
      <c r="I649" s="139">
        <v>1057.33</v>
      </c>
      <c r="J649" s="139">
        <v>1057.33</v>
      </c>
      <c r="K649" s="139">
        <v>1057.33</v>
      </c>
      <c r="L649" s="139" t="s">
        <v>3169</v>
      </c>
      <c r="M649" s="139">
        <v>0</v>
      </c>
    </row>
    <row r="650" spans="2:13">
      <c r="B650" s="151" t="str">
        <f>_xlfn.IFNA(VLOOKUP(D650,标准编码!A:B,2,0),"")</f>
        <v/>
      </c>
      <c r="D650" s="247">
        <v>640111010104</v>
      </c>
      <c r="E650" s="247" t="s">
        <v>3809</v>
      </c>
      <c r="F650" s="247" t="s">
        <v>3169</v>
      </c>
      <c r="G650" s="139">
        <v>0</v>
      </c>
      <c r="H650" s="139">
        <v>54708</v>
      </c>
      <c r="I650" s="139">
        <v>54708</v>
      </c>
      <c r="J650" s="139">
        <v>54708</v>
      </c>
      <c r="K650" s="139">
        <v>54708</v>
      </c>
      <c r="L650" s="139" t="s">
        <v>3169</v>
      </c>
      <c r="M650" s="139">
        <v>0</v>
      </c>
    </row>
    <row r="651" spans="2:13">
      <c r="B651" s="151" t="str">
        <f>_xlfn.IFNA(VLOOKUP(D651,标准编码!A:B,2,0),"")</f>
        <v/>
      </c>
      <c r="D651" s="247">
        <v>640111010105</v>
      </c>
      <c r="E651" s="247" t="s">
        <v>3810</v>
      </c>
      <c r="F651" s="247" t="s">
        <v>3169</v>
      </c>
      <c r="G651" s="139">
        <v>0</v>
      </c>
      <c r="H651" s="139">
        <v>23050</v>
      </c>
      <c r="I651" s="139">
        <v>23050</v>
      </c>
      <c r="J651" s="139">
        <v>23050</v>
      </c>
      <c r="K651" s="139">
        <v>23050</v>
      </c>
      <c r="L651" s="139" t="s">
        <v>3169</v>
      </c>
      <c r="M651" s="139">
        <v>0</v>
      </c>
    </row>
    <row r="652" spans="2:13">
      <c r="B652" s="151" t="str">
        <f>_xlfn.IFNA(VLOOKUP(D652,标准编码!A:B,2,0),"")</f>
        <v/>
      </c>
      <c r="D652" s="247">
        <v>6401110102</v>
      </c>
      <c r="E652" s="247" t="s">
        <v>3811</v>
      </c>
      <c r="F652" s="247" t="s">
        <v>3169</v>
      </c>
      <c r="G652" s="139">
        <v>0</v>
      </c>
      <c r="H652" s="139">
        <v>754397.12</v>
      </c>
      <c r="I652" s="139">
        <v>754397.12</v>
      </c>
      <c r="J652" s="139">
        <v>754397.12</v>
      </c>
      <c r="K652" s="139">
        <v>754397.12</v>
      </c>
      <c r="L652" s="139" t="s">
        <v>3169</v>
      </c>
      <c r="M652" s="139">
        <v>0</v>
      </c>
    </row>
    <row r="653" spans="2:13">
      <c r="B653" s="151" t="str">
        <f>_xlfn.IFNA(VLOOKUP(D653,标准编码!A:B,2,0),"")</f>
        <v/>
      </c>
      <c r="D653" s="247">
        <v>640111010201</v>
      </c>
      <c r="E653" s="247" t="s">
        <v>3812</v>
      </c>
      <c r="F653" s="247" t="s">
        <v>3169</v>
      </c>
      <c r="G653" s="139">
        <v>0</v>
      </c>
      <c r="H653" s="139">
        <v>5763.51</v>
      </c>
      <c r="I653" s="139">
        <v>5763.51</v>
      </c>
      <c r="J653" s="139">
        <v>5763.51</v>
      </c>
      <c r="K653" s="139">
        <v>5763.51</v>
      </c>
      <c r="L653" s="139" t="s">
        <v>3169</v>
      </c>
      <c r="M653" s="139">
        <v>0</v>
      </c>
    </row>
    <row r="654" spans="2:13">
      <c r="B654" s="151" t="str">
        <f>_xlfn.IFNA(VLOOKUP(D654,标准编码!A:B,2,0),"")</f>
        <v/>
      </c>
      <c r="D654" s="247">
        <v>640111010202</v>
      </c>
      <c r="E654" s="247" t="s">
        <v>3813</v>
      </c>
      <c r="F654" s="247" t="s">
        <v>3169</v>
      </c>
      <c r="G654" s="139">
        <v>0</v>
      </c>
      <c r="H654" s="139">
        <v>717170.28</v>
      </c>
      <c r="I654" s="139">
        <v>717170.28</v>
      </c>
      <c r="J654" s="139">
        <v>717170.28</v>
      </c>
      <c r="K654" s="139">
        <v>717170.28</v>
      </c>
      <c r="L654" s="139" t="s">
        <v>3169</v>
      </c>
      <c r="M654" s="139">
        <v>0</v>
      </c>
    </row>
    <row r="655" spans="2:13">
      <c r="B655" s="151" t="str">
        <f>_xlfn.IFNA(VLOOKUP(D655,标准编码!A:B,2,0),"")</f>
        <v/>
      </c>
      <c r="D655" s="247">
        <v>640111010203</v>
      </c>
      <c r="E655" s="247" t="s">
        <v>3814</v>
      </c>
      <c r="F655" s="247" t="s">
        <v>3169</v>
      </c>
      <c r="G655" s="139">
        <v>0</v>
      </c>
      <c r="H655" s="139">
        <v>1263.33</v>
      </c>
      <c r="I655" s="139">
        <v>1263.33</v>
      </c>
      <c r="J655" s="139">
        <v>1263.33</v>
      </c>
      <c r="K655" s="139">
        <v>1263.33</v>
      </c>
      <c r="L655" s="139" t="s">
        <v>3169</v>
      </c>
      <c r="M655" s="139">
        <v>0</v>
      </c>
    </row>
    <row r="656" spans="2:13">
      <c r="B656" s="151" t="str">
        <f>_xlfn.IFNA(VLOOKUP(D656,标准编码!A:B,2,0),"")</f>
        <v/>
      </c>
      <c r="D656" s="247">
        <v>640111010204</v>
      </c>
      <c r="E656" s="247" t="s">
        <v>3815</v>
      </c>
      <c r="F656" s="247" t="s">
        <v>3169</v>
      </c>
      <c r="G656" s="139">
        <v>0</v>
      </c>
      <c r="H656" s="139">
        <v>16900</v>
      </c>
      <c r="I656" s="139">
        <v>16900</v>
      </c>
      <c r="J656" s="139">
        <v>16900</v>
      </c>
      <c r="K656" s="139">
        <v>16900</v>
      </c>
      <c r="L656" s="139" t="s">
        <v>3169</v>
      </c>
      <c r="M656" s="139">
        <v>0</v>
      </c>
    </row>
    <row r="657" spans="2:13">
      <c r="B657" s="151" t="str">
        <f>_xlfn.IFNA(VLOOKUP(D657,标准编码!A:B,2,0),"")</f>
        <v/>
      </c>
      <c r="D657" s="247">
        <v>640111010205</v>
      </c>
      <c r="E657" s="247" t="s">
        <v>3816</v>
      </c>
      <c r="F657" s="247" t="s">
        <v>3169</v>
      </c>
      <c r="G657" s="139">
        <v>0</v>
      </c>
      <c r="H657" s="139">
        <v>13300</v>
      </c>
      <c r="I657" s="139">
        <v>13300</v>
      </c>
      <c r="J657" s="139">
        <v>13300</v>
      </c>
      <c r="K657" s="139">
        <v>13300</v>
      </c>
      <c r="L657" s="139" t="s">
        <v>3169</v>
      </c>
      <c r="M657" s="139">
        <v>0</v>
      </c>
    </row>
    <row r="658" spans="2:13">
      <c r="B658" s="151" t="str">
        <f>_xlfn.IFNA(VLOOKUP(D658,标准编码!A:B,2,0),"")</f>
        <v/>
      </c>
      <c r="D658" s="247">
        <v>6401110103</v>
      </c>
      <c r="E658" s="247" t="s">
        <v>3817</v>
      </c>
      <c r="F658" s="247" t="s">
        <v>3169</v>
      </c>
      <c r="G658" s="139">
        <v>0</v>
      </c>
      <c r="H658" s="139">
        <v>265916.33</v>
      </c>
      <c r="I658" s="139">
        <v>265916.33</v>
      </c>
      <c r="J658" s="139">
        <v>265916.33</v>
      </c>
      <c r="K658" s="139">
        <v>265916.33</v>
      </c>
      <c r="L658" s="139" t="s">
        <v>3169</v>
      </c>
      <c r="M658" s="139">
        <v>0</v>
      </c>
    </row>
    <row r="659" spans="2:13">
      <c r="B659" s="151" t="str">
        <f>_xlfn.IFNA(VLOOKUP(D659,标准编码!A:B,2,0),"")</f>
        <v/>
      </c>
      <c r="D659" s="247">
        <v>640111010301</v>
      </c>
      <c r="E659" s="247" t="s">
        <v>3818</v>
      </c>
      <c r="F659" s="247" t="s">
        <v>3169</v>
      </c>
      <c r="G659" s="139">
        <v>0</v>
      </c>
      <c r="H659" s="139">
        <v>14139.73</v>
      </c>
      <c r="I659" s="139">
        <v>14139.73</v>
      </c>
      <c r="J659" s="139">
        <v>14139.73</v>
      </c>
      <c r="K659" s="139">
        <v>14139.73</v>
      </c>
      <c r="L659" s="139" t="s">
        <v>3169</v>
      </c>
      <c r="M659" s="139">
        <v>0</v>
      </c>
    </row>
    <row r="660" spans="2:13">
      <c r="B660" s="151" t="str">
        <f>_xlfn.IFNA(VLOOKUP(D660,标准编码!A:B,2,0),"")</f>
        <v/>
      </c>
      <c r="D660" s="247">
        <v>640111010302</v>
      </c>
      <c r="E660" s="247" t="s">
        <v>3819</v>
      </c>
      <c r="F660" s="247" t="s">
        <v>3169</v>
      </c>
      <c r="G660" s="139">
        <v>0</v>
      </c>
      <c r="H660" s="139">
        <v>53199.5</v>
      </c>
      <c r="I660" s="139">
        <v>53199.5</v>
      </c>
      <c r="J660" s="139">
        <v>53199.5</v>
      </c>
      <c r="K660" s="139">
        <v>53199.5</v>
      </c>
      <c r="L660" s="139" t="s">
        <v>3169</v>
      </c>
      <c r="M660" s="139">
        <v>0</v>
      </c>
    </row>
    <row r="661" spans="2:13">
      <c r="B661" s="151" t="str">
        <f>_xlfn.IFNA(VLOOKUP(D661,标准编码!A:B,2,0),"")</f>
        <v/>
      </c>
      <c r="D661" s="247">
        <v>640111010303</v>
      </c>
      <c r="E661" s="247" t="s">
        <v>3820</v>
      </c>
      <c r="F661" s="247" t="s">
        <v>3169</v>
      </c>
      <c r="G661" s="139">
        <v>0</v>
      </c>
      <c r="H661" s="139">
        <v>155377.1</v>
      </c>
      <c r="I661" s="139">
        <v>155377.1</v>
      </c>
      <c r="J661" s="139">
        <v>155377.1</v>
      </c>
      <c r="K661" s="139">
        <v>155377.1</v>
      </c>
      <c r="L661" s="139" t="s">
        <v>3169</v>
      </c>
      <c r="M661" s="139">
        <v>0</v>
      </c>
    </row>
    <row r="662" spans="2:13">
      <c r="B662" s="151" t="str">
        <f>_xlfn.IFNA(VLOOKUP(D662,标准编码!A:B,2,0),"")</f>
        <v/>
      </c>
      <c r="D662" s="247">
        <v>640111010304</v>
      </c>
      <c r="E662" s="247" t="s">
        <v>3821</v>
      </c>
      <c r="F662" s="247" t="s">
        <v>3169</v>
      </c>
      <c r="G662" s="139">
        <v>0</v>
      </c>
      <c r="H662" s="139">
        <v>16900</v>
      </c>
      <c r="I662" s="139">
        <v>16900</v>
      </c>
      <c r="J662" s="139">
        <v>16900</v>
      </c>
      <c r="K662" s="139">
        <v>16900</v>
      </c>
      <c r="L662" s="139" t="s">
        <v>3169</v>
      </c>
      <c r="M662" s="139">
        <v>0</v>
      </c>
    </row>
    <row r="663" spans="2:13">
      <c r="B663" s="151" t="str">
        <f>_xlfn.IFNA(VLOOKUP(D663,标准编码!A:B,2,0),"")</f>
        <v/>
      </c>
      <c r="D663" s="247">
        <v>640111010305</v>
      </c>
      <c r="E663" s="247" t="s">
        <v>3822</v>
      </c>
      <c r="F663" s="247" t="s">
        <v>3169</v>
      </c>
      <c r="G663" s="139">
        <v>0</v>
      </c>
      <c r="H663" s="139">
        <v>26300</v>
      </c>
      <c r="I663" s="139">
        <v>26300</v>
      </c>
      <c r="J663" s="139">
        <v>26300</v>
      </c>
      <c r="K663" s="139">
        <v>26300</v>
      </c>
      <c r="L663" s="139" t="s">
        <v>3169</v>
      </c>
      <c r="M663" s="139">
        <v>0</v>
      </c>
    </row>
    <row r="664" spans="2:13">
      <c r="B664" s="151" t="str">
        <f>_xlfn.IFNA(VLOOKUP(D664,标准编码!A:B,2,0),"")</f>
        <v/>
      </c>
      <c r="D664" s="247">
        <v>6401110104</v>
      </c>
      <c r="E664" s="247" t="s">
        <v>3823</v>
      </c>
      <c r="F664" s="247" t="s">
        <v>3169</v>
      </c>
      <c r="G664" s="139">
        <v>0</v>
      </c>
      <c r="H664" s="139">
        <v>179893.78</v>
      </c>
      <c r="I664" s="139">
        <v>179893.78</v>
      </c>
      <c r="J664" s="139">
        <v>179893.78</v>
      </c>
      <c r="K664" s="139">
        <v>179893.78</v>
      </c>
      <c r="L664" s="139" t="s">
        <v>3169</v>
      </c>
      <c r="M664" s="139">
        <v>0</v>
      </c>
    </row>
    <row r="665" spans="2:13">
      <c r="B665" s="151" t="str">
        <f>_xlfn.IFNA(VLOOKUP(D665,标准编码!A:B,2,0),"")</f>
        <v/>
      </c>
      <c r="D665" s="247">
        <v>640111010401</v>
      </c>
      <c r="E665" s="247" t="s">
        <v>3824</v>
      </c>
      <c r="F665" s="247" t="s">
        <v>3169</v>
      </c>
      <c r="G665" s="139">
        <v>0</v>
      </c>
      <c r="H665" s="139">
        <v>17506.45</v>
      </c>
      <c r="I665" s="139">
        <v>17506.45</v>
      </c>
      <c r="J665" s="139">
        <v>17506.45</v>
      </c>
      <c r="K665" s="139">
        <v>17506.45</v>
      </c>
      <c r="L665" s="139" t="s">
        <v>3169</v>
      </c>
      <c r="M665" s="139">
        <v>0</v>
      </c>
    </row>
    <row r="666" spans="2:13">
      <c r="B666" s="151" t="str">
        <f>_xlfn.IFNA(VLOOKUP(D666,标准编码!A:B,2,0),"")</f>
        <v/>
      </c>
      <c r="D666" s="247">
        <v>640111010403</v>
      </c>
      <c r="E666" s="247" t="s">
        <v>3825</v>
      </c>
      <c r="F666" s="247" t="s">
        <v>3169</v>
      </c>
      <c r="G666" s="139">
        <v>0</v>
      </c>
      <c r="H666" s="139">
        <v>1057.33</v>
      </c>
      <c r="I666" s="139">
        <v>1057.33</v>
      </c>
      <c r="J666" s="139">
        <v>1057.33</v>
      </c>
      <c r="K666" s="139">
        <v>1057.33</v>
      </c>
      <c r="L666" s="139" t="s">
        <v>3169</v>
      </c>
      <c r="M666" s="139">
        <v>0</v>
      </c>
    </row>
    <row r="667" spans="2:13">
      <c r="B667" s="151" t="str">
        <f>_xlfn.IFNA(VLOOKUP(D667,标准编码!A:B,2,0),"")</f>
        <v/>
      </c>
      <c r="D667" s="247">
        <v>640111010404</v>
      </c>
      <c r="E667" s="247" t="s">
        <v>3826</v>
      </c>
      <c r="F667" s="247" t="s">
        <v>3169</v>
      </c>
      <c r="G667" s="139">
        <v>0</v>
      </c>
      <c r="H667" s="139">
        <v>138280</v>
      </c>
      <c r="I667" s="139">
        <v>138280</v>
      </c>
      <c r="J667" s="139">
        <v>138280</v>
      </c>
      <c r="K667" s="139">
        <v>138280</v>
      </c>
      <c r="L667" s="139" t="s">
        <v>3169</v>
      </c>
      <c r="M667" s="139">
        <v>0</v>
      </c>
    </row>
    <row r="668" spans="2:13">
      <c r="B668" s="151" t="str">
        <f>_xlfn.IFNA(VLOOKUP(D668,标准编码!A:B,2,0),"")</f>
        <v/>
      </c>
      <c r="D668" s="247">
        <v>640111010405</v>
      </c>
      <c r="E668" s="247" t="s">
        <v>3827</v>
      </c>
      <c r="F668" s="247" t="s">
        <v>3169</v>
      </c>
      <c r="G668" s="139">
        <v>0</v>
      </c>
      <c r="H668" s="139">
        <v>23050</v>
      </c>
      <c r="I668" s="139">
        <v>23050</v>
      </c>
      <c r="J668" s="139">
        <v>23050</v>
      </c>
      <c r="K668" s="139">
        <v>23050</v>
      </c>
      <c r="L668" s="139" t="s">
        <v>3169</v>
      </c>
      <c r="M668" s="139">
        <v>0</v>
      </c>
    </row>
    <row r="669" spans="2:13">
      <c r="B669" s="151" t="str">
        <f>_xlfn.IFNA(VLOOKUP(D669,标准编码!A:B,2,0),"")</f>
        <v/>
      </c>
      <c r="D669" s="247">
        <v>6401110105</v>
      </c>
      <c r="E669" s="247" t="s">
        <v>3828</v>
      </c>
      <c r="F669" s="247" t="s">
        <v>3169</v>
      </c>
      <c r="G669" s="139">
        <v>0</v>
      </c>
      <c r="H669" s="139">
        <v>1724755.75</v>
      </c>
      <c r="I669" s="139">
        <v>1724755.75</v>
      </c>
      <c r="J669" s="139">
        <v>1724755.75</v>
      </c>
      <c r="K669" s="139">
        <v>1724755.75</v>
      </c>
      <c r="L669" s="139" t="s">
        <v>3169</v>
      </c>
      <c r="M669" s="139">
        <v>0</v>
      </c>
    </row>
    <row r="670" spans="2:13">
      <c r="B670" s="151" t="str">
        <f>_xlfn.IFNA(VLOOKUP(D670,标准编码!A:B,2,0),"")</f>
        <v/>
      </c>
      <c r="D670" s="247">
        <v>640111010501</v>
      </c>
      <c r="E670" s="247" t="s">
        <v>3829</v>
      </c>
      <c r="F670" s="247" t="s">
        <v>3169</v>
      </c>
      <c r="G670" s="139">
        <v>0</v>
      </c>
      <c r="H670" s="139">
        <v>45478.7</v>
      </c>
      <c r="I670" s="139">
        <v>45478.7</v>
      </c>
      <c r="J670" s="139">
        <v>45478.7</v>
      </c>
      <c r="K670" s="139">
        <v>45478.7</v>
      </c>
      <c r="L670" s="139" t="s">
        <v>3169</v>
      </c>
      <c r="M670" s="139">
        <v>0</v>
      </c>
    </row>
    <row r="671" spans="2:13">
      <c r="B671" s="151" t="str">
        <f>_xlfn.IFNA(VLOOKUP(D671,标准编码!A:B,2,0),"")</f>
        <v/>
      </c>
      <c r="D671" s="247">
        <v>640111010502</v>
      </c>
      <c r="E671" s="247" t="s">
        <v>3830</v>
      </c>
      <c r="F671" s="247" t="s">
        <v>3169</v>
      </c>
      <c r="G671" s="139">
        <v>0</v>
      </c>
      <c r="H671" s="139">
        <v>1462533.72</v>
      </c>
      <c r="I671" s="139">
        <v>1462533.72</v>
      </c>
      <c r="J671" s="139">
        <v>1462533.72</v>
      </c>
      <c r="K671" s="139">
        <v>1462533.72</v>
      </c>
      <c r="L671" s="139" t="s">
        <v>3169</v>
      </c>
      <c r="M671" s="139">
        <v>0</v>
      </c>
    </row>
    <row r="672" spans="2:13">
      <c r="B672" s="151" t="str">
        <f>_xlfn.IFNA(VLOOKUP(D672,标准编码!A:B,2,0),"")</f>
        <v/>
      </c>
      <c r="D672" s="247">
        <v>640111010503</v>
      </c>
      <c r="E672" s="247" t="s">
        <v>3831</v>
      </c>
      <c r="F672" s="247" t="s">
        <v>3169</v>
      </c>
      <c r="G672" s="139">
        <v>0</v>
      </c>
      <c r="H672" s="139">
        <v>1057.33</v>
      </c>
      <c r="I672" s="139">
        <v>1057.33</v>
      </c>
      <c r="J672" s="139">
        <v>1057.33</v>
      </c>
      <c r="K672" s="139">
        <v>1057.33</v>
      </c>
      <c r="L672" s="139" t="s">
        <v>3169</v>
      </c>
      <c r="M672" s="139">
        <v>0</v>
      </c>
    </row>
    <row r="673" spans="2:13">
      <c r="B673" s="151" t="str">
        <f>_xlfn.IFNA(VLOOKUP(D673,标准编码!A:B,2,0),"")</f>
        <v/>
      </c>
      <c r="D673" s="247">
        <v>640111010504</v>
      </c>
      <c r="E673" s="247" t="s">
        <v>3832</v>
      </c>
      <c r="F673" s="247" t="s">
        <v>3169</v>
      </c>
      <c r="G673" s="139">
        <v>0</v>
      </c>
      <c r="H673" s="139">
        <v>173136</v>
      </c>
      <c r="I673" s="139">
        <v>173136</v>
      </c>
      <c r="J673" s="139">
        <v>173136</v>
      </c>
      <c r="K673" s="139">
        <v>173136</v>
      </c>
      <c r="L673" s="139" t="s">
        <v>3169</v>
      </c>
      <c r="M673" s="139">
        <v>0</v>
      </c>
    </row>
    <row r="674" spans="2:13">
      <c r="B674" s="151" t="str">
        <f>_xlfn.IFNA(VLOOKUP(D674,标准编码!A:B,2,0),"")</f>
        <v/>
      </c>
      <c r="D674" s="247">
        <v>640111010505</v>
      </c>
      <c r="E674" s="247" t="s">
        <v>3833</v>
      </c>
      <c r="F674" s="247" t="s">
        <v>3169</v>
      </c>
      <c r="G674" s="139">
        <v>0</v>
      </c>
      <c r="H674" s="139">
        <v>42550</v>
      </c>
      <c r="I674" s="139">
        <v>42550</v>
      </c>
      <c r="J674" s="139">
        <v>42550</v>
      </c>
      <c r="K674" s="139">
        <v>42550</v>
      </c>
      <c r="L674" s="139" t="s">
        <v>3169</v>
      </c>
      <c r="M674" s="139">
        <v>0</v>
      </c>
    </row>
    <row r="675" spans="2:13">
      <c r="B675" s="151" t="str">
        <f>_xlfn.IFNA(VLOOKUP(D675,标准编码!A:B,2,0),"")</f>
        <v/>
      </c>
      <c r="D675" s="247">
        <v>6401110106</v>
      </c>
      <c r="E675" s="247" t="s">
        <v>3834</v>
      </c>
      <c r="F675" s="247" t="s">
        <v>3169</v>
      </c>
      <c r="G675" s="139">
        <v>0</v>
      </c>
      <c r="H675" s="139">
        <v>659004.67000000004</v>
      </c>
      <c r="I675" s="139">
        <v>659004.67000000004</v>
      </c>
      <c r="J675" s="139">
        <v>659004.67000000004</v>
      </c>
      <c r="K675" s="139">
        <v>659004.67000000004</v>
      </c>
      <c r="L675" s="139" t="s">
        <v>3169</v>
      </c>
      <c r="M675" s="139">
        <v>0</v>
      </c>
    </row>
    <row r="676" spans="2:13">
      <c r="B676" s="151" t="str">
        <f>_xlfn.IFNA(VLOOKUP(D676,标准编码!A:B,2,0),"")</f>
        <v/>
      </c>
      <c r="D676" s="247">
        <v>640111010601</v>
      </c>
      <c r="E676" s="247" t="s">
        <v>3835</v>
      </c>
      <c r="F676" s="247" t="s">
        <v>3169</v>
      </c>
      <c r="G676" s="139">
        <v>0</v>
      </c>
      <c r="H676" s="139">
        <v>34387.54</v>
      </c>
      <c r="I676" s="139">
        <v>34387.54</v>
      </c>
      <c r="J676" s="139">
        <v>34387.54</v>
      </c>
      <c r="K676" s="139">
        <v>34387.54</v>
      </c>
      <c r="L676" s="139" t="s">
        <v>3169</v>
      </c>
      <c r="M676" s="139">
        <v>0</v>
      </c>
    </row>
    <row r="677" spans="2:13">
      <c r="B677" s="151" t="str">
        <f>_xlfn.IFNA(VLOOKUP(D677,标准编码!A:B,2,0),"")</f>
        <v/>
      </c>
      <c r="D677" s="247">
        <v>640111010602</v>
      </c>
      <c r="E677" s="247" t="s">
        <v>3836</v>
      </c>
      <c r="F677" s="247" t="s">
        <v>3169</v>
      </c>
      <c r="G677" s="139">
        <v>0</v>
      </c>
      <c r="H677" s="139">
        <v>529018.80000000005</v>
      </c>
      <c r="I677" s="139">
        <v>529018.80000000005</v>
      </c>
      <c r="J677" s="139">
        <v>529018.80000000005</v>
      </c>
      <c r="K677" s="139">
        <v>529018.80000000005</v>
      </c>
      <c r="L677" s="139" t="s">
        <v>3169</v>
      </c>
      <c r="M677" s="139">
        <v>0</v>
      </c>
    </row>
    <row r="678" spans="2:13">
      <c r="B678" s="151" t="str">
        <f>_xlfn.IFNA(VLOOKUP(D678,标准编码!A:B,2,0),"")</f>
        <v/>
      </c>
      <c r="D678" s="247">
        <v>640111010603</v>
      </c>
      <c r="E678" s="247" t="s">
        <v>3837</v>
      </c>
      <c r="F678" s="247" t="s">
        <v>3169</v>
      </c>
      <c r="G678" s="139">
        <v>0</v>
      </c>
      <c r="H678" s="139">
        <v>1057.33</v>
      </c>
      <c r="I678" s="139">
        <v>1057.33</v>
      </c>
      <c r="J678" s="139">
        <v>1057.33</v>
      </c>
      <c r="K678" s="139">
        <v>1057.33</v>
      </c>
      <c r="L678" s="139" t="s">
        <v>3169</v>
      </c>
      <c r="M678" s="139">
        <v>0</v>
      </c>
    </row>
    <row r="679" spans="2:13">
      <c r="B679" s="151" t="str">
        <f>_xlfn.IFNA(VLOOKUP(D679,标准编码!A:B,2,0),"")</f>
        <v/>
      </c>
      <c r="D679" s="247">
        <v>640111010604</v>
      </c>
      <c r="E679" s="247" t="s">
        <v>3838</v>
      </c>
      <c r="F679" s="247" t="s">
        <v>3169</v>
      </c>
      <c r="G679" s="139">
        <v>0</v>
      </c>
      <c r="H679" s="139">
        <v>58491</v>
      </c>
      <c r="I679" s="139">
        <v>58491</v>
      </c>
      <c r="J679" s="139">
        <v>58491</v>
      </c>
      <c r="K679" s="139">
        <v>58491</v>
      </c>
      <c r="L679" s="139" t="s">
        <v>3169</v>
      </c>
      <c r="M679" s="139">
        <v>0</v>
      </c>
    </row>
    <row r="680" spans="2:13">
      <c r="B680" s="151" t="str">
        <f>_xlfn.IFNA(VLOOKUP(D680,标准编码!A:B,2,0),"")</f>
        <v/>
      </c>
      <c r="D680" s="247">
        <v>640111010605</v>
      </c>
      <c r="E680" s="247" t="s">
        <v>3839</v>
      </c>
      <c r="F680" s="247" t="s">
        <v>3169</v>
      </c>
      <c r="G680" s="139">
        <v>0</v>
      </c>
      <c r="H680" s="139">
        <v>36050</v>
      </c>
      <c r="I680" s="139">
        <v>36050</v>
      </c>
      <c r="J680" s="139">
        <v>36050</v>
      </c>
      <c r="K680" s="139">
        <v>36050</v>
      </c>
      <c r="L680" s="139" t="s">
        <v>3169</v>
      </c>
      <c r="M680" s="139">
        <v>0</v>
      </c>
    </row>
    <row r="681" spans="2:13">
      <c r="B681" s="151" t="str">
        <f>_xlfn.IFNA(VLOOKUP(D681,标准编码!A:B,2,0),"")</f>
        <v/>
      </c>
      <c r="D681" s="247">
        <v>6401110107</v>
      </c>
      <c r="E681" s="247" t="s">
        <v>3840</v>
      </c>
      <c r="F681" s="247" t="s">
        <v>3169</v>
      </c>
      <c r="G681" s="139">
        <v>0</v>
      </c>
      <c r="H681" s="139">
        <v>18250.91</v>
      </c>
      <c r="I681" s="139">
        <v>18250.91</v>
      </c>
      <c r="J681" s="139">
        <v>18250.91</v>
      </c>
      <c r="K681" s="139">
        <v>18250.91</v>
      </c>
      <c r="L681" s="139" t="s">
        <v>3169</v>
      </c>
      <c r="M681" s="139">
        <v>0</v>
      </c>
    </row>
    <row r="682" spans="2:13">
      <c r="B682" s="151" t="str">
        <f>_xlfn.IFNA(VLOOKUP(D682,标准编码!A:B,2,0),"")</f>
        <v/>
      </c>
      <c r="D682" s="247">
        <v>640111010701</v>
      </c>
      <c r="E682" s="247" t="s">
        <v>3841</v>
      </c>
      <c r="F682" s="247" t="s">
        <v>3169</v>
      </c>
      <c r="G682" s="139">
        <v>0</v>
      </c>
      <c r="H682" s="139">
        <v>18250.91</v>
      </c>
      <c r="I682" s="139">
        <v>18250.91</v>
      </c>
      <c r="J682" s="139">
        <v>18250.91</v>
      </c>
      <c r="K682" s="139">
        <v>18250.91</v>
      </c>
      <c r="L682" s="139" t="s">
        <v>3169</v>
      </c>
      <c r="M682" s="139">
        <v>0</v>
      </c>
    </row>
    <row r="683" spans="2:13">
      <c r="B683" s="151" t="str">
        <f>_xlfn.IFNA(VLOOKUP(D683,标准编码!A:B,2,0),"")</f>
        <v/>
      </c>
      <c r="D683" s="247">
        <v>6401110108</v>
      </c>
      <c r="E683" s="247" t="s">
        <v>3842</v>
      </c>
      <c r="F683" s="247" t="s">
        <v>3169</v>
      </c>
      <c r="G683" s="139">
        <v>0</v>
      </c>
      <c r="H683" s="139">
        <v>130897.17</v>
      </c>
      <c r="I683" s="139">
        <v>130897.17</v>
      </c>
      <c r="J683" s="139">
        <v>130897.17</v>
      </c>
      <c r="K683" s="139">
        <v>130897.17</v>
      </c>
      <c r="L683" s="139" t="s">
        <v>3169</v>
      </c>
      <c r="M683" s="139">
        <v>0</v>
      </c>
    </row>
    <row r="684" spans="2:13">
      <c r="B684" s="151" t="str">
        <f>_xlfn.IFNA(VLOOKUP(D684,标准编码!A:B,2,0),"")</f>
        <v/>
      </c>
      <c r="D684" s="247">
        <v>640111010801</v>
      </c>
      <c r="E684" s="247" t="s">
        <v>3843</v>
      </c>
      <c r="F684" s="247" t="s">
        <v>3169</v>
      </c>
      <c r="G684" s="139">
        <v>0</v>
      </c>
      <c r="H684" s="139">
        <v>10669.64</v>
      </c>
      <c r="I684" s="139">
        <v>10669.64</v>
      </c>
      <c r="J684" s="139">
        <v>10669.64</v>
      </c>
      <c r="K684" s="139">
        <v>10669.64</v>
      </c>
      <c r="L684" s="139" t="s">
        <v>3169</v>
      </c>
      <c r="M684" s="139">
        <v>0</v>
      </c>
    </row>
    <row r="685" spans="2:13">
      <c r="B685" s="151" t="str">
        <f>_xlfn.IFNA(VLOOKUP(D685,标准编码!A:B,2,0),"")</f>
        <v/>
      </c>
      <c r="D685" s="247">
        <v>640111010803</v>
      </c>
      <c r="E685" s="247" t="s">
        <v>3844</v>
      </c>
      <c r="F685" s="247" t="s">
        <v>3169</v>
      </c>
      <c r="G685" s="139">
        <v>0</v>
      </c>
      <c r="H685" s="139">
        <v>120227.53</v>
      </c>
      <c r="I685" s="139">
        <v>120227.53</v>
      </c>
      <c r="J685" s="139">
        <v>120227.53</v>
      </c>
      <c r="K685" s="139">
        <v>120227.53</v>
      </c>
      <c r="L685" s="139" t="s">
        <v>3169</v>
      </c>
      <c r="M685" s="139">
        <v>0</v>
      </c>
    </row>
    <row r="686" spans="2:13">
      <c r="B686" s="151" t="str">
        <f>_xlfn.IFNA(VLOOKUP(D686,标准编码!A:B,2,0),"")</f>
        <v/>
      </c>
      <c r="D686" s="247">
        <v>6401110109</v>
      </c>
      <c r="E686" s="247" t="s">
        <v>3845</v>
      </c>
      <c r="F686" s="247" t="s">
        <v>3169</v>
      </c>
      <c r="G686" s="139">
        <v>0</v>
      </c>
      <c r="H686" s="139">
        <v>206876.88</v>
      </c>
      <c r="I686" s="139">
        <v>206876.88</v>
      </c>
      <c r="J686" s="139">
        <v>206876.88</v>
      </c>
      <c r="K686" s="139">
        <v>206876.88</v>
      </c>
      <c r="L686" s="139" t="s">
        <v>3169</v>
      </c>
      <c r="M686" s="139">
        <v>0</v>
      </c>
    </row>
    <row r="687" spans="2:13">
      <c r="B687" s="151" t="str">
        <f>_xlfn.IFNA(VLOOKUP(D687,标准编码!A:B,2,0),"")</f>
        <v/>
      </c>
      <c r="D687" s="247">
        <v>640111010901</v>
      </c>
      <c r="E687" s="247" t="s">
        <v>3846</v>
      </c>
      <c r="F687" s="247" t="s">
        <v>3169</v>
      </c>
      <c r="G687" s="139">
        <v>0</v>
      </c>
      <c r="H687" s="139">
        <v>224</v>
      </c>
      <c r="I687" s="139">
        <v>224</v>
      </c>
      <c r="J687" s="139">
        <v>224</v>
      </c>
      <c r="K687" s="139">
        <v>224</v>
      </c>
      <c r="L687" s="139" t="s">
        <v>3169</v>
      </c>
      <c r="M687" s="139">
        <v>0</v>
      </c>
    </row>
    <row r="688" spans="2:13">
      <c r="B688" s="151" t="str">
        <f>_xlfn.IFNA(VLOOKUP(D688,标准编码!A:B,2,0),"")</f>
        <v/>
      </c>
      <c r="D688" s="247">
        <v>640111010904</v>
      </c>
      <c r="E688" s="247" t="s">
        <v>3847</v>
      </c>
      <c r="F688" s="247" t="s">
        <v>3169</v>
      </c>
      <c r="G688" s="139">
        <v>0</v>
      </c>
      <c r="H688" s="139">
        <v>206652.88</v>
      </c>
      <c r="I688" s="139">
        <v>206652.88</v>
      </c>
      <c r="J688" s="139">
        <v>206652.88</v>
      </c>
      <c r="K688" s="139">
        <v>206652.88</v>
      </c>
      <c r="L688" s="139" t="s">
        <v>3169</v>
      </c>
      <c r="M688" s="139">
        <v>0</v>
      </c>
    </row>
    <row r="689" spans="2:13">
      <c r="B689" s="151" t="str">
        <f>_xlfn.IFNA(VLOOKUP(D689,标准编码!A:B,2,0),"")</f>
        <v/>
      </c>
      <c r="D689" s="247">
        <v>6401110110</v>
      </c>
      <c r="E689" s="247" t="s">
        <v>3848</v>
      </c>
      <c r="F689" s="247" t="s">
        <v>3169</v>
      </c>
      <c r="G689" s="139">
        <v>0</v>
      </c>
      <c r="H689" s="139">
        <v>246542.23</v>
      </c>
      <c r="I689" s="139">
        <v>246542.23</v>
      </c>
      <c r="J689" s="139">
        <v>246542.23</v>
      </c>
      <c r="K689" s="139">
        <v>246542.23</v>
      </c>
      <c r="L689" s="139" t="s">
        <v>3169</v>
      </c>
      <c r="M689" s="139">
        <v>0</v>
      </c>
    </row>
    <row r="690" spans="2:13">
      <c r="B690" s="151" t="str">
        <f>_xlfn.IFNA(VLOOKUP(D690,标准编码!A:B,2,0),"")</f>
        <v/>
      </c>
      <c r="D690" s="247">
        <v>640111011001</v>
      </c>
      <c r="E690" s="247" t="s">
        <v>3849</v>
      </c>
      <c r="F690" s="247" t="s">
        <v>3169</v>
      </c>
      <c r="G690" s="139">
        <v>0</v>
      </c>
      <c r="H690" s="139">
        <v>18708.439999999999</v>
      </c>
      <c r="I690" s="139">
        <v>18708.439999999999</v>
      </c>
      <c r="J690" s="139">
        <v>18708.439999999999</v>
      </c>
      <c r="K690" s="139">
        <v>18708.439999999999</v>
      </c>
      <c r="L690" s="139" t="s">
        <v>3169</v>
      </c>
      <c r="M690" s="139">
        <v>0</v>
      </c>
    </row>
    <row r="691" spans="2:13">
      <c r="B691" s="151" t="str">
        <f>_xlfn.IFNA(VLOOKUP(D691,标准编码!A:B,2,0),"")</f>
        <v/>
      </c>
      <c r="D691" s="247">
        <v>640111011003</v>
      </c>
      <c r="E691" s="247" t="s">
        <v>3850</v>
      </c>
      <c r="F691" s="247" t="s">
        <v>3169</v>
      </c>
      <c r="G691" s="139">
        <v>0</v>
      </c>
      <c r="H691" s="139">
        <v>120227.54</v>
      </c>
      <c r="I691" s="139">
        <v>120227.54</v>
      </c>
      <c r="J691" s="139">
        <v>120227.54</v>
      </c>
      <c r="K691" s="139">
        <v>120227.54</v>
      </c>
      <c r="L691" s="139" t="s">
        <v>3169</v>
      </c>
      <c r="M691" s="139">
        <v>0</v>
      </c>
    </row>
    <row r="692" spans="2:13">
      <c r="B692" s="151" t="str">
        <f>_xlfn.IFNA(VLOOKUP(D692,标准编码!A:B,2,0),"")</f>
        <v/>
      </c>
      <c r="D692" s="247">
        <v>640111011004</v>
      </c>
      <c r="E692" s="247" t="s">
        <v>3851</v>
      </c>
      <c r="F692" s="247" t="s">
        <v>3169</v>
      </c>
      <c r="G692" s="139">
        <v>0</v>
      </c>
      <c r="H692" s="139">
        <v>107606.25</v>
      </c>
      <c r="I692" s="139">
        <v>107606.25</v>
      </c>
      <c r="J692" s="139">
        <v>107606.25</v>
      </c>
      <c r="K692" s="139">
        <v>107606.25</v>
      </c>
      <c r="L692" s="139" t="s">
        <v>3169</v>
      </c>
      <c r="M692" s="139">
        <v>0</v>
      </c>
    </row>
    <row r="693" spans="2:13">
      <c r="B693" s="151" t="str">
        <f>_xlfn.IFNA(VLOOKUP(D693,标准编码!A:B,2,0),"")</f>
        <v/>
      </c>
      <c r="D693" s="247">
        <v>6401110111</v>
      </c>
      <c r="E693" s="247" t="s">
        <v>3852</v>
      </c>
      <c r="F693" s="247" t="s">
        <v>3169</v>
      </c>
      <c r="G693" s="139">
        <v>0</v>
      </c>
      <c r="H693" s="139">
        <v>0</v>
      </c>
      <c r="I693" s="139">
        <v>0</v>
      </c>
      <c r="J693" s="139">
        <v>0</v>
      </c>
      <c r="K693" s="139">
        <v>0</v>
      </c>
      <c r="L693" s="139" t="s">
        <v>3169</v>
      </c>
      <c r="M693" s="139">
        <v>0</v>
      </c>
    </row>
    <row r="694" spans="2:13">
      <c r="B694" s="151" t="str">
        <f>_xlfn.IFNA(VLOOKUP(D694,标准编码!A:B,2,0),"")</f>
        <v/>
      </c>
      <c r="D694" s="247">
        <v>640111011105</v>
      </c>
      <c r="E694" s="247" t="s">
        <v>3853</v>
      </c>
      <c r="F694" s="247" t="s">
        <v>3169</v>
      </c>
      <c r="G694" s="139">
        <v>0</v>
      </c>
      <c r="H694" s="139">
        <v>0</v>
      </c>
      <c r="I694" s="139">
        <v>0</v>
      </c>
      <c r="J694" s="139">
        <v>0</v>
      </c>
      <c r="K694" s="139">
        <v>0</v>
      </c>
      <c r="L694" s="139" t="s">
        <v>3169</v>
      </c>
      <c r="M694" s="139">
        <v>0</v>
      </c>
    </row>
    <row r="695" spans="2:13">
      <c r="B695" s="151" t="str">
        <f>_xlfn.IFNA(VLOOKUP(D695,标准编码!A:B,2,0),"")</f>
        <v/>
      </c>
      <c r="D695" s="247">
        <v>64011102</v>
      </c>
      <c r="E695" s="247" t="s">
        <v>3854</v>
      </c>
      <c r="F695" s="247" t="s">
        <v>3169</v>
      </c>
      <c r="G695" s="139">
        <v>0</v>
      </c>
      <c r="H695" s="139">
        <v>13358690.970000001</v>
      </c>
      <c r="I695" s="139">
        <v>13358690.970000001</v>
      </c>
      <c r="J695" s="139">
        <v>13358690.970000001</v>
      </c>
      <c r="K695" s="139">
        <v>13358690.970000001</v>
      </c>
      <c r="L695" s="139" t="s">
        <v>3169</v>
      </c>
      <c r="M695" s="139">
        <v>0</v>
      </c>
    </row>
    <row r="696" spans="2:13">
      <c r="B696" s="151" t="str">
        <f>_xlfn.IFNA(VLOOKUP(D696,标准编码!A:B,2,0),"")</f>
        <v/>
      </c>
      <c r="D696" s="247">
        <v>6401110201</v>
      </c>
      <c r="E696" s="247" t="s">
        <v>3855</v>
      </c>
      <c r="F696" s="247" t="s">
        <v>3169</v>
      </c>
      <c r="G696" s="139">
        <v>0</v>
      </c>
      <c r="H696" s="139">
        <v>5779785.7199999997</v>
      </c>
      <c r="I696" s="139">
        <v>5779785.7199999997</v>
      </c>
      <c r="J696" s="139">
        <v>5779785.7199999997</v>
      </c>
      <c r="K696" s="139">
        <v>5779785.7199999997</v>
      </c>
      <c r="L696" s="139" t="s">
        <v>3169</v>
      </c>
      <c r="M696" s="139">
        <v>0</v>
      </c>
    </row>
    <row r="697" spans="2:13">
      <c r="B697" s="151" t="str">
        <f>_xlfn.IFNA(VLOOKUP(D697,标准编码!A:B,2,0),"")</f>
        <v/>
      </c>
      <c r="D697" s="247">
        <v>6401110202</v>
      </c>
      <c r="E697" s="247" t="s">
        <v>3856</v>
      </c>
      <c r="F697" s="247" t="s">
        <v>3169</v>
      </c>
      <c r="G697" s="139">
        <v>0</v>
      </c>
      <c r="H697" s="139">
        <v>6487244.5599999996</v>
      </c>
      <c r="I697" s="139">
        <v>6487244.5599999996</v>
      </c>
      <c r="J697" s="139">
        <v>6487244.5599999996</v>
      </c>
      <c r="K697" s="139">
        <v>6487244.5599999996</v>
      </c>
      <c r="L697" s="139" t="s">
        <v>3169</v>
      </c>
      <c r="M697" s="139">
        <v>0</v>
      </c>
    </row>
    <row r="698" spans="2:13">
      <c r="B698" s="151" t="str">
        <f>_xlfn.IFNA(VLOOKUP(D698,标准编码!A:B,2,0),"")</f>
        <v/>
      </c>
      <c r="D698" s="247">
        <v>6401110203</v>
      </c>
      <c r="E698" s="247" t="s">
        <v>3857</v>
      </c>
      <c r="F698" s="247" t="s">
        <v>3169</v>
      </c>
      <c r="G698" s="139">
        <v>0</v>
      </c>
      <c r="H698" s="139">
        <v>8648.75</v>
      </c>
      <c r="I698" s="139">
        <v>8648.75</v>
      </c>
      <c r="J698" s="139">
        <v>8648.75</v>
      </c>
      <c r="K698" s="139">
        <v>8648.75</v>
      </c>
      <c r="L698" s="139" t="s">
        <v>3169</v>
      </c>
      <c r="M698" s="139">
        <v>0</v>
      </c>
    </row>
    <row r="699" spans="2:13">
      <c r="B699" s="151" t="str">
        <f>_xlfn.IFNA(VLOOKUP(D699,标准编码!A:B,2,0),"")</f>
        <v/>
      </c>
      <c r="D699" s="247">
        <v>6401110204</v>
      </c>
      <c r="E699" s="247" t="s">
        <v>3858</v>
      </c>
      <c r="F699" s="247" t="s">
        <v>3169</v>
      </c>
      <c r="G699" s="139">
        <v>0</v>
      </c>
      <c r="H699" s="139">
        <v>1083011.94</v>
      </c>
      <c r="I699" s="139">
        <v>1083011.94</v>
      </c>
      <c r="J699" s="139">
        <v>1083011.94</v>
      </c>
      <c r="K699" s="139">
        <v>1083011.94</v>
      </c>
      <c r="L699" s="139" t="s">
        <v>3169</v>
      </c>
      <c r="M699" s="139">
        <v>0</v>
      </c>
    </row>
    <row r="700" spans="2:13">
      <c r="B700" s="151" t="str">
        <f>_xlfn.IFNA(VLOOKUP(D700,标准编码!A:B,2,0),"")</f>
        <v/>
      </c>
      <c r="D700" s="247">
        <v>64011103</v>
      </c>
      <c r="E700" s="247" t="s">
        <v>3859</v>
      </c>
      <c r="F700" s="247" t="s">
        <v>3169</v>
      </c>
      <c r="G700" s="139">
        <v>0</v>
      </c>
      <c r="H700" s="139">
        <v>380106.26</v>
      </c>
      <c r="I700" s="139">
        <v>380106.26</v>
      </c>
      <c r="J700" s="139">
        <v>380106.26</v>
      </c>
      <c r="K700" s="139">
        <v>380106.26</v>
      </c>
      <c r="L700" s="139" t="s">
        <v>3169</v>
      </c>
      <c r="M700" s="139">
        <v>0</v>
      </c>
    </row>
    <row r="701" spans="2:13">
      <c r="B701" s="151" t="str">
        <f>_xlfn.IFNA(VLOOKUP(D701,标准编码!A:B,2,0),"")</f>
        <v/>
      </c>
      <c r="D701" s="247">
        <v>6401110301</v>
      </c>
      <c r="E701" s="247" t="s">
        <v>3860</v>
      </c>
      <c r="F701" s="247" t="s">
        <v>3169</v>
      </c>
      <c r="G701" s="139">
        <v>0</v>
      </c>
      <c r="H701" s="139">
        <v>328542.08000000002</v>
      </c>
      <c r="I701" s="139">
        <v>328542.08000000002</v>
      </c>
      <c r="J701" s="139">
        <v>328542.08000000002</v>
      </c>
      <c r="K701" s="139">
        <v>328542.08000000002</v>
      </c>
      <c r="L701" s="139" t="s">
        <v>3169</v>
      </c>
      <c r="M701" s="139">
        <v>0</v>
      </c>
    </row>
    <row r="702" spans="2:13">
      <c r="B702" s="151" t="str">
        <f>_xlfn.IFNA(VLOOKUP(D702,标准编码!A:B,2,0),"")</f>
        <v/>
      </c>
      <c r="D702" s="247">
        <v>6401110302</v>
      </c>
      <c r="E702" s="247" t="s">
        <v>3861</v>
      </c>
      <c r="F702" s="247" t="s">
        <v>3169</v>
      </c>
      <c r="G702" s="139">
        <v>0</v>
      </c>
      <c r="H702" s="139">
        <v>12353.66</v>
      </c>
      <c r="I702" s="139">
        <v>12353.66</v>
      </c>
      <c r="J702" s="139">
        <v>12353.66</v>
      </c>
      <c r="K702" s="139">
        <v>12353.66</v>
      </c>
      <c r="L702" s="139" t="s">
        <v>3169</v>
      </c>
      <c r="M702" s="139">
        <v>0</v>
      </c>
    </row>
    <row r="703" spans="2:13">
      <c r="B703" s="151" t="str">
        <f>_xlfn.IFNA(VLOOKUP(D703,标准编码!A:B,2,0),"")</f>
        <v/>
      </c>
      <c r="D703" s="247">
        <v>6401110303</v>
      </c>
      <c r="E703" s="247" t="s">
        <v>3862</v>
      </c>
      <c r="F703" s="247" t="s">
        <v>3169</v>
      </c>
      <c r="G703" s="139">
        <v>0</v>
      </c>
      <c r="H703" s="139">
        <v>39210.519999999997</v>
      </c>
      <c r="I703" s="139">
        <v>39210.519999999997</v>
      </c>
      <c r="J703" s="139">
        <v>39210.519999999997</v>
      </c>
      <c r="K703" s="139">
        <v>39210.519999999997</v>
      </c>
      <c r="L703" s="139" t="s">
        <v>3169</v>
      </c>
      <c r="M703" s="139">
        <v>0</v>
      </c>
    </row>
    <row r="704" spans="2:13">
      <c r="B704" s="151" t="str">
        <f>_xlfn.IFNA(VLOOKUP(D704,标准编码!A:B,2,0),"")</f>
        <v/>
      </c>
      <c r="D704" s="247">
        <v>64011104</v>
      </c>
      <c r="E704" s="247" t="s">
        <v>3863</v>
      </c>
      <c r="F704" s="247" t="s">
        <v>3169</v>
      </c>
      <c r="G704" s="139">
        <v>0</v>
      </c>
      <c r="H704" s="139">
        <v>335511.42</v>
      </c>
      <c r="I704" s="139">
        <v>335511.42</v>
      </c>
      <c r="J704" s="139">
        <v>335511.42</v>
      </c>
      <c r="K704" s="139">
        <v>335511.42</v>
      </c>
      <c r="L704" s="139" t="s">
        <v>3169</v>
      </c>
      <c r="M704" s="139">
        <v>0</v>
      </c>
    </row>
    <row r="705" spans="2:13">
      <c r="B705" s="151" t="str">
        <f>_xlfn.IFNA(VLOOKUP(D705,标准编码!A:B,2,0),"")</f>
        <v/>
      </c>
      <c r="D705" s="247">
        <v>640112</v>
      </c>
      <c r="E705" s="247" t="s">
        <v>3864</v>
      </c>
      <c r="F705" s="247" t="s">
        <v>3169</v>
      </c>
      <c r="G705" s="139">
        <v>0</v>
      </c>
      <c r="H705" s="139">
        <v>5147294.01</v>
      </c>
      <c r="I705" s="139">
        <v>5147294.01</v>
      </c>
      <c r="J705" s="139">
        <v>5147294.01</v>
      </c>
      <c r="K705" s="139">
        <v>5147294.01</v>
      </c>
      <c r="L705" s="139" t="s">
        <v>3169</v>
      </c>
      <c r="M705" s="139">
        <v>0</v>
      </c>
    </row>
    <row r="706" spans="2:13">
      <c r="B706" s="151" t="str">
        <f>_xlfn.IFNA(VLOOKUP(D706,标准编码!A:B,2,0),"")</f>
        <v/>
      </c>
      <c r="D706" s="247">
        <v>64011201</v>
      </c>
      <c r="E706" s="247" t="s">
        <v>3865</v>
      </c>
      <c r="F706" s="247" t="s">
        <v>3169</v>
      </c>
      <c r="G706" s="139">
        <v>0</v>
      </c>
      <c r="H706" s="139">
        <v>5147294.01</v>
      </c>
      <c r="I706" s="139">
        <v>5147294.01</v>
      </c>
      <c r="J706" s="139">
        <v>5147294.01</v>
      </c>
      <c r="K706" s="139">
        <v>5147294.01</v>
      </c>
      <c r="L706" s="139" t="s">
        <v>3169</v>
      </c>
      <c r="M706" s="139">
        <v>0</v>
      </c>
    </row>
    <row r="707" spans="2:13">
      <c r="B707" s="151" t="str">
        <f>_xlfn.IFNA(VLOOKUP(D707,标准编码!A:B,2,0),"")</f>
        <v/>
      </c>
      <c r="D707" s="247">
        <v>640131</v>
      </c>
      <c r="E707" s="247" t="s">
        <v>3866</v>
      </c>
      <c r="F707" s="247" t="s">
        <v>3169</v>
      </c>
      <c r="G707" s="139">
        <v>0</v>
      </c>
      <c r="H707" s="139">
        <v>9697734.75</v>
      </c>
      <c r="I707" s="139">
        <v>9697734.75</v>
      </c>
      <c r="J707" s="139">
        <v>9697734.75</v>
      </c>
      <c r="K707" s="139">
        <v>9697734.75</v>
      </c>
      <c r="L707" s="139" t="s">
        <v>3169</v>
      </c>
      <c r="M707" s="139">
        <v>0</v>
      </c>
    </row>
    <row r="708" spans="2:13">
      <c r="B708" s="151" t="str">
        <f>_xlfn.IFNA(VLOOKUP(D708,标准编码!A:B,2,0),"")</f>
        <v>其他业务成本</v>
      </c>
      <c r="D708" s="247">
        <v>6402</v>
      </c>
      <c r="E708" s="247" t="s">
        <v>3867</v>
      </c>
      <c r="F708" s="247" t="s">
        <v>3169</v>
      </c>
      <c r="G708" s="139">
        <v>0</v>
      </c>
      <c r="H708" s="139">
        <v>10298061.710000001</v>
      </c>
      <c r="I708" s="139">
        <v>10298061.710000001</v>
      </c>
      <c r="J708" s="139">
        <v>10298061.710000001</v>
      </c>
      <c r="K708" s="139">
        <v>10298061.710000001</v>
      </c>
      <c r="L708" s="139" t="s">
        <v>3169</v>
      </c>
      <c r="M708" s="139">
        <v>0</v>
      </c>
    </row>
    <row r="709" spans="2:13">
      <c r="B709" s="151" t="str">
        <f>_xlfn.IFNA(VLOOKUP(D709,标准编码!A:B,2,0),"")</f>
        <v/>
      </c>
      <c r="D709" s="247">
        <v>640202</v>
      </c>
      <c r="E709" s="247" t="s">
        <v>3868</v>
      </c>
      <c r="F709" s="247" t="s">
        <v>3169</v>
      </c>
      <c r="G709" s="139">
        <v>0</v>
      </c>
      <c r="H709" s="139">
        <v>10298061.710000001</v>
      </c>
      <c r="I709" s="139">
        <v>10298061.710000001</v>
      </c>
      <c r="J709" s="139">
        <v>10298061.710000001</v>
      </c>
      <c r="K709" s="139">
        <v>10298061.710000001</v>
      </c>
      <c r="L709" s="139" t="s">
        <v>3169</v>
      </c>
      <c r="M709" s="139">
        <v>0</v>
      </c>
    </row>
    <row r="710" spans="2:13">
      <c r="B710" s="151" t="str">
        <f>_xlfn.IFNA(VLOOKUP(D710,标准编码!A:B,2,0),"")</f>
        <v/>
      </c>
      <c r="D710" s="247">
        <v>64020201</v>
      </c>
      <c r="E710" s="247" t="s">
        <v>3869</v>
      </c>
      <c r="F710" s="247" t="s">
        <v>3169</v>
      </c>
      <c r="G710" s="139">
        <v>0</v>
      </c>
      <c r="H710" s="139">
        <v>10298061.710000001</v>
      </c>
      <c r="I710" s="139">
        <v>10298061.710000001</v>
      </c>
      <c r="J710" s="139">
        <v>10298061.710000001</v>
      </c>
      <c r="K710" s="139">
        <v>10298061.710000001</v>
      </c>
      <c r="L710" s="139" t="s">
        <v>3169</v>
      </c>
      <c r="M710" s="139">
        <v>0</v>
      </c>
    </row>
    <row r="711" spans="2:13">
      <c r="B711" s="151" t="str">
        <f>_xlfn.IFNA(VLOOKUP(D711,标准编码!A:B,2,0),"")</f>
        <v>税金及附加</v>
      </c>
      <c r="D711" s="247">
        <v>6403</v>
      </c>
      <c r="E711" s="247" t="s">
        <v>3870</v>
      </c>
      <c r="F711" s="247" t="s">
        <v>3169</v>
      </c>
      <c r="G711" s="139">
        <v>0</v>
      </c>
      <c r="H711" s="139">
        <v>7567760.6699999999</v>
      </c>
      <c r="I711" s="139">
        <v>7567760.6699999999</v>
      </c>
      <c r="J711" s="139">
        <v>7567760.6699999999</v>
      </c>
      <c r="K711" s="139">
        <v>7567760.6699999999</v>
      </c>
      <c r="L711" s="139" t="s">
        <v>3169</v>
      </c>
      <c r="M711" s="139">
        <v>0</v>
      </c>
    </row>
    <row r="712" spans="2:13">
      <c r="B712" s="151" t="str">
        <f>_xlfn.IFNA(VLOOKUP(D712,标准编码!A:B,2,0),"")</f>
        <v/>
      </c>
      <c r="D712" s="247">
        <v>640301</v>
      </c>
      <c r="E712" s="247" t="s">
        <v>3871</v>
      </c>
      <c r="F712" s="247" t="s">
        <v>3169</v>
      </c>
      <c r="G712" s="139">
        <v>0</v>
      </c>
      <c r="H712" s="139">
        <v>5359221.1500000004</v>
      </c>
      <c r="I712" s="139">
        <v>5359221.1500000004</v>
      </c>
      <c r="J712" s="139">
        <v>5359221.1500000004</v>
      </c>
      <c r="K712" s="139">
        <v>5359221.1500000004</v>
      </c>
      <c r="L712" s="139" t="s">
        <v>3169</v>
      </c>
      <c r="M712" s="139">
        <v>0</v>
      </c>
    </row>
    <row r="713" spans="2:13">
      <c r="B713" s="151" t="str">
        <f>_xlfn.IFNA(VLOOKUP(D713,标准编码!A:B,2,0),"")</f>
        <v/>
      </c>
      <c r="D713" s="247">
        <v>64030101</v>
      </c>
      <c r="E713" s="247" t="s">
        <v>3872</v>
      </c>
      <c r="F713" s="247" t="s">
        <v>3169</v>
      </c>
      <c r="G713" s="139">
        <v>0</v>
      </c>
      <c r="H713" s="139">
        <v>5290831.09</v>
      </c>
      <c r="I713" s="139">
        <v>5290831.09</v>
      </c>
      <c r="J713" s="139">
        <v>5290831.09</v>
      </c>
      <c r="K713" s="139">
        <v>5290831.09</v>
      </c>
      <c r="L713" s="139" t="s">
        <v>3169</v>
      </c>
      <c r="M713" s="139">
        <v>0</v>
      </c>
    </row>
    <row r="714" spans="2:13">
      <c r="B714" s="151" t="str">
        <f>_xlfn.IFNA(VLOOKUP(D714,标准编码!A:B,2,0),"")</f>
        <v/>
      </c>
      <c r="D714" s="247">
        <v>64030102</v>
      </c>
      <c r="E714" s="247" t="s">
        <v>3873</v>
      </c>
      <c r="F714" s="247" t="s">
        <v>3169</v>
      </c>
      <c r="G714" s="139">
        <v>0</v>
      </c>
      <c r="H714" s="139">
        <v>68390.06</v>
      </c>
      <c r="I714" s="139">
        <v>68390.06</v>
      </c>
      <c r="J714" s="139">
        <v>68390.06</v>
      </c>
      <c r="K714" s="139">
        <v>68390.06</v>
      </c>
      <c r="L714" s="139" t="s">
        <v>3169</v>
      </c>
      <c r="M714" s="139">
        <v>0</v>
      </c>
    </row>
    <row r="715" spans="2:13">
      <c r="B715" s="151" t="str">
        <f>_xlfn.IFNA(VLOOKUP(D715,标准编码!A:B,2,0),"")</f>
        <v/>
      </c>
      <c r="D715" s="247">
        <v>640302</v>
      </c>
      <c r="E715" s="247" t="s">
        <v>3874</v>
      </c>
      <c r="F715" s="247" t="s">
        <v>3169</v>
      </c>
      <c r="G715" s="139">
        <v>0</v>
      </c>
      <c r="H715" s="139">
        <v>677379.4</v>
      </c>
      <c r="I715" s="139">
        <v>677379.4</v>
      </c>
      <c r="J715" s="139">
        <v>677379.4</v>
      </c>
      <c r="K715" s="139">
        <v>677379.4</v>
      </c>
      <c r="L715" s="139" t="s">
        <v>3169</v>
      </c>
      <c r="M715" s="139">
        <v>0</v>
      </c>
    </row>
    <row r="716" spans="2:13">
      <c r="B716" s="151" t="str">
        <f>_xlfn.IFNA(VLOOKUP(D716,标准编码!A:B,2,0),"")</f>
        <v/>
      </c>
      <c r="D716" s="247">
        <v>640304</v>
      </c>
      <c r="E716" s="247" t="s">
        <v>3875</v>
      </c>
      <c r="F716" s="247" t="s">
        <v>3169</v>
      </c>
      <c r="G716" s="139">
        <v>0</v>
      </c>
      <c r="H716" s="139">
        <v>293329.63</v>
      </c>
      <c r="I716" s="139">
        <v>293329.63</v>
      </c>
      <c r="J716" s="139">
        <v>293329.63</v>
      </c>
      <c r="K716" s="139">
        <v>293329.63</v>
      </c>
      <c r="L716" s="139" t="s">
        <v>3169</v>
      </c>
      <c r="M716" s="139">
        <v>0</v>
      </c>
    </row>
    <row r="717" spans="2:13">
      <c r="B717" s="151" t="str">
        <f>_xlfn.IFNA(VLOOKUP(D717,标准编码!A:B,2,0),"")</f>
        <v/>
      </c>
      <c r="D717" s="247">
        <v>64030401</v>
      </c>
      <c r="E717" s="247" t="s">
        <v>3876</v>
      </c>
      <c r="F717" s="247" t="s">
        <v>3169</v>
      </c>
      <c r="G717" s="139">
        <v>0</v>
      </c>
      <c r="H717" s="139">
        <v>100032.91</v>
      </c>
      <c r="I717" s="139">
        <v>100032.91</v>
      </c>
      <c r="J717" s="139">
        <v>100032.91</v>
      </c>
      <c r="K717" s="139">
        <v>100032.91</v>
      </c>
      <c r="L717" s="139" t="s">
        <v>3169</v>
      </c>
      <c r="M717" s="139">
        <v>0</v>
      </c>
    </row>
    <row r="718" spans="2:13">
      <c r="B718" s="151" t="str">
        <f>_xlfn.IFNA(VLOOKUP(D718,标准编码!A:B,2,0),"")</f>
        <v/>
      </c>
      <c r="D718" s="247">
        <v>64030403</v>
      </c>
      <c r="E718" s="247" t="s">
        <v>3877</v>
      </c>
      <c r="F718" s="247" t="s">
        <v>3169</v>
      </c>
      <c r="G718" s="139">
        <v>0</v>
      </c>
      <c r="H718" s="139">
        <v>193296.72</v>
      </c>
      <c r="I718" s="139">
        <v>193296.72</v>
      </c>
      <c r="J718" s="139">
        <v>193296.72</v>
      </c>
      <c r="K718" s="139">
        <v>193296.72</v>
      </c>
      <c r="L718" s="139" t="s">
        <v>3169</v>
      </c>
      <c r="M718" s="139">
        <v>0</v>
      </c>
    </row>
    <row r="719" spans="2:13">
      <c r="B719" s="151" t="str">
        <f>_xlfn.IFNA(VLOOKUP(D719,标准编码!A:B,2,0),"")</f>
        <v/>
      </c>
      <c r="D719" s="247">
        <v>640305</v>
      </c>
      <c r="E719" s="247" t="s">
        <v>3878</v>
      </c>
      <c r="F719" s="247" t="s">
        <v>3169</v>
      </c>
      <c r="G719" s="139">
        <v>0</v>
      </c>
      <c r="H719" s="139">
        <v>45466.51</v>
      </c>
      <c r="I719" s="139">
        <v>45466.51</v>
      </c>
      <c r="J719" s="139">
        <v>45466.51</v>
      </c>
      <c r="K719" s="139">
        <v>45466.51</v>
      </c>
      <c r="L719" s="139" t="s">
        <v>3169</v>
      </c>
      <c r="M719" s="139">
        <v>0</v>
      </c>
    </row>
    <row r="720" spans="2:13">
      <c r="B720" s="151" t="str">
        <f>_xlfn.IFNA(VLOOKUP(D720,标准编码!A:B,2,0),"")</f>
        <v/>
      </c>
      <c r="D720" s="247">
        <v>64030501</v>
      </c>
      <c r="E720" s="247" t="s">
        <v>3879</v>
      </c>
      <c r="F720" s="247" t="s">
        <v>3169</v>
      </c>
      <c r="G720" s="139">
        <v>0</v>
      </c>
      <c r="H720" s="139">
        <v>44014.879999999997</v>
      </c>
      <c r="I720" s="139">
        <v>44014.879999999997</v>
      </c>
      <c r="J720" s="139">
        <v>44014.879999999997</v>
      </c>
      <c r="K720" s="139">
        <v>44014.879999999997</v>
      </c>
      <c r="L720" s="139" t="s">
        <v>3169</v>
      </c>
      <c r="M720" s="139">
        <v>0</v>
      </c>
    </row>
    <row r="721" spans="2:13">
      <c r="B721" s="151" t="str">
        <f>_xlfn.IFNA(VLOOKUP(D721,标准编码!A:B,2,0),"")</f>
        <v/>
      </c>
      <c r="D721" s="247">
        <v>64030503</v>
      </c>
      <c r="E721" s="247" t="s">
        <v>3880</v>
      </c>
      <c r="F721" s="247" t="s">
        <v>3169</v>
      </c>
      <c r="G721" s="139">
        <v>0</v>
      </c>
      <c r="H721" s="139">
        <v>1451.63</v>
      </c>
      <c r="I721" s="139">
        <v>1451.63</v>
      </c>
      <c r="J721" s="139">
        <v>1451.63</v>
      </c>
      <c r="K721" s="139">
        <v>1451.63</v>
      </c>
      <c r="L721" s="139" t="s">
        <v>3169</v>
      </c>
      <c r="M721" s="139">
        <v>0</v>
      </c>
    </row>
    <row r="722" spans="2:13">
      <c r="B722" s="151" t="str">
        <f>_xlfn.IFNA(VLOOKUP(D722,标准编码!A:B,2,0),"")</f>
        <v/>
      </c>
      <c r="D722" s="247">
        <v>640306</v>
      </c>
      <c r="E722" s="247" t="s">
        <v>3881</v>
      </c>
      <c r="F722" s="247" t="s">
        <v>3169</v>
      </c>
      <c r="G722" s="139">
        <v>0</v>
      </c>
      <c r="H722" s="139">
        <v>35033.22</v>
      </c>
      <c r="I722" s="139">
        <v>35033.22</v>
      </c>
      <c r="J722" s="139">
        <v>35033.22</v>
      </c>
      <c r="K722" s="139">
        <v>35033.22</v>
      </c>
      <c r="L722" s="139" t="s">
        <v>3169</v>
      </c>
      <c r="M722" s="139">
        <v>0</v>
      </c>
    </row>
    <row r="723" spans="2:13">
      <c r="B723" s="151" t="str">
        <f>_xlfn.IFNA(VLOOKUP(D723,标准编码!A:B,2,0),"")</f>
        <v/>
      </c>
      <c r="D723" s="247">
        <v>64030601</v>
      </c>
      <c r="E723" s="247" t="s">
        <v>3882</v>
      </c>
      <c r="F723" s="247" t="s">
        <v>3169</v>
      </c>
      <c r="G723" s="139">
        <v>0</v>
      </c>
      <c r="H723" s="139">
        <v>32855.769999999997</v>
      </c>
      <c r="I723" s="139">
        <v>32855.769999999997</v>
      </c>
      <c r="J723" s="139">
        <v>32855.769999999997</v>
      </c>
      <c r="K723" s="139">
        <v>32855.769999999997</v>
      </c>
      <c r="L723" s="139" t="s">
        <v>3169</v>
      </c>
      <c r="M723" s="139">
        <v>0</v>
      </c>
    </row>
    <row r="724" spans="2:13">
      <c r="B724" s="151" t="str">
        <f>_xlfn.IFNA(VLOOKUP(D724,标准编码!A:B,2,0),"")</f>
        <v/>
      </c>
      <c r="D724" s="247">
        <v>64030603</v>
      </c>
      <c r="E724" s="247" t="s">
        <v>3883</v>
      </c>
      <c r="F724" s="247" t="s">
        <v>3169</v>
      </c>
      <c r="G724" s="139">
        <v>0</v>
      </c>
      <c r="H724" s="139">
        <v>2177.4499999999998</v>
      </c>
      <c r="I724" s="139">
        <v>2177.4499999999998</v>
      </c>
      <c r="J724" s="139">
        <v>2177.4499999999998</v>
      </c>
      <c r="K724" s="139">
        <v>2177.4499999999998</v>
      </c>
      <c r="L724" s="139" t="s">
        <v>3169</v>
      </c>
      <c r="M724" s="139">
        <v>0</v>
      </c>
    </row>
    <row r="725" spans="2:13">
      <c r="B725" s="151" t="str">
        <f>_xlfn.IFNA(VLOOKUP(D725,标准编码!A:B,2,0),"")</f>
        <v/>
      </c>
      <c r="D725" s="247">
        <v>640307</v>
      </c>
      <c r="E725" s="247" t="s">
        <v>3884</v>
      </c>
      <c r="F725" s="247" t="s">
        <v>3169</v>
      </c>
      <c r="G725" s="139">
        <v>0</v>
      </c>
      <c r="H725" s="139">
        <v>250149.56</v>
      </c>
      <c r="I725" s="139">
        <v>250149.56</v>
      </c>
      <c r="J725" s="139">
        <v>250149.56</v>
      </c>
      <c r="K725" s="139">
        <v>250149.56</v>
      </c>
      <c r="L725" s="139" t="s">
        <v>3169</v>
      </c>
      <c r="M725" s="139">
        <v>0</v>
      </c>
    </row>
    <row r="726" spans="2:13">
      <c r="B726" s="151" t="str">
        <f>_xlfn.IFNA(VLOOKUP(D726,标准编码!A:B,2,0),"")</f>
        <v/>
      </c>
      <c r="D726" s="247">
        <v>640310</v>
      </c>
      <c r="E726" s="247" t="s">
        <v>3885</v>
      </c>
      <c r="F726" s="247" t="s">
        <v>3169</v>
      </c>
      <c r="G726" s="139">
        <v>0</v>
      </c>
      <c r="H726" s="139">
        <v>2820</v>
      </c>
      <c r="I726" s="139">
        <v>2820</v>
      </c>
      <c r="J726" s="139">
        <v>2820</v>
      </c>
      <c r="K726" s="139">
        <v>2820</v>
      </c>
      <c r="L726" s="139" t="s">
        <v>3169</v>
      </c>
      <c r="M726" s="139">
        <v>0</v>
      </c>
    </row>
    <row r="727" spans="2:13">
      <c r="B727" s="151" t="str">
        <f>_xlfn.IFNA(VLOOKUP(D727,标准编码!A:B,2,0),"")</f>
        <v/>
      </c>
      <c r="D727" s="247">
        <v>640312</v>
      </c>
      <c r="E727" s="247" t="s">
        <v>3886</v>
      </c>
      <c r="F727" s="247" t="s">
        <v>3169</v>
      </c>
      <c r="G727" s="139">
        <v>0</v>
      </c>
      <c r="H727" s="139">
        <v>255336.98</v>
      </c>
      <c r="I727" s="139">
        <v>255336.98</v>
      </c>
      <c r="J727" s="139">
        <v>255336.98</v>
      </c>
      <c r="K727" s="139">
        <v>255336.98</v>
      </c>
      <c r="L727" s="139" t="s">
        <v>3169</v>
      </c>
      <c r="M727" s="139">
        <v>0</v>
      </c>
    </row>
    <row r="728" spans="2:13">
      <c r="B728" s="151" t="str">
        <f>_xlfn.IFNA(VLOOKUP(D728,标准编码!A:B,2,0),"")</f>
        <v/>
      </c>
      <c r="D728" s="247">
        <v>640317</v>
      </c>
      <c r="E728" s="247" t="s">
        <v>3887</v>
      </c>
      <c r="F728" s="247" t="s">
        <v>3169</v>
      </c>
      <c r="G728" s="139">
        <v>0</v>
      </c>
      <c r="H728" s="139">
        <v>394134.47</v>
      </c>
      <c r="I728" s="139">
        <v>394134.47</v>
      </c>
      <c r="J728" s="139">
        <v>394134.47</v>
      </c>
      <c r="K728" s="139">
        <v>394134.47</v>
      </c>
      <c r="L728" s="139" t="s">
        <v>3169</v>
      </c>
      <c r="M728" s="139">
        <v>0</v>
      </c>
    </row>
    <row r="729" spans="2:13">
      <c r="B729" s="151" t="str">
        <f>_xlfn.IFNA(VLOOKUP(D729,标准编码!A:B,2,0),"")</f>
        <v/>
      </c>
      <c r="D729" s="247">
        <v>640318</v>
      </c>
      <c r="E729" s="247" t="s">
        <v>3888</v>
      </c>
      <c r="F729" s="247" t="s">
        <v>3169</v>
      </c>
      <c r="G729" s="139">
        <v>0</v>
      </c>
      <c r="H729" s="139">
        <v>254889.75</v>
      </c>
      <c r="I729" s="139">
        <v>254889.75</v>
      </c>
      <c r="J729" s="139">
        <v>254889.75</v>
      </c>
      <c r="K729" s="139">
        <v>254889.75</v>
      </c>
      <c r="L729" s="139" t="s">
        <v>3169</v>
      </c>
      <c r="M729" s="139">
        <v>0</v>
      </c>
    </row>
    <row r="730" spans="2:13">
      <c r="B730" s="151" t="str">
        <f>_xlfn.IFNA(VLOOKUP(D730,标准编码!A:B,2,0),"")</f>
        <v/>
      </c>
      <c r="D730" s="247">
        <v>64031899</v>
      </c>
      <c r="E730" s="247" t="s">
        <v>3889</v>
      </c>
      <c r="F730" s="247" t="s">
        <v>3169</v>
      </c>
      <c r="G730" s="139">
        <v>0</v>
      </c>
      <c r="H730" s="139">
        <v>254889.75</v>
      </c>
      <c r="I730" s="139">
        <v>254889.75</v>
      </c>
      <c r="J730" s="139">
        <v>254889.75</v>
      </c>
      <c r="K730" s="139">
        <v>254889.75</v>
      </c>
      <c r="L730" s="139" t="s">
        <v>3169</v>
      </c>
      <c r="M730" s="139">
        <v>0</v>
      </c>
    </row>
    <row r="731" spans="2:13">
      <c r="B731" s="151" t="str">
        <f>_xlfn.IFNA(VLOOKUP(D731,标准编码!A:B,2,0),"")</f>
        <v>管理费用</v>
      </c>
      <c r="D731" s="247">
        <v>6602</v>
      </c>
      <c r="E731" s="247" t="s">
        <v>3890</v>
      </c>
      <c r="F731" s="247" t="s">
        <v>3169</v>
      </c>
      <c r="G731" s="139">
        <v>0</v>
      </c>
      <c r="H731" s="139">
        <v>123240697.16</v>
      </c>
      <c r="I731" s="139">
        <v>123240697.16</v>
      </c>
      <c r="J731" s="139">
        <v>123240697.16</v>
      </c>
      <c r="K731" s="139">
        <v>123240697.16</v>
      </c>
      <c r="L731" s="139" t="s">
        <v>3169</v>
      </c>
      <c r="M731" s="139">
        <v>0</v>
      </c>
    </row>
    <row r="732" spans="2:13">
      <c r="B732" s="151" t="str">
        <f>_xlfn.IFNA(VLOOKUP(D732,标准编码!A:B,2,0),"")</f>
        <v/>
      </c>
      <c r="D732" s="247">
        <v>660201</v>
      </c>
      <c r="E732" s="247" t="s">
        <v>3891</v>
      </c>
      <c r="F732" s="247" t="s">
        <v>3169</v>
      </c>
      <c r="G732" s="139">
        <v>0</v>
      </c>
      <c r="H732" s="139">
        <v>21651603.91</v>
      </c>
      <c r="I732" s="139">
        <v>21651603.91</v>
      </c>
      <c r="J732" s="139">
        <v>21651603.91</v>
      </c>
      <c r="K732" s="139">
        <v>21651603.91</v>
      </c>
      <c r="L732" s="139" t="s">
        <v>3169</v>
      </c>
      <c r="M732" s="139">
        <v>0</v>
      </c>
    </row>
    <row r="733" spans="2:13">
      <c r="B733" s="151" t="str">
        <f>_xlfn.IFNA(VLOOKUP(D733,标准编码!A:B,2,0),"")</f>
        <v/>
      </c>
      <c r="D733" s="247">
        <v>66020101</v>
      </c>
      <c r="E733" s="247" t="s">
        <v>3892</v>
      </c>
      <c r="F733" s="247" t="s">
        <v>3169</v>
      </c>
      <c r="G733" s="139">
        <v>0</v>
      </c>
      <c r="H733" s="139">
        <v>13951547.82</v>
      </c>
      <c r="I733" s="139">
        <v>13951547.82</v>
      </c>
      <c r="J733" s="139">
        <v>13951547.82</v>
      </c>
      <c r="K733" s="139">
        <v>13951547.82</v>
      </c>
      <c r="L733" s="139" t="s">
        <v>3169</v>
      </c>
      <c r="M733" s="139">
        <v>0</v>
      </c>
    </row>
    <row r="734" spans="2:13">
      <c r="B734" s="151" t="str">
        <f>_xlfn.IFNA(VLOOKUP(D734,标准编码!A:B,2,0),"")</f>
        <v/>
      </c>
      <c r="D734" s="247">
        <v>66020102</v>
      </c>
      <c r="E734" s="247" t="s">
        <v>3893</v>
      </c>
      <c r="F734" s="247" t="s">
        <v>3169</v>
      </c>
      <c r="G734" s="139">
        <v>0</v>
      </c>
      <c r="H734" s="139">
        <v>1852566.81</v>
      </c>
      <c r="I734" s="139">
        <v>1852566.81</v>
      </c>
      <c r="J734" s="139">
        <v>1852566.81</v>
      </c>
      <c r="K734" s="139">
        <v>1852566.81</v>
      </c>
      <c r="L734" s="139" t="s">
        <v>3169</v>
      </c>
      <c r="M734" s="139">
        <v>0</v>
      </c>
    </row>
    <row r="735" spans="2:13">
      <c r="B735" s="151" t="str">
        <f>_xlfn.IFNA(VLOOKUP(D735,标准编码!A:B,2,0),"")</f>
        <v/>
      </c>
      <c r="D735" s="247">
        <v>66020103</v>
      </c>
      <c r="E735" s="247" t="s">
        <v>3894</v>
      </c>
      <c r="F735" s="247" t="s">
        <v>3169</v>
      </c>
      <c r="G735" s="139">
        <v>0</v>
      </c>
      <c r="H735" s="139">
        <v>3338729.62</v>
      </c>
      <c r="I735" s="139">
        <v>3338729.62</v>
      </c>
      <c r="J735" s="139">
        <v>3338729.62</v>
      </c>
      <c r="K735" s="139">
        <v>3338729.62</v>
      </c>
      <c r="L735" s="139" t="s">
        <v>3169</v>
      </c>
      <c r="M735" s="139">
        <v>0</v>
      </c>
    </row>
    <row r="736" spans="2:13">
      <c r="B736" s="151" t="str">
        <f>_xlfn.IFNA(VLOOKUP(D736,标准编码!A:B,2,0),"")</f>
        <v/>
      </c>
      <c r="D736" s="247">
        <v>6602010301</v>
      </c>
      <c r="E736" s="247" t="s">
        <v>3895</v>
      </c>
      <c r="F736" s="247" t="s">
        <v>3169</v>
      </c>
      <c r="G736" s="139">
        <v>0</v>
      </c>
      <c r="H736" s="139">
        <v>1414592.24</v>
      </c>
      <c r="I736" s="139">
        <v>1414592.24</v>
      </c>
      <c r="J736" s="139">
        <v>1414592.24</v>
      </c>
      <c r="K736" s="139">
        <v>1414592.24</v>
      </c>
      <c r="L736" s="139" t="s">
        <v>3169</v>
      </c>
      <c r="M736" s="139">
        <v>0</v>
      </c>
    </row>
    <row r="737" spans="2:13">
      <c r="B737" s="151" t="str">
        <f>_xlfn.IFNA(VLOOKUP(D737,标准编码!A:B,2,0),"")</f>
        <v/>
      </c>
      <c r="D737" s="247">
        <v>660201030101</v>
      </c>
      <c r="E737" s="247" t="s">
        <v>3896</v>
      </c>
      <c r="F737" s="247" t="s">
        <v>3169</v>
      </c>
      <c r="G737" s="139">
        <v>0</v>
      </c>
      <c r="H737" s="139">
        <v>1443645.49</v>
      </c>
      <c r="I737" s="139">
        <v>1443645.49</v>
      </c>
      <c r="J737" s="139">
        <v>1443645.49</v>
      </c>
      <c r="K737" s="139">
        <v>1443645.49</v>
      </c>
      <c r="L737" s="139" t="s">
        <v>3169</v>
      </c>
      <c r="M737" s="139">
        <v>0</v>
      </c>
    </row>
    <row r="738" spans="2:13">
      <c r="B738" s="151" t="str">
        <f>_xlfn.IFNA(VLOOKUP(D738,标准编码!A:B,2,0),"")</f>
        <v/>
      </c>
      <c r="D738" s="247">
        <v>660201030102</v>
      </c>
      <c r="E738" s="247" t="s">
        <v>3897</v>
      </c>
      <c r="F738" s="247" t="s">
        <v>3169</v>
      </c>
      <c r="G738" s="139">
        <v>0</v>
      </c>
      <c r="H738" s="139">
        <v>-29053.25</v>
      </c>
      <c r="I738" s="139">
        <v>-29053.25</v>
      </c>
      <c r="J738" s="139">
        <v>-29053.25</v>
      </c>
      <c r="K738" s="139">
        <v>-29053.25</v>
      </c>
      <c r="L738" s="139" t="s">
        <v>3169</v>
      </c>
      <c r="M738" s="139">
        <v>0</v>
      </c>
    </row>
    <row r="739" spans="2:13">
      <c r="B739" s="151" t="str">
        <f>_xlfn.IFNA(VLOOKUP(D739,标准编码!A:B,2,0),"")</f>
        <v/>
      </c>
      <c r="D739" s="247">
        <v>6602010302</v>
      </c>
      <c r="E739" s="247" t="s">
        <v>3898</v>
      </c>
      <c r="F739" s="247" t="s">
        <v>3169</v>
      </c>
      <c r="G739" s="139">
        <v>0</v>
      </c>
      <c r="H739" s="139">
        <v>1097049.18</v>
      </c>
      <c r="I739" s="139">
        <v>1097049.18</v>
      </c>
      <c r="J739" s="139">
        <v>1097049.18</v>
      </c>
      <c r="K739" s="139">
        <v>1097049.18</v>
      </c>
      <c r="L739" s="139" t="s">
        <v>3169</v>
      </c>
      <c r="M739" s="139">
        <v>0</v>
      </c>
    </row>
    <row r="740" spans="2:13">
      <c r="B740" s="151" t="str">
        <f>_xlfn.IFNA(VLOOKUP(D740,标准编码!A:B,2,0),"")</f>
        <v/>
      </c>
      <c r="D740" s="247">
        <v>660201030201</v>
      </c>
      <c r="E740" s="247" t="s">
        <v>3899</v>
      </c>
      <c r="F740" s="247" t="s">
        <v>3169</v>
      </c>
      <c r="G740" s="139">
        <v>0</v>
      </c>
      <c r="H740" s="139">
        <v>1082729.96</v>
      </c>
      <c r="I740" s="139">
        <v>1082729.96</v>
      </c>
      <c r="J740" s="139">
        <v>1082729.96</v>
      </c>
      <c r="K740" s="139">
        <v>1082729.96</v>
      </c>
      <c r="L740" s="139" t="s">
        <v>3169</v>
      </c>
      <c r="M740" s="139">
        <v>0</v>
      </c>
    </row>
    <row r="741" spans="2:13">
      <c r="B741" s="151" t="str">
        <f>_xlfn.IFNA(VLOOKUP(D741,标准编码!A:B,2,0),"")</f>
        <v/>
      </c>
      <c r="D741" s="247">
        <v>660201030202</v>
      </c>
      <c r="E741" s="247" t="s">
        <v>3900</v>
      </c>
      <c r="F741" s="247" t="s">
        <v>3169</v>
      </c>
      <c r="G741" s="139">
        <v>0</v>
      </c>
      <c r="H741" s="139">
        <v>14319.22</v>
      </c>
      <c r="I741" s="139">
        <v>14319.22</v>
      </c>
      <c r="J741" s="139">
        <v>14319.22</v>
      </c>
      <c r="K741" s="139">
        <v>14319.22</v>
      </c>
      <c r="L741" s="139" t="s">
        <v>3169</v>
      </c>
      <c r="M741" s="139">
        <v>0</v>
      </c>
    </row>
    <row r="742" spans="2:13">
      <c r="B742" s="151" t="str">
        <f>_xlfn.IFNA(VLOOKUP(D742,标准编码!A:B,2,0),"")</f>
        <v/>
      </c>
      <c r="D742" s="247">
        <v>6602010303</v>
      </c>
      <c r="E742" s="247" t="s">
        <v>3901</v>
      </c>
      <c r="F742" s="247" t="s">
        <v>3169</v>
      </c>
      <c r="G742" s="139">
        <v>0</v>
      </c>
      <c r="H742" s="139">
        <v>55139.03</v>
      </c>
      <c r="I742" s="139">
        <v>55139.03</v>
      </c>
      <c r="J742" s="139">
        <v>55139.03</v>
      </c>
      <c r="K742" s="139">
        <v>55139.03</v>
      </c>
      <c r="L742" s="139" t="s">
        <v>3169</v>
      </c>
      <c r="M742" s="139">
        <v>0</v>
      </c>
    </row>
    <row r="743" spans="2:13">
      <c r="B743" s="151" t="str">
        <f>_xlfn.IFNA(VLOOKUP(D743,标准编码!A:B,2,0),"")</f>
        <v/>
      </c>
      <c r="D743" s="247">
        <v>660201030301</v>
      </c>
      <c r="E743" s="247" t="s">
        <v>3902</v>
      </c>
      <c r="F743" s="247" t="s">
        <v>3169</v>
      </c>
      <c r="G743" s="139">
        <v>0</v>
      </c>
      <c r="H743" s="139">
        <v>51558.25</v>
      </c>
      <c r="I743" s="139">
        <v>51558.25</v>
      </c>
      <c r="J743" s="139">
        <v>51558.25</v>
      </c>
      <c r="K743" s="139">
        <v>51558.25</v>
      </c>
      <c r="L743" s="139" t="s">
        <v>3169</v>
      </c>
      <c r="M743" s="139">
        <v>0</v>
      </c>
    </row>
    <row r="744" spans="2:13">
      <c r="B744" s="151" t="str">
        <f>_xlfn.IFNA(VLOOKUP(D744,标准编码!A:B,2,0),"")</f>
        <v/>
      </c>
      <c r="D744" s="247">
        <v>660201030302</v>
      </c>
      <c r="E744" s="247" t="s">
        <v>3903</v>
      </c>
      <c r="F744" s="247" t="s">
        <v>3169</v>
      </c>
      <c r="G744" s="139">
        <v>0</v>
      </c>
      <c r="H744" s="139">
        <v>3580.78</v>
      </c>
      <c r="I744" s="139">
        <v>3580.78</v>
      </c>
      <c r="J744" s="139">
        <v>3580.78</v>
      </c>
      <c r="K744" s="139">
        <v>3580.78</v>
      </c>
      <c r="L744" s="139" t="s">
        <v>3169</v>
      </c>
      <c r="M744" s="139">
        <v>0</v>
      </c>
    </row>
    <row r="745" spans="2:13">
      <c r="B745" s="151" t="str">
        <f>_xlfn.IFNA(VLOOKUP(D745,标准编码!A:B,2,0),"")</f>
        <v/>
      </c>
      <c r="D745" s="247">
        <v>6602010304</v>
      </c>
      <c r="E745" s="247" t="s">
        <v>3904</v>
      </c>
      <c r="F745" s="247" t="s">
        <v>3169</v>
      </c>
      <c r="G745" s="139">
        <v>0</v>
      </c>
      <c r="H745" s="139">
        <v>74018.89</v>
      </c>
      <c r="I745" s="139">
        <v>74018.89</v>
      </c>
      <c r="J745" s="139">
        <v>74018.89</v>
      </c>
      <c r="K745" s="139">
        <v>74018.89</v>
      </c>
      <c r="L745" s="139" t="s">
        <v>3169</v>
      </c>
      <c r="M745" s="139">
        <v>0</v>
      </c>
    </row>
    <row r="746" spans="2:13">
      <c r="B746" s="151" t="str">
        <f>_xlfn.IFNA(VLOOKUP(D746,标准编码!A:B,2,0),"")</f>
        <v/>
      </c>
      <c r="D746" s="247">
        <v>6602010305</v>
      </c>
      <c r="E746" s="247" t="s">
        <v>3905</v>
      </c>
      <c r="F746" s="247" t="s">
        <v>3169</v>
      </c>
      <c r="G746" s="139">
        <v>0</v>
      </c>
      <c r="H746" s="139">
        <v>20623.39</v>
      </c>
      <c r="I746" s="139">
        <v>20623.39</v>
      </c>
      <c r="J746" s="139">
        <v>20623.39</v>
      </c>
      <c r="K746" s="139">
        <v>20623.39</v>
      </c>
      <c r="L746" s="139" t="s">
        <v>3169</v>
      </c>
      <c r="M746" s="139">
        <v>0</v>
      </c>
    </row>
    <row r="747" spans="2:13">
      <c r="B747" s="151" t="str">
        <f>_xlfn.IFNA(VLOOKUP(D747,标准编码!A:B,2,0),"")</f>
        <v/>
      </c>
      <c r="D747" s="247">
        <v>6602010306</v>
      </c>
      <c r="E747" s="247" t="s">
        <v>3906</v>
      </c>
      <c r="F747" s="247" t="s">
        <v>3169</v>
      </c>
      <c r="G747" s="139">
        <v>0</v>
      </c>
      <c r="H747" s="139">
        <v>801433.94</v>
      </c>
      <c r="I747" s="139">
        <v>801433.94</v>
      </c>
      <c r="J747" s="139">
        <v>801433.94</v>
      </c>
      <c r="K747" s="139">
        <v>801433.94</v>
      </c>
      <c r="L747" s="139" t="s">
        <v>3169</v>
      </c>
      <c r="M747" s="139">
        <v>0</v>
      </c>
    </row>
    <row r="748" spans="2:13">
      <c r="B748" s="151" t="str">
        <f>_xlfn.IFNA(VLOOKUP(D748,标准编码!A:B,2,0),"")</f>
        <v/>
      </c>
      <c r="D748" s="247">
        <v>6602010307</v>
      </c>
      <c r="E748" s="247" t="s">
        <v>3907</v>
      </c>
      <c r="F748" s="247" t="s">
        <v>3169</v>
      </c>
      <c r="G748" s="139">
        <v>0</v>
      </c>
      <c r="H748" s="139">
        <v>-124127.05</v>
      </c>
      <c r="I748" s="139">
        <v>-124127.05</v>
      </c>
      <c r="J748" s="139">
        <v>-124127.05</v>
      </c>
      <c r="K748" s="139">
        <v>-124127.05</v>
      </c>
      <c r="L748" s="139" t="s">
        <v>3169</v>
      </c>
      <c r="M748" s="139">
        <v>0</v>
      </c>
    </row>
    <row r="749" spans="2:13">
      <c r="B749" s="151" t="str">
        <f>_xlfn.IFNA(VLOOKUP(D749,标准编码!A:B,2,0),"")</f>
        <v/>
      </c>
      <c r="D749" s="247">
        <v>66020105</v>
      </c>
      <c r="E749" s="247" t="s">
        <v>3908</v>
      </c>
      <c r="F749" s="247" t="s">
        <v>3169</v>
      </c>
      <c r="G749" s="139">
        <v>0</v>
      </c>
      <c r="H749" s="139">
        <v>973369.26</v>
      </c>
      <c r="I749" s="139">
        <v>973369.26</v>
      </c>
      <c r="J749" s="139">
        <v>973369.26</v>
      </c>
      <c r="K749" s="139">
        <v>973369.26</v>
      </c>
      <c r="L749" s="139" t="s">
        <v>3169</v>
      </c>
      <c r="M749" s="139">
        <v>0</v>
      </c>
    </row>
    <row r="750" spans="2:13">
      <c r="B750" s="151" t="str">
        <f>_xlfn.IFNA(VLOOKUP(D750,标准编码!A:B,2,0),"")</f>
        <v/>
      </c>
      <c r="D750" s="247">
        <v>66020106</v>
      </c>
      <c r="E750" s="247" t="s">
        <v>3909</v>
      </c>
      <c r="F750" s="247" t="s">
        <v>3169</v>
      </c>
      <c r="G750" s="139">
        <v>0</v>
      </c>
      <c r="H750" s="139">
        <v>1241143.08</v>
      </c>
      <c r="I750" s="139">
        <v>1241143.08</v>
      </c>
      <c r="J750" s="139">
        <v>1241143.08</v>
      </c>
      <c r="K750" s="139">
        <v>1241143.08</v>
      </c>
      <c r="L750" s="139" t="s">
        <v>3169</v>
      </c>
      <c r="M750" s="139">
        <v>0</v>
      </c>
    </row>
    <row r="751" spans="2:13">
      <c r="B751" s="151" t="str">
        <f>_xlfn.IFNA(VLOOKUP(D751,标准编码!A:B,2,0),"")</f>
        <v/>
      </c>
      <c r="D751" s="247">
        <v>66020107</v>
      </c>
      <c r="E751" s="247" t="s">
        <v>3910</v>
      </c>
      <c r="F751" s="247" t="s">
        <v>3169</v>
      </c>
      <c r="G751" s="139">
        <v>0</v>
      </c>
      <c r="H751" s="139">
        <v>294247.32</v>
      </c>
      <c r="I751" s="139">
        <v>294247.32</v>
      </c>
      <c r="J751" s="139">
        <v>294247.32</v>
      </c>
      <c r="K751" s="139">
        <v>294247.32</v>
      </c>
      <c r="L751" s="139" t="s">
        <v>3169</v>
      </c>
      <c r="M751" s="139">
        <v>0</v>
      </c>
    </row>
    <row r="752" spans="2:13">
      <c r="B752" s="151" t="str">
        <f>_xlfn.IFNA(VLOOKUP(D752,标准编码!A:B,2,0),"")</f>
        <v/>
      </c>
      <c r="D752" s="247">
        <v>660202</v>
      </c>
      <c r="E752" s="247" t="s">
        <v>3911</v>
      </c>
      <c r="F752" s="247" t="s">
        <v>3169</v>
      </c>
      <c r="G752" s="139">
        <v>0</v>
      </c>
      <c r="H752" s="139">
        <v>0</v>
      </c>
      <c r="I752" s="139">
        <v>0</v>
      </c>
      <c r="J752" s="139">
        <v>0</v>
      </c>
      <c r="K752" s="139">
        <v>0</v>
      </c>
      <c r="L752" s="139" t="s">
        <v>3169</v>
      </c>
      <c r="M752" s="139">
        <v>0</v>
      </c>
    </row>
    <row r="753" spans="2:13">
      <c r="B753" s="151" t="str">
        <f>_xlfn.IFNA(VLOOKUP(D753,标准编码!A:B,2,0),"")</f>
        <v/>
      </c>
      <c r="D753" s="247">
        <v>660203</v>
      </c>
      <c r="E753" s="247" t="s">
        <v>3912</v>
      </c>
      <c r="F753" s="247" t="s">
        <v>3169</v>
      </c>
      <c r="G753" s="139">
        <v>0</v>
      </c>
      <c r="H753" s="139">
        <v>82315723.549999997</v>
      </c>
      <c r="I753" s="139">
        <v>82315723.549999997</v>
      </c>
      <c r="J753" s="139">
        <v>82315723.549999997</v>
      </c>
      <c r="K753" s="139">
        <v>82315723.549999997</v>
      </c>
      <c r="L753" s="139" t="s">
        <v>3169</v>
      </c>
      <c r="M753" s="139">
        <v>0</v>
      </c>
    </row>
    <row r="754" spans="2:13">
      <c r="B754" s="151" t="str">
        <f>_xlfn.IFNA(VLOOKUP(D754,标准编码!A:B,2,0),"")</f>
        <v/>
      </c>
      <c r="D754" s="247">
        <v>660204</v>
      </c>
      <c r="E754" s="247" t="s">
        <v>3913</v>
      </c>
      <c r="F754" s="247" t="s">
        <v>3169</v>
      </c>
      <c r="G754" s="139">
        <v>0</v>
      </c>
      <c r="H754" s="139">
        <v>128087.95</v>
      </c>
      <c r="I754" s="139">
        <v>128087.95</v>
      </c>
      <c r="J754" s="139">
        <v>128087.95</v>
      </c>
      <c r="K754" s="139">
        <v>128087.95</v>
      </c>
      <c r="L754" s="139" t="s">
        <v>3169</v>
      </c>
      <c r="M754" s="139">
        <v>0</v>
      </c>
    </row>
    <row r="755" spans="2:13">
      <c r="B755" s="151" t="str">
        <f>_xlfn.IFNA(VLOOKUP(D755,标准编码!A:B,2,0),"")</f>
        <v/>
      </c>
      <c r="D755" s="247">
        <v>66020401</v>
      </c>
      <c r="E755" s="247" t="s">
        <v>3914</v>
      </c>
      <c r="F755" s="247" t="s">
        <v>3169</v>
      </c>
      <c r="G755" s="139">
        <v>0</v>
      </c>
      <c r="H755" s="139">
        <v>15048.54</v>
      </c>
      <c r="I755" s="139">
        <v>15048.54</v>
      </c>
      <c r="J755" s="139">
        <v>15048.54</v>
      </c>
      <c r="K755" s="139">
        <v>15048.54</v>
      </c>
      <c r="L755" s="139" t="s">
        <v>3169</v>
      </c>
      <c r="M755" s="139">
        <v>0</v>
      </c>
    </row>
    <row r="756" spans="2:13">
      <c r="B756" s="151" t="str">
        <f>_xlfn.IFNA(VLOOKUP(D756,标准编码!A:B,2,0),"")</f>
        <v/>
      </c>
      <c r="D756" s="247">
        <v>66020403</v>
      </c>
      <c r="E756" s="247" t="s">
        <v>3915</v>
      </c>
      <c r="F756" s="247" t="s">
        <v>3169</v>
      </c>
      <c r="G756" s="139">
        <v>0</v>
      </c>
      <c r="H756" s="139">
        <v>72025.41</v>
      </c>
      <c r="I756" s="139">
        <v>72025.41</v>
      </c>
      <c r="J756" s="139">
        <v>72025.41</v>
      </c>
      <c r="K756" s="139">
        <v>72025.41</v>
      </c>
      <c r="L756" s="139" t="s">
        <v>3169</v>
      </c>
      <c r="M756" s="139">
        <v>0</v>
      </c>
    </row>
    <row r="757" spans="2:13">
      <c r="B757" s="151" t="str">
        <f>_xlfn.IFNA(VLOOKUP(D757,标准编码!A:B,2,0),"")</f>
        <v/>
      </c>
      <c r="D757" s="247">
        <v>66020405</v>
      </c>
      <c r="E757" s="247" t="s">
        <v>3916</v>
      </c>
      <c r="F757" s="247" t="s">
        <v>3169</v>
      </c>
      <c r="G757" s="139">
        <v>0</v>
      </c>
      <c r="H757" s="139">
        <v>41014</v>
      </c>
      <c r="I757" s="139">
        <v>41014</v>
      </c>
      <c r="J757" s="139">
        <v>41014</v>
      </c>
      <c r="K757" s="139">
        <v>41014</v>
      </c>
      <c r="L757" s="139" t="s">
        <v>3169</v>
      </c>
      <c r="M757" s="139">
        <v>0</v>
      </c>
    </row>
    <row r="758" spans="2:13">
      <c r="B758" s="151" t="str">
        <f>_xlfn.IFNA(VLOOKUP(D758,标准编码!A:B,2,0),"")</f>
        <v/>
      </c>
      <c r="D758" s="247">
        <v>660207</v>
      </c>
      <c r="E758" s="247" t="s">
        <v>3917</v>
      </c>
      <c r="F758" s="247" t="s">
        <v>3169</v>
      </c>
      <c r="G758" s="139">
        <v>0</v>
      </c>
      <c r="H758" s="139">
        <v>92530.06</v>
      </c>
      <c r="I758" s="139">
        <v>92530.06</v>
      </c>
      <c r="J758" s="139">
        <v>92530.06</v>
      </c>
      <c r="K758" s="139">
        <v>92530.06</v>
      </c>
      <c r="L758" s="139" t="s">
        <v>3169</v>
      </c>
      <c r="M758" s="139">
        <v>0</v>
      </c>
    </row>
    <row r="759" spans="2:13">
      <c r="B759" s="151" t="str">
        <f>_xlfn.IFNA(VLOOKUP(D759,标准编码!A:B,2,0),"")</f>
        <v/>
      </c>
      <c r="D759" s="247">
        <v>660208</v>
      </c>
      <c r="E759" s="247" t="s">
        <v>3918</v>
      </c>
      <c r="F759" s="247" t="s">
        <v>3169</v>
      </c>
      <c r="G759" s="139">
        <v>0</v>
      </c>
      <c r="H759" s="139">
        <v>284247.87</v>
      </c>
      <c r="I759" s="139">
        <v>284247.87</v>
      </c>
      <c r="J759" s="139">
        <v>284247.87</v>
      </c>
      <c r="K759" s="139">
        <v>284247.87</v>
      </c>
      <c r="L759" s="139" t="s">
        <v>3169</v>
      </c>
      <c r="M759" s="139">
        <v>0</v>
      </c>
    </row>
    <row r="760" spans="2:13">
      <c r="B760" s="151" t="str">
        <f>_xlfn.IFNA(VLOOKUP(D760,标准编码!A:B,2,0),"")</f>
        <v/>
      </c>
      <c r="D760" s="247">
        <v>660209</v>
      </c>
      <c r="E760" s="247" t="s">
        <v>3919</v>
      </c>
      <c r="F760" s="247" t="s">
        <v>3169</v>
      </c>
      <c r="G760" s="139">
        <v>0</v>
      </c>
      <c r="H760" s="139">
        <v>2294384.02</v>
      </c>
      <c r="I760" s="139">
        <v>2294384.02</v>
      </c>
      <c r="J760" s="139">
        <v>2294384.02</v>
      </c>
      <c r="K760" s="139">
        <v>2294384.02</v>
      </c>
      <c r="L760" s="139" t="s">
        <v>3169</v>
      </c>
      <c r="M760" s="139">
        <v>0</v>
      </c>
    </row>
    <row r="761" spans="2:13">
      <c r="B761" s="151" t="str">
        <f>_xlfn.IFNA(VLOOKUP(D761,标准编码!A:B,2,0),"")</f>
        <v/>
      </c>
      <c r="D761" s="247">
        <v>66020901</v>
      </c>
      <c r="E761" s="247" t="s">
        <v>3920</v>
      </c>
      <c r="F761" s="247" t="s">
        <v>3169</v>
      </c>
      <c r="G761" s="139">
        <v>0</v>
      </c>
      <c r="H761" s="139">
        <v>389154.33</v>
      </c>
      <c r="I761" s="139">
        <v>389154.33</v>
      </c>
      <c r="J761" s="139">
        <v>389154.33</v>
      </c>
      <c r="K761" s="139">
        <v>389154.33</v>
      </c>
      <c r="L761" s="139" t="s">
        <v>3169</v>
      </c>
      <c r="M761" s="139">
        <v>0</v>
      </c>
    </row>
    <row r="762" spans="2:13">
      <c r="B762" s="151" t="str">
        <f>_xlfn.IFNA(VLOOKUP(D762,标准编码!A:B,2,0),"")</f>
        <v/>
      </c>
      <c r="D762" s="247">
        <v>66020902</v>
      </c>
      <c r="E762" s="247" t="s">
        <v>3921</v>
      </c>
      <c r="F762" s="247" t="s">
        <v>3169</v>
      </c>
      <c r="G762" s="139">
        <v>0</v>
      </c>
      <c r="H762" s="139">
        <v>160395.43</v>
      </c>
      <c r="I762" s="139">
        <v>160395.43</v>
      </c>
      <c r="J762" s="139">
        <v>160395.43</v>
      </c>
      <c r="K762" s="139">
        <v>160395.43</v>
      </c>
      <c r="L762" s="139" t="s">
        <v>3169</v>
      </c>
      <c r="M762" s="139">
        <v>0</v>
      </c>
    </row>
    <row r="763" spans="2:13">
      <c r="B763" s="151" t="str">
        <f>_xlfn.IFNA(VLOOKUP(D763,标准编码!A:B,2,0),"")</f>
        <v/>
      </c>
      <c r="D763" s="247">
        <v>66020903</v>
      </c>
      <c r="E763" s="247" t="s">
        <v>3922</v>
      </c>
      <c r="F763" s="247" t="s">
        <v>3169</v>
      </c>
      <c r="G763" s="139">
        <v>0</v>
      </c>
      <c r="H763" s="139">
        <v>132365.95000000001</v>
      </c>
      <c r="I763" s="139">
        <v>132365.95000000001</v>
      </c>
      <c r="J763" s="139">
        <v>132365.95000000001</v>
      </c>
      <c r="K763" s="139">
        <v>132365.95000000001</v>
      </c>
      <c r="L763" s="139" t="s">
        <v>3169</v>
      </c>
      <c r="M763" s="139">
        <v>0</v>
      </c>
    </row>
    <row r="764" spans="2:13">
      <c r="B764" s="151" t="str">
        <f>_xlfn.IFNA(VLOOKUP(D764,标准编码!A:B,2,0),"")</f>
        <v/>
      </c>
      <c r="D764" s="247">
        <v>66020904</v>
      </c>
      <c r="E764" s="247" t="s">
        <v>3923</v>
      </c>
      <c r="F764" s="247" t="s">
        <v>3169</v>
      </c>
      <c r="G764" s="139">
        <v>0</v>
      </c>
      <c r="H764" s="139">
        <v>82530.27</v>
      </c>
      <c r="I764" s="139">
        <v>82530.27</v>
      </c>
      <c r="J764" s="139">
        <v>82530.27</v>
      </c>
      <c r="K764" s="139">
        <v>82530.27</v>
      </c>
      <c r="L764" s="139" t="s">
        <v>3169</v>
      </c>
      <c r="M764" s="139">
        <v>0</v>
      </c>
    </row>
    <row r="765" spans="2:13">
      <c r="B765" s="151" t="str">
        <f>_xlfn.IFNA(VLOOKUP(D765,标准编码!A:B,2,0),"")</f>
        <v/>
      </c>
      <c r="D765" s="247">
        <v>66020905</v>
      </c>
      <c r="E765" s="247" t="s">
        <v>3924</v>
      </c>
      <c r="F765" s="247" t="s">
        <v>3169</v>
      </c>
      <c r="G765" s="139">
        <v>0</v>
      </c>
      <c r="H765" s="139">
        <v>548629.71</v>
      </c>
      <c r="I765" s="139">
        <v>548629.71</v>
      </c>
      <c r="J765" s="139">
        <v>548629.71</v>
      </c>
      <c r="K765" s="139">
        <v>548629.71</v>
      </c>
      <c r="L765" s="139" t="s">
        <v>3169</v>
      </c>
      <c r="M765" s="139">
        <v>0</v>
      </c>
    </row>
    <row r="766" spans="2:13">
      <c r="B766" s="151" t="str">
        <f>_xlfn.IFNA(VLOOKUP(D766,标准编码!A:B,2,0),"")</f>
        <v/>
      </c>
      <c r="D766" s="247">
        <v>66020906</v>
      </c>
      <c r="E766" s="247" t="s">
        <v>3925</v>
      </c>
      <c r="F766" s="247" t="s">
        <v>3169</v>
      </c>
      <c r="G766" s="139">
        <v>0</v>
      </c>
      <c r="H766" s="139">
        <v>55931.66</v>
      </c>
      <c r="I766" s="139">
        <v>55931.66</v>
      </c>
      <c r="J766" s="139">
        <v>55931.66</v>
      </c>
      <c r="K766" s="139">
        <v>55931.66</v>
      </c>
      <c r="L766" s="139" t="s">
        <v>3169</v>
      </c>
      <c r="M766" s="139">
        <v>0</v>
      </c>
    </row>
    <row r="767" spans="2:13">
      <c r="B767" s="151" t="str">
        <f>_xlfn.IFNA(VLOOKUP(D767,标准编码!A:B,2,0),"")</f>
        <v/>
      </c>
      <c r="D767" s="247">
        <v>66020907</v>
      </c>
      <c r="E767" s="247" t="s">
        <v>3926</v>
      </c>
      <c r="F767" s="247" t="s">
        <v>3169</v>
      </c>
      <c r="G767" s="139">
        <v>0</v>
      </c>
      <c r="H767" s="139">
        <v>327499.90000000002</v>
      </c>
      <c r="I767" s="139">
        <v>327499.90000000002</v>
      </c>
      <c r="J767" s="139">
        <v>327499.90000000002</v>
      </c>
      <c r="K767" s="139">
        <v>327499.90000000002</v>
      </c>
      <c r="L767" s="139" t="s">
        <v>3169</v>
      </c>
      <c r="M767" s="139">
        <v>0</v>
      </c>
    </row>
    <row r="768" spans="2:13">
      <c r="B768" s="151" t="str">
        <f>_xlfn.IFNA(VLOOKUP(D768,标准编码!A:B,2,0),"")</f>
        <v/>
      </c>
      <c r="D768" s="247">
        <v>66020908</v>
      </c>
      <c r="E768" s="247" t="s">
        <v>3927</v>
      </c>
      <c r="F768" s="247" t="s">
        <v>3169</v>
      </c>
      <c r="G768" s="139">
        <v>0</v>
      </c>
      <c r="H768" s="139">
        <v>47905.83</v>
      </c>
      <c r="I768" s="139">
        <v>47905.83</v>
      </c>
      <c r="J768" s="139">
        <v>47905.83</v>
      </c>
      <c r="K768" s="139">
        <v>47905.83</v>
      </c>
      <c r="L768" s="139" t="s">
        <v>3169</v>
      </c>
      <c r="M768" s="139">
        <v>0</v>
      </c>
    </row>
    <row r="769" spans="2:13">
      <c r="B769" s="151" t="str">
        <f>_xlfn.IFNA(VLOOKUP(D769,标准编码!A:B,2,0),"")</f>
        <v/>
      </c>
      <c r="D769" s="247">
        <v>66020909</v>
      </c>
      <c r="E769" s="247" t="s">
        <v>3928</v>
      </c>
      <c r="F769" s="247" t="s">
        <v>3169</v>
      </c>
      <c r="G769" s="139">
        <v>0</v>
      </c>
      <c r="H769" s="139">
        <v>164485.51</v>
      </c>
      <c r="I769" s="139">
        <v>164485.51</v>
      </c>
      <c r="J769" s="139">
        <v>164485.51</v>
      </c>
      <c r="K769" s="139">
        <v>164485.51</v>
      </c>
      <c r="L769" s="139" t="s">
        <v>3169</v>
      </c>
      <c r="M769" s="139">
        <v>0</v>
      </c>
    </row>
    <row r="770" spans="2:13">
      <c r="B770" s="151" t="str">
        <f>_xlfn.IFNA(VLOOKUP(D770,标准编码!A:B,2,0),"")</f>
        <v/>
      </c>
      <c r="D770" s="247">
        <v>66020910</v>
      </c>
      <c r="E770" s="247" t="s">
        <v>3929</v>
      </c>
      <c r="F770" s="247" t="s">
        <v>3169</v>
      </c>
      <c r="G770" s="139">
        <v>0</v>
      </c>
      <c r="H770" s="139">
        <v>338263.43</v>
      </c>
      <c r="I770" s="139">
        <v>338263.43</v>
      </c>
      <c r="J770" s="139">
        <v>338263.43</v>
      </c>
      <c r="K770" s="139">
        <v>338263.43</v>
      </c>
      <c r="L770" s="139" t="s">
        <v>3169</v>
      </c>
      <c r="M770" s="139">
        <v>0</v>
      </c>
    </row>
    <row r="771" spans="2:13">
      <c r="B771" s="151" t="str">
        <f>_xlfn.IFNA(VLOOKUP(D771,标准编码!A:B,2,0),"")</f>
        <v/>
      </c>
      <c r="D771" s="247">
        <v>66020911</v>
      </c>
      <c r="E771" s="247" t="s">
        <v>3930</v>
      </c>
      <c r="F771" s="247" t="s">
        <v>3169</v>
      </c>
      <c r="G771" s="139">
        <v>0</v>
      </c>
      <c r="H771" s="139">
        <v>74</v>
      </c>
      <c r="I771" s="139">
        <v>74</v>
      </c>
      <c r="J771" s="139">
        <v>74</v>
      </c>
      <c r="K771" s="139">
        <v>74</v>
      </c>
      <c r="L771" s="139" t="s">
        <v>3169</v>
      </c>
      <c r="M771" s="139">
        <v>0</v>
      </c>
    </row>
    <row r="772" spans="2:13">
      <c r="B772" s="151" t="str">
        <f>_xlfn.IFNA(VLOOKUP(D772,标准编码!A:B,2,0),"")</f>
        <v/>
      </c>
      <c r="D772" s="247">
        <v>66020912</v>
      </c>
      <c r="E772" s="247" t="s">
        <v>3931</v>
      </c>
      <c r="F772" s="247" t="s">
        <v>3169</v>
      </c>
      <c r="G772" s="139">
        <v>0</v>
      </c>
      <c r="H772" s="139">
        <v>34.4</v>
      </c>
      <c r="I772" s="139">
        <v>34.4</v>
      </c>
      <c r="J772" s="139">
        <v>34.4</v>
      </c>
      <c r="K772" s="139">
        <v>34.4</v>
      </c>
      <c r="L772" s="139" t="s">
        <v>3169</v>
      </c>
      <c r="M772" s="139">
        <v>0</v>
      </c>
    </row>
    <row r="773" spans="2:13">
      <c r="B773" s="151" t="str">
        <f>_xlfn.IFNA(VLOOKUP(D773,标准编码!A:B,2,0),"")</f>
        <v/>
      </c>
      <c r="D773" s="247">
        <v>66020913</v>
      </c>
      <c r="E773" s="247" t="s">
        <v>3932</v>
      </c>
      <c r="F773" s="247" t="s">
        <v>3169</v>
      </c>
      <c r="G773" s="139">
        <v>0</v>
      </c>
      <c r="H773" s="139">
        <v>47113.599999999999</v>
      </c>
      <c r="I773" s="139">
        <v>47113.599999999999</v>
      </c>
      <c r="J773" s="139">
        <v>47113.599999999999</v>
      </c>
      <c r="K773" s="139">
        <v>47113.599999999999</v>
      </c>
      <c r="L773" s="139" t="s">
        <v>3169</v>
      </c>
      <c r="M773" s="139">
        <v>0</v>
      </c>
    </row>
    <row r="774" spans="2:13">
      <c r="B774" s="151" t="str">
        <f>_xlfn.IFNA(VLOOKUP(D774,标准编码!A:B,2,0),"")</f>
        <v/>
      </c>
      <c r="D774" s="247">
        <v>660210</v>
      </c>
      <c r="E774" s="247" t="s">
        <v>3933</v>
      </c>
      <c r="F774" s="247" t="s">
        <v>3169</v>
      </c>
      <c r="G774" s="139">
        <v>0</v>
      </c>
      <c r="H774" s="139">
        <v>9307.3799999999992</v>
      </c>
      <c r="I774" s="139">
        <v>9307.3799999999992</v>
      </c>
      <c r="J774" s="139">
        <v>9307.3799999999992</v>
      </c>
      <c r="K774" s="139">
        <v>9307.3799999999992</v>
      </c>
      <c r="L774" s="139" t="s">
        <v>3169</v>
      </c>
      <c r="M774" s="139">
        <v>0</v>
      </c>
    </row>
    <row r="775" spans="2:13">
      <c r="B775" s="151" t="str">
        <f>_xlfn.IFNA(VLOOKUP(D775,标准编码!A:B,2,0),"")</f>
        <v/>
      </c>
      <c r="D775" s="247">
        <v>660211</v>
      </c>
      <c r="E775" s="247" t="s">
        <v>3934</v>
      </c>
      <c r="F775" s="247" t="s">
        <v>3169</v>
      </c>
      <c r="G775" s="139">
        <v>0</v>
      </c>
      <c r="H775" s="139">
        <v>28438.36</v>
      </c>
      <c r="I775" s="139">
        <v>28438.36</v>
      </c>
      <c r="J775" s="139">
        <v>28438.36</v>
      </c>
      <c r="K775" s="139">
        <v>28438.36</v>
      </c>
      <c r="L775" s="139" t="s">
        <v>3169</v>
      </c>
      <c r="M775" s="139">
        <v>0</v>
      </c>
    </row>
    <row r="776" spans="2:13">
      <c r="B776" s="151" t="str">
        <f>_xlfn.IFNA(VLOOKUP(D776,标准编码!A:B,2,0),"")</f>
        <v/>
      </c>
      <c r="D776" s="247">
        <v>660212</v>
      </c>
      <c r="E776" s="247" t="s">
        <v>3935</v>
      </c>
      <c r="F776" s="247" t="s">
        <v>3169</v>
      </c>
      <c r="G776" s="139">
        <v>0</v>
      </c>
      <c r="H776" s="139">
        <v>2631961.48</v>
      </c>
      <c r="I776" s="139">
        <v>2631961.48</v>
      </c>
      <c r="J776" s="139">
        <v>2631961.48</v>
      </c>
      <c r="K776" s="139">
        <v>2631961.48</v>
      </c>
      <c r="L776" s="139" t="s">
        <v>3169</v>
      </c>
      <c r="M776" s="139">
        <v>0</v>
      </c>
    </row>
    <row r="777" spans="2:13">
      <c r="B777" s="151" t="str">
        <f>_xlfn.IFNA(VLOOKUP(D777,标准编码!A:B,2,0),"")</f>
        <v/>
      </c>
      <c r="D777" s="247">
        <v>66021201</v>
      </c>
      <c r="E777" s="247" t="s">
        <v>3936</v>
      </c>
      <c r="F777" s="247" t="s">
        <v>3169</v>
      </c>
      <c r="G777" s="139">
        <v>0</v>
      </c>
      <c r="H777" s="139">
        <v>320754.71999999997</v>
      </c>
      <c r="I777" s="139">
        <v>320754.71999999997</v>
      </c>
      <c r="J777" s="139">
        <v>320754.71999999997</v>
      </c>
      <c r="K777" s="139">
        <v>320754.71999999997</v>
      </c>
      <c r="L777" s="139" t="s">
        <v>3169</v>
      </c>
      <c r="M777" s="139">
        <v>0</v>
      </c>
    </row>
    <row r="778" spans="2:13">
      <c r="B778" s="151" t="str">
        <f>_xlfn.IFNA(VLOOKUP(D778,标准编码!A:B,2,0),"")</f>
        <v/>
      </c>
      <c r="D778" s="247">
        <v>66021202</v>
      </c>
      <c r="E778" s="247" t="s">
        <v>3937</v>
      </c>
      <c r="F778" s="247" t="s">
        <v>3169</v>
      </c>
      <c r="G778" s="139">
        <v>0</v>
      </c>
      <c r="H778" s="139">
        <v>9433.9599999999991</v>
      </c>
      <c r="I778" s="139">
        <v>9433.9599999999991</v>
      </c>
      <c r="J778" s="139">
        <v>9433.9599999999991</v>
      </c>
      <c r="K778" s="139">
        <v>9433.9599999999991</v>
      </c>
      <c r="L778" s="139" t="s">
        <v>3169</v>
      </c>
      <c r="M778" s="139">
        <v>0</v>
      </c>
    </row>
    <row r="779" spans="2:13">
      <c r="B779" s="151" t="str">
        <f>_xlfn.IFNA(VLOOKUP(D779,标准编码!A:B,2,0),"")</f>
        <v/>
      </c>
      <c r="D779" s="247">
        <v>66021203</v>
      </c>
      <c r="E779" s="247" t="s">
        <v>3938</v>
      </c>
      <c r="F779" s="247" t="s">
        <v>3169</v>
      </c>
      <c r="G779" s="139">
        <v>0</v>
      </c>
      <c r="H779" s="139">
        <v>59950.54</v>
      </c>
      <c r="I779" s="139">
        <v>59950.54</v>
      </c>
      <c r="J779" s="139">
        <v>59950.54</v>
      </c>
      <c r="K779" s="139">
        <v>59950.54</v>
      </c>
      <c r="L779" s="139" t="s">
        <v>3169</v>
      </c>
      <c r="M779" s="139">
        <v>0</v>
      </c>
    </row>
    <row r="780" spans="2:13">
      <c r="B780" s="151" t="str">
        <f>_xlfn.IFNA(VLOOKUP(D780,标准编码!A:B,2,0),"")</f>
        <v/>
      </c>
      <c r="D780" s="247">
        <v>66021204</v>
      </c>
      <c r="E780" s="247" t="s">
        <v>3939</v>
      </c>
      <c r="F780" s="247" t="s">
        <v>3169</v>
      </c>
      <c r="G780" s="139">
        <v>0</v>
      </c>
      <c r="H780" s="139">
        <v>1272915.08</v>
      </c>
      <c r="I780" s="139">
        <v>1272915.08</v>
      </c>
      <c r="J780" s="139">
        <v>1272915.08</v>
      </c>
      <c r="K780" s="139">
        <v>1272915.08</v>
      </c>
      <c r="L780" s="139" t="s">
        <v>3169</v>
      </c>
      <c r="M780" s="139">
        <v>0</v>
      </c>
    </row>
    <row r="781" spans="2:13">
      <c r="B781" s="151" t="str">
        <f>_xlfn.IFNA(VLOOKUP(D781,标准编码!A:B,2,0),"")</f>
        <v/>
      </c>
      <c r="D781" s="247">
        <v>66021205</v>
      </c>
      <c r="E781" s="247" t="s">
        <v>3940</v>
      </c>
      <c r="F781" s="247" t="s">
        <v>3169</v>
      </c>
      <c r="G781" s="139">
        <v>0</v>
      </c>
      <c r="H781" s="139">
        <v>73802.05</v>
      </c>
      <c r="I781" s="139">
        <v>73802.05</v>
      </c>
      <c r="J781" s="139">
        <v>73802.05</v>
      </c>
      <c r="K781" s="139">
        <v>73802.05</v>
      </c>
      <c r="L781" s="139" t="s">
        <v>3169</v>
      </c>
      <c r="M781" s="139">
        <v>0</v>
      </c>
    </row>
    <row r="782" spans="2:13">
      <c r="B782" s="151" t="str">
        <f>_xlfn.IFNA(VLOOKUP(D782,标准编码!A:B,2,0),"")</f>
        <v/>
      </c>
      <c r="D782" s="247">
        <v>66021299</v>
      </c>
      <c r="E782" s="247" t="s">
        <v>3941</v>
      </c>
      <c r="F782" s="247" t="s">
        <v>3169</v>
      </c>
      <c r="G782" s="139">
        <v>0</v>
      </c>
      <c r="H782" s="139">
        <v>895105.13</v>
      </c>
      <c r="I782" s="139">
        <v>895105.13</v>
      </c>
      <c r="J782" s="139">
        <v>895105.13</v>
      </c>
      <c r="K782" s="139">
        <v>895105.13</v>
      </c>
      <c r="L782" s="139" t="s">
        <v>3169</v>
      </c>
      <c r="M782" s="139">
        <v>0</v>
      </c>
    </row>
    <row r="783" spans="2:13">
      <c r="B783" s="151" t="str">
        <f>_xlfn.IFNA(VLOOKUP(D783,标准编码!A:B,2,0),"")</f>
        <v/>
      </c>
      <c r="D783" s="247">
        <v>660213</v>
      </c>
      <c r="E783" s="247" t="s">
        <v>3942</v>
      </c>
      <c r="F783" s="247" t="s">
        <v>3169</v>
      </c>
      <c r="G783" s="139">
        <v>0</v>
      </c>
      <c r="H783" s="139">
        <v>219900</v>
      </c>
      <c r="I783" s="139">
        <v>219900</v>
      </c>
      <c r="J783" s="139">
        <v>219900</v>
      </c>
      <c r="K783" s="139">
        <v>219900</v>
      </c>
      <c r="L783" s="139" t="s">
        <v>3169</v>
      </c>
      <c r="M783" s="139">
        <v>0</v>
      </c>
    </row>
    <row r="784" spans="2:13">
      <c r="B784" s="151" t="str">
        <f>_xlfn.IFNA(VLOOKUP(D784,标准编码!A:B,2,0),"")</f>
        <v/>
      </c>
      <c r="D784" s="247">
        <v>660214</v>
      </c>
      <c r="E784" s="247" t="s">
        <v>3943</v>
      </c>
      <c r="F784" s="247" t="s">
        <v>3169</v>
      </c>
      <c r="G784" s="139">
        <v>0</v>
      </c>
      <c r="H784" s="139">
        <v>223712.09</v>
      </c>
      <c r="I784" s="139">
        <v>223712.09</v>
      </c>
      <c r="J784" s="139">
        <v>223712.09</v>
      </c>
      <c r="K784" s="139">
        <v>223712.09</v>
      </c>
      <c r="L784" s="139" t="s">
        <v>3169</v>
      </c>
      <c r="M784" s="139">
        <v>0</v>
      </c>
    </row>
    <row r="785" spans="2:13">
      <c r="B785" s="151" t="str">
        <f>_xlfn.IFNA(VLOOKUP(D785,标准编码!A:B,2,0),"")</f>
        <v/>
      </c>
      <c r="D785" s="247">
        <v>660219</v>
      </c>
      <c r="E785" s="247" t="s">
        <v>3944</v>
      </c>
      <c r="F785" s="247" t="s">
        <v>3169</v>
      </c>
      <c r="G785" s="139">
        <v>0</v>
      </c>
      <c r="H785" s="139">
        <v>11702064.43</v>
      </c>
      <c r="I785" s="139">
        <v>11702064.43</v>
      </c>
      <c r="J785" s="139">
        <v>11702064.43</v>
      </c>
      <c r="K785" s="139">
        <v>11702064.43</v>
      </c>
      <c r="L785" s="139" t="s">
        <v>3169</v>
      </c>
      <c r="M785" s="139">
        <v>0</v>
      </c>
    </row>
    <row r="786" spans="2:13">
      <c r="B786" s="151" t="str">
        <f>_xlfn.IFNA(VLOOKUP(D786,标准编码!A:B,2,0),"")</f>
        <v/>
      </c>
      <c r="D786" s="247">
        <v>660220</v>
      </c>
      <c r="E786" s="247" t="s">
        <v>3945</v>
      </c>
      <c r="F786" s="247" t="s">
        <v>3169</v>
      </c>
      <c r="G786" s="139">
        <v>0</v>
      </c>
      <c r="H786" s="139">
        <v>189260.96</v>
      </c>
      <c r="I786" s="139">
        <v>189260.96</v>
      </c>
      <c r="J786" s="139">
        <v>189260.96</v>
      </c>
      <c r="K786" s="139">
        <v>189260.96</v>
      </c>
      <c r="L786" s="139" t="s">
        <v>3169</v>
      </c>
      <c r="M786" s="139">
        <v>0</v>
      </c>
    </row>
    <row r="787" spans="2:13">
      <c r="B787" s="151" t="str">
        <f>_xlfn.IFNA(VLOOKUP(D787,标准编码!A:B,2,0),"")</f>
        <v/>
      </c>
      <c r="D787" s="247">
        <v>660221</v>
      </c>
      <c r="E787" s="247" t="s">
        <v>3946</v>
      </c>
      <c r="F787" s="247" t="s">
        <v>3169</v>
      </c>
      <c r="G787" s="139">
        <v>0</v>
      </c>
      <c r="H787" s="139">
        <v>139932.56</v>
      </c>
      <c r="I787" s="139">
        <v>139932.56</v>
      </c>
      <c r="J787" s="139">
        <v>139932.56</v>
      </c>
      <c r="K787" s="139">
        <v>139932.56</v>
      </c>
      <c r="L787" s="139" t="s">
        <v>3169</v>
      </c>
      <c r="M787" s="139">
        <v>0</v>
      </c>
    </row>
    <row r="788" spans="2:13">
      <c r="B788" s="151" t="str">
        <f>_xlfn.IFNA(VLOOKUP(D788,标准编码!A:B,2,0),"")</f>
        <v/>
      </c>
      <c r="D788" s="247">
        <v>66022101</v>
      </c>
      <c r="E788" s="247" t="s">
        <v>3947</v>
      </c>
      <c r="F788" s="247" t="s">
        <v>3169</v>
      </c>
      <c r="G788" s="139">
        <v>0</v>
      </c>
      <c r="H788" s="139">
        <v>64363.86</v>
      </c>
      <c r="I788" s="139">
        <v>64363.86</v>
      </c>
      <c r="J788" s="139">
        <v>64363.86</v>
      </c>
      <c r="K788" s="139">
        <v>64363.86</v>
      </c>
      <c r="L788" s="139" t="s">
        <v>3169</v>
      </c>
      <c r="M788" s="139">
        <v>0</v>
      </c>
    </row>
    <row r="789" spans="2:13">
      <c r="B789" s="151" t="str">
        <f>_xlfn.IFNA(VLOOKUP(D789,标准编码!A:B,2,0),"")</f>
        <v/>
      </c>
      <c r="D789" s="247">
        <v>66022102</v>
      </c>
      <c r="E789" s="247" t="s">
        <v>3948</v>
      </c>
      <c r="F789" s="247" t="s">
        <v>3169</v>
      </c>
      <c r="G789" s="139">
        <v>0</v>
      </c>
      <c r="H789" s="139">
        <v>75568.7</v>
      </c>
      <c r="I789" s="139">
        <v>75568.7</v>
      </c>
      <c r="J789" s="139">
        <v>75568.7</v>
      </c>
      <c r="K789" s="139">
        <v>75568.7</v>
      </c>
      <c r="L789" s="139" t="s">
        <v>3169</v>
      </c>
      <c r="M789" s="139">
        <v>0</v>
      </c>
    </row>
    <row r="790" spans="2:13">
      <c r="B790" s="151" t="str">
        <f>_xlfn.IFNA(VLOOKUP(D790,标准编码!A:B,2,0),"")</f>
        <v/>
      </c>
      <c r="D790" s="247">
        <v>660222</v>
      </c>
      <c r="E790" s="247" t="s">
        <v>3949</v>
      </c>
      <c r="F790" s="247" t="s">
        <v>3169</v>
      </c>
      <c r="G790" s="139">
        <v>0</v>
      </c>
      <c r="H790" s="139">
        <v>12351.6</v>
      </c>
      <c r="I790" s="139">
        <v>12351.6</v>
      </c>
      <c r="J790" s="139">
        <v>12351.6</v>
      </c>
      <c r="K790" s="139">
        <v>12351.6</v>
      </c>
      <c r="L790" s="139" t="s">
        <v>3169</v>
      </c>
      <c r="M790" s="139">
        <v>0</v>
      </c>
    </row>
    <row r="791" spans="2:13">
      <c r="B791" s="151" t="str">
        <f>_xlfn.IFNA(VLOOKUP(D791,标准编码!A:B,2,0),"")</f>
        <v/>
      </c>
      <c r="D791" s="247">
        <v>660224</v>
      </c>
      <c r="E791" s="247" t="s">
        <v>3950</v>
      </c>
      <c r="F791" s="247" t="s">
        <v>3169</v>
      </c>
      <c r="G791" s="139">
        <v>0</v>
      </c>
      <c r="H791" s="139">
        <v>81493.98</v>
      </c>
      <c r="I791" s="139">
        <v>81493.98</v>
      </c>
      <c r="J791" s="139">
        <v>81493.98</v>
      </c>
      <c r="K791" s="139">
        <v>81493.98</v>
      </c>
      <c r="L791" s="139" t="s">
        <v>3169</v>
      </c>
      <c r="M791" s="139">
        <v>0</v>
      </c>
    </row>
    <row r="792" spans="2:13">
      <c r="B792" s="151" t="str">
        <f>_xlfn.IFNA(VLOOKUP(D792,标准编码!A:B,2,0),"")</f>
        <v/>
      </c>
      <c r="D792" s="247">
        <v>660225</v>
      </c>
      <c r="E792" s="247" t="s">
        <v>3951</v>
      </c>
      <c r="F792" s="247" t="s">
        <v>3169</v>
      </c>
      <c r="G792" s="139">
        <v>0</v>
      </c>
      <c r="H792" s="139">
        <v>119658.38</v>
      </c>
      <c r="I792" s="139">
        <v>119658.38</v>
      </c>
      <c r="J792" s="139">
        <v>119658.38</v>
      </c>
      <c r="K792" s="139">
        <v>119658.38</v>
      </c>
      <c r="L792" s="139" t="s">
        <v>3169</v>
      </c>
      <c r="M792" s="139">
        <v>0</v>
      </c>
    </row>
    <row r="793" spans="2:13">
      <c r="B793" s="151" t="str">
        <f>_xlfn.IFNA(VLOOKUP(D793,标准编码!A:B,2,0),"")</f>
        <v/>
      </c>
      <c r="D793" s="247">
        <v>660226</v>
      </c>
      <c r="E793" s="247" t="s">
        <v>3952</v>
      </c>
      <c r="F793" s="247" t="s">
        <v>3169</v>
      </c>
      <c r="G793" s="139">
        <v>0</v>
      </c>
      <c r="H793" s="139">
        <v>165742.71</v>
      </c>
      <c r="I793" s="139">
        <v>165742.71</v>
      </c>
      <c r="J793" s="139">
        <v>165742.71</v>
      </c>
      <c r="K793" s="139">
        <v>165742.71</v>
      </c>
      <c r="L793" s="139" t="s">
        <v>3169</v>
      </c>
      <c r="M793" s="139">
        <v>0</v>
      </c>
    </row>
    <row r="794" spans="2:13">
      <c r="B794" s="151" t="str">
        <f>_xlfn.IFNA(VLOOKUP(D794,标准编码!A:B,2,0),"")</f>
        <v/>
      </c>
      <c r="D794" s="247">
        <v>660299</v>
      </c>
      <c r="E794" s="247" t="s">
        <v>3953</v>
      </c>
      <c r="F794" s="247" t="s">
        <v>3169</v>
      </c>
      <c r="G794" s="139">
        <v>0</v>
      </c>
      <c r="H794" s="139">
        <v>950295.87</v>
      </c>
      <c r="I794" s="139">
        <v>950295.87</v>
      </c>
      <c r="J794" s="139">
        <v>950295.87</v>
      </c>
      <c r="K794" s="139">
        <v>950295.87</v>
      </c>
      <c r="L794" s="139" t="s">
        <v>3169</v>
      </c>
      <c r="M794" s="139">
        <v>0</v>
      </c>
    </row>
    <row r="795" spans="2:13">
      <c r="B795" s="151" t="str">
        <f>_xlfn.IFNA(VLOOKUP(D795,标准编码!A:B,2,0),"")</f>
        <v/>
      </c>
      <c r="D795" s="247">
        <v>66029901</v>
      </c>
      <c r="E795" s="247" t="s">
        <v>3954</v>
      </c>
      <c r="F795" s="247" t="s">
        <v>3169</v>
      </c>
      <c r="G795" s="139">
        <v>0</v>
      </c>
      <c r="H795" s="139">
        <v>17421.25</v>
      </c>
      <c r="I795" s="139">
        <v>17421.25</v>
      </c>
      <c r="J795" s="139">
        <v>17421.25</v>
      </c>
      <c r="K795" s="139">
        <v>17421.25</v>
      </c>
      <c r="L795" s="139" t="s">
        <v>3169</v>
      </c>
      <c r="M795" s="139">
        <v>0</v>
      </c>
    </row>
    <row r="796" spans="2:13">
      <c r="B796" s="151" t="str">
        <f>_xlfn.IFNA(VLOOKUP(D796,标准编码!A:B,2,0),"")</f>
        <v/>
      </c>
      <c r="D796" s="247">
        <v>66029903</v>
      </c>
      <c r="E796" s="247" t="s">
        <v>3955</v>
      </c>
      <c r="F796" s="247" t="s">
        <v>3169</v>
      </c>
      <c r="G796" s="139">
        <v>0</v>
      </c>
      <c r="H796" s="139">
        <v>16695.84</v>
      </c>
      <c r="I796" s="139">
        <v>16695.84</v>
      </c>
      <c r="J796" s="139">
        <v>16695.84</v>
      </c>
      <c r="K796" s="139">
        <v>16695.84</v>
      </c>
      <c r="L796" s="139" t="s">
        <v>3169</v>
      </c>
      <c r="M796" s="139">
        <v>0</v>
      </c>
    </row>
    <row r="797" spans="2:13">
      <c r="B797" s="151" t="str">
        <f>_xlfn.IFNA(VLOOKUP(D797,标准编码!A:B,2,0),"")</f>
        <v/>
      </c>
      <c r="D797" s="247">
        <v>66029904</v>
      </c>
      <c r="E797" s="247" t="s">
        <v>3956</v>
      </c>
      <c r="F797" s="247" t="s">
        <v>3169</v>
      </c>
      <c r="G797" s="139">
        <v>0</v>
      </c>
      <c r="H797" s="139">
        <v>13484.08</v>
      </c>
      <c r="I797" s="139">
        <v>13484.08</v>
      </c>
      <c r="J797" s="139">
        <v>13484.08</v>
      </c>
      <c r="K797" s="139">
        <v>13484.08</v>
      </c>
      <c r="L797" s="139" t="s">
        <v>3169</v>
      </c>
      <c r="M797" s="139">
        <v>0</v>
      </c>
    </row>
    <row r="798" spans="2:13">
      <c r="B798" s="151" t="str">
        <f>_xlfn.IFNA(VLOOKUP(D798,标准编码!A:B,2,0),"")</f>
        <v/>
      </c>
      <c r="D798" s="247">
        <v>66029905</v>
      </c>
      <c r="E798" s="247" t="s">
        <v>3957</v>
      </c>
      <c r="F798" s="247" t="s">
        <v>3169</v>
      </c>
      <c r="G798" s="139">
        <v>0</v>
      </c>
      <c r="H798" s="139">
        <v>-18000</v>
      </c>
      <c r="I798" s="139">
        <v>-18000</v>
      </c>
      <c r="J798" s="139">
        <v>-18000</v>
      </c>
      <c r="K798" s="139">
        <v>-18000</v>
      </c>
      <c r="L798" s="139" t="s">
        <v>3169</v>
      </c>
      <c r="M798" s="139">
        <v>0</v>
      </c>
    </row>
    <row r="799" spans="2:13">
      <c r="B799" s="151" t="str">
        <f>_xlfn.IFNA(VLOOKUP(D799,标准编码!A:B,2,0),"")</f>
        <v/>
      </c>
      <c r="D799" s="247">
        <v>66029906</v>
      </c>
      <c r="E799" s="247" t="s">
        <v>3958</v>
      </c>
      <c r="F799" s="247" t="s">
        <v>3169</v>
      </c>
      <c r="G799" s="139">
        <v>0</v>
      </c>
      <c r="H799" s="139">
        <v>0</v>
      </c>
      <c r="I799" s="139">
        <v>0</v>
      </c>
      <c r="J799" s="139">
        <v>0</v>
      </c>
      <c r="K799" s="139">
        <v>0</v>
      </c>
      <c r="L799" s="139" t="s">
        <v>3169</v>
      </c>
      <c r="M799" s="139">
        <v>0</v>
      </c>
    </row>
    <row r="800" spans="2:13">
      <c r="B800" s="151" t="str">
        <f>_xlfn.IFNA(VLOOKUP(D800,标准编码!A:B,2,0),"")</f>
        <v/>
      </c>
      <c r="D800" s="247">
        <v>66029909</v>
      </c>
      <c r="E800" s="247" t="s">
        <v>3959</v>
      </c>
      <c r="F800" s="247" t="s">
        <v>3169</v>
      </c>
      <c r="G800" s="139">
        <v>0</v>
      </c>
      <c r="H800" s="139">
        <v>88228.4</v>
      </c>
      <c r="I800" s="139">
        <v>88228.4</v>
      </c>
      <c r="J800" s="139">
        <v>88228.4</v>
      </c>
      <c r="K800" s="139">
        <v>88228.4</v>
      </c>
      <c r="L800" s="139" t="s">
        <v>3169</v>
      </c>
      <c r="M800" s="139">
        <v>0</v>
      </c>
    </row>
    <row r="801" spans="2:13">
      <c r="B801" s="151" t="str">
        <f>_xlfn.IFNA(VLOOKUP(D801,标准编码!A:B,2,0),"")</f>
        <v/>
      </c>
      <c r="D801" s="247">
        <v>66029910</v>
      </c>
      <c r="E801" s="247" t="s">
        <v>3960</v>
      </c>
      <c r="F801" s="247" t="s">
        <v>3169</v>
      </c>
      <c r="G801" s="139">
        <v>0</v>
      </c>
      <c r="H801" s="139">
        <v>287495.7</v>
      </c>
      <c r="I801" s="139">
        <v>287495.7</v>
      </c>
      <c r="J801" s="139">
        <v>287495.7</v>
      </c>
      <c r="K801" s="139">
        <v>287495.7</v>
      </c>
      <c r="L801" s="139" t="s">
        <v>3169</v>
      </c>
      <c r="M801" s="139">
        <v>0</v>
      </c>
    </row>
    <row r="802" spans="2:13">
      <c r="B802" s="151" t="str">
        <f>_xlfn.IFNA(VLOOKUP(D802,标准编码!A:B,2,0),"")</f>
        <v/>
      </c>
      <c r="D802" s="247">
        <v>66029911</v>
      </c>
      <c r="E802" s="247" t="s">
        <v>3961</v>
      </c>
      <c r="F802" s="247" t="s">
        <v>3169</v>
      </c>
      <c r="G802" s="139">
        <v>0</v>
      </c>
      <c r="H802" s="139">
        <v>31067.96</v>
      </c>
      <c r="I802" s="139">
        <v>31067.96</v>
      </c>
      <c r="J802" s="139">
        <v>31067.96</v>
      </c>
      <c r="K802" s="139">
        <v>31067.96</v>
      </c>
      <c r="L802" s="139" t="s">
        <v>3169</v>
      </c>
      <c r="M802" s="139">
        <v>0</v>
      </c>
    </row>
    <row r="803" spans="2:13">
      <c r="B803" s="151" t="str">
        <f>_xlfn.IFNA(VLOOKUP(D803,标准编码!A:B,2,0),"")</f>
        <v/>
      </c>
      <c r="D803" s="247">
        <v>66029999</v>
      </c>
      <c r="E803" s="247" t="s">
        <v>3962</v>
      </c>
      <c r="F803" s="247" t="s">
        <v>3169</v>
      </c>
      <c r="G803" s="139">
        <v>0</v>
      </c>
      <c r="H803" s="139">
        <v>513902.64</v>
      </c>
      <c r="I803" s="139">
        <v>513902.64</v>
      </c>
      <c r="J803" s="139">
        <v>513902.64</v>
      </c>
      <c r="K803" s="139">
        <v>513902.64</v>
      </c>
      <c r="L803" s="139" t="s">
        <v>3169</v>
      </c>
      <c r="M803" s="139">
        <v>0</v>
      </c>
    </row>
    <row r="804" spans="2:13">
      <c r="B804" s="151" t="str">
        <f>_xlfn.IFNA(VLOOKUP(D804,标准编码!A:B,2,0),"")</f>
        <v>财务费用</v>
      </c>
      <c r="D804" s="247">
        <v>6603</v>
      </c>
      <c r="E804" s="247" t="s">
        <v>3963</v>
      </c>
      <c r="F804" s="247" t="s">
        <v>3169</v>
      </c>
      <c r="G804" s="139">
        <v>0</v>
      </c>
      <c r="H804" s="139">
        <v>155897420.59999999</v>
      </c>
      <c r="I804" s="139">
        <v>155897420.59999999</v>
      </c>
      <c r="J804" s="139">
        <v>155897420.59999999</v>
      </c>
      <c r="K804" s="139">
        <v>155897420.59999999</v>
      </c>
      <c r="L804" s="139" t="s">
        <v>3169</v>
      </c>
      <c r="M804" s="139">
        <v>0</v>
      </c>
    </row>
    <row r="805" spans="2:13">
      <c r="B805" s="151" t="str">
        <f>_xlfn.IFNA(VLOOKUP(D805,标准编码!A:B,2,0),"")</f>
        <v/>
      </c>
      <c r="D805" s="247">
        <v>660301</v>
      </c>
      <c r="E805" s="247" t="s">
        <v>3964</v>
      </c>
      <c r="F805" s="247" t="s">
        <v>3169</v>
      </c>
      <c r="G805" s="139">
        <v>0</v>
      </c>
      <c r="H805" s="139">
        <v>-15310038.470000001</v>
      </c>
      <c r="I805" s="139">
        <v>-15310038.470000001</v>
      </c>
      <c r="J805" s="139">
        <v>-15310038.470000001</v>
      </c>
      <c r="K805" s="139">
        <v>-15310038.470000001</v>
      </c>
      <c r="L805" s="139" t="s">
        <v>3169</v>
      </c>
      <c r="M805" s="139">
        <v>0</v>
      </c>
    </row>
    <row r="806" spans="2:13">
      <c r="B806" s="151" t="str">
        <f>_xlfn.IFNA(VLOOKUP(D806,标准编码!A:B,2,0),"")</f>
        <v/>
      </c>
      <c r="D806" s="247">
        <v>660302</v>
      </c>
      <c r="E806" s="247" t="s">
        <v>3965</v>
      </c>
      <c r="F806" s="247" t="s">
        <v>3169</v>
      </c>
      <c r="G806" s="139">
        <v>0</v>
      </c>
      <c r="H806" s="139">
        <v>160603847.44</v>
      </c>
      <c r="I806" s="139">
        <v>160603847.44</v>
      </c>
      <c r="J806" s="139">
        <v>160603847.44</v>
      </c>
      <c r="K806" s="139">
        <v>160603847.44</v>
      </c>
      <c r="L806" s="139" t="s">
        <v>3169</v>
      </c>
      <c r="M806" s="139">
        <v>0</v>
      </c>
    </row>
    <row r="807" spans="2:13">
      <c r="B807" s="151" t="str">
        <f>_xlfn.IFNA(VLOOKUP(D807,标准编码!A:B,2,0),"")</f>
        <v/>
      </c>
      <c r="D807" s="247">
        <v>66030201</v>
      </c>
      <c r="E807" s="247" t="s">
        <v>3966</v>
      </c>
      <c r="F807" s="247" t="s">
        <v>3169</v>
      </c>
      <c r="G807" s="139">
        <v>0</v>
      </c>
      <c r="H807" s="139">
        <v>158353731.77000001</v>
      </c>
      <c r="I807" s="139">
        <v>158353731.77000001</v>
      </c>
      <c r="J807" s="139">
        <v>158353731.77000001</v>
      </c>
      <c r="K807" s="139">
        <v>158353731.77000001</v>
      </c>
      <c r="L807" s="139" t="s">
        <v>3169</v>
      </c>
      <c r="M807" s="139">
        <v>0</v>
      </c>
    </row>
    <row r="808" spans="2:13">
      <c r="B808" s="151" t="str">
        <f>_xlfn.IFNA(VLOOKUP(D808,标准编码!A:B,2,0),"")</f>
        <v/>
      </c>
      <c r="D808" s="247">
        <v>66030202</v>
      </c>
      <c r="E808" s="247" t="s">
        <v>3967</v>
      </c>
      <c r="F808" s="247" t="s">
        <v>3169</v>
      </c>
      <c r="G808" s="139">
        <v>0</v>
      </c>
      <c r="H808" s="139">
        <v>15996.92</v>
      </c>
      <c r="I808" s="139">
        <v>15996.92</v>
      </c>
      <c r="J808" s="139">
        <v>15996.92</v>
      </c>
      <c r="K808" s="139">
        <v>15996.92</v>
      </c>
      <c r="L808" s="139" t="s">
        <v>3169</v>
      </c>
      <c r="M808" s="139">
        <v>0</v>
      </c>
    </row>
    <row r="809" spans="2:13">
      <c r="B809" s="151" t="str">
        <f>_xlfn.IFNA(VLOOKUP(D809,标准编码!A:B,2,0),"")</f>
        <v/>
      </c>
      <c r="D809" s="247">
        <v>66030203</v>
      </c>
      <c r="E809" s="247" t="s">
        <v>3968</v>
      </c>
      <c r="F809" s="247" t="s">
        <v>3169</v>
      </c>
      <c r="G809" s="139">
        <v>0</v>
      </c>
      <c r="H809" s="139">
        <v>2127452.08</v>
      </c>
      <c r="I809" s="139">
        <v>2127452.08</v>
      </c>
      <c r="J809" s="139">
        <v>2127452.08</v>
      </c>
      <c r="K809" s="139">
        <v>2127452.08</v>
      </c>
      <c r="L809" s="139" t="s">
        <v>3169</v>
      </c>
      <c r="M809" s="139">
        <v>0</v>
      </c>
    </row>
    <row r="810" spans="2:13">
      <c r="B810" s="151" t="str">
        <f>_xlfn.IFNA(VLOOKUP(D810,标准编码!A:B,2,0),"")</f>
        <v/>
      </c>
      <c r="D810" s="247">
        <v>66030204</v>
      </c>
      <c r="E810" s="247" t="s">
        <v>3969</v>
      </c>
      <c r="F810" s="247" t="s">
        <v>3169</v>
      </c>
      <c r="G810" s="139">
        <v>0</v>
      </c>
      <c r="H810" s="139">
        <v>106666.67</v>
      </c>
      <c r="I810" s="139">
        <v>106666.67</v>
      </c>
      <c r="J810" s="139">
        <v>106666.67</v>
      </c>
      <c r="K810" s="139">
        <v>106666.67</v>
      </c>
      <c r="L810" s="139" t="s">
        <v>3169</v>
      </c>
      <c r="M810" s="139">
        <v>0</v>
      </c>
    </row>
    <row r="811" spans="2:13">
      <c r="B811" s="151" t="str">
        <f>_xlfn.IFNA(VLOOKUP(D811,标准编码!A:B,2,0),"")</f>
        <v/>
      </c>
      <c r="D811" s="247">
        <v>660304</v>
      </c>
      <c r="E811" s="247" t="s">
        <v>3970</v>
      </c>
      <c r="F811" s="247" t="s">
        <v>3169</v>
      </c>
      <c r="G811" s="139">
        <v>0</v>
      </c>
      <c r="H811" s="139">
        <v>10367762.57</v>
      </c>
      <c r="I811" s="139">
        <v>10367762.57</v>
      </c>
      <c r="J811" s="139">
        <v>10367762.57</v>
      </c>
      <c r="K811" s="139">
        <v>10367762.57</v>
      </c>
      <c r="L811" s="139" t="s">
        <v>3169</v>
      </c>
      <c r="M811" s="139">
        <v>0</v>
      </c>
    </row>
    <row r="812" spans="2:13">
      <c r="B812" s="151" t="str">
        <f>_xlfn.IFNA(VLOOKUP(D812,标准编码!A:B,2,0),"")</f>
        <v/>
      </c>
      <c r="D812" s="247">
        <v>660306</v>
      </c>
      <c r="E812" s="247" t="s">
        <v>3971</v>
      </c>
      <c r="F812" s="247" t="s">
        <v>3169</v>
      </c>
      <c r="G812" s="139">
        <v>0</v>
      </c>
      <c r="H812" s="139">
        <v>235849.06</v>
      </c>
      <c r="I812" s="139">
        <v>235849.06</v>
      </c>
      <c r="J812" s="139">
        <v>235849.06</v>
      </c>
      <c r="K812" s="139">
        <v>235849.06</v>
      </c>
      <c r="L812" s="139" t="s">
        <v>3169</v>
      </c>
      <c r="M812" s="139">
        <v>0</v>
      </c>
    </row>
    <row r="813" spans="2:13">
      <c r="B813" s="151" t="str">
        <f>_xlfn.IFNA(VLOOKUP(D813,标准编码!A:B,2,0),"")</f>
        <v>资产减值损失</v>
      </c>
      <c r="D813" s="247">
        <v>6701</v>
      </c>
      <c r="E813" s="247" t="s">
        <v>3972</v>
      </c>
      <c r="F813" s="247" t="s">
        <v>3169</v>
      </c>
      <c r="G813" s="139">
        <v>0</v>
      </c>
      <c r="H813" s="139">
        <v>20045068.129999999</v>
      </c>
      <c r="I813" s="139">
        <v>20045068.129999999</v>
      </c>
      <c r="J813" s="139">
        <v>20045068.129999999</v>
      </c>
      <c r="K813" s="139">
        <v>20045068.129999999</v>
      </c>
      <c r="L813" s="139" t="s">
        <v>3169</v>
      </c>
      <c r="M813" s="139">
        <v>0</v>
      </c>
    </row>
    <row r="814" spans="2:13">
      <c r="B814" s="151" t="str">
        <f>_xlfn.IFNA(VLOOKUP(D814,标准编码!A:B,2,0),"")</f>
        <v>资产处置损益</v>
      </c>
      <c r="D814" s="247">
        <v>6702</v>
      </c>
      <c r="E814" s="247" t="s">
        <v>3973</v>
      </c>
      <c r="F814" s="247" t="s">
        <v>3169</v>
      </c>
      <c r="G814" s="139">
        <v>0</v>
      </c>
      <c r="H814" s="139">
        <v>3131735.07</v>
      </c>
      <c r="I814" s="139">
        <v>3131735.07</v>
      </c>
      <c r="J814" s="139">
        <v>3131735.07</v>
      </c>
      <c r="K814" s="139">
        <v>3131735.07</v>
      </c>
      <c r="L814" s="139" t="s">
        <v>3169</v>
      </c>
      <c r="M814" s="139">
        <v>0</v>
      </c>
    </row>
    <row r="815" spans="2:13">
      <c r="B815" s="151" t="str">
        <f>_xlfn.IFNA(VLOOKUP(D815,标准编码!A:B,2,0),"")</f>
        <v/>
      </c>
      <c r="D815" s="247">
        <v>670202</v>
      </c>
      <c r="E815" s="247" t="s">
        <v>3974</v>
      </c>
      <c r="F815" s="247" t="s">
        <v>3169</v>
      </c>
      <c r="G815" s="139">
        <v>0</v>
      </c>
      <c r="H815" s="139">
        <v>3131735.07</v>
      </c>
      <c r="I815" s="139">
        <v>3131735.07</v>
      </c>
      <c r="J815" s="139">
        <v>3131735.07</v>
      </c>
      <c r="K815" s="139">
        <v>3131735.07</v>
      </c>
      <c r="L815" s="139" t="s">
        <v>3169</v>
      </c>
      <c r="M815" s="139">
        <v>0</v>
      </c>
    </row>
    <row r="816" spans="2:13">
      <c r="B816" s="151" t="str">
        <f>_xlfn.IFNA(VLOOKUP(D816,标准编码!A:B,2,0),"")</f>
        <v>营业外支出</v>
      </c>
      <c r="D816" s="247">
        <v>6711</v>
      </c>
      <c r="E816" s="247" t="s">
        <v>3975</v>
      </c>
      <c r="F816" s="247" t="s">
        <v>3169</v>
      </c>
      <c r="G816" s="139">
        <v>0</v>
      </c>
      <c r="H816" s="139">
        <v>550050</v>
      </c>
      <c r="I816" s="139">
        <v>550050</v>
      </c>
      <c r="J816" s="139">
        <v>550050</v>
      </c>
      <c r="K816" s="139">
        <v>550050</v>
      </c>
      <c r="L816" s="139" t="s">
        <v>3169</v>
      </c>
      <c r="M816" s="139">
        <v>0</v>
      </c>
    </row>
    <row r="817" spans="2:13">
      <c r="B817" s="151" t="str">
        <f>_xlfn.IFNA(VLOOKUP(D817,标准编码!A:B,2,0),"")</f>
        <v/>
      </c>
      <c r="D817" s="247">
        <v>671103</v>
      </c>
      <c r="E817" s="247" t="s">
        <v>3976</v>
      </c>
      <c r="F817" s="247" t="s">
        <v>3169</v>
      </c>
      <c r="G817" s="139">
        <v>0</v>
      </c>
      <c r="H817" s="139">
        <v>550000</v>
      </c>
      <c r="I817" s="139">
        <v>550000</v>
      </c>
      <c r="J817" s="139">
        <v>550000</v>
      </c>
      <c r="K817" s="139">
        <v>550000</v>
      </c>
      <c r="L817" s="139" t="s">
        <v>3169</v>
      </c>
      <c r="M817" s="139">
        <v>0</v>
      </c>
    </row>
    <row r="818" spans="2:13">
      <c r="B818" s="151" t="str">
        <f>_xlfn.IFNA(VLOOKUP(D818,标准编码!A:B,2,0),"")</f>
        <v/>
      </c>
      <c r="D818" s="247">
        <v>671106</v>
      </c>
      <c r="E818" s="247" t="s">
        <v>3977</v>
      </c>
      <c r="F818" s="247" t="s">
        <v>3169</v>
      </c>
      <c r="G818" s="139">
        <v>0</v>
      </c>
      <c r="H818" s="139">
        <v>50</v>
      </c>
      <c r="I818" s="139">
        <v>50</v>
      </c>
      <c r="J818" s="139">
        <v>50</v>
      </c>
      <c r="K818" s="139">
        <v>50</v>
      </c>
      <c r="L818" s="139" t="s">
        <v>3169</v>
      </c>
      <c r="M818" s="139">
        <v>0</v>
      </c>
    </row>
    <row r="819" spans="2:13">
      <c r="B819" s="151" t="str">
        <f>_xlfn.IFNA(VLOOKUP(D819,标准编码!A:B,2,0),"")</f>
        <v>所得税费用</v>
      </c>
      <c r="D819" s="247">
        <v>6801</v>
      </c>
      <c r="E819" s="247" t="s">
        <v>3978</v>
      </c>
      <c r="F819" s="247" t="s">
        <v>3169</v>
      </c>
      <c r="G819" s="139">
        <v>0</v>
      </c>
      <c r="H819" s="139">
        <v>8481128.6199999992</v>
      </c>
      <c r="I819" s="139">
        <v>8481128.6199999992</v>
      </c>
      <c r="J819" s="139">
        <v>8481128.6199999992</v>
      </c>
      <c r="K819" s="139">
        <v>8481128.6199999992</v>
      </c>
      <c r="L819" s="139" t="s">
        <v>3169</v>
      </c>
      <c r="M819" s="139">
        <v>0</v>
      </c>
    </row>
    <row r="820" spans="2:13">
      <c r="B820" s="151" t="str">
        <f>_xlfn.IFNA(VLOOKUP(D820,标准编码!A:B,2,0),"")</f>
        <v/>
      </c>
      <c r="D820" s="247">
        <v>680101</v>
      </c>
      <c r="E820" s="247" t="s">
        <v>3979</v>
      </c>
      <c r="F820" s="247" t="s">
        <v>3169</v>
      </c>
      <c r="G820" s="139">
        <v>0</v>
      </c>
      <c r="H820" s="139">
        <v>8481128.6199999992</v>
      </c>
      <c r="I820" s="139">
        <v>8481128.6199999992</v>
      </c>
      <c r="J820" s="139">
        <v>8481128.6199999992</v>
      </c>
      <c r="K820" s="139">
        <v>8481128.6199999992</v>
      </c>
      <c r="L820" s="139" t="s">
        <v>3169</v>
      </c>
      <c r="M820" s="139">
        <v>0</v>
      </c>
    </row>
    <row r="821" spans="2:13">
      <c r="B821" s="151" t="str">
        <f>_xlfn.IFNA(VLOOKUP(D821,标准编码!A:B,2,0),"")</f>
        <v>以前年度损益调整</v>
      </c>
      <c r="D821" s="247">
        <v>6901</v>
      </c>
      <c r="E821" s="247" t="s">
        <v>3980</v>
      </c>
      <c r="F821" s="247" t="s">
        <v>3169</v>
      </c>
      <c r="G821" s="139">
        <v>0</v>
      </c>
      <c r="H821" s="139">
        <v>64259578.979999997</v>
      </c>
      <c r="I821" s="139">
        <v>64259578.979999997</v>
      </c>
      <c r="J821" s="139">
        <v>64259578.979999997</v>
      </c>
      <c r="K821" s="139">
        <v>64259578.979999997</v>
      </c>
      <c r="L821" s="139" t="s">
        <v>3169</v>
      </c>
      <c r="M821" s="139">
        <v>0</v>
      </c>
    </row>
    <row r="822" spans="2:13">
      <c r="B822" s="151" t="str">
        <f>_xlfn.IFNA(VLOOKUP(D822,标准编码!A:B,2,0),"")</f>
        <v/>
      </c>
    </row>
    <row r="823" spans="2:13">
      <c r="B823" s="151" t="str">
        <f>_xlfn.IFNA(VLOOKUP(D823,标准编码!A:B,2,0),"")</f>
        <v/>
      </c>
    </row>
    <row r="824" spans="2:13">
      <c r="B824" s="151" t="str">
        <f>_xlfn.IFNA(VLOOKUP(D824,标准编码!A:B,2,0),"")</f>
        <v/>
      </c>
    </row>
    <row r="825" spans="2:13">
      <c r="B825" s="151" t="str">
        <f>_xlfn.IFNA(VLOOKUP(D825,标准编码!A:B,2,0),"")</f>
        <v/>
      </c>
    </row>
    <row r="826" spans="2:13">
      <c r="B826" s="151" t="str">
        <f>_xlfn.IFNA(VLOOKUP(D826,标准编码!A:B,2,0),"")</f>
        <v/>
      </c>
    </row>
    <row r="827" spans="2:13">
      <c r="B827" s="151" t="str">
        <f>_xlfn.IFNA(VLOOKUP(D827,标准编码!A:B,2,0),"")</f>
        <v/>
      </c>
    </row>
    <row r="828" spans="2:13">
      <c r="B828" s="151" t="str">
        <f>_xlfn.IFNA(VLOOKUP(D828,标准编码!A:B,2,0),"")</f>
        <v/>
      </c>
    </row>
    <row r="829" spans="2:13">
      <c r="B829" s="151" t="str">
        <f>_xlfn.IFNA(VLOOKUP(D829,标准编码!A:B,2,0),"")</f>
        <v/>
      </c>
    </row>
    <row r="830" spans="2:13">
      <c r="B830" s="151" t="str">
        <f>_xlfn.IFNA(VLOOKUP(D830,标准编码!A:B,2,0),"")</f>
        <v/>
      </c>
    </row>
    <row r="831" spans="2:13">
      <c r="B831" s="151" t="str">
        <f>_xlfn.IFNA(VLOOKUP(D831,标准编码!A:B,2,0),"")</f>
        <v/>
      </c>
    </row>
    <row r="832" spans="2:13">
      <c r="B832" s="151" t="str">
        <f>_xlfn.IFNA(VLOOKUP(D832,标准编码!A:B,2,0),"")</f>
        <v/>
      </c>
    </row>
    <row r="833" spans="2:2">
      <c r="B833" s="151" t="str">
        <f>_xlfn.IFNA(VLOOKUP(D833,标准编码!A:B,2,0),"")</f>
        <v/>
      </c>
    </row>
    <row r="834" spans="2:2">
      <c r="B834" s="151" t="str">
        <f>_xlfn.IFNA(VLOOKUP(D834,标准编码!A:B,2,0),"")</f>
        <v/>
      </c>
    </row>
    <row r="835" spans="2:2">
      <c r="B835" s="151" t="str">
        <f>_xlfn.IFNA(VLOOKUP(D835,标准编码!A:B,2,0),"")</f>
        <v/>
      </c>
    </row>
    <row r="836" spans="2:2">
      <c r="B836" s="151" t="str">
        <f>_xlfn.IFNA(VLOOKUP(D836,标准编码!A:B,2,0),"")</f>
        <v/>
      </c>
    </row>
    <row r="837" spans="2:2">
      <c r="B837" s="151" t="str">
        <f>_xlfn.IFNA(VLOOKUP(D837,标准编码!A:B,2,0),"")</f>
        <v/>
      </c>
    </row>
    <row r="838" spans="2:2">
      <c r="B838" s="151" t="str">
        <f>_xlfn.IFNA(VLOOKUP(D838,标准编码!A:B,2,0),"")</f>
        <v/>
      </c>
    </row>
    <row r="839" spans="2:2">
      <c r="B839" s="151" t="str">
        <f>_xlfn.IFNA(VLOOKUP(D839,标准编码!A:B,2,0),"")</f>
        <v/>
      </c>
    </row>
    <row r="840" spans="2:2">
      <c r="B840" s="151" t="str">
        <f>_xlfn.IFNA(VLOOKUP(D840,标准编码!A:B,2,0),"")</f>
        <v/>
      </c>
    </row>
    <row r="841" spans="2:2">
      <c r="B841" s="151" t="str">
        <f>_xlfn.IFNA(VLOOKUP(D841,标准编码!A:B,2,0),"")</f>
        <v/>
      </c>
    </row>
    <row r="842" spans="2:2">
      <c r="B842" s="151" t="str">
        <f>_xlfn.IFNA(VLOOKUP(D842,标准编码!A:B,2,0),"")</f>
        <v/>
      </c>
    </row>
    <row r="843" spans="2:2">
      <c r="B843" s="151" t="str">
        <f>_xlfn.IFNA(VLOOKUP(D843,标准编码!A:B,2,0),"")</f>
        <v/>
      </c>
    </row>
    <row r="844" spans="2:2">
      <c r="B844" s="151" t="str">
        <f>_xlfn.IFNA(VLOOKUP(D844,标准编码!A:B,2,0),"")</f>
        <v/>
      </c>
    </row>
    <row r="845" spans="2:2">
      <c r="B845" s="151" t="str">
        <f>_xlfn.IFNA(VLOOKUP(D845,标准编码!A:B,2,0),"")</f>
        <v/>
      </c>
    </row>
    <row r="846" spans="2:2">
      <c r="B846" s="151" t="str">
        <f>_xlfn.IFNA(VLOOKUP(D846,标准编码!A:B,2,0),"")</f>
        <v/>
      </c>
    </row>
    <row r="847" spans="2:2">
      <c r="B847" s="151" t="str">
        <f>_xlfn.IFNA(VLOOKUP(D847,标准编码!A:B,2,0),"")</f>
        <v/>
      </c>
    </row>
    <row r="848" spans="2:2">
      <c r="B848" s="151" t="str">
        <f>_xlfn.IFNA(VLOOKUP(D848,标准编码!A:B,2,0),"")</f>
        <v/>
      </c>
    </row>
    <row r="849" spans="2:2">
      <c r="B849" s="151" t="str">
        <f>_xlfn.IFNA(VLOOKUP(D849,标准编码!A:B,2,0),"")</f>
        <v/>
      </c>
    </row>
    <row r="850" spans="2:2">
      <c r="B850" s="151" t="str">
        <f>_xlfn.IFNA(VLOOKUP(D850,标准编码!A:B,2,0),"")</f>
        <v/>
      </c>
    </row>
    <row r="851" spans="2:2">
      <c r="B851" s="151" t="str">
        <f>_xlfn.IFNA(VLOOKUP(D851,标准编码!A:B,2,0),"")</f>
        <v/>
      </c>
    </row>
    <row r="852" spans="2:2">
      <c r="B852" s="151" t="str">
        <f>_xlfn.IFNA(VLOOKUP(D852,标准编码!A:B,2,0),"")</f>
        <v/>
      </c>
    </row>
    <row r="853" spans="2:2">
      <c r="B853" s="151" t="str">
        <f>_xlfn.IFNA(VLOOKUP(D853,标准编码!A:B,2,0),"")</f>
        <v/>
      </c>
    </row>
    <row r="854" spans="2:2">
      <c r="B854" s="151" t="str">
        <f>_xlfn.IFNA(VLOOKUP(D854,标准编码!A:B,2,0),"")</f>
        <v/>
      </c>
    </row>
    <row r="855" spans="2:2">
      <c r="B855" s="151" t="str">
        <f>_xlfn.IFNA(VLOOKUP(D855,标准编码!A:B,2,0),"")</f>
        <v/>
      </c>
    </row>
    <row r="856" spans="2:2">
      <c r="B856" s="151" t="str">
        <f>_xlfn.IFNA(VLOOKUP(D856,标准编码!A:B,2,0),"")</f>
        <v/>
      </c>
    </row>
    <row r="857" spans="2:2">
      <c r="B857" s="151" t="str">
        <f>_xlfn.IFNA(VLOOKUP(D857,标准编码!A:B,2,0),"")</f>
        <v/>
      </c>
    </row>
    <row r="858" spans="2:2">
      <c r="B858" s="151" t="str">
        <f>_xlfn.IFNA(VLOOKUP(D858,标准编码!A:B,2,0),"")</f>
        <v/>
      </c>
    </row>
    <row r="859" spans="2:2">
      <c r="B859" s="151" t="str">
        <f>_xlfn.IFNA(VLOOKUP(D859,标准编码!A:B,2,0),"")</f>
        <v/>
      </c>
    </row>
    <row r="860" spans="2:2">
      <c r="B860" s="151" t="str">
        <f>_xlfn.IFNA(VLOOKUP(D860,标准编码!A:B,2,0),"")</f>
        <v/>
      </c>
    </row>
    <row r="861" spans="2:2">
      <c r="B861" s="151" t="str">
        <f>_xlfn.IFNA(VLOOKUP(D861,标准编码!A:B,2,0),"")</f>
        <v/>
      </c>
    </row>
    <row r="862" spans="2:2">
      <c r="B862" s="151" t="str">
        <f>_xlfn.IFNA(VLOOKUP(D862,标准编码!A:B,2,0),"")</f>
        <v/>
      </c>
    </row>
    <row r="863" spans="2:2">
      <c r="B863" s="151" t="str">
        <f>_xlfn.IFNA(VLOOKUP(D863,标准编码!A:B,2,0),"")</f>
        <v/>
      </c>
    </row>
    <row r="864" spans="2:2">
      <c r="B864" s="151" t="str">
        <f>_xlfn.IFNA(VLOOKUP(D864,标准编码!A:B,2,0),"")</f>
        <v/>
      </c>
    </row>
    <row r="865" spans="2:2">
      <c r="B865" s="151" t="str">
        <f>_xlfn.IFNA(VLOOKUP(D865,标准编码!A:B,2,0),"")</f>
        <v/>
      </c>
    </row>
    <row r="866" spans="2:2">
      <c r="B866" s="151" t="str">
        <f>_xlfn.IFNA(VLOOKUP(D866,标准编码!A:B,2,0),"")</f>
        <v/>
      </c>
    </row>
    <row r="867" spans="2:2">
      <c r="B867" s="151" t="str">
        <f>_xlfn.IFNA(VLOOKUP(D867,标准编码!A:B,2,0),"")</f>
        <v/>
      </c>
    </row>
    <row r="868" spans="2:2">
      <c r="B868" s="151" t="str">
        <f>_xlfn.IFNA(VLOOKUP(D868,标准编码!A:B,2,0),"")</f>
        <v/>
      </c>
    </row>
    <row r="869" spans="2:2">
      <c r="B869" s="151" t="str">
        <f>_xlfn.IFNA(VLOOKUP(D869,标准编码!A:B,2,0),"")</f>
        <v/>
      </c>
    </row>
    <row r="870" spans="2:2">
      <c r="B870" s="151" t="str">
        <f>_xlfn.IFNA(VLOOKUP(D870,标准编码!A:B,2,0),"")</f>
        <v/>
      </c>
    </row>
    <row r="871" spans="2:2">
      <c r="B871" s="151" t="str">
        <f>_xlfn.IFNA(VLOOKUP(D871,标准编码!A:B,2,0),"")</f>
        <v/>
      </c>
    </row>
    <row r="872" spans="2:2">
      <c r="B872" s="151" t="str">
        <f>_xlfn.IFNA(VLOOKUP(D872,标准编码!A:B,2,0),"")</f>
        <v/>
      </c>
    </row>
    <row r="873" spans="2:2">
      <c r="B873" s="151" t="str">
        <f>_xlfn.IFNA(VLOOKUP(D873,标准编码!A:B,2,0),"")</f>
        <v/>
      </c>
    </row>
    <row r="874" spans="2:2">
      <c r="B874" s="151" t="str">
        <f>_xlfn.IFNA(VLOOKUP(D874,标准编码!A:B,2,0),"")</f>
        <v/>
      </c>
    </row>
    <row r="875" spans="2:2">
      <c r="B875" s="151" t="str">
        <f>_xlfn.IFNA(VLOOKUP(D875,标准编码!A:B,2,0),"")</f>
        <v/>
      </c>
    </row>
    <row r="876" spans="2:2">
      <c r="B876" s="151" t="str">
        <f>_xlfn.IFNA(VLOOKUP(D876,标准编码!A:B,2,0),"")</f>
        <v/>
      </c>
    </row>
    <row r="877" spans="2:2">
      <c r="B877" s="151" t="str">
        <f>_xlfn.IFNA(VLOOKUP(D877,标准编码!A:B,2,0),"")</f>
        <v/>
      </c>
    </row>
    <row r="878" spans="2:2">
      <c r="B878" s="151" t="str">
        <f>_xlfn.IFNA(VLOOKUP(D878,标准编码!A:B,2,0),"")</f>
        <v/>
      </c>
    </row>
    <row r="879" spans="2:2">
      <c r="B879" s="151" t="str">
        <f>_xlfn.IFNA(VLOOKUP(D879,标准编码!A:B,2,0),"")</f>
        <v/>
      </c>
    </row>
    <row r="880" spans="2:2">
      <c r="B880" s="151" t="str">
        <f>_xlfn.IFNA(VLOOKUP(D880,标准编码!A:B,2,0),"")</f>
        <v/>
      </c>
    </row>
    <row r="881" spans="2:2">
      <c r="B881" s="151" t="str">
        <f>_xlfn.IFNA(VLOOKUP(D881,标准编码!A:B,2,0),"")</f>
        <v/>
      </c>
    </row>
    <row r="882" spans="2:2">
      <c r="B882" s="151" t="str">
        <f>_xlfn.IFNA(VLOOKUP(D882,标准编码!A:B,2,0),"")</f>
        <v/>
      </c>
    </row>
    <row r="883" spans="2:2">
      <c r="B883" s="151" t="str">
        <f>_xlfn.IFNA(VLOOKUP(D883,标准编码!A:B,2,0),"")</f>
        <v/>
      </c>
    </row>
    <row r="884" spans="2:2">
      <c r="B884" s="151" t="str">
        <f>_xlfn.IFNA(VLOOKUP(D884,标准编码!A:B,2,0),"")</f>
        <v/>
      </c>
    </row>
    <row r="885" spans="2:2">
      <c r="B885" s="151" t="str">
        <f>_xlfn.IFNA(VLOOKUP(D885,标准编码!A:B,2,0),"")</f>
        <v/>
      </c>
    </row>
    <row r="886" spans="2:2">
      <c r="B886" s="151" t="str">
        <f>_xlfn.IFNA(VLOOKUP(D886,标准编码!A:B,2,0),"")</f>
        <v/>
      </c>
    </row>
    <row r="887" spans="2:2">
      <c r="B887" s="151" t="str">
        <f>_xlfn.IFNA(VLOOKUP(D887,标准编码!A:B,2,0),"")</f>
        <v/>
      </c>
    </row>
    <row r="888" spans="2:2">
      <c r="B888" s="151" t="str">
        <f>_xlfn.IFNA(VLOOKUP(D888,标准编码!A:B,2,0),"")</f>
        <v/>
      </c>
    </row>
    <row r="889" spans="2:2">
      <c r="B889" s="151" t="str">
        <f>_xlfn.IFNA(VLOOKUP(D889,标准编码!A:B,2,0),"")</f>
        <v/>
      </c>
    </row>
    <row r="890" spans="2:2">
      <c r="B890" s="151" t="str">
        <f>_xlfn.IFNA(VLOOKUP(D890,标准编码!A:B,2,0),"")</f>
        <v/>
      </c>
    </row>
    <row r="891" spans="2:2">
      <c r="B891" s="151" t="str">
        <f>_xlfn.IFNA(VLOOKUP(D891,标准编码!A:B,2,0),"")</f>
        <v/>
      </c>
    </row>
    <row r="892" spans="2:2">
      <c r="B892" s="151" t="str">
        <f>_xlfn.IFNA(VLOOKUP(D892,标准编码!A:B,2,0),"")</f>
        <v/>
      </c>
    </row>
    <row r="893" spans="2:2">
      <c r="B893" s="151" t="str">
        <f>_xlfn.IFNA(VLOOKUP(D893,标准编码!A:B,2,0),"")</f>
        <v/>
      </c>
    </row>
    <row r="894" spans="2:2">
      <c r="B894" s="151" t="str">
        <f>_xlfn.IFNA(VLOOKUP(D894,标准编码!A:B,2,0),"")</f>
        <v/>
      </c>
    </row>
    <row r="895" spans="2:2">
      <c r="B895" s="151" t="str">
        <f>_xlfn.IFNA(VLOOKUP(D895,标准编码!A:B,2,0),"")</f>
        <v/>
      </c>
    </row>
    <row r="896" spans="2:2">
      <c r="B896" s="151" t="str">
        <f>_xlfn.IFNA(VLOOKUP(D896,标准编码!A:B,2,0),"")</f>
        <v/>
      </c>
    </row>
    <row r="897" spans="2:2">
      <c r="B897" s="151" t="str">
        <f>_xlfn.IFNA(VLOOKUP(D897,标准编码!A:B,2,0),"")</f>
        <v/>
      </c>
    </row>
    <row r="898" spans="2:2">
      <c r="B898" s="151" t="str">
        <f>_xlfn.IFNA(VLOOKUP(D898,标准编码!A:B,2,0),"")</f>
        <v/>
      </c>
    </row>
    <row r="899" spans="2:2">
      <c r="B899" s="151" t="str">
        <f>_xlfn.IFNA(VLOOKUP(D899,标准编码!A:B,2,0),"")</f>
        <v/>
      </c>
    </row>
    <row r="900" spans="2:2">
      <c r="B900" s="151" t="str">
        <f>_xlfn.IFNA(VLOOKUP(D900,标准编码!A:B,2,0),"")</f>
        <v/>
      </c>
    </row>
    <row r="901" spans="2:2">
      <c r="B901" s="151" t="str">
        <f>_xlfn.IFNA(VLOOKUP(D901,标准编码!A:B,2,0),"")</f>
        <v/>
      </c>
    </row>
    <row r="902" spans="2:2">
      <c r="B902" s="151" t="str">
        <f>_xlfn.IFNA(VLOOKUP(D902,标准编码!A:B,2,0),"")</f>
        <v/>
      </c>
    </row>
    <row r="903" spans="2:2">
      <c r="B903" s="151" t="str">
        <f>_xlfn.IFNA(VLOOKUP(D903,标准编码!A:B,2,0),"")</f>
        <v/>
      </c>
    </row>
    <row r="904" spans="2:2">
      <c r="B904" s="151" t="str">
        <f>_xlfn.IFNA(VLOOKUP(D904,标准编码!A:B,2,0),"")</f>
        <v/>
      </c>
    </row>
    <row r="905" spans="2:2">
      <c r="B905" s="151" t="str">
        <f>_xlfn.IFNA(VLOOKUP(D905,标准编码!A:B,2,0),"")</f>
        <v/>
      </c>
    </row>
    <row r="906" spans="2:2">
      <c r="B906" s="151" t="str">
        <f>_xlfn.IFNA(VLOOKUP(D906,标准编码!A:B,2,0),"")</f>
        <v/>
      </c>
    </row>
    <row r="907" spans="2:2">
      <c r="B907" s="151" t="str">
        <f>_xlfn.IFNA(VLOOKUP(D907,标准编码!A:B,2,0),"")</f>
        <v/>
      </c>
    </row>
    <row r="908" spans="2:2">
      <c r="B908" s="151" t="str">
        <f>_xlfn.IFNA(VLOOKUP(D908,标准编码!A:B,2,0),"")</f>
        <v/>
      </c>
    </row>
    <row r="909" spans="2:2">
      <c r="B909" s="151" t="str">
        <f>_xlfn.IFNA(VLOOKUP(D909,标准编码!A:B,2,0),"")</f>
        <v/>
      </c>
    </row>
    <row r="910" spans="2:2">
      <c r="B910" s="151" t="str">
        <f>_xlfn.IFNA(VLOOKUP(D910,标准编码!A:B,2,0),"")</f>
        <v/>
      </c>
    </row>
    <row r="911" spans="2:2">
      <c r="B911" s="151" t="str">
        <f>_xlfn.IFNA(VLOOKUP(D911,标准编码!A:B,2,0),"")</f>
        <v/>
      </c>
    </row>
    <row r="912" spans="2:2">
      <c r="B912" s="151" t="str">
        <f>_xlfn.IFNA(VLOOKUP(D912,标准编码!A:B,2,0),"")</f>
        <v/>
      </c>
    </row>
    <row r="913" spans="2:2">
      <c r="B913" s="151" t="str">
        <f>_xlfn.IFNA(VLOOKUP(D913,标准编码!A:B,2,0),"")</f>
        <v/>
      </c>
    </row>
    <row r="914" spans="2:2">
      <c r="B914" s="151" t="str">
        <f>_xlfn.IFNA(VLOOKUP(D914,标准编码!A:B,2,0),"")</f>
        <v/>
      </c>
    </row>
    <row r="915" spans="2:2">
      <c r="B915" s="151" t="str">
        <f>_xlfn.IFNA(VLOOKUP(D915,标准编码!A:B,2,0),"")</f>
        <v/>
      </c>
    </row>
    <row r="916" spans="2:2">
      <c r="B916" s="151" t="str">
        <f>_xlfn.IFNA(VLOOKUP(D916,标准编码!A:B,2,0),"")</f>
        <v/>
      </c>
    </row>
    <row r="917" spans="2:2">
      <c r="B917" s="151" t="str">
        <f>_xlfn.IFNA(VLOOKUP(D917,标准编码!A:B,2,0),"")</f>
        <v/>
      </c>
    </row>
    <row r="918" spans="2:2">
      <c r="B918" s="151" t="str">
        <f>_xlfn.IFNA(VLOOKUP(D918,标准编码!A:B,2,0),"")</f>
        <v/>
      </c>
    </row>
    <row r="919" spans="2:2">
      <c r="B919" s="151" t="str">
        <f>_xlfn.IFNA(VLOOKUP(D919,标准编码!A:B,2,0),"")</f>
        <v/>
      </c>
    </row>
    <row r="920" spans="2:2">
      <c r="B920" s="151" t="str">
        <f>_xlfn.IFNA(VLOOKUP(D920,标准编码!A:B,2,0),"")</f>
        <v/>
      </c>
    </row>
    <row r="921" spans="2:2">
      <c r="B921" s="151" t="str">
        <f>_xlfn.IFNA(VLOOKUP(D921,标准编码!A:B,2,0),"")</f>
        <v/>
      </c>
    </row>
    <row r="922" spans="2:2">
      <c r="B922" s="151" t="str">
        <f>_xlfn.IFNA(VLOOKUP(D922,标准编码!A:B,2,0),"")</f>
        <v/>
      </c>
    </row>
    <row r="923" spans="2:2">
      <c r="B923" s="151" t="str">
        <f>_xlfn.IFNA(VLOOKUP(D923,标准编码!A:B,2,0),"")</f>
        <v/>
      </c>
    </row>
    <row r="924" spans="2:2">
      <c r="B924" s="151" t="str">
        <f>_xlfn.IFNA(VLOOKUP(D924,标准编码!A:B,2,0),"")</f>
        <v/>
      </c>
    </row>
    <row r="925" spans="2:2">
      <c r="B925" s="151" t="str">
        <f>_xlfn.IFNA(VLOOKUP(D925,标准编码!A:B,2,0),"")</f>
        <v/>
      </c>
    </row>
    <row r="926" spans="2:2">
      <c r="B926" s="151" t="str">
        <f>_xlfn.IFNA(VLOOKUP(D926,标准编码!A:B,2,0),"")</f>
        <v/>
      </c>
    </row>
    <row r="927" spans="2:2">
      <c r="B927" s="151" t="str">
        <f>_xlfn.IFNA(VLOOKUP(D927,标准编码!A:B,2,0),"")</f>
        <v/>
      </c>
    </row>
    <row r="928" spans="2:2">
      <c r="B928" s="151" t="str">
        <f>_xlfn.IFNA(VLOOKUP(D928,标准编码!A:B,2,0),"")</f>
        <v/>
      </c>
    </row>
    <row r="929" spans="2:2">
      <c r="B929" s="151" t="str">
        <f>_xlfn.IFNA(VLOOKUP(D929,标准编码!A:B,2,0),"")</f>
        <v/>
      </c>
    </row>
    <row r="930" spans="2:2">
      <c r="B930" s="151" t="str">
        <f>_xlfn.IFNA(VLOOKUP(D930,标准编码!A:B,2,0),"")</f>
        <v/>
      </c>
    </row>
    <row r="931" spans="2:2">
      <c r="B931" s="151" t="str">
        <f>_xlfn.IFNA(VLOOKUP(D931,标准编码!A:B,2,0),"")</f>
        <v/>
      </c>
    </row>
    <row r="932" spans="2:2">
      <c r="B932" s="151" t="str">
        <f>_xlfn.IFNA(VLOOKUP(D932,标准编码!A:B,2,0),"")</f>
        <v/>
      </c>
    </row>
    <row r="933" spans="2:2">
      <c r="B933" s="151" t="str">
        <f>_xlfn.IFNA(VLOOKUP(D933,标准编码!A:B,2,0),"")</f>
        <v/>
      </c>
    </row>
    <row r="934" spans="2:2">
      <c r="B934" s="151" t="str">
        <f>_xlfn.IFNA(VLOOKUP(D934,标准编码!A:B,2,0),"")</f>
        <v/>
      </c>
    </row>
    <row r="935" spans="2:2">
      <c r="B935" s="151" t="str">
        <f>_xlfn.IFNA(VLOOKUP(D935,标准编码!A:B,2,0),"")</f>
        <v/>
      </c>
    </row>
    <row r="936" spans="2:2">
      <c r="B936" s="151" t="str">
        <f>_xlfn.IFNA(VLOOKUP(D936,标准编码!A:B,2,0),"")</f>
        <v/>
      </c>
    </row>
    <row r="937" spans="2:2">
      <c r="B937" s="151" t="str">
        <f>_xlfn.IFNA(VLOOKUP(D937,标准编码!A:B,2,0),"")</f>
        <v/>
      </c>
    </row>
    <row r="938" spans="2:2">
      <c r="B938" s="151" t="str">
        <f>_xlfn.IFNA(VLOOKUP(D938,标准编码!A:B,2,0),"")</f>
        <v/>
      </c>
    </row>
    <row r="939" spans="2:2">
      <c r="B939" s="151" t="str">
        <f>_xlfn.IFNA(VLOOKUP(D939,标准编码!A:B,2,0),"")</f>
        <v/>
      </c>
    </row>
    <row r="940" spans="2:2">
      <c r="B940" s="151" t="str">
        <f>_xlfn.IFNA(VLOOKUP(D940,标准编码!A:B,2,0),"")</f>
        <v/>
      </c>
    </row>
    <row r="941" spans="2:2">
      <c r="B941" s="151" t="str">
        <f>_xlfn.IFNA(VLOOKUP(D941,标准编码!A:B,2,0),"")</f>
        <v/>
      </c>
    </row>
    <row r="942" spans="2:2">
      <c r="B942" s="151" t="str">
        <f>_xlfn.IFNA(VLOOKUP(D942,标准编码!A:B,2,0),"")</f>
        <v/>
      </c>
    </row>
    <row r="943" spans="2:2">
      <c r="B943" s="151" t="str">
        <f>_xlfn.IFNA(VLOOKUP(D943,标准编码!A:B,2,0),"")</f>
        <v/>
      </c>
    </row>
    <row r="944" spans="2:2">
      <c r="B944" s="151" t="str">
        <f>_xlfn.IFNA(VLOOKUP(D944,标准编码!A:B,2,0),"")</f>
        <v/>
      </c>
    </row>
    <row r="945" spans="2:2">
      <c r="B945" s="151" t="str">
        <f>_xlfn.IFNA(VLOOKUP(D945,标准编码!A:B,2,0),"")</f>
        <v/>
      </c>
    </row>
    <row r="946" spans="2:2">
      <c r="B946" s="151" t="str">
        <f>_xlfn.IFNA(VLOOKUP(D946,标准编码!A:B,2,0),"")</f>
        <v/>
      </c>
    </row>
    <row r="947" spans="2:2">
      <c r="B947" s="151" t="str">
        <f>_xlfn.IFNA(VLOOKUP(D947,标准编码!A:B,2,0),"")</f>
        <v/>
      </c>
    </row>
    <row r="948" spans="2:2">
      <c r="B948" s="151" t="str">
        <f>_xlfn.IFNA(VLOOKUP(D948,标准编码!A:B,2,0),"")</f>
        <v/>
      </c>
    </row>
    <row r="949" spans="2:2">
      <c r="B949" s="151" t="str">
        <f>_xlfn.IFNA(VLOOKUP(D949,标准编码!A:B,2,0),"")</f>
        <v/>
      </c>
    </row>
    <row r="950" spans="2:2">
      <c r="B950" s="151" t="str">
        <f>_xlfn.IFNA(VLOOKUP(D950,标准编码!A:B,2,0),"")</f>
        <v/>
      </c>
    </row>
    <row r="951" spans="2:2">
      <c r="B951" s="151" t="str">
        <f>_xlfn.IFNA(VLOOKUP(D951,标准编码!A:B,2,0),"")</f>
        <v/>
      </c>
    </row>
    <row r="952" spans="2:2">
      <c r="B952" s="151" t="str">
        <f>_xlfn.IFNA(VLOOKUP(D952,标准编码!A:B,2,0),"")</f>
        <v/>
      </c>
    </row>
    <row r="953" spans="2:2">
      <c r="B953" s="151" t="str">
        <f>_xlfn.IFNA(VLOOKUP(D953,标准编码!A:B,2,0),"")</f>
        <v/>
      </c>
    </row>
    <row r="954" spans="2:2">
      <c r="B954" s="151" t="str">
        <f>_xlfn.IFNA(VLOOKUP(D954,标准编码!A:B,2,0),"")</f>
        <v/>
      </c>
    </row>
    <row r="955" spans="2:2">
      <c r="B955" s="151" t="str">
        <f>_xlfn.IFNA(VLOOKUP(D955,标准编码!A:B,2,0),"")</f>
        <v/>
      </c>
    </row>
    <row r="956" spans="2:2">
      <c r="B956" s="151" t="str">
        <f>_xlfn.IFNA(VLOOKUP(D956,标准编码!A:B,2,0),"")</f>
        <v/>
      </c>
    </row>
    <row r="957" spans="2:2">
      <c r="B957" s="151" t="str">
        <f>_xlfn.IFNA(VLOOKUP(D957,标准编码!A:B,2,0),"")</f>
        <v/>
      </c>
    </row>
    <row r="958" spans="2:2">
      <c r="B958" s="151" t="str">
        <f>_xlfn.IFNA(VLOOKUP(D958,标准编码!A:B,2,0),"")</f>
        <v/>
      </c>
    </row>
    <row r="959" spans="2:2">
      <c r="B959" s="151" t="str">
        <f>_xlfn.IFNA(VLOOKUP(D959,标准编码!A:B,2,0),"")</f>
        <v/>
      </c>
    </row>
    <row r="960" spans="2:2">
      <c r="B960" s="151" t="str">
        <f>_xlfn.IFNA(VLOOKUP(D960,标准编码!A:B,2,0),"")</f>
        <v/>
      </c>
    </row>
    <row r="961" spans="2:2">
      <c r="B961" s="151" t="str">
        <f>_xlfn.IFNA(VLOOKUP(D961,标准编码!A:B,2,0),"")</f>
        <v/>
      </c>
    </row>
    <row r="962" spans="2:2">
      <c r="B962" s="151" t="str">
        <f>_xlfn.IFNA(VLOOKUP(D962,标准编码!A:B,2,0),"")</f>
        <v/>
      </c>
    </row>
    <row r="963" spans="2:2">
      <c r="B963" s="151" t="str">
        <f>_xlfn.IFNA(VLOOKUP(D963,标准编码!A:B,2,0),"")</f>
        <v/>
      </c>
    </row>
    <row r="964" spans="2:2">
      <c r="B964" s="151" t="str">
        <f>_xlfn.IFNA(VLOOKUP(D964,标准编码!A:B,2,0),"")</f>
        <v/>
      </c>
    </row>
    <row r="965" spans="2:2">
      <c r="B965" s="151" t="str">
        <f>_xlfn.IFNA(VLOOKUP(D965,标准编码!A:B,2,0),"")</f>
        <v/>
      </c>
    </row>
    <row r="966" spans="2:2">
      <c r="B966" s="151" t="str">
        <f>_xlfn.IFNA(VLOOKUP(D966,标准编码!A:B,2,0),"")</f>
        <v/>
      </c>
    </row>
    <row r="967" spans="2:2">
      <c r="B967" s="151" t="str">
        <f>_xlfn.IFNA(VLOOKUP(D967,标准编码!A:B,2,0),"")</f>
        <v/>
      </c>
    </row>
    <row r="968" spans="2:2">
      <c r="B968" s="151" t="str">
        <f>_xlfn.IFNA(VLOOKUP(D968,标准编码!A:B,2,0),"")</f>
        <v/>
      </c>
    </row>
    <row r="969" spans="2:2">
      <c r="B969" s="151" t="str">
        <f>_xlfn.IFNA(VLOOKUP(D969,标准编码!A:B,2,0),"")</f>
        <v/>
      </c>
    </row>
    <row r="970" spans="2:2">
      <c r="B970" s="151" t="str">
        <f>_xlfn.IFNA(VLOOKUP(D970,标准编码!A:B,2,0),"")</f>
        <v/>
      </c>
    </row>
    <row r="971" spans="2:2">
      <c r="B971" s="151" t="str">
        <f>_xlfn.IFNA(VLOOKUP(D971,标准编码!A:B,2,0),"")</f>
        <v/>
      </c>
    </row>
    <row r="972" spans="2:2">
      <c r="B972" s="151" t="str">
        <f>_xlfn.IFNA(VLOOKUP(D972,标准编码!A:B,2,0),"")</f>
        <v/>
      </c>
    </row>
    <row r="973" spans="2:2">
      <c r="B973" s="151" t="str">
        <f>_xlfn.IFNA(VLOOKUP(D973,标准编码!A:B,2,0),"")</f>
        <v/>
      </c>
    </row>
    <row r="974" spans="2:2">
      <c r="B974" s="151" t="str">
        <f>_xlfn.IFNA(VLOOKUP(D974,标准编码!A:B,2,0),"")</f>
        <v/>
      </c>
    </row>
    <row r="975" spans="2:2">
      <c r="B975" s="151" t="str">
        <f>_xlfn.IFNA(VLOOKUP(D975,标准编码!A:B,2,0),"")</f>
        <v/>
      </c>
    </row>
    <row r="976" spans="2:2">
      <c r="B976" s="151" t="str">
        <f>_xlfn.IFNA(VLOOKUP(D976,标准编码!A:B,2,0),"")</f>
        <v/>
      </c>
    </row>
    <row r="977" spans="2:2">
      <c r="B977" s="151" t="str">
        <f>_xlfn.IFNA(VLOOKUP(D977,标准编码!A:B,2,0),"")</f>
        <v/>
      </c>
    </row>
    <row r="978" spans="2:2">
      <c r="B978" s="151" t="str">
        <f>_xlfn.IFNA(VLOOKUP(D978,标准编码!A:B,2,0),"")</f>
        <v/>
      </c>
    </row>
    <row r="979" spans="2:2">
      <c r="B979" s="151" t="str">
        <f>_xlfn.IFNA(VLOOKUP(D979,标准编码!A:B,2,0),"")</f>
        <v/>
      </c>
    </row>
    <row r="980" spans="2:2">
      <c r="B980" s="151" t="str">
        <f>_xlfn.IFNA(VLOOKUP(D980,标准编码!A:B,2,0),"")</f>
        <v/>
      </c>
    </row>
    <row r="981" spans="2:2">
      <c r="B981" s="151" t="str">
        <f>_xlfn.IFNA(VLOOKUP(D981,标准编码!A:B,2,0),"")</f>
        <v/>
      </c>
    </row>
    <row r="982" spans="2:2">
      <c r="B982" s="151" t="str">
        <f>_xlfn.IFNA(VLOOKUP(D982,标准编码!A:B,2,0),"")</f>
        <v/>
      </c>
    </row>
    <row r="983" spans="2:2">
      <c r="B983" s="151" t="str">
        <f>_xlfn.IFNA(VLOOKUP(D983,标准编码!A:B,2,0),"")</f>
        <v/>
      </c>
    </row>
    <row r="984" spans="2:2">
      <c r="B984" s="151" t="str">
        <f>_xlfn.IFNA(VLOOKUP(D984,标准编码!A:B,2,0),"")</f>
        <v/>
      </c>
    </row>
    <row r="985" spans="2:2">
      <c r="B985" s="151" t="str">
        <f>_xlfn.IFNA(VLOOKUP(D985,标准编码!A:B,2,0),"")</f>
        <v/>
      </c>
    </row>
    <row r="986" spans="2:2">
      <c r="B986" s="151" t="str">
        <f>_xlfn.IFNA(VLOOKUP(D986,标准编码!A:B,2,0),"")</f>
        <v/>
      </c>
    </row>
    <row r="987" spans="2:2">
      <c r="B987" s="151" t="str">
        <f>_xlfn.IFNA(VLOOKUP(D987,标准编码!A:B,2,0),"")</f>
        <v/>
      </c>
    </row>
    <row r="988" spans="2:2">
      <c r="B988" s="151" t="str">
        <f>_xlfn.IFNA(VLOOKUP(D988,标准编码!A:B,2,0),"")</f>
        <v/>
      </c>
    </row>
    <row r="989" spans="2:2">
      <c r="B989" s="151" t="str">
        <f>_xlfn.IFNA(VLOOKUP(D989,标准编码!A:B,2,0),"")</f>
        <v/>
      </c>
    </row>
    <row r="990" spans="2:2">
      <c r="B990" s="151" t="str">
        <f>_xlfn.IFNA(VLOOKUP(D990,标准编码!A:B,2,0),"")</f>
        <v/>
      </c>
    </row>
    <row r="991" spans="2:2">
      <c r="B991" s="151" t="str">
        <f>_xlfn.IFNA(VLOOKUP(D991,标准编码!A:B,2,0),"")</f>
        <v/>
      </c>
    </row>
    <row r="992" spans="2:2">
      <c r="B992" s="151" t="str">
        <f>_xlfn.IFNA(VLOOKUP(D992,标准编码!A:B,2,0),"")</f>
        <v/>
      </c>
    </row>
    <row r="993" spans="2:2">
      <c r="B993" s="151" t="str">
        <f>_xlfn.IFNA(VLOOKUP(D993,标准编码!A:B,2,0),"")</f>
        <v/>
      </c>
    </row>
    <row r="994" spans="2:2">
      <c r="B994" s="151" t="str">
        <f>_xlfn.IFNA(VLOOKUP(D994,标准编码!A:B,2,0),"")</f>
        <v/>
      </c>
    </row>
    <row r="995" spans="2:2">
      <c r="B995" s="151" t="str">
        <f>_xlfn.IFNA(VLOOKUP(D995,标准编码!A:B,2,0),"")</f>
        <v/>
      </c>
    </row>
    <row r="996" spans="2:2">
      <c r="B996" s="151" t="str">
        <f>_xlfn.IFNA(VLOOKUP(D996,标准编码!A:B,2,0),"")</f>
        <v/>
      </c>
    </row>
    <row r="997" spans="2:2">
      <c r="B997" s="151" t="str">
        <f>_xlfn.IFNA(VLOOKUP(D997,标准编码!A:B,2,0),"")</f>
        <v/>
      </c>
    </row>
    <row r="998" spans="2:2">
      <c r="B998" s="151" t="str">
        <f>_xlfn.IFNA(VLOOKUP(D998,标准编码!A:B,2,0),"")</f>
        <v/>
      </c>
    </row>
    <row r="999" spans="2:2">
      <c r="B999" s="151" t="str">
        <f>_xlfn.IFNA(VLOOKUP(D999,标准编码!A:B,2,0),"")</f>
        <v/>
      </c>
    </row>
    <row r="1000" spans="2:2">
      <c r="B1000" s="151" t="str">
        <f>_xlfn.IFNA(VLOOKUP(D1000,标准编码!A:B,2,0),"")</f>
        <v/>
      </c>
    </row>
    <row r="1001" spans="2:2">
      <c r="B1001" s="151" t="str">
        <f>_xlfn.IFNA(VLOOKUP(D1001,标准编码!A:B,2,0),"")</f>
        <v/>
      </c>
    </row>
    <row r="1002" spans="2:2">
      <c r="B1002" s="151" t="str">
        <f>_xlfn.IFNA(VLOOKUP(D1002,标准编码!A:B,2,0),"")</f>
        <v/>
      </c>
    </row>
    <row r="1003" spans="2:2">
      <c r="B1003" s="151" t="str">
        <f>_xlfn.IFNA(VLOOKUP(D1003,标准编码!A:B,2,0),"")</f>
        <v/>
      </c>
    </row>
    <row r="1004" spans="2:2">
      <c r="B1004" s="151" t="str">
        <f>_xlfn.IFNA(VLOOKUP(D1004,标准编码!A:B,2,0),"")</f>
        <v/>
      </c>
    </row>
    <row r="1005" spans="2:2">
      <c r="B1005" s="151" t="str">
        <f>_xlfn.IFNA(VLOOKUP(D1005,标准编码!A:B,2,0),"")</f>
        <v/>
      </c>
    </row>
    <row r="1006" spans="2:2">
      <c r="B1006" s="151" t="str">
        <f>_xlfn.IFNA(VLOOKUP(D1006,标准编码!A:B,2,0),"")</f>
        <v/>
      </c>
    </row>
    <row r="1007" spans="2:2">
      <c r="B1007" s="151" t="str">
        <f>_xlfn.IFNA(VLOOKUP(D1007,标准编码!A:B,2,0),"")</f>
        <v/>
      </c>
    </row>
    <row r="1008" spans="2:2">
      <c r="B1008" s="151" t="str">
        <f>_xlfn.IFNA(VLOOKUP(D1008,标准编码!A:B,2,0),"")</f>
        <v/>
      </c>
    </row>
    <row r="1009" spans="2:2">
      <c r="B1009" s="151" t="str">
        <f>_xlfn.IFNA(VLOOKUP(D1009,标准编码!A:B,2,0),"")</f>
        <v/>
      </c>
    </row>
    <row r="1010" spans="2:2">
      <c r="B1010" s="151" t="str">
        <f>_xlfn.IFNA(VLOOKUP(D1010,标准编码!A:B,2,0),"")</f>
        <v/>
      </c>
    </row>
    <row r="1011" spans="2:2">
      <c r="B1011" s="151" t="str">
        <f>_xlfn.IFNA(VLOOKUP(D1011,标准编码!A:B,2,0),"")</f>
        <v/>
      </c>
    </row>
    <row r="1012" spans="2:2">
      <c r="B1012" s="151" t="str">
        <f>_xlfn.IFNA(VLOOKUP(D1012,标准编码!A:B,2,0),"")</f>
        <v/>
      </c>
    </row>
    <row r="1013" spans="2:2">
      <c r="B1013" s="151" t="str">
        <f>_xlfn.IFNA(VLOOKUP(D1013,标准编码!A:B,2,0),"")</f>
        <v/>
      </c>
    </row>
    <row r="1014" spans="2:2">
      <c r="B1014" s="151" t="str">
        <f>_xlfn.IFNA(VLOOKUP(D1014,标准编码!A:B,2,0),"")</f>
        <v/>
      </c>
    </row>
    <row r="1015" spans="2:2">
      <c r="B1015" s="151" t="str">
        <f>_xlfn.IFNA(VLOOKUP(D1015,标准编码!A:B,2,0),"")</f>
        <v/>
      </c>
    </row>
    <row r="1016" spans="2:2">
      <c r="B1016" s="151" t="str">
        <f>_xlfn.IFNA(VLOOKUP(D1016,标准编码!A:B,2,0),"")</f>
        <v/>
      </c>
    </row>
    <row r="1017" spans="2:2">
      <c r="B1017" s="151" t="str">
        <f>_xlfn.IFNA(VLOOKUP(D1017,标准编码!A:B,2,0),"")</f>
        <v/>
      </c>
    </row>
    <row r="1018" spans="2:2">
      <c r="B1018" s="151" t="str">
        <f>_xlfn.IFNA(VLOOKUP(D1018,标准编码!A:B,2,0),"")</f>
        <v/>
      </c>
    </row>
    <row r="1019" spans="2:2">
      <c r="B1019" s="151" t="str">
        <f>_xlfn.IFNA(VLOOKUP(D1019,标准编码!A:B,2,0),"")</f>
        <v/>
      </c>
    </row>
    <row r="1020" spans="2:2">
      <c r="B1020" s="151" t="str">
        <f>_xlfn.IFNA(VLOOKUP(D1020,标准编码!A:B,2,0),"")</f>
        <v/>
      </c>
    </row>
    <row r="1021" spans="2:2">
      <c r="B1021" s="151" t="str">
        <f>_xlfn.IFNA(VLOOKUP(D1021,标准编码!A:B,2,0),"")</f>
        <v/>
      </c>
    </row>
    <row r="1022" spans="2:2">
      <c r="B1022" s="151" t="str">
        <f>_xlfn.IFNA(VLOOKUP(D1022,标准编码!A:B,2,0),"")</f>
        <v/>
      </c>
    </row>
    <row r="1023" spans="2:2">
      <c r="B1023" s="151" t="str">
        <f>_xlfn.IFNA(VLOOKUP(D1023,标准编码!A:B,2,0),"")</f>
        <v/>
      </c>
    </row>
    <row r="1024" spans="2:2">
      <c r="B1024" s="151" t="str">
        <f>_xlfn.IFNA(VLOOKUP(D1024,标准编码!A:B,2,0),"")</f>
        <v/>
      </c>
    </row>
    <row r="1025" spans="2:2">
      <c r="B1025" s="151" t="str">
        <f>_xlfn.IFNA(VLOOKUP(D1025,标准编码!A:B,2,0),"")</f>
        <v/>
      </c>
    </row>
    <row r="1026" spans="2:2">
      <c r="B1026" s="151" t="str">
        <f>_xlfn.IFNA(VLOOKUP(D1026,标准编码!A:B,2,0),"")</f>
        <v/>
      </c>
    </row>
    <row r="1027" spans="2:2">
      <c r="B1027" s="151" t="str">
        <f>_xlfn.IFNA(VLOOKUP(D1027,标准编码!A:B,2,0),"")</f>
        <v/>
      </c>
    </row>
    <row r="1028" spans="2:2">
      <c r="B1028" s="151" t="str">
        <f>_xlfn.IFNA(VLOOKUP(D1028,标准编码!A:B,2,0),"")</f>
        <v/>
      </c>
    </row>
    <row r="1029" spans="2:2">
      <c r="B1029" s="151" t="str">
        <f>_xlfn.IFNA(VLOOKUP(D1029,标准编码!A:B,2,0),"")</f>
        <v/>
      </c>
    </row>
    <row r="1030" spans="2:2">
      <c r="B1030" s="151" t="str">
        <f>_xlfn.IFNA(VLOOKUP(D1030,标准编码!A:B,2,0),"")</f>
        <v/>
      </c>
    </row>
    <row r="1031" spans="2:2">
      <c r="B1031" s="151" t="str">
        <f>_xlfn.IFNA(VLOOKUP(D1031,标准编码!A:B,2,0),"")</f>
        <v/>
      </c>
    </row>
    <row r="1032" spans="2:2">
      <c r="B1032" s="151" t="str">
        <f>_xlfn.IFNA(VLOOKUP(D1032,标准编码!A:B,2,0),"")</f>
        <v/>
      </c>
    </row>
    <row r="1033" spans="2:2">
      <c r="B1033" s="151" t="str">
        <f>_xlfn.IFNA(VLOOKUP(D1033,标准编码!A:B,2,0),"")</f>
        <v/>
      </c>
    </row>
    <row r="1034" spans="2:2">
      <c r="B1034" s="151" t="str">
        <f>_xlfn.IFNA(VLOOKUP(D1034,标准编码!A:B,2,0),"")</f>
        <v/>
      </c>
    </row>
    <row r="1035" spans="2:2">
      <c r="B1035" s="151" t="str">
        <f>_xlfn.IFNA(VLOOKUP(D1035,标准编码!A:B,2,0),"")</f>
        <v/>
      </c>
    </row>
    <row r="1036" spans="2:2">
      <c r="B1036" s="151" t="str">
        <f>_xlfn.IFNA(VLOOKUP(D1036,标准编码!A:B,2,0),"")</f>
        <v/>
      </c>
    </row>
    <row r="1037" spans="2:2">
      <c r="B1037" s="151" t="str">
        <f>_xlfn.IFNA(VLOOKUP(D1037,标准编码!A:B,2,0),"")</f>
        <v/>
      </c>
    </row>
    <row r="1038" spans="2:2">
      <c r="B1038" s="151" t="str">
        <f>_xlfn.IFNA(VLOOKUP(D1038,标准编码!A:B,2,0),"")</f>
        <v/>
      </c>
    </row>
    <row r="1039" spans="2:2">
      <c r="B1039" s="151" t="str">
        <f>_xlfn.IFNA(VLOOKUP(D1039,标准编码!A:B,2,0),"")</f>
        <v/>
      </c>
    </row>
    <row r="1040" spans="2:2">
      <c r="B1040" s="151" t="str">
        <f>_xlfn.IFNA(VLOOKUP(D1040,标准编码!A:B,2,0),"")</f>
        <v/>
      </c>
    </row>
    <row r="1041" spans="2:2">
      <c r="B1041" s="151" t="str">
        <f>_xlfn.IFNA(VLOOKUP(D1041,标准编码!A:B,2,0),"")</f>
        <v/>
      </c>
    </row>
    <row r="1042" spans="2:2">
      <c r="B1042" s="151" t="str">
        <f>_xlfn.IFNA(VLOOKUP(D1042,标准编码!A:B,2,0),"")</f>
        <v/>
      </c>
    </row>
    <row r="1043" spans="2:2">
      <c r="B1043" s="151" t="str">
        <f>_xlfn.IFNA(VLOOKUP(D1043,标准编码!A:B,2,0),"")</f>
        <v/>
      </c>
    </row>
    <row r="1044" spans="2:2">
      <c r="B1044" s="151" t="str">
        <f>_xlfn.IFNA(VLOOKUP(D1044,标准编码!A:B,2,0),"")</f>
        <v/>
      </c>
    </row>
    <row r="1045" spans="2:2">
      <c r="B1045" s="151" t="str">
        <f>_xlfn.IFNA(VLOOKUP(D1045,标准编码!A:B,2,0),"")</f>
        <v/>
      </c>
    </row>
    <row r="1046" spans="2:2">
      <c r="B1046" s="151" t="str">
        <f>_xlfn.IFNA(VLOOKUP(D1046,标准编码!A:B,2,0),"")</f>
        <v/>
      </c>
    </row>
    <row r="1047" spans="2:2">
      <c r="B1047" s="151" t="str">
        <f>_xlfn.IFNA(VLOOKUP(D1047,标准编码!A:B,2,0),"")</f>
        <v/>
      </c>
    </row>
    <row r="1048" spans="2:2">
      <c r="B1048" s="151" t="str">
        <f>_xlfn.IFNA(VLOOKUP(D1048,标准编码!A:B,2,0),"")</f>
        <v/>
      </c>
    </row>
    <row r="1049" spans="2:2">
      <c r="B1049" s="151" t="str">
        <f>_xlfn.IFNA(VLOOKUP(D1049,标准编码!A:B,2,0),"")</f>
        <v/>
      </c>
    </row>
    <row r="1050" spans="2:2">
      <c r="B1050" s="151" t="str">
        <f>_xlfn.IFNA(VLOOKUP(D1050,标准编码!A:B,2,0),"")</f>
        <v/>
      </c>
    </row>
    <row r="1051" spans="2:2">
      <c r="B1051" s="151" t="str">
        <f>_xlfn.IFNA(VLOOKUP(D1051,标准编码!A:B,2,0),"")</f>
        <v/>
      </c>
    </row>
    <row r="1052" spans="2:2">
      <c r="B1052" s="151" t="str">
        <f>_xlfn.IFNA(VLOOKUP(D1052,标准编码!A:B,2,0),"")</f>
        <v/>
      </c>
    </row>
    <row r="1053" spans="2:2">
      <c r="B1053" s="151" t="str">
        <f>_xlfn.IFNA(VLOOKUP(D1053,标准编码!A:B,2,0),"")</f>
        <v/>
      </c>
    </row>
    <row r="1054" spans="2:2">
      <c r="B1054" s="151" t="str">
        <f>_xlfn.IFNA(VLOOKUP(D1054,标准编码!A:B,2,0),"")</f>
        <v/>
      </c>
    </row>
    <row r="1055" spans="2:2">
      <c r="B1055" s="151" t="str">
        <f>_xlfn.IFNA(VLOOKUP(D1055,标准编码!A:B,2,0),"")</f>
        <v/>
      </c>
    </row>
    <row r="1056" spans="2:2">
      <c r="B1056" s="151" t="str">
        <f>_xlfn.IFNA(VLOOKUP(D1056,标准编码!A:B,2,0),"")</f>
        <v/>
      </c>
    </row>
    <row r="1057" spans="2:2">
      <c r="B1057" s="151" t="str">
        <f>_xlfn.IFNA(VLOOKUP(D1057,标准编码!A:B,2,0),"")</f>
        <v/>
      </c>
    </row>
    <row r="1058" spans="2:2">
      <c r="B1058" s="151" t="str">
        <f>_xlfn.IFNA(VLOOKUP(D1058,标准编码!A:B,2,0),"")</f>
        <v/>
      </c>
    </row>
    <row r="1059" spans="2:2">
      <c r="B1059" s="151" t="str">
        <f>_xlfn.IFNA(VLOOKUP(D1059,标准编码!A:B,2,0),"")</f>
        <v/>
      </c>
    </row>
    <row r="1060" spans="2:2">
      <c r="B1060" s="151" t="str">
        <f>_xlfn.IFNA(VLOOKUP(D1060,标准编码!A:B,2,0),"")</f>
        <v/>
      </c>
    </row>
    <row r="1061" spans="2:2">
      <c r="B1061" s="151" t="str">
        <f>_xlfn.IFNA(VLOOKUP(D1061,标准编码!A:B,2,0),"")</f>
        <v/>
      </c>
    </row>
    <row r="1062" spans="2:2">
      <c r="B1062" s="151" t="str">
        <f>_xlfn.IFNA(VLOOKUP(D1062,标准编码!A:B,2,0),"")</f>
        <v/>
      </c>
    </row>
    <row r="1063" spans="2:2">
      <c r="B1063" s="151" t="str">
        <f>_xlfn.IFNA(VLOOKUP(D1063,标准编码!A:B,2,0),"")</f>
        <v/>
      </c>
    </row>
    <row r="1064" spans="2:2">
      <c r="B1064" s="151" t="str">
        <f>_xlfn.IFNA(VLOOKUP(D1064,标准编码!A:B,2,0),"")</f>
        <v/>
      </c>
    </row>
    <row r="1065" spans="2:2">
      <c r="B1065" s="151" t="str">
        <f>_xlfn.IFNA(VLOOKUP(D1065,标准编码!A:B,2,0),"")</f>
        <v/>
      </c>
    </row>
    <row r="1066" spans="2:2">
      <c r="B1066" s="151" t="str">
        <f>_xlfn.IFNA(VLOOKUP(D1066,标准编码!A:B,2,0),"")</f>
        <v/>
      </c>
    </row>
    <row r="1067" spans="2:2">
      <c r="B1067" s="151" t="str">
        <f>_xlfn.IFNA(VLOOKUP(D1067,标准编码!A:B,2,0),"")</f>
        <v/>
      </c>
    </row>
    <row r="1068" spans="2:2">
      <c r="B1068" s="151" t="str">
        <f>_xlfn.IFNA(VLOOKUP(D1068,标准编码!A:B,2,0),"")</f>
        <v/>
      </c>
    </row>
    <row r="1069" spans="2:2">
      <c r="B1069" s="151" t="str">
        <f>_xlfn.IFNA(VLOOKUP(D1069,标准编码!A:B,2,0),"")</f>
        <v/>
      </c>
    </row>
    <row r="1070" spans="2:2">
      <c r="B1070" s="151" t="str">
        <f>_xlfn.IFNA(VLOOKUP(D1070,标准编码!A:B,2,0),"")</f>
        <v/>
      </c>
    </row>
    <row r="1071" spans="2:2">
      <c r="B1071" s="151" t="str">
        <f>_xlfn.IFNA(VLOOKUP(D1071,标准编码!A:B,2,0),"")</f>
        <v/>
      </c>
    </row>
    <row r="1072" spans="2:2">
      <c r="B1072" s="151" t="str">
        <f>_xlfn.IFNA(VLOOKUP(D1072,标准编码!A:B,2,0),"")</f>
        <v/>
      </c>
    </row>
    <row r="1073" spans="2:2">
      <c r="B1073" s="151" t="str">
        <f>_xlfn.IFNA(VLOOKUP(D1073,标准编码!A:B,2,0),"")</f>
        <v/>
      </c>
    </row>
    <row r="1074" spans="2:2">
      <c r="B1074" s="151" t="str">
        <f>_xlfn.IFNA(VLOOKUP(D1074,标准编码!A:B,2,0),"")</f>
        <v/>
      </c>
    </row>
    <row r="1075" spans="2:2">
      <c r="B1075" s="151" t="str">
        <f>_xlfn.IFNA(VLOOKUP(D1075,标准编码!A:B,2,0),"")</f>
        <v/>
      </c>
    </row>
    <row r="1076" spans="2:2">
      <c r="B1076" s="151" t="str">
        <f>_xlfn.IFNA(VLOOKUP(D1076,标准编码!A:B,2,0),"")</f>
        <v/>
      </c>
    </row>
    <row r="1077" spans="2:2">
      <c r="B1077" s="151" t="str">
        <f>_xlfn.IFNA(VLOOKUP(D1077,标准编码!A:B,2,0),"")</f>
        <v/>
      </c>
    </row>
    <row r="1078" spans="2:2">
      <c r="B1078" s="151" t="str">
        <f>_xlfn.IFNA(VLOOKUP(D1078,标准编码!A:B,2,0),"")</f>
        <v/>
      </c>
    </row>
    <row r="1079" spans="2:2">
      <c r="B1079" s="151" t="str">
        <f>_xlfn.IFNA(VLOOKUP(D1079,标准编码!A:B,2,0),"")</f>
        <v/>
      </c>
    </row>
    <row r="1080" spans="2:2">
      <c r="B1080" s="151" t="str">
        <f>_xlfn.IFNA(VLOOKUP(D1080,标准编码!A:B,2,0),"")</f>
        <v/>
      </c>
    </row>
    <row r="1081" spans="2:2">
      <c r="B1081" s="151" t="str">
        <f>_xlfn.IFNA(VLOOKUP(D1081,标准编码!A:B,2,0),"")</f>
        <v/>
      </c>
    </row>
    <row r="1082" spans="2:2">
      <c r="B1082" s="151" t="str">
        <f>_xlfn.IFNA(VLOOKUP(D1082,标准编码!A:B,2,0),"")</f>
        <v/>
      </c>
    </row>
    <row r="1083" spans="2:2">
      <c r="B1083" s="151" t="str">
        <f>_xlfn.IFNA(VLOOKUP(D1083,标准编码!A:B,2,0),"")</f>
        <v/>
      </c>
    </row>
    <row r="1084" spans="2:2">
      <c r="B1084" s="151" t="str">
        <f>_xlfn.IFNA(VLOOKUP(D1084,标准编码!A:B,2,0),"")</f>
        <v/>
      </c>
    </row>
    <row r="1085" spans="2:2">
      <c r="B1085" s="151" t="str">
        <f>_xlfn.IFNA(VLOOKUP(D1085,标准编码!A:B,2,0),"")</f>
        <v/>
      </c>
    </row>
    <row r="1086" spans="2:2">
      <c r="B1086" s="151" t="str">
        <f>_xlfn.IFNA(VLOOKUP(D1086,标准编码!A:B,2,0),"")</f>
        <v/>
      </c>
    </row>
    <row r="1087" spans="2:2">
      <c r="B1087" s="151" t="str">
        <f>_xlfn.IFNA(VLOOKUP(D1087,标准编码!A:B,2,0),"")</f>
        <v/>
      </c>
    </row>
    <row r="1088" spans="2:2">
      <c r="B1088" s="151" t="str">
        <f>_xlfn.IFNA(VLOOKUP(D1088,标准编码!A:B,2,0),"")</f>
        <v/>
      </c>
    </row>
    <row r="1089" spans="2:2">
      <c r="B1089" s="151" t="str">
        <f>_xlfn.IFNA(VLOOKUP(D1089,标准编码!A:B,2,0),"")</f>
        <v/>
      </c>
    </row>
    <row r="1090" spans="2:2">
      <c r="B1090" s="151" t="str">
        <f>_xlfn.IFNA(VLOOKUP(D1090,标准编码!A:B,2,0),"")</f>
        <v/>
      </c>
    </row>
    <row r="1091" spans="2:2">
      <c r="B1091" s="151" t="str">
        <f>_xlfn.IFNA(VLOOKUP(D1091,标准编码!A:B,2,0),"")</f>
        <v/>
      </c>
    </row>
    <row r="1092" spans="2:2">
      <c r="B1092" s="151" t="str">
        <f>_xlfn.IFNA(VLOOKUP(D1092,标准编码!A:B,2,0),"")</f>
        <v/>
      </c>
    </row>
    <row r="1093" spans="2:2">
      <c r="B1093" s="151" t="str">
        <f>_xlfn.IFNA(VLOOKUP(D1093,标准编码!A:B,2,0),"")</f>
        <v/>
      </c>
    </row>
    <row r="1094" spans="2:2">
      <c r="B1094" s="151" t="str">
        <f>_xlfn.IFNA(VLOOKUP(D1094,标准编码!A:B,2,0),"")</f>
        <v/>
      </c>
    </row>
    <row r="1095" spans="2:2">
      <c r="B1095" s="151" t="str">
        <f>_xlfn.IFNA(VLOOKUP(D1095,标准编码!A:B,2,0),"")</f>
        <v/>
      </c>
    </row>
    <row r="1096" spans="2:2">
      <c r="B1096" s="151" t="str">
        <f>_xlfn.IFNA(VLOOKUP(D1096,标准编码!A:B,2,0),"")</f>
        <v/>
      </c>
    </row>
    <row r="1097" spans="2:2">
      <c r="B1097" s="151" t="str">
        <f>_xlfn.IFNA(VLOOKUP(D1097,标准编码!A:B,2,0),"")</f>
        <v/>
      </c>
    </row>
    <row r="1098" spans="2:2">
      <c r="B1098" s="151" t="str">
        <f>_xlfn.IFNA(VLOOKUP(D1098,标准编码!A:B,2,0),"")</f>
        <v/>
      </c>
    </row>
    <row r="1099" spans="2:2">
      <c r="B1099" s="151" t="str">
        <f>_xlfn.IFNA(VLOOKUP(D1099,标准编码!A:B,2,0),"")</f>
        <v/>
      </c>
    </row>
    <row r="1100" spans="2:2">
      <c r="B1100" s="151" t="str">
        <f>_xlfn.IFNA(VLOOKUP(D1100,标准编码!A:B,2,0),"")</f>
        <v/>
      </c>
    </row>
    <row r="1101" spans="2:2">
      <c r="B1101" s="151" t="str">
        <f>_xlfn.IFNA(VLOOKUP(D1101,标准编码!A:B,2,0),"")</f>
        <v/>
      </c>
    </row>
    <row r="1102" spans="2:2">
      <c r="B1102" s="151" t="str">
        <f>_xlfn.IFNA(VLOOKUP(D1102,标准编码!A:B,2,0),"")</f>
        <v/>
      </c>
    </row>
    <row r="1103" spans="2:2">
      <c r="B1103" s="151" t="str">
        <f>_xlfn.IFNA(VLOOKUP(D1103,标准编码!A:B,2,0),"")</f>
        <v/>
      </c>
    </row>
    <row r="1104" spans="2:2">
      <c r="B1104" s="151" t="str">
        <f>_xlfn.IFNA(VLOOKUP(D1104,标准编码!A:B,2,0),"")</f>
        <v/>
      </c>
    </row>
    <row r="1105" spans="2:2">
      <c r="B1105" s="151" t="str">
        <f>_xlfn.IFNA(VLOOKUP(D1105,标准编码!A:B,2,0),"")</f>
        <v/>
      </c>
    </row>
    <row r="1106" spans="2:2">
      <c r="B1106" s="151" t="str">
        <f>_xlfn.IFNA(VLOOKUP(D1106,标准编码!A:B,2,0),"")</f>
        <v/>
      </c>
    </row>
    <row r="1107" spans="2:2">
      <c r="B1107" s="151" t="str">
        <f>_xlfn.IFNA(VLOOKUP(D1107,标准编码!A:B,2,0),"")</f>
        <v/>
      </c>
    </row>
    <row r="1108" spans="2:2">
      <c r="B1108" s="151" t="str">
        <f>_xlfn.IFNA(VLOOKUP(D1108,标准编码!A:B,2,0),"")</f>
        <v/>
      </c>
    </row>
    <row r="1109" spans="2:2">
      <c r="B1109" s="151" t="str">
        <f>_xlfn.IFNA(VLOOKUP(D1109,标准编码!A:B,2,0),"")</f>
        <v/>
      </c>
    </row>
    <row r="1110" spans="2:2">
      <c r="B1110" s="151" t="str">
        <f>_xlfn.IFNA(VLOOKUP(D1110,标准编码!A:B,2,0),"")</f>
        <v/>
      </c>
    </row>
    <row r="1111" spans="2:2">
      <c r="B1111" s="151" t="str">
        <f>_xlfn.IFNA(VLOOKUP(D1111,标准编码!A:B,2,0),"")</f>
        <v/>
      </c>
    </row>
    <row r="1112" spans="2:2">
      <c r="B1112" s="151" t="str">
        <f>_xlfn.IFNA(VLOOKUP(D1112,标准编码!A:B,2,0),"")</f>
        <v/>
      </c>
    </row>
    <row r="1113" spans="2:2">
      <c r="B1113" s="151" t="str">
        <f>_xlfn.IFNA(VLOOKUP(D1113,标准编码!A:B,2,0),"")</f>
        <v/>
      </c>
    </row>
    <row r="1114" spans="2:2">
      <c r="B1114" s="151" t="str">
        <f>_xlfn.IFNA(VLOOKUP(D1114,标准编码!A:B,2,0),"")</f>
        <v/>
      </c>
    </row>
    <row r="1115" spans="2:2">
      <c r="B1115" s="151" t="str">
        <f>_xlfn.IFNA(VLOOKUP(D1115,标准编码!A:B,2,0),"")</f>
        <v/>
      </c>
    </row>
    <row r="1116" spans="2:2">
      <c r="B1116" s="151" t="str">
        <f>_xlfn.IFNA(VLOOKUP(D1116,标准编码!A:B,2,0),"")</f>
        <v/>
      </c>
    </row>
    <row r="1117" spans="2:2">
      <c r="B1117" s="151" t="str">
        <f>_xlfn.IFNA(VLOOKUP(D1117,标准编码!A:B,2,0),"")</f>
        <v/>
      </c>
    </row>
    <row r="1118" spans="2:2">
      <c r="B1118" s="151" t="str">
        <f>_xlfn.IFNA(VLOOKUP(D1118,标准编码!A:B,2,0),"")</f>
        <v/>
      </c>
    </row>
    <row r="1119" spans="2:2">
      <c r="B1119" s="151" t="str">
        <f>_xlfn.IFNA(VLOOKUP(D1119,标准编码!A:B,2,0),"")</f>
        <v/>
      </c>
    </row>
    <row r="1120" spans="2:2">
      <c r="B1120" s="151" t="str">
        <f>_xlfn.IFNA(VLOOKUP(D1120,标准编码!A:B,2,0),"")</f>
        <v/>
      </c>
    </row>
    <row r="1121" spans="2:2">
      <c r="B1121" s="151" t="str">
        <f>_xlfn.IFNA(VLOOKUP(D1121,标准编码!A:B,2,0),"")</f>
        <v/>
      </c>
    </row>
    <row r="1122" spans="2:2">
      <c r="B1122" s="151" t="str">
        <f>_xlfn.IFNA(VLOOKUP(D1122,标准编码!A:B,2,0),"")</f>
        <v/>
      </c>
    </row>
    <row r="1123" spans="2:2">
      <c r="B1123" s="151" t="str">
        <f>_xlfn.IFNA(VLOOKUP(D1123,标准编码!A:B,2,0),"")</f>
        <v/>
      </c>
    </row>
    <row r="1124" spans="2:2">
      <c r="B1124" s="151" t="str">
        <f>_xlfn.IFNA(VLOOKUP(D1124,标准编码!A:B,2,0),"")</f>
        <v/>
      </c>
    </row>
    <row r="1125" spans="2:2">
      <c r="B1125" s="151" t="str">
        <f>_xlfn.IFNA(VLOOKUP(D1125,标准编码!A:B,2,0),"")</f>
        <v/>
      </c>
    </row>
    <row r="1126" spans="2:2">
      <c r="B1126" s="151" t="str">
        <f>_xlfn.IFNA(VLOOKUP(D1126,标准编码!A:B,2,0),"")</f>
        <v/>
      </c>
    </row>
    <row r="1127" spans="2:2">
      <c r="B1127" s="151" t="str">
        <f>_xlfn.IFNA(VLOOKUP(D1127,标准编码!A:B,2,0),"")</f>
        <v/>
      </c>
    </row>
    <row r="1128" spans="2:2">
      <c r="B1128" s="151" t="str">
        <f>_xlfn.IFNA(VLOOKUP(D1128,标准编码!A:B,2,0),"")</f>
        <v/>
      </c>
    </row>
    <row r="1129" spans="2:2">
      <c r="B1129" s="151" t="str">
        <f>_xlfn.IFNA(VLOOKUP(D1129,标准编码!A:B,2,0),"")</f>
        <v/>
      </c>
    </row>
    <row r="1130" spans="2:2">
      <c r="B1130" s="151" t="str">
        <f>_xlfn.IFNA(VLOOKUP(D1130,标准编码!A:B,2,0),"")</f>
        <v/>
      </c>
    </row>
    <row r="1131" spans="2:2">
      <c r="B1131" s="151" t="str">
        <f>_xlfn.IFNA(VLOOKUP(D1131,标准编码!A:B,2,0),"")</f>
        <v/>
      </c>
    </row>
    <row r="1132" spans="2:2">
      <c r="B1132" s="151" t="str">
        <f>_xlfn.IFNA(VLOOKUP(D1132,标准编码!A:B,2,0),"")</f>
        <v/>
      </c>
    </row>
    <row r="1133" spans="2:2">
      <c r="B1133" s="151" t="str">
        <f>_xlfn.IFNA(VLOOKUP(D1133,标准编码!A:B,2,0),"")</f>
        <v/>
      </c>
    </row>
    <row r="1134" spans="2:2">
      <c r="B1134" s="151" t="str">
        <f>_xlfn.IFNA(VLOOKUP(D1134,标准编码!A:B,2,0),"")</f>
        <v/>
      </c>
    </row>
    <row r="1135" spans="2:2">
      <c r="B1135" s="151" t="str">
        <f>_xlfn.IFNA(VLOOKUP(D1135,标准编码!A:B,2,0),"")</f>
        <v/>
      </c>
    </row>
    <row r="1136" spans="2:2">
      <c r="B1136" s="151" t="str">
        <f>_xlfn.IFNA(VLOOKUP(D1136,标准编码!A:B,2,0),"")</f>
        <v/>
      </c>
    </row>
    <row r="1137" spans="2:2">
      <c r="B1137" s="151" t="str">
        <f>_xlfn.IFNA(VLOOKUP(D1137,标准编码!A:B,2,0),"")</f>
        <v/>
      </c>
    </row>
    <row r="1138" spans="2:2">
      <c r="B1138" s="151" t="str">
        <f>_xlfn.IFNA(VLOOKUP(D1138,标准编码!A:B,2,0),"")</f>
        <v/>
      </c>
    </row>
    <row r="1139" spans="2:2">
      <c r="B1139" s="151" t="str">
        <f>_xlfn.IFNA(VLOOKUP(D1139,标准编码!A:B,2,0),"")</f>
        <v/>
      </c>
    </row>
    <row r="1140" spans="2:2">
      <c r="B1140" s="151" t="str">
        <f>_xlfn.IFNA(VLOOKUP(D1140,标准编码!A:B,2,0),"")</f>
        <v/>
      </c>
    </row>
    <row r="1141" spans="2:2">
      <c r="B1141" s="151" t="str">
        <f>_xlfn.IFNA(VLOOKUP(D1141,标准编码!A:B,2,0),"")</f>
        <v/>
      </c>
    </row>
    <row r="1142" spans="2:2">
      <c r="B1142" s="151" t="str">
        <f>_xlfn.IFNA(VLOOKUP(D1142,标准编码!A:B,2,0),"")</f>
        <v/>
      </c>
    </row>
    <row r="1143" spans="2:2">
      <c r="B1143" s="151" t="str">
        <f>_xlfn.IFNA(VLOOKUP(D1143,标准编码!A:B,2,0),"")</f>
        <v/>
      </c>
    </row>
    <row r="1144" spans="2:2">
      <c r="B1144" s="151" t="str">
        <f>_xlfn.IFNA(VLOOKUP(D1144,标准编码!A:B,2,0),"")</f>
        <v/>
      </c>
    </row>
    <row r="1145" spans="2:2">
      <c r="B1145" s="151" t="str">
        <f>_xlfn.IFNA(VLOOKUP(D1145,标准编码!A:B,2,0),"")</f>
        <v/>
      </c>
    </row>
    <row r="1146" spans="2:2">
      <c r="B1146" s="151" t="str">
        <f>_xlfn.IFNA(VLOOKUP(D1146,标准编码!A:B,2,0),"")</f>
        <v/>
      </c>
    </row>
    <row r="1147" spans="2:2">
      <c r="B1147" s="151" t="str">
        <f>_xlfn.IFNA(VLOOKUP(D1147,标准编码!A:B,2,0),"")</f>
        <v/>
      </c>
    </row>
    <row r="1148" spans="2:2">
      <c r="B1148" s="151" t="str">
        <f>_xlfn.IFNA(VLOOKUP(D1148,标准编码!A:B,2,0),"")</f>
        <v/>
      </c>
    </row>
    <row r="1149" spans="2:2">
      <c r="B1149" s="151" t="str">
        <f>_xlfn.IFNA(VLOOKUP(D1149,标准编码!A:B,2,0),"")</f>
        <v/>
      </c>
    </row>
    <row r="1150" spans="2:2">
      <c r="B1150" s="151" t="str">
        <f>_xlfn.IFNA(VLOOKUP(D1150,标准编码!A:B,2,0),"")</f>
        <v/>
      </c>
    </row>
    <row r="1151" spans="2:2">
      <c r="B1151" s="151" t="str">
        <f>_xlfn.IFNA(VLOOKUP(D1151,标准编码!A:B,2,0),"")</f>
        <v/>
      </c>
    </row>
    <row r="1152" spans="2:2">
      <c r="B1152" s="151" t="str">
        <f>_xlfn.IFNA(VLOOKUP(D1152,标准编码!A:B,2,0),"")</f>
        <v/>
      </c>
    </row>
    <row r="1153" spans="2:2">
      <c r="B1153" s="151" t="str">
        <f>_xlfn.IFNA(VLOOKUP(D1153,标准编码!A:B,2,0),"")</f>
        <v/>
      </c>
    </row>
    <row r="1154" spans="2:2">
      <c r="B1154" s="151" t="str">
        <f>_xlfn.IFNA(VLOOKUP(D1154,标准编码!A:B,2,0),"")</f>
        <v/>
      </c>
    </row>
    <row r="1155" spans="2:2">
      <c r="B1155" s="151" t="str">
        <f>_xlfn.IFNA(VLOOKUP(D1155,标准编码!A:B,2,0),"")</f>
        <v/>
      </c>
    </row>
    <row r="1156" spans="2:2">
      <c r="B1156" s="151" t="str">
        <f>_xlfn.IFNA(VLOOKUP(D1156,标准编码!A:B,2,0),"")</f>
        <v/>
      </c>
    </row>
    <row r="1157" spans="2:2">
      <c r="B1157" s="151" t="str">
        <f>_xlfn.IFNA(VLOOKUP(D1157,标准编码!A:B,2,0),"")</f>
        <v/>
      </c>
    </row>
    <row r="1158" spans="2:2">
      <c r="B1158" s="151" t="str">
        <f>_xlfn.IFNA(VLOOKUP(D1158,标准编码!A:B,2,0),"")</f>
        <v/>
      </c>
    </row>
    <row r="1159" spans="2:2">
      <c r="B1159" s="151" t="str">
        <f>_xlfn.IFNA(VLOOKUP(D1159,标准编码!A:B,2,0),"")</f>
        <v/>
      </c>
    </row>
    <row r="1160" spans="2:2">
      <c r="B1160" s="151" t="str">
        <f>_xlfn.IFNA(VLOOKUP(D1160,标准编码!A:B,2,0),"")</f>
        <v/>
      </c>
    </row>
    <row r="1161" spans="2:2">
      <c r="B1161" s="151" t="str">
        <f>_xlfn.IFNA(VLOOKUP(D1161,标准编码!A:B,2,0),"")</f>
        <v/>
      </c>
    </row>
    <row r="1162" spans="2:2">
      <c r="B1162" s="151" t="str">
        <f>_xlfn.IFNA(VLOOKUP(D1162,标准编码!A:B,2,0),"")</f>
        <v/>
      </c>
    </row>
    <row r="1163" spans="2:2">
      <c r="B1163" s="151" t="str">
        <f>_xlfn.IFNA(VLOOKUP(D1163,标准编码!A:B,2,0),"")</f>
        <v/>
      </c>
    </row>
    <row r="1164" spans="2:2">
      <c r="B1164" s="151" t="str">
        <f>_xlfn.IFNA(VLOOKUP(D1164,标准编码!A:B,2,0),"")</f>
        <v/>
      </c>
    </row>
    <row r="1165" spans="2:2">
      <c r="B1165" s="151" t="str">
        <f>_xlfn.IFNA(VLOOKUP(D1165,标准编码!A:B,2,0),"")</f>
        <v/>
      </c>
    </row>
    <row r="1166" spans="2:2">
      <c r="B1166" s="151" t="str">
        <f>_xlfn.IFNA(VLOOKUP(D1166,标准编码!A:B,2,0),"")</f>
        <v/>
      </c>
    </row>
    <row r="1167" spans="2:2">
      <c r="B1167" s="151" t="str">
        <f>_xlfn.IFNA(VLOOKUP(D1167,标准编码!A:B,2,0),"")</f>
        <v/>
      </c>
    </row>
    <row r="1168" spans="2:2">
      <c r="B1168" s="151" t="str">
        <f>_xlfn.IFNA(VLOOKUP(D1168,标准编码!A:B,2,0),"")</f>
        <v/>
      </c>
    </row>
    <row r="1169" spans="2:2">
      <c r="B1169" s="151" t="str">
        <f>_xlfn.IFNA(VLOOKUP(D1169,标准编码!A:B,2,0),"")</f>
        <v/>
      </c>
    </row>
    <row r="1170" spans="2:2">
      <c r="B1170" s="151" t="str">
        <f>_xlfn.IFNA(VLOOKUP(D1170,标准编码!A:B,2,0),"")</f>
        <v/>
      </c>
    </row>
    <row r="1171" spans="2:2">
      <c r="B1171" s="151" t="str">
        <f>_xlfn.IFNA(VLOOKUP(D1171,标准编码!A:B,2,0),"")</f>
        <v/>
      </c>
    </row>
    <row r="1172" spans="2:2">
      <c r="B1172" s="151" t="str">
        <f>_xlfn.IFNA(VLOOKUP(D1172,标准编码!A:B,2,0),"")</f>
        <v/>
      </c>
    </row>
    <row r="1173" spans="2:2">
      <c r="B1173" s="151" t="str">
        <f>_xlfn.IFNA(VLOOKUP(D1173,标准编码!A:B,2,0),"")</f>
        <v/>
      </c>
    </row>
    <row r="1174" spans="2:2">
      <c r="B1174" s="151" t="str">
        <f>_xlfn.IFNA(VLOOKUP(D1174,标准编码!A:B,2,0),"")</f>
        <v/>
      </c>
    </row>
    <row r="1175" spans="2:2">
      <c r="B1175" s="151" t="str">
        <f>_xlfn.IFNA(VLOOKUP(D1175,标准编码!A:B,2,0),"")</f>
        <v/>
      </c>
    </row>
    <row r="1176" spans="2:2">
      <c r="B1176" s="151" t="str">
        <f>_xlfn.IFNA(VLOOKUP(D1176,标准编码!A:B,2,0),"")</f>
        <v/>
      </c>
    </row>
    <row r="1177" spans="2:2">
      <c r="B1177" s="151" t="str">
        <f>_xlfn.IFNA(VLOOKUP(D1177,标准编码!A:B,2,0),"")</f>
        <v/>
      </c>
    </row>
    <row r="1178" spans="2:2">
      <c r="B1178" s="151" t="str">
        <f>_xlfn.IFNA(VLOOKUP(D1178,标准编码!A:B,2,0),"")</f>
        <v/>
      </c>
    </row>
    <row r="1179" spans="2:2">
      <c r="B1179" s="151" t="str">
        <f>_xlfn.IFNA(VLOOKUP(D1179,标准编码!A:B,2,0),"")</f>
        <v/>
      </c>
    </row>
    <row r="1180" spans="2:2">
      <c r="B1180" s="151" t="str">
        <f>_xlfn.IFNA(VLOOKUP(D1180,标准编码!A:B,2,0),"")</f>
        <v/>
      </c>
    </row>
    <row r="1181" spans="2:2">
      <c r="B1181" s="151" t="str">
        <f>_xlfn.IFNA(VLOOKUP(D1181,标准编码!A:B,2,0),"")</f>
        <v/>
      </c>
    </row>
    <row r="1182" spans="2:2">
      <c r="B1182" s="151" t="str">
        <f>_xlfn.IFNA(VLOOKUP(D1182,标准编码!A:B,2,0),"")</f>
        <v/>
      </c>
    </row>
    <row r="1183" spans="2:2">
      <c r="B1183" s="151" t="str">
        <f>_xlfn.IFNA(VLOOKUP(D1183,标准编码!A:B,2,0),"")</f>
        <v/>
      </c>
    </row>
    <row r="1184" spans="2:2">
      <c r="B1184" s="151" t="str">
        <f>_xlfn.IFNA(VLOOKUP(D1184,标准编码!A:B,2,0),"")</f>
        <v/>
      </c>
    </row>
    <row r="1185" spans="2:2">
      <c r="B1185" s="151" t="str">
        <f>_xlfn.IFNA(VLOOKUP(D1185,标准编码!A:B,2,0),"")</f>
        <v/>
      </c>
    </row>
    <row r="1186" spans="2:2">
      <c r="B1186" s="151" t="str">
        <f>_xlfn.IFNA(VLOOKUP(D1186,标准编码!A:B,2,0),"")</f>
        <v/>
      </c>
    </row>
    <row r="1187" spans="2:2">
      <c r="B1187" s="151" t="str">
        <f>_xlfn.IFNA(VLOOKUP(D1187,标准编码!A:B,2,0),"")</f>
        <v/>
      </c>
    </row>
    <row r="1188" spans="2:2">
      <c r="B1188" s="151" t="str">
        <f>_xlfn.IFNA(VLOOKUP(D1188,标准编码!A:B,2,0),"")</f>
        <v/>
      </c>
    </row>
    <row r="1189" spans="2:2">
      <c r="B1189" s="151" t="str">
        <f>_xlfn.IFNA(VLOOKUP(D1189,标准编码!A:B,2,0),"")</f>
        <v/>
      </c>
    </row>
    <row r="1190" spans="2:2">
      <c r="B1190" s="151" t="str">
        <f>_xlfn.IFNA(VLOOKUP(D1190,标准编码!A:B,2,0),"")</f>
        <v/>
      </c>
    </row>
    <row r="1191" spans="2:2">
      <c r="B1191" s="151" t="str">
        <f>_xlfn.IFNA(VLOOKUP(D1191,标准编码!A:B,2,0),"")</f>
        <v/>
      </c>
    </row>
    <row r="1192" spans="2:2">
      <c r="B1192" s="151" t="str">
        <f>_xlfn.IFNA(VLOOKUP(D1192,标准编码!A:B,2,0),"")</f>
        <v/>
      </c>
    </row>
    <row r="1193" spans="2:2">
      <c r="B1193" s="151" t="str">
        <f>_xlfn.IFNA(VLOOKUP(D1193,标准编码!A:B,2,0),"")</f>
        <v/>
      </c>
    </row>
    <row r="1194" spans="2:2">
      <c r="B1194" s="151" t="str">
        <f>_xlfn.IFNA(VLOOKUP(D1194,标准编码!A:B,2,0),"")</f>
        <v/>
      </c>
    </row>
    <row r="1195" spans="2:2">
      <c r="B1195" s="151" t="str">
        <f>_xlfn.IFNA(VLOOKUP(D1195,标准编码!A:B,2,0),"")</f>
        <v/>
      </c>
    </row>
    <row r="1196" spans="2:2">
      <c r="B1196" s="151" t="str">
        <f>_xlfn.IFNA(VLOOKUP(D1196,标准编码!A:B,2,0),"")</f>
        <v/>
      </c>
    </row>
    <row r="1197" spans="2:2">
      <c r="B1197" s="151" t="str">
        <f>_xlfn.IFNA(VLOOKUP(D1197,标准编码!A:B,2,0),"")</f>
        <v/>
      </c>
    </row>
    <row r="1198" spans="2:2">
      <c r="B1198" s="151" t="str">
        <f>_xlfn.IFNA(VLOOKUP(D1198,标准编码!A:B,2,0),"")</f>
        <v/>
      </c>
    </row>
    <row r="1199" spans="2:2">
      <c r="B1199" s="151"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codeName="Sheet30">
    <tabColor rgb="FF00B0F0"/>
  </sheetPr>
  <dimension ref="A1:E16"/>
  <sheetViews>
    <sheetView workbookViewId="0">
      <selection activeCell="D13" sqref="D13"/>
    </sheetView>
  </sheetViews>
  <sheetFormatPr defaultRowHeight="13.8"/>
  <cols>
    <col min="1" max="1" width="71" bestFit="1" customWidth="1"/>
    <col min="2" max="2" width="13.88671875" style="230" bestFit="1" customWidth="1"/>
    <col min="3" max="4" width="8.88671875" style="230"/>
    <col min="5" max="5" width="13.88671875" bestFit="1" customWidth="1"/>
  </cols>
  <sheetData>
    <row r="1" spans="1:5">
      <c r="A1" t="s">
        <v>2945</v>
      </c>
      <c r="B1" s="230" t="s">
        <v>2958</v>
      </c>
      <c r="C1" s="230" t="s">
        <v>2523</v>
      </c>
      <c r="D1" s="230" t="s">
        <v>2391</v>
      </c>
      <c r="E1" t="s">
        <v>95</v>
      </c>
    </row>
    <row r="2" spans="1:5">
      <c r="A2" t="s">
        <v>683</v>
      </c>
      <c r="B2" s="230">
        <f>_xlfn.IFNA(VLOOKUP(A2,投资收益!A:B,2,0),0)</f>
        <v>0</v>
      </c>
      <c r="C2" s="230">
        <f>SUM(长期股权投资明细表!J:J)</f>
        <v>0</v>
      </c>
      <c r="D2" s="230">
        <f>B2-C2</f>
        <v>0</v>
      </c>
      <c r="E2" t="s">
        <v>2959</v>
      </c>
    </row>
    <row r="3" spans="1:5">
      <c r="A3" t="s">
        <v>2946</v>
      </c>
      <c r="B3" s="230">
        <f>_xlfn.IFNA(VLOOKUP(A3,投资收益!A:B,2,0),0)</f>
        <v>0</v>
      </c>
    </row>
    <row r="4" spans="1:5">
      <c r="A4" t="s">
        <v>2947</v>
      </c>
      <c r="B4" s="230">
        <f>_xlfn.IFNA(VLOOKUP(A4,投资收益!A:B,2,0),0)</f>
        <v>0</v>
      </c>
    </row>
    <row r="5" spans="1:5">
      <c r="A5" t="s">
        <v>686</v>
      </c>
      <c r="B5" s="230">
        <f>_xlfn.IFNA(VLOOKUP(A5,投资收益!A:B,2,0),0)</f>
        <v>0</v>
      </c>
    </row>
    <row r="6" spans="1:5">
      <c r="A6" t="s">
        <v>2948</v>
      </c>
      <c r="B6" s="230">
        <f>_xlfn.IFNA(VLOOKUP(A6,投资收益!A:B,2,0),0)</f>
        <v>0</v>
      </c>
    </row>
    <row r="7" spans="1:5">
      <c r="A7" t="s">
        <v>2949</v>
      </c>
      <c r="B7" s="230">
        <f>_xlfn.IFNA(VLOOKUP(A7,投资收益!A:B,2,0),0)</f>
        <v>0</v>
      </c>
    </row>
    <row r="8" spans="1:5">
      <c r="A8" t="s">
        <v>2950</v>
      </c>
      <c r="B8" s="230">
        <f>_xlfn.IFNA(VLOOKUP(A8,投资收益!A:B,2,0),0)</f>
        <v>0</v>
      </c>
    </row>
    <row r="9" spans="1:5">
      <c r="A9" t="s">
        <v>2951</v>
      </c>
      <c r="B9" s="230">
        <f>_xlfn.IFNA(VLOOKUP(A9,投资收益!A:B,2,0),0)</f>
        <v>0</v>
      </c>
      <c r="C9" s="230">
        <f>SUM(可供出售权益工具明细表!T:T)</f>
        <v>0</v>
      </c>
      <c r="D9" s="230">
        <f>B9-C9</f>
        <v>0</v>
      </c>
    </row>
    <row r="10" spans="1:5">
      <c r="A10" t="s">
        <v>2952</v>
      </c>
      <c r="B10" s="230">
        <f>_xlfn.IFNA(VLOOKUP(A10,投资收益!A:B,2,0),0)</f>
        <v>0</v>
      </c>
    </row>
    <row r="11" spans="1:5">
      <c r="A11" t="s">
        <v>2957</v>
      </c>
      <c r="B11" s="230">
        <f>_xlfn.IFNA(VLOOKUP(A11,投资收益!A:B,2,0),0)</f>
        <v>0</v>
      </c>
    </row>
    <row r="12" spans="1:5">
      <c r="A12" t="s">
        <v>2953</v>
      </c>
      <c r="B12" s="230">
        <f>_xlfn.IFNA(VLOOKUP(A12,投资收益!A:B,2,0),0)</f>
        <v>0</v>
      </c>
    </row>
    <row r="13" spans="1:5">
      <c r="A13" t="s">
        <v>2954</v>
      </c>
      <c r="B13" s="230">
        <f>_xlfn.IFNA(VLOOKUP(A13,投资收益!A:B,2,0),0)</f>
        <v>0</v>
      </c>
    </row>
    <row r="14" spans="1:5">
      <c r="A14" t="s">
        <v>2955</v>
      </c>
      <c r="B14" s="230">
        <f>_xlfn.IFNA(VLOOKUP(A14,投资收益!A:B,2,0),0)</f>
        <v>0</v>
      </c>
    </row>
    <row r="15" spans="1:5">
      <c r="A15" t="s">
        <v>2956</v>
      </c>
      <c r="B15" s="230">
        <f>_xlfn.IFNA(VLOOKUP(A15,投资收益!A:B,2,0),0)</f>
        <v>0</v>
      </c>
    </row>
    <row r="16" spans="1:5">
      <c r="A16" t="s">
        <v>2944</v>
      </c>
      <c r="B16" s="230">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codeName="Sheet300">
    <tabColor rgb="FFFFC000"/>
  </sheetPr>
  <dimension ref="A1:E5"/>
  <sheetViews>
    <sheetView workbookViewId="0">
      <selection activeCell="H18" sqref="H18"/>
    </sheetView>
  </sheetViews>
  <sheetFormatPr defaultRowHeight="13.8"/>
  <cols>
    <col min="1" max="1" width="20.44140625" style="18" bestFit="1" customWidth="1"/>
    <col min="2" max="16384" width="8.88671875" style="18"/>
  </cols>
  <sheetData>
    <row r="1" spans="1:5" ht="14.4">
      <c r="A1" s="20" t="s">
        <v>28</v>
      </c>
      <c r="B1" s="20" t="s">
        <v>200</v>
      </c>
      <c r="C1" s="20" t="s">
        <v>391</v>
      </c>
      <c r="D1" s="20" t="s">
        <v>509</v>
      </c>
      <c r="E1" s="20" t="s">
        <v>199</v>
      </c>
    </row>
    <row r="2" spans="1:5" ht="14.4">
      <c r="A2" s="527" t="s">
        <v>626</v>
      </c>
      <c r="B2" s="291">
        <f>ROUND(递延收益中政府补助项目!B6,2)</f>
        <v>0</v>
      </c>
      <c r="C2" s="291">
        <f>ROUND(递延收益中政府补助项目!C6,2)</f>
        <v>0</v>
      </c>
      <c r="D2" s="291">
        <f>ROUND(递延收益中政府补助项目!D6+递延收益中政府补助项目!E6+递延收益中政府补助项目!F6,2)</f>
        <v>0</v>
      </c>
      <c r="E2" s="291">
        <f>ROUND(B2+C2-D2,2)</f>
        <v>0</v>
      </c>
    </row>
    <row r="3" spans="1:5" ht="14.4">
      <c r="A3" s="527" t="s">
        <v>2330</v>
      </c>
      <c r="B3" s="291">
        <f>ROUND(SUM(未实现售后回租损益明细表!G:G),2)</f>
        <v>0</v>
      </c>
      <c r="C3" s="291">
        <f>ROUND(SUM(未实现售后回租损益明细表!H:I),2)</f>
        <v>0</v>
      </c>
      <c r="D3" s="291">
        <f>ROUND(SUM(未实现售后回租损益明细表!J:K),2)</f>
        <v>0</v>
      </c>
      <c r="E3" s="291">
        <f>ROUND(B3+C3-D3,2)</f>
        <v>0</v>
      </c>
    </row>
    <row r="4" spans="1:5" ht="14.4">
      <c r="A4" s="527" t="s">
        <v>202</v>
      </c>
      <c r="B4" s="265"/>
      <c r="C4" s="265"/>
      <c r="D4" s="265"/>
      <c r="E4" s="265"/>
    </row>
    <row r="5" spans="1:5" ht="14.4">
      <c r="A5" s="35" t="s">
        <v>204</v>
      </c>
      <c r="B5" s="157">
        <f>ROUND(SUM(B2:B4),2)</f>
        <v>0</v>
      </c>
      <c r="C5" s="157">
        <f>ROUND(SUM(C2:C4),2)</f>
        <v>0</v>
      </c>
      <c r="D5" s="157">
        <f>ROUND(SUM(D2:D4),2)</f>
        <v>0</v>
      </c>
      <c r="E5" s="157">
        <f>ROUND(SUM(E2:E4),2)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codeName="Sheet301">
    <tabColor rgb="FFFFC000"/>
  </sheetPr>
  <dimension ref="A1:H6"/>
  <sheetViews>
    <sheetView workbookViewId="0">
      <selection activeCell="I26" sqref="I26"/>
    </sheetView>
  </sheetViews>
  <sheetFormatPr defaultRowHeight="13.8"/>
  <cols>
    <col min="1" max="16384" width="8.88671875" style="18"/>
  </cols>
  <sheetData>
    <row r="1" spans="1:8" ht="43.2">
      <c r="A1" s="20" t="s">
        <v>627</v>
      </c>
      <c r="B1" s="20" t="s">
        <v>200</v>
      </c>
      <c r="C1" s="20" t="s">
        <v>628</v>
      </c>
      <c r="D1" s="20" t="s">
        <v>629</v>
      </c>
      <c r="E1" s="20" t="s">
        <v>630</v>
      </c>
      <c r="F1" s="20" t="s">
        <v>333</v>
      </c>
      <c r="G1" s="20" t="s">
        <v>199</v>
      </c>
      <c r="H1" s="20" t="s">
        <v>631</v>
      </c>
    </row>
    <row r="2" spans="1:8">
      <c r="A2" s="605">
        <f>递延收益明细表!B2</f>
        <v>0</v>
      </c>
      <c r="B2" s="605">
        <f>递延收益明细表!F2</f>
        <v>0</v>
      </c>
      <c r="C2" s="605">
        <f>递延收益明细表!G2</f>
        <v>0</v>
      </c>
      <c r="D2" s="605">
        <f>递延收益明细表!H2</f>
        <v>0</v>
      </c>
      <c r="E2" s="605">
        <f>递延收益明细表!I2</f>
        <v>0</v>
      </c>
      <c r="F2" s="605">
        <f>递延收益明细表!J2</f>
        <v>0</v>
      </c>
      <c r="G2" s="605">
        <f>B2+C2-D2-E2+F2</f>
        <v>0</v>
      </c>
      <c r="H2" s="560"/>
    </row>
    <row r="3" spans="1:8">
      <c r="A3" s="605">
        <f>递延收益明细表!B3</f>
        <v>0</v>
      </c>
      <c r="B3" s="605">
        <f>递延收益明细表!F3</f>
        <v>0</v>
      </c>
      <c r="C3" s="605">
        <f>递延收益明细表!G3</f>
        <v>0</v>
      </c>
      <c r="D3" s="605">
        <f>递延收益明细表!H3</f>
        <v>0</v>
      </c>
      <c r="E3" s="605">
        <f>递延收益明细表!I3</f>
        <v>0</v>
      </c>
      <c r="F3" s="605">
        <f>递延收益明细表!J3</f>
        <v>0</v>
      </c>
      <c r="G3" s="605">
        <f t="shared" ref="G3:G5" si="0">B3+C3-D3-E3+F3</f>
        <v>0</v>
      </c>
      <c r="H3" s="560"/>
    </row>
    <row r="4" spans="1:8">
      <c r="A4" s="605">
        <f>递延收益明细表!B4</f>
        <v>0</v>
      </c>
      <c r="B4" s="605">
        <f>递延收益明细表!F4</f>
        <v>0</v>
      </c>
      <c r="C4" s="605">
        <f>递延收益明细表!G4</f>
        <v>0</v>
      </c>
      <c r="D4" s="605">
        <f>递延收益明细表!H4</f>
        <v>0</v>
      </c>
      <c r="E4" s="605">
        <f>递延收益明细表!I4</f>
        <v>0</v>
      </c>
      <c r="F4" s="605">
        <f>递延收益明细表!J4</f>
        <v>0</v>
      </c>
      <c r="G4" s="605">
        <f t="shared" si="0"/>
        <v>0</v>
      </c>
      <c r="H4" s="560"/>
    </row>
    <row r="5" spans="1:8">
      <c r="A5" s="605"/>
      <c r="B5" s="605"/>
      <c r="C5" s="605"/>
      <c r="D5" s="605"/>
      <c r="E5" s="605"/>
      <c r="F5" s="605"/>
      <c r="G5" s="605">
        <f t="shared" si="0"/>
        <v>0</v>
      </c>
      <c r="H5" s="602"/>
    </row>
    <row r="6" spans="1:8" ht="14.4">
      <c r="A6" s="307" t="s">
        <v>204</v>
      </c>
      <c r="B6" s="605">
        <f>SUM(B2:B5)</f>
        <v>0</v>
      </c>
      <c r="C6" s="605">
        <f t="shared" ref="C6:G6" si="1">SUM(C2:C5)</f>
        <v>0</v>
      </c>
      <c r="D6" s="605">
        <f t="shared" si="1"/>
        <v>0</v>
      </c>
      <c r="E6" s="605">
        <f t="shared" si="1"/>
        <v>0</v>
      </c>
      <c r="F6" s="605">
        <f t="shared" si="1"/>
        <v>0</v>
      </c>
      <c r="G6" s="605">
        <f t="shared" si="1"/>
        <v>0</v>
      </c>
      <c r="H6" s="242"/>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sheetPr codeName="Sheet302"/>
  <dimension ref="A1:M35"/>
  <sheetViews>
    <sheetView workbookViewId="0">
      <selection activeCell="A5" sqref="A5"/>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2427</v>
      </c>
      <c r="B1" t="s">
        <v>627</v>
      </c>
      <c r="C1" t="s">
        <v>4725</v>
      </c>
      <c r="D1" t="s">
        <v>4726</v>
      </c>
      <c r="E1" t="s">
        <v>4727</v>
      </c>
      <c r="F1" t="s">
        <v>285</v>
      </c>
      <c r="G1" t="s">
        <v>628</v>
      </c>
      <c r="H1" t="s">
        <v>629</v>
      </c>
      <c r="I1" t="s">
        <v>630</v>
      </c>
      <c r="J1" t="s">
        <v>333</v>
      </c>
      <c r="K1" t="s">
        <v>203</v>
      </c>
      <c r="L1" t="s">
        <v>4723</v>
      </c>
      <c r="M1" t="s">
        <v>4724</v>
      </c>
    </row>
    <row r="2" spans="1:13">
      <c r="A2" t="str">
        <f>IF(OR(F2&gt;0,K2&gt;0),基础信息!$B$1,"")</f>
        <v/>
      </c>
      <c r="B2" s="256"/>
      <c r="C2" s="256"/>
      <c r="D2" s="256"/>
      <c r="E2" s="256"/>
      <c r="F2" s="256"/>
      <c r="G2" s="256"/>
      <c r="H2" s="256"/>
      <c r="I2" s="256"/>
      <c r="J2" s="256"/>
      <c r="K2" s="230">
        <f>F2+G2-H2-I2+J2</f>
        <v>0</v>
      </c>
      <c r="L2" s="560"/>
    </row>
    <row r="3" spans="1:13">
      <c r="A3" t="str">
        <f>IF(OR(F3&gt;0,K3&gt;0),基础信息!$B$1,"")</f>
        <v/>
      </c>
      <c r="B3" s="256"/>
      <c r="C3" s="256"/>
      <c r="D3" s="256"/>
      <c r="E3" s="256"/>
      <c r="F3" s="256"/>
      <c r="G3" s="256"/>
      <c r="H3" s="256"/>
      <c r="I3" s="256"/>
      <c r="J3" s="256"/>
      <c r="K3" s="230">
        <f t="shared" ref="K3:K12" si="0">F3+G3-H3-I3+J3</f>
        <v>0</v>
      </c>
      <c r="L3" s="560"/>
    </row>
    <row r="4" spans="1:13">
      <c r="A4" t="str">
        <f>IF(OR(F4&gt;0,K4&gt;0),基础信息!$B$1,"")</f>
        <v/>
      </c>
      <c r="B4" s="256"/>
      <c r="C4" s="256"/>
      <c r="D4" s="256"/>
      <c r="E4" s="256"/>
      <c r="F4" s="256"/>
      <c r="G4" s="256"/>
      <c r="H4" s="256"/>
      <c r="I4" s="256"/>
      <c r="J4" s="256"/>
      <c r="K4" s="230">
        <f t="shared" si="0"/>
        <v>0</v>
      </c>
      <c r="L4" s="560"/>
    </row>
    <row r="5" spans="1:13">
      <c r="A5" t="str">
        <f>IF(OR(F5&gt;0,K5&gt;0),基础信息!$B$1,"")</f>
        <v/>
      </c>
      <c r="B5" s="256"/>
      <c r="C5" s="256"/>
      <c r="D5" s="256"/>
      <c r="E5" s="256"/>
      <c r="F5" s="256"/>
      <c r="G5" s="256"/>
      <c r="H5" s="256"/>
      <c r="I5" s="256"/>
      <c r="J5" s="256"/>
      <c r="K5" s="230">
        <f t="shared" si="0"/>
        <v>0</v>
      </c>
      <c r="L5" s="560"/>
    </row>
    <row r="6" spans="1:13">
      <c r="A6" t="str">
        <f>IF(OR(F6&gt;0,K6&gt;0),基础信息!$B$1,"")</f>
        <v/>
      </c>
      <c r="B6" s="256"/>
      <c r="C6" s="256"/>
      <c r="D6" s="256"/>
      <c r="E6" s="256"/>
      <c r="F6" s="256"/>
      <c r="G6" s="256"/>
      <c r="H6" s="256"/>
      <c r="I6" s="256"/>
      <c r="J6" s="256"/>
      <c r="K6" s="230">
        <f t="shared" si="0"/>
        <v>0</v>
      </c>
      <c r="L6" s="560"/>
    </row>
    <row r="7" spans="1:13">
      <c r="A7" t="str">
        <f>IF(OR(F7&gt;0,K7&gt;0),基础信息!$B$1,"")</f>
        <v/>
      </c>
      <c r="B7" s="256"/>
      <c r="C7" s="256"/>
      <c r="D7" s="256"/>
      <c r="E7" s="256"/>
      <c r="F7" s="256"/>
      <c r="G7" s="256"/>
      <c r="H7" s="256"/>
      <c r="I7" s="256"/>
      <c r="J7" s="256"/>
      <c r="K7" s="230">
        <f t="shared" si="0"/>
        <v>0</v>
      </c>
      <c r="L7" s="560"/>
    </row>
    <row r="8" spans="1:13">
      <c r="A8" t="str">
        <f>IF(OR(F8&gt;0,K8&gt;0),基础信息!$B$1,"")</f>
        <v/>
      </c>
      <c r="B8" s="256"/>
      <c r="C8" s="256"/>
      <c r="D8" s="256"/>
      <c r="E8" s="256"/>
      <c r="F8" s="256"/>
      <c r="G8" s="256"/>
      <c r="H8" s="256"/>
      <c r="I8" s="256"/>
      <c r="J8" s="256"/>
      <c r="K8" s="230">
        <f t="shared" si="0"/>
        <v>0</v>
      </c>
      <c r="L8" s="560"/>
    </row>
    <row r="9" spans="1:13">
      <c r="A9" t="str">
        <f>IF(OR(F9&gt;0,K9&gt;0),基础信息!$B$1,"")</f>
        <v/>
      </c>
      <c r="B9" s="256"/>
      <c r="C9" s="256"/>
      <c r="D9" s="256"/>
      <c r="E9" s="256"/>
      <c r="F9" s="256"/>
      <c r="G9" s="256"/>
      <c r="H9" s="256"/>
      <c r="I9" s="256"/>
      <c r="J9" s="256"/>
      <c r="K9" s="230">
        <f t="shared" si="0"/>
        <v>0</v>
      </c>
      <c r="L9" s="560"/>
    </row>
    <row r="10" spans="1:13">
      <c r="A10" t="str">
        <f>IF(OR(F10&gt;0,K10&gt;0),基础信息!$B$1,"")</f>
        <v/>
      </c>
      <c r="B10" s="256"/>
      <c r="C10" s="256"/>
      <c r="D10" s="256"/>
      <c r="E10" s="256"/>
      <c r="F10" s="256"/>
      <c r="G10" s="256"/>
      <c r="H10" s="256"/>
      <c r="I10" s="256"/>
      <c r="J10" s="256"/>
      <c r="K10" s="230">
        <f t="shared" si="0"/>
        <v>0</v>
      </c>
      <c r="L10" s="560"/>
    </row>
    <row r="11" spans="1:13">
      <c r="A11" t="str">
        <f>IF(OR(F11&gt;0,K11&gt;0),基础信息!$B$1,"")</f>
        <v/>
      </c>
      <c r="B11" s="256"/>
      <c r="C11" s="256"/>
      <c r="D11" s="256"/>
      <c r="E11" s="256"/>
      <c r="F11" s="256"/>
      <c r="G11" s="256"/>
      <c r="H11" s="256"/>
      <c r="I11" s="256"/>
      <c r="J11" s="256"/>
      <c r="K11" s="230">
        <f t="shared" si="0"/>
        <v>0</v>
      </c>
      <c r="L11" s="560"/>
    </row>
    <row r="12" spans="1:13">
      <c r="A12" t="str">
        <f>IF(OR(F12&gt;0,K12&gt;0),基础信息!$B$1,"")</f>
        <v/>
      </c>
      <c r="B12" s="256"/>
      <c r="C12" s="256"/>
      <c r="D12" s="256"/>
      <c r="E12" s="256"/>
      <c r="F12" s="256"/>
      <c r="G12" s="256"/>
      <c r="H12" s="256"/>
      <c r="I12" s="256"/>
      <c r="J12" s="256"/>
      <c r="K12" s="230">
        <f t="shared" si="0"/>
        <v>0</v>
      </c>
      <c r="L12" s="560"/>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sheetPr codeName="Sheet303"/>
  <dimension ref="A1:L1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13.88671875" bestFit="1" customWidth="1"/>
    <col min="2" max="2" width="13.88671875" customWidth="1"/>
    <col min="3" max="3" width="14.77734375" bestFit="1" customWidth="1"/>
    <col min="4" max="4" width="10.6640625" style="230" bestFit="1" customWidth="1"/>
    <col min="5" max="6" width="8.6640625" style="230" bestFit="1" customWidth="1"/>
    <col min="7" max="9" width="10.6640625" style="230" bestFit="1" customWidth="1"/>
    <col min="10" max="10" width="15.109375" style="230" bestFit="1" customWidth="1"/>
    <col min="11" max="12" width="10.6640625" style="230" bestFit="1" customWidth="1"/>
  </cols>
  <sheetData>
    <row r="1" spans="1:12">
      <c r="A1" t="s">
        <v>2427</v>
      </c>
      <c r="B1" t="s">
        <v>4397</v>
      </c>
      <c r="C1" t="s">
        <v>95</v>
      </c>
      <c r="D1" s="230" t="s">
        <v>4687</v>
      </c>
      <c r="E1" s="230" t="s">
        <v>4689</v>
      </c>
      <c r="F1" s="230" t="s">
        <v>4690</v>
      </c>
      <c r="G1" s="230" t="s">
        <v>260</v>
      </c>
      <c r="H1" s="230" t="s">
        <v>4729</v>
      </c>
      <c r="I1" s="230" t="s">
        <v>4693</v>
      </c>
      <c r="J1" s="230" t="s">
        <v>4728</v>
      </c>
      <c r="K1" s="230" t="s">
        <v>390</v>
      </c>
      <c r="L1" s="230" t="s">
        <v>422</v>
      </c>
    </row>
    <row r="2" spans="1:12">
      <c r="A2" t="str">
        <f>IF(OR(G2&gt;0,L2&gt;0),基础信息!$B$1,"")</f>
        <v/>
      </c>
      <c r="B2" s="256"/>
      <c r="C2" s="256"/>
      <c r="D2" s="290"/>
      <c r="E2" s="290"/>
      <c r="F2" s="290"/>
      <c r="G2" s="290"/>
      <c r="H2" s="290"/>
      <c r="I2" s="290"/>
      <c r="J2" s="290"/>
      <c r="K2" s="290"/>
      <c r="L2" s="230">
        <f>G2+H2+I2-J2-K2</f>
        <v>0</v>
      </c>
    </row>
    <row r="3" spans="1:12">
      <c r="A3" t="str">
        <f>IF(OR(G3&gt;0,L3&gt;0),基础信息!$B$1,"")</f>
        <v/>
      </c>
      <c r="B3" s="256"/>
      <c r="C3" s="256"/>
      <c r="D3" s="290"/>
      <c r="E3" s="290"/>
      <c r="F3" s="290"/>
      <c r="G3" s="290"/>
      <c r="H3" s="290"/>
      <c r="I3" s="290"/>
      <c r="J3" s="290"/>
      <c r="K3" s="290"/>
      <c r="L3" s="230">
        <f>G3+H3+I3-J3-K3</f>
        <v>0</v>
      </c>
    </row>
    <row r="4" spans="1:12">
      <c r="A4" t="str">
        <f>IF(OR(G4&gt;0,L4&gt;0),基础信息!$B$1,"")</f>
        <v/>
      </c>
      <c r="B4" s="256"/>
      <c r="C4" s="256"/>
      <c r="D4" s="290"/>
      <c r="E4" s="290"/>
      <c r="F4" s="290"/>
      <c r="G4" s="290"/>
      <c r="H4" s="290"/>
      <c r="I4" s="290"/>
      <c r="J4" s="290"/>
      <c r="K4" s="290"/>
      <c r="L4" s="230">
        <f t="shared" ref="L4:L10" si="0">G4+H4+I4-J4-K4</f>
        <v>0</v>
      </c>
    </row>
    <row r="5" spans="1:12">
      <c r="A5" t="str">
        <f>IF(OR(G5&gt;0,L5&gt;0),基础信息!$B$1,"")</f>
        <v/>
      </c>
      <c r="B5" s="256"/>
      <c r="C5" s="256"/>
      <c r="D5" s="290"/>
      <c r="E5" s="290"/>
      <c r="F5" s="290"/>
      <c r="G5" s="290"/>
      <c r="H5" s="290"/>
      <c r="I5" s="290"/>
      <c r="J5" s="290"/>
      <c r="K5" s="290"/>
      <c r="L5" s="230">
        <f t="shared" si="0"/>
        <v>0</v>
      </c>
    </row>
    <row r="6" spans="1:12">
      <c r="A6" t="str">
        <f>IF(OR(G6&gt;0,L6&gt;0),基础信息!$B$1,"")</f>
        <v/>
      </c>
      <c r="B6" s="256"/>
      <c r="C6" s="256"/>
      <c r="D6" s="290"/>
      <c r="E6" s="290"/>
      <c r="F6" s="290"/>
      <c r="G6" s="290"/>
      <c r="H6" s="290"/>
      <c r="I6" s="290"/>
      <c r="J6" s="290"/>
      <c r="K6" s="290"/>
      <c r="L6" s="230">
        <f t="shared" si="0"/>
        <v>0</v>
      </c>
    </row>
    <row r="7" spans="1:12">
      <c r="A7" t="str">
        <f>IF(OR(G7&gt;0,L7&gt;0),基础信息!$B$1,"")</f>
        <v/>
      </c>
      <c r="B7" s="256"/>
      <c r="C7" s="256"/>
      <c r="D7" s="290"/>
      <c r="E7" s="290"/>
      <c r="F7" s="290"/>
      <c r="G7" s="290"/>
      <c r="H7" s="290"/>
      <c r="I7" s="290"/>
      <c r="J7" s="290"/>
      <c r="K7" s="290"/>
      <c r="L7" s="230">
        <f t="shared" si="0"/>
        <v>0</v>
      </c>
    </row>
    <row r="8" spans="1:12">
      <c r="A8" t="str">
        <f>IF(OR(G8&gt;0,L8&gt;0),基础信息!$B$1,"")</f>
        <v/>
      </c>
      <c r="B8" s="256"/>
      <c r="C8" s="256"/>
      <c r="D8" s="290"/>
      <c r="E8" s="290"/>
      <c r="F8" s="290"/>
      <c r="G8" s="290"/>
      <c r="H8" s="290"/>
      <c r="I8" s="290"/>
      <c r="J8" s="290"/>
      <c r="K8" s="290"/>
      <c r="L8" s="230">
        <f t="shared" si="0"/>
        <v>0</v>
      </c>
    </row>
    <row r="9" spans="1:12">
      <c r="A9" t="str">
        <f>IF(OR(G9&gt;0,L9&gt;0),基础信息!$B$1,"")</f>
        <v/>
      </c>
      <c r="B9" s="256"/>
      <c r="C9" s="256"/>
      <c r="D9" s="290"/>
      <c r="E9" s="290"/>
      <c r="F9" s="290"/>
      <c r="G9" s="290"/>
      <c r="H9" s="290"/>
      <c r="I9" s="290"/>
      <c r="J9" s="290"/>
      <c r="K9" s="290"/>
      <c r="L9" s="230">
        <f t="shared" si="0"/>
        <v>0</v>
      </c>
    </row>
    <row r="10" spans="1:12">
      <c r="A10" t="str">
        <f>IF(OR(G10&gt;0,L10&gt;0),基础信息!$B$1,"")</f>
        <v/>
      </c>
      <c r="B10" s="256"/>
      <c r="C10" s="256"/>
      <c r="D10" s="290"/>
      <c r="E10" s="290"/>
      <c r="F10" s="290"/>
      <c r="G10" s="290"/>
      <c r="H10" s="290"/>
      <c r="I10" s="290"/>
      <c r="J10" s="290"/>
      <c r="K10" s="290"/>
      <c r="L10" s="230">
        <f t="shared" si="0"/>
        <v>0</v>
      </c>
    </row>
    <row r="11" spans="1:12">
      <c r="A11" t="str">
        <f>IF(OR(G11&gt;0,L11&gt;0),基础信息!$B$1,"")</f>
        <v/>
      </c>
      <c r="B11" s="256"/>
      <c r="C11" s="256"/>
      <c r="D11" s="290"/>
      <c r="E11" s="290"/>
      <c r="F11" s="290"/>
      <c r="G11" s="290"/>
      <c r="H11" s="290"/>
      <c r="I11" s="290"/>
      <c r="J11" s="290"/>
      <c r="K11" s="290"/>
    </row>
  </sheetData>
  <phoneticPr fontId="1"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codeName="Sheet304">
    <tabColor rgb="FFFFC000"/>
  </sheetPr>
  <dimension ref="A1:C5"/>
  <sheetViews>
    <sheetView workbookViewId="0">
      <selection activeCell="H15" sqref="H15"/>
    </sheetView>
  </sheetViews>
  <sheetFormatPr defaultRowHeight="13.8"/>
  <cols>
    <col min="1" max="16384" width="8.88671875" style="18"/>
  </cols>
  <sheetData>
    <row r="1" spans="1:3" ht="14.4">
      <c r="A1" s="31" t="s">
        <v>28</v>
      </c>
      <c r="B1" s="20" t="s">
        <v>203</v>
      </c>
      <c r="C1" s="20" t="s">
        <v>285</v>
      </c>
    </row>
    <row r="2" spans="1:3" ht="14.4">
      <c r="A2" s="308"/>
      <c r="B2" s="281"/>
      <c r="C2" s="281"/>
    </row>
    <row r="3" spans="1:3" ht="14.4">
      <c r="A3" s="308"/>
      <c r="B3" s="281"/>
      <c r="C3" s="281"/>
    </row>
    <row r="4" spans="1:3" ht="14.4">
      <c r="A4" s="308"/>
      <c r="B4" s="281"/>
      <c r="C4" s="281"/>
    </row>
    <row r="5" spans="1:3" ht="14.4">
      <c r="A5" s="31" t="s">
        <v>204</v>
      </c>
      <c r="B5" s="21">
        <f>ROUND(SUM(B2:B4),2)</f>
        <v>0</v>
      </c>
      <c r="C5" s="21">
        <f>ROUND(SUM(C2:C4),2)</f>
        <v>0</v>
      </c>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codeName="Sheet305">
    <tabColor rgb="FFFFC000"/>
  </sheetPr>
  <dimension ref="A1:G7"/>
  <sheetViews>
    <sheetView workbookViewId="0">
      <selection activeCell="F15" sqref="F15"/>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632</v>
      </c>
      <c r="B1" s="40" t="s">
        <v>635</v>
      </c>
      <c r="C1" s="40" t="s">
        <v>636</v>
      </c>
      <c r="D1" s="40" t="s">
        <v>373</v>
      </c>
      <c r="E1" s="40" t="s">
        <v>366</v>
      </c>
      <c r="F1" s="40" t="s">
        <v>637</v>
      </c>
      <c r="G1" s="40" t="s">
        <v>638</v>
      </c>
    </row>
    <row r="2" spans="1:7" ht="14.4">
      <c r="A2" s="616"/>
      <c r="B2" s="570"/>
      <c r="C2" s="570" t="e">
        <f>B2/$B$6*100</f>
        <v>#DIV/0!</v>
      </c>
      <c r="D2" s="616"/>
      <c r="E2" s="616"/>
      <c r="F2" s="570">
        <f>ROUND(B2+D2-E2,2)</f>
        <v>0</v>
      </c>
      <c r="G2" s="570" t="e">
        <f>F2/$F$6*100</f>
        <v>#DIV/0!</v>
      </c>
    </row>
    <row r="3" spans="1:7" ht="14.4">
      <c r="A3" s="570"/>
      <c r="B3" s="265"/>
      <c r="C3" s="570" t="e">
        <f t="shared" ref="C3:C5" si="0">B3/$B$6*100</f>
        <v>#DIV/0!</v>
      </c>
      <c r="D3" s="265"/>
      <c r="E3" s="265"/>
      <c r="F3" s="570">
        <f>ROUND(B3+D3-E3,2)</f>
        <v>0</v>
      </c>
      <c r="G3" s="570" t="e">
        <f t="shared" ref="G3:G5" si="1">F3/$F$6*100</f>
        <v>#DIV/0!</v>
      </c>
    </row>
    <row r="4" spans="1:7" ht="14.4">
      <c r="A4" s="617"/>
      <c r="B4" s="265"/>
      <c r="C4" s="570" t="e">
        <f t="shared" si="0"/>
        <v>#DIV/0!</v>
      </c>
      <c r="D4" s="265"/>
      <c r="E4" s="265"/>
      <c r="F4" s="570">
        <f>ROUND(B4+D4-E4,2)</f>
        <v>0</v>
      </c>
      <c r="G4" s="570" t="e">
        <f t="shared" si="1"/>
        <v>#DIV/0!</v>
      </c>
    </row>
    <row r="5" spans="1:7" ht="14.4">
      <c r="A5" s="617"/>
      <c r="B5" s="265"/>
      <c r="C5" s="570" t="e">
        <f t="shared" si="0"/>
        <v>#DIV/0!</v>
      </c>
      <c r="D5" s="265"/>
      <c r="E5" s="265"/>
      <c r="F5" s="570">
        <f>ROUND(B5+D5-E5,2)</f>
        <v>0</v>
      </c>
      <c r="G5" s="570" t="e">
        <f t="shared" si="1"/>
        <v>#DIV/0!</v>
      </c>
    </row>
    <row r="6" spans="1:7" ht="14.4">
      <c r="A6" s="618" t="s">
        <v>1953</v>
      </c>
      <c r="B6" s="157">
        <f>ROUND(SUM(B2:B5),2)</f>
        <v>0</v>
      </c>
      <c r="C6" s="157"/>
      <c r="D6" s="157">
        <f>ROUND(SUM(D2:D5),2)</f>
        <v>0</v>
      </c>
      <c r="E6" s="157">
        <f>ROUND(SUM(E2:E5),2)</f>
        <v>0</v>
      </c>
      <c r="F6" s="157">
        <f>ROUND(SUM(F2:F5),2)</f>
        <v>0</v>
      </c>
      <c r="G6" s="157"/>
    </row>
    <row r="7" spans="1:7">
      <c r="A7" s="41"/>
      <c r="B7" s="39"/>
      <c r="C7" s="39"/>
      <c r="D7" s="39"/>
      <c r="E7" s="39"/>
      <c r="F7" s="39"/>
      <c r="G7" s="39"/>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codeName="Sheet306">
    <tabColor rgb="FFFFC000"/>
  </sheetPr>
  <dimension ref="A1:H2"/>
  <sheetViews>
    <sheetView workbookViewId="0">
      <selection activeCell="M31" sqref="M3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639</v>
      </c>
      <c r="D1" s="20" t="s">
        <v>633</v>
      </c>
      <c r="E1" s="20" t="s">
        <v>640</v>
      </c>
      <c r="F1" s="20" t="s">
        <v>202</v>
      </c>
      <c r="G1" s="20" t="s">
        <v>578</v>
      </c>
      <c r="H1" s="32" t="s">
        <v>203</v>
      </c>
    </row>
    <row r="2" spans="1:8" ht="14.4">
      <c r="A2" s="19" t="s">
        <v>634</v>
      </c>
      <c r="B2" s="281"/>
      <c r="C2" s="281"/>
      <c r="D2" s="281"/>
      <c r="E2" s="281"/>
      <c r="F2" s="281"/>
      <c r="G2" s="281"/>
      <c r="H2" s="281"/>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codeName="Sheet307">
    <tabColor rgb="FFFFC000"/>
  </sheetPr>
  <dimension ref="A1:I4"/>
  <sheetViews>
    <sheetView workbookViewId="0">
      <selection activeCell="I14" sqref="I14"/>
    </sheetView>
  </sheetViews>
  <sheetFormatPr defaultRowHeight="13.8"/>
  <cols>
    <col min="1" max="16384" width="8.88671875" style="18"/>
  </cols>
  <sheetData>
    <row r="1" spans="1:9" ht="28.8">
      <c r="A1" s="32" t="s">
        <v>28</v>
      </c>
      <c r="B1" s="32" t="s">
        <v>593</v>
      </c>
      <c r="C1" s="32" t="s">
        <v>222</v>
      </c>
      <c r="D1" s="32" t="s">
        <v>590</v>
      </c>
      <c r="E1" s="32" t="s">
        <v>373</v>
      </c>
      <c r="F1" s="32" t="s">
        <v>591</v>
      </c>
      <c r="G1" s="32" t="s">
        <v>366</v>
      </c>
      <c r="H1" s="32" t="s">
        <v>592</v>
      </c>
      <c r="I1" s="32" t="s">
        <v>216</v>
      </c>
    </row>
    <row r="2" spans="1:9" ht="14.4">
      <c r="A2" s="269"/>
      <c r="B2" s="281"/>
      <c r="C2" s="281"/>
      <c r="D2" s="281"/>
      <c r="E2" s="281"/>
      <c r="F2" s="281"/>
      <c r="G2" s="281"/>
      <c r="H2" s="21">
        <f>ROUND(B2+D2-F2,2)</f>
        <v>0</v>
      </c>
      <c r="I2" s="21">
        <f>ROUND(C2+E2-G2,2)</f>
        <v>0</v>
      </c>
    </row>
    <row r="3" spans="1:9" ht="14.4">
      <c r="A3" s="269"/>
      <c r="B3" s="281"/>
      <c r="C3" s="281"/>
      <c r="D3" s="281"/>
      <c r="E3" s="281"/>
      <c r="F3" s="281"/>
      <c r="G3" s="281"/>
      <c r="H3" s="21">
        <f>ROUND(B3+D3-F3,2)</f>
        <v>0</v>
      </c>
      <c r="I3" s="21">
        <f>ROUND(C3+E3-G3,2)</f>
        <v>0</v>
      </c>
    </row>
    <row r="4" spans="1:9" ht="14.4">
      <c r="A4" s="19" t="s">
        <v>204</v>
      </c>
      <c r="B4" s="21">
        <f>ROUND(SUM(B2:B3),2)</f>
        <v>0</v>
      </c>
      <c r="C4" s="21">
        <f>ROUND(SUM(C2:C3),2)</f>
        <v>0</v>
      </c>
      <c r="D4" s="21">
        <f>ROUND(SUM(D2:D3),2)</f>
        <v>0</v>
      </c>
      <c r="E4" s="21">
        <f>ROUND(SUM(E2:E3),2)</f>
        <v>0</v>
      </c>
      <c r="F4" s="21">
        <f>ROUND(SUM(F2:F3),2)</f>
        <v>0</v>
      </c>
      <c r="G4" s="21">
        <f>ROUND(SUM(G2:G3),2)</f>
        <v>0</v>
      </c>
      <c r="H4" s="21">
        <f>ROUND(SUM(H2:H3),2)</f>
        <v>0</v>
      </c>
      <c r="I4" s="21">
        <f>ROUND(SUM(I2:I3),2)</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codeName="Sheet308">
    <tabColor rgb="FFFFC000"/>
  </sheetPr>
  <dimension ref="A1:E4"/>
  <sheetViews>
    <sheetView workbookViewId="0">
      <selection activeCell="H15" sqref="H15"/>
    </sheetView>
  </sheetViews>
  <sheetFormatPr defaultRowHeight="13.8"/>
  <cols>
    <col min="1" max="1" width="13.88671875" style="18" bestFit="1" customWidth="1"/>
    <col min="2" max="16384" width="8.88671875" style="18"/>
  </cols>
  <sheetData>
    <row r="1" spans="1:5" ht="14.4">
      <c r="A1" s="35" t="s">
        <v>28</v>
      </c>
      <c r="B1" s="35" t="s">
        <v>200</v>
      </c>
      <c r="C1" s="35" t="s">
        <v>391</v>
      </c>
      <c r="D1" s="35" t="s">
        <v>509</v>
      </c>
      <c r="E1" s="35" t="s">
        <v>199</v>
      </c>
    </row>
    <row r="2" spans="1:5" ht="14.4">
      <c r="A2" s="38" t="s">
        <v>641</v>
      </c>
      <c r="B2" s="265"/>
      <c r="C2" s="265"/>
      <c r="D2" s="265"/>
      <c r="E2" s="157">
        <f>ROUND(B2+C2-D2,2)</f>
        <v>0</v>
      </c>
    </row>
    <row r="3" spans="1:5" ht="14.4">
      <c r="A3" s="38" t="s">
        <v>642</v>
      </c>
      <c r="B3" s="265"/>
      <c r="C3" s="265"/>
      <c r="D3" s="265"/>
      <c r="E3" s="157">
        <f>ROUND(B3+C3-D3,2)</f>
        <v>0</v>
      </c>
    </row>
    <row r="4" spans="1:5" ht="14.4">
      <c r="A4" s="35" t="s">
        <v>204</v>
      </c>
      <c r="B4" s="157">
        <f>ROUND(SUM(B2:B3),2)</f>
        <v>0</v>
      </c>
      <c r="C4" s="157">
        <f>ROUND(SUM(C2:C3),2)</f>
        <v>0</v>
      </c>
      <c r="D4" s="157">
        <f>ROUND(SUM(D2:D3),2)</f>
        <v>0</v>
      </c>
      <c r="E4" s="157">
        <f>ROUND(SUM(E2:E3),2)</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codeName="Sheet309">
    <tabColor rgb="FFFFC000"/>
  </sheetPr>
  <dimension ref="A1:I14"/>
  <sheetViews>
    <sheetView workbookViewId="0">
      <selection activeCell="H21" sqref="H21"/>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3" t="s">
        <v>200</v>
      </c>
      <c r="C1" s="233" t="s">
        <v>643</v>
      </c>
      <c r="D1" s="233" t="s">
        <v>644</v>
      </c>
      <c r="E1" s="233" t="s">
        <v>645</v>
      </c>
      <c r="F1" s="233" t="s">
        <v>646</v>
      </c>
      <c r="G1" s="233" t="s">
        <v>647</v>
      </c>
      <c r="H1" s="233" t="s">
        <v>648</v>
      </c>
      <c r="I1" s="246" t="s">
        <v>203</v>
      </c>
    </row>
    <row r="2" spans="1:9">
      <c r="A2" s="23" t="s">
        <v>649</v>
      </c>
      <c r="B2" s="234">
        <f>ROUND(SUM(B3:B6),2)</f>
        <v>0</v>
      </c>
      <c r="C2" s="234">
        <f>ROUND(SUM(C3:C6),2)</f>
        <v>0</v>
      </c>
      <c r="D2" s="234">
        <f>ROUND(SUM(D3:D6),2)</f>
        <v>0</v>
      </c>
      <c r="E2" s="234">
        <f>ROUND(SUM(E3:E6),2)</f>
        <v>0</v>
      </c>
      <c r="F2" s="234">
        <f>ROUND(SUM(F3:F6),2)</f>
        <v>0</v>
      </c>
      <c r="G2" s="234">
        <f>ROUND(SUM(G3:G6),2)</f>
        <v>0</v>
      </c>
      <c r="H2" s="234">
        <f>ROUND(SUM(H3:H6),2)</f>
        <v>0</v>
      </c>
      <c r="I2" s="234">
        <f>ROUND(SUM(I3:I6),2)</f>
        <v>0</v>
      </c>
    </row>
    <row r="3" spans="1:9">
      <c r="A3" s="23" t="s">
        <v>650</v>
      </c>
      <c r="B3" s="312"/>
      <c r="C3" s="312"/>
      <c r="D3" s="312"/>
      <c r="E3" s="312"/>
      <c r="F3" s="312"/>
      <c r="G3" s="312"/>
      <c r="H3" s="312"/>
      <c r="I3" s="234">
        <f>ROUND(B3+C3-D3-E3-F3,2)</f>
        <v>0</v>
      </c>
    </row>
    <row r="4" spans="1:9">
      <c r="A4" s="23" t="s">
        <v>651</v>
      </c>
      <c r="B4" s="312"/>
      <c r="C4" s="312"/>
      <c r="D4" s="312"/>
      <c r="E4" s="312"/>
      <c r="F4" s="312"/>
      <c r="G4" s="312"/>
      <c r="H4" s="312"/>
      <c r="I4" s="234">
        <f>ROUND(B4+C4-D4-E4-F4,2)</f>
        <v>0</v>
      </c>
    </row>
    <row r="5" spans="1:9">
      <c r="A5" s="23" t="s">
        <v>652</v>
      </c>
      <c r="B5" s="312"/>
      <c r="C5" s="312"/>
      <c r="D5" s="312"/>
      <c r="E5" s="312"/>
      <c r="F5" s="312"/>
      <c r="G5" s="312"/>
      <c r="H5" s="312"/>
      <c r="I5" s="234">
        <f>ROUND(B5+C5-D5-E5-F5,2)</f>
        <v>0</v>
      </c>
    </row>
    <row r="6" spans="1:9">
      <c r="A6" s="23" t="s">
        <v>653</v>
      </c>
      <c r="B6" s="312"/>
      <c r="C6" s="312"/>
      <c r="D6" s="312"/>
      <c r="E6" s="312"/>
      <c r="F6" s="312"/>
      <c r="G6" s="312"/>
      <c r="H6" s="312"/>
      <c r="I6" s="234">
        <f>ROUND(B6+C6-D6-E6-F6,2)</f>
        <v>0</v>
      </c>
    </row>
    <row r="7" spans="1:9">
      <c r="A7" s="23" t="s">
        <v>654</v>
      </c>
      <c r="B7" s="234">
        <f>ROUND(SUM(B8:B13),2)</f>
        <v>0</v>
      </c>
      <c r="C7" s="234">
        <f>ROUND(SUM(C8:C13),2)</f>
        <v>0</v>
      </c>
      <c r="D7" s="234">
        <f>ROUND(SUM(D8:D13),2)</f>
        <v>0</v>
      </c>
      <c r="E7" s="234">
        <f>ROUND(SUM(E8:E13),2)</f>
        <v>0</v>
      </c>
      <c r="F7" s="234">
        <f>ROUND(SUM(F8:F13),2)</f>
        <v>0</v>
      </c>
      <c r="G7" s="234">
        <f>ROUND(SUM(G8:G13),2)</f>
        <v>0</v>
      </c>
      <c r="H7" s="234">
        <f>ROUND(SUM(H8:H13),2)</f>
        <v>0</v>
      </c>
      <c r="I7" s="234">
        <f>ROUND(SUM(I8:I13),2)</f>
        <v>0</v>
      </c>
    </row>
    <row r="8" spans="1:9">
      <c r="A8" s="23" t="s">
        <v>655</v>
      </c>
      <c r="B8" s="312"/>
      <c r="C8" s="312"/>
      <c r="D8" s="312"/>
      <c r="E8" s="312"/>
      <c r="F8" s="312"/>
      <c r="G8" s="312"/>
      <c r="H8" s="312"/>
      <c r="I8" s="234">
        <f>ROUND(B8+C8-D8-E8-F8,2)</f>
        <v>0</v>
      </c>
    </row>
    <row r="9" spans="1:9">
      <c r="A9" s="23" t="s">
        <v>516</v>
      </c>
      <c r="B9" s="312"/>
      <c r="C9" s="312"/>
      <c r="D9" s="312"/>
      <c r="E9" s="312"/>
      <c r="F9" s="312"/>
      <c r="G9" s="312"/>
      <c r="H9" s="312"/>
      <c r="I9" s="234">
        <f>ROUND(B9+C9-D9-E9-F9,2)</f>
        <v>0</v>
      </c>
    </row>
    <row r="10" spans="1:9">
      <c r="A10" s="23" t="s">
        <v>656</v>
      </c>
      <c r="B10" s="312"/>
      <c r="C10" s="312"/>
      <c r="D10" s="312"/>
      <c r="E10" s="312"/>
      <c r="F10" s="312"/>
      <c r="G10" s="312"/>
      <c r="H10" s="312"/>
      <c r="I10" s="234">
        <f>ROUND(B10+C10-D10-E10-F10,2)</f>
        <v>0</v>
      </c>
    </row>
    <row r="11" spans="1:9">
      <c r="A11" s="23" t="s">
        <v>657</v>
      </c>
      <c r="B11" s="312"/>
      <c r="C11" s="312"/>
      <c r="D11" s="312"/>
      <c r="E11" s="312"/>
      <c r="F11" s="312"/>
      <c r="G11" s="312"/>
      <c r="H11" s="312"/>
      <c r="I11" s="234">
        <f>ROUND(B11+C11-D11-E11-F11,2)</f>
        <v>0</v>
      </c>
    </row>
    <row r="12" spans="1:9">
      <c r="A12" s="23" t="s">
        <v>658</v>
      </c>
      <c r="B12" s="312"/>
      <c r="C12" s="312"/>
      <c r="D12" s="312"/>
      <c r="E12" s="312"/>
      <c r="F12" s="312"/>
      <c r="G12" s="312"/>
      <c r="H12" s="312"/>
      <c r="I12" s="234">
        <f>ROUND(B12+C12-D12-E12-F12,2)</f>
        <v>0</v>
      </c>
    </row>
    <row r="13" spans="1:9">
      <c r="A13" s="23" t="s">
        <v>659</v>
      </c>
      <c r="B13" s="312"/>
      <c r="C13" s="312"/>
      <c r="D13" s="312"/>
      <c r="E13" s="312"/>
      <c r="F13" s="312"/>
      <c r="G13" s="312"/>
      <c r="H13" s="312"/>
      <c r="I13" s="234">
        <f>ROUND(B13+C13-D13-E13-F13,2)</f>
        <v>0</v>
      </c>
    </row>
    <row r="14" spans="1:9">
      <c r="A14" s="23" t="s">
        <v>660</v>
      </c>
      <c r="B14" s="234">
        <f>ROUND(B2+B7,2)</f>
        <v>0</v>
      </c>
      <c r="C14" s="234">
        <f>ROUND(C2+C7,2)</f>
        <v>0</v>
      </c>
      <c r="D14" s="234">
        <f>ROUND(D2+D7,2)</f>
        <v>0</v>
      </c>
      <c r="E14" s="234">
        <f>ROUND(E2+E7,2)</f>
        <v>0</v>
      </c>
      <c r="F14" s="234">
        <f>ROUND(F2+F7,2)</f>
        <v>0</v>
      </c>
      <c r="G14" s="234">
        <f>ROUND(G2+G7,2)</f>
        <v>0</v>
      </c>
      <c r="H14" s="234">
        <f>ROUND(H2+H7,2)</f>
        <v>0</v>
      </c>
      <c r="I14" s="234">
        <f>ROUND(I2+I7,2)</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codeName="Sheet31">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30" bestFit="1" customWidth="1"/>
    <col min="3" max="3" width="14.33203125" style="230" bestFit="1" customWidth="1"/>
    <col min="4" max="6" width="8.21875" style="230" bestFit="1" customWidth="1"/>
    <col min="7" max="7" width="11.109375" style="230" bestFit="1" customWidth="1"/>
    <col min="8" max="8" width="8.21875" style="230" bestFit="1" customWidth="1"/>
    <col min="9" max="9" width="8.21875" style="260" bestFit="1" customWidth="1"/>
    <col min="10" max="11" width="8.21875" style="230" bestFit="1" customWidth="1"/>
    <col min="12" max="12" width="14.77734375" style="230" bestFit="1" customWidth="1"/>
    <col min="13" max="13" width="14.33203125" style="230" bestFit="1" customWidth="1"/>
    <col min="14" max="14" width="6.44140625" bestFit="1" customWidth="1"/>
  </cols>
  <sheetData>
    <row r="1" spans="1:14" ht="36">
      <c r="A1" s="399" t="s">
        <v>2897</v>
      </c>
      <c r="B1" s="400" t="s">
        <v>2898</v>
      </c>
      <c r="C1" s="401" t="s">
        <v>2900</v>
      </c>
      <c r="D1" s="401" t="s">
        <v>2901</v>
      </c>
      <c r="E1" s="401" t="s">
        <v>2902</v>
      </c>
      <c r="F1" s="400" t="s">
        <v>2920</v>
      </c>
      <c r="G1" s="401" t="s">
        <v>2903</v>
      </c>
      <c r="H1" s="401" t="s">
        <v>2904</v>
      </c>
      <c r="I1" s="402" t="s">
        <v>2905</v>
      </c>
      <c r="J1" s="401" t="s">
        <v>2906</v>
      </c>
      <c r="K1" s="400" t="s">
        <v>2921</v>
      </c>
      <c r="L1" s="400" t="s">
        <v>2899</v>
      </c>
      <c r="M1" s="402" t="s">
        <v>2933</v>
      </c>
      <c r="N1" s="415" t="s">
        <v>2391</v>
      </c>
    </row>
    <row r="2" spans="1:14">
      <c r="A2" s="391" t="s">
        <v>1189</v>
      </c>
      <c r="B2" s="394">
        <f>SUM(B3:B13)</f>
        <v>32762887</v>
      </c>
      <c r="C2" s="394">
        <f t="shared" ref="C2:E2" si="0">SUM(C3:C13)</f>
        <v>0</v>
      </c>
      <c r="D2" s="394">
        <f t="shared" si="0"/>
        <v>0</v>
      </c>
      <c r="E2" s="394">
        <f t="shared" si="0"/>
        <v>0</v>
      </c>
      <c r="F2" s="393">
        <f>SUM(C2:E2)</f>
        <v>0</v>
      </c>
      <c r="G2" s="406"/>
      <c r="H2" s="406"/>
      <c r="I2" s="410"/>
      <c r="J2" s="406"/>
      <c r="K2" s="393">
        <f>SUM(G2:J2)</f>
        <v>0</v>
      </c>
      <c r="L2" s="394">
        <f>B2+F2-K2</f>
        <v>32762887</v>
      </c>
      <c r="N2" s="413"/>
    </row>
    <row r="3" spans="1:14">
      <c r="A3" s="392" t="s">
        <v>2907</v>
      </c>
      <c r="B3" s="395">
        <f>上期TB!H13</f>
        <v>0</v>
      </c>
      <c r="C3" s="404"/>
      <c r="D3" s="409"/>
      <c r="E3" s="404"/>
      <c r="F3" s="396">
        <f>SUM(C3:E3)</f>
        <v>0</v>
      </c>
      <c r="G3" s="404"/>
      <c r="H3" s="404"/>
      <c r="I3" s="409"/>
      <c r="J3" s="404"/>
      <c r="K3" s="396">
        <f>SUM(G3:J3)</f>
        <v>0</v>
      </c>
      <c r="L3" s="396">
        <f>B3+F3-K3</f>
        <v>0</v>
      </c>
      <c r="M3" s="230">
        <f>本期TB!H13</f>
        <v>0</v>
      </c>
      <c r="N3" s="416">
        <f>L3-M3</f>
        <v>0</v>
      </c>
    </row>
    <row r="4" spans="1:14" s="257" customFormat="1">
      <c r="A4" s="412" t="s">
        <v>2908</v>
      </c>
      <c r="B4" s="409">
        <f>上期TB!H16</f>
        <v>32762887</v>
      </c>
      <c r="C4" s="408">
        <f>SUM(应收账款明细表!P:P)</f>
        <v>0</v>
      </c>
      <c r="D4" s="408"/>
      <c r="E4" s="408"/>
      <c r="F4" s="411">
        <f>SUM(C4:E4)</f>
        <v>0</v>
      </c>
      <c r="G4" s="409">
        <f>SUM(应收账款明细表!Q:Q)</f>
        <v>0</v>
      </c>
      <c r="H4" s="409">
        <f>SUM(应收账款明细表!R:R)</f>
        <v>0</v>
      </c>
      <c r="I4" s="409"/>
      <c r="J4" s="409"/>
      <c r="K4" s="411">
        <f>SUM(G4:J4)</f>
        <v>0</v>
      </c>
      <c r="L4" s="411">
        <f>B4+F4-K4</f>
        <v>32762887</v>
      </c>
      <c r="M4" s="260">
        <f>本期TB!H16</f>
        <v>32762887</v>
      </c>
      <c r="N4" s="416">
        <f t="shared" ref="N4:N13" si="1">L4-M4</f>
        <v>0</v>
      </c>
    </row>
    <row r="5" spans="1:14">
      <c r="A5" s="392" t="s">
        <v>2910</v>
      </c>
      <c r="B5" s="395">
        <f>上期TB!H24</f>
        <v>0</v>
      </c>
      <c r="C5" s="407"/>
      <c r="D5" s="408"/>
      <c r="E5" s="407"/>
      <c r="F5" s="396">
        <f t="shared" ref="F5:F30" si="2">SUM(C5:E5)</f>
        <v>0</v>
      </c>
      <c r="G5" s="404"/>
      <c r="H5" s="404"/>
      <c r="I5" s="409"/>
      <c r="J5" s="404"/>
      <c r="K5" s="396">
        <f t="shared" ref="K5:K30" si="3">SUM(G5:J5)</f>
        <v>0</v>
      </c>
      <c r="L5" s="396">
        <f t="shared" ref="L5:L30" si="4">B5+F5-K5</f>
        <v>0</v>
      </c>
      <c r="M5" s="230">
        <f>本期TB!H24</f>
        <v>0</v>
      </c>
      <c r="N5" s="416">
        <f t="shared" si="1"/>
        <v>0</v>
      </c>
    </row>
    <row r="6" spans="1:14">
      <c r="A6" s="392" t="s">
        <v>2912</v>
      </c>
      <c r="B6" s="395">
        <f>上期TB!H24</f>
        <v>0</v>
      </c>
      <c r="C6" s="404"/>
      <c r="D6" s="409"/>
      <c r="E6" s="404"/>
      <c r="F6" s="396">
        <f t="shared" si="2"/>
        <v>0</v>
      </c>
      <c r="G6" s="404"/>
      <c r="H6" s="404"/>
      <c r="I6" s="409"/>
      <c r="J6" s="404"/>
      <c r="K6" s="396">
        <f t="shared" si="3"/>
        <v>0</v>
      </c>
      <c r="L6" s="396">
        <f t="shared" si="4"/>
        <v>0</v>
      </c>
      <c r="M6" s="230">
        <f>本期TB!H27</f>
        <v>0</v>
      </c>
      <c r="N6" s="416">
        <f t="shared" si="1"/>
        <v>0</v>
      </c>
    </row>
    <row r="7" spans="1:14">
      <c r="A7" s="392" t="s">
        <v>2913</v>
      </c>
      <c r="B7" s="395">
        <f>上期TB!H30</f>
        <v>0</v>
      </c>
      <c r="C7" s="409">
        <f>SUM(其他应收款明细表!P:P)</f>
        <v>0</v>
      </c>
      <c r="D7" s="409"/>
      <c r="E7" s="409"/>
      <c r="F7" s="411">
        <f t="shared" si="2"/>
        <v>0</v>
      </c>
      <c r="G7" s="409">
        <f>SUM(其他应收款明细表!Q:Q)</f>
        <v>0</v>
      </c>
      <c r="H7" s="409"/>
      <c r="I7" s="409"/>
      <c r="J7" s="409"/>
      <c r="K7" s="411">
        <f t="shared" si="3"/>
        <v>0</v>
      </c>
      <c r="L7" s="411">
        <f t="shared" si="4"/>
        <v>0</v>
      </c>
      <c r="M7" s="230">
        <f>本期TB!H30</f>
        <v>0</v>
      </c>
      <c r="N7" s="416">
        <f t="shared" si="1"/>
        <v>0</v>
      </c>
    </row>
    <row r="8" spans="1:14">
      <c r="A8" s="392" t="s">
        <v>957</v>
      </c>
      <c r="B8" s="395">
        <f>上期TB!H61</f>
        <v>0</v>
      </c>
      <c r="C8" s="409">
        <f>SUM(债权投资减值准备明细表!J:J)</f>
        <v>0</v>
      </c>
      <c r="D8" s="409"/>
      <c r="E8" s="409"/>
      <c r="F8" s="396">
        <f t="shared" si="2"/>
        <v>0</v>
      </c>
      <c r="G8" s="552">
        <f>-SUM(债权投资减值准备明细表!K:L)</f>
        <v>0</v>
      </c>
      <c r="H8" s="409">
        <f>-SUM(债权投资减值准备明细表!M:M)</f>
        <v>0</v>
      </c>
      <c r="I8" s="409"/>
      <c r="J8" s="409"/>
      <c r="K8" s="396">
        <f t="shared" si="3"/>
        <v>0</v>
      </c>
      <c r="L8" s="396">
        <f t="shared" si="4"/>
        <v>0</v>
      </c>
      <c r="M8" s="230">
        <f>本期TB!H61</f>
        <v>0</v>
      </c>
      <c r="N8" s="416">
        <f t="shared" si="1"/>
        <v>0</v>
      </c>
    </row>
    <row r="9" spans="1:14">
      <c r="A9" s="392" t="s">
        <v>964</v>
      </c>
      <c r="B9" s="395">
        <f>上期TB!H65</f>
        <v>0</v>
      </c>
      <c r="C9" s="409">
        <f>SUM(其他债权投资减值准备明细表!J:J)</f>
        <v>0</v>
      </c>
      <c r="D9" s="409"/>
      <c r="E9" s="404"/>
      <c r="F9" s="396">
        <f t="shared" si="2"/>
        <v>0</v>
      </c>
      <c r="G9" s="552">
        <f>-SUM(其他债权投资减值准备明细表!K:L)</f>
        <v>0</v>
      </c>
      <c r="H9" s="409">
        <f>-SUM(其他债权投资减值准备明细表!M:M)</f>
        <v>0</v>
      </c>
      <c r="I9" s="409"/>
      <c r="J9" s="404"/>
      <c r="K9" s="396">
        <f t="shared" si="3"/>
        <v>0</v>
      </c>
      <c r="L9" s="396">
        <f>B9+F9-K9</f>
        <v>0</v>
      </c>
      <c r="M9" s="230">
        <f>本期TB!H65</f>
        <v>0</v>
      </c>
      <c r="N9" s="416">
        <f t="shared" si="1"/>
        <v>0</v>
      </c>
    </row>
    <row r="10" spans="1:14">
      <c r="A10" s="392" t="s">
        <v>2915</v>
      </c>
      <c r="B10" s="395">
        <f>上期TB!H52</f>
        <v>0</v>
      </c>
      <c r="C10" s="404"/>
      <c r="D10" s="409"/>
      <c r="E10" s="404"/>
      <c r="F10" s="396">
        <f t="shared" si="2"/>
        <v>0</v>
      </c>
      <c r="G10" s="405"/>
      <c r="H10" s="404"/>
      <c r="I10" s="409"/>
      <c r="J10" s="404"/>
      <c r="K10" s="396">
        <f t="shared" si="3"/>
        <v>0</v>
      </c>
      <c r="L10" s="396">
        <f t="shared" si="4"/>
        <v>0</v>
      </c>
      <c r="M10" s="230">
        <f>本期TB!H52</f>
        <v>0</v>
      </c>
      <c r="N10" s="416">
        <f t="shared" si="1"/>
        <v>0</v>
      </c>
    </row>
    <row r="11" spans="1:14">
      <c r="A11" s="392" t="s">
        <v>2378</v>
      </c>
      <c r="B11" s="395">
        <f>上期TB!H70</f>
        <v>0</v>
      </c>
      <c r="C11" s="404"/>
      <c r="D11" s="409"/>
      <c r="E11" s="404"/>
      <c r="F11" s="396">
        <f t="shared" si="2"/>
        <v>0</v>
      </c>
      <c r="G11" s="405"/>
      <c r="H11" s="404"/>
      <c r="I11" s="409"/>
      <c r="J11" s="404"/>
      <c r="K11" s="396">
        <f t="shared" si="3"/>
        <v>0</v>
      </c>
      <c r="L11" s="396">
        <f t="shared" si="4"/>
        <v>0</v>
      </c>
      <c r="M11" s="230">
        <f>本期TB!H70</f>
        <v>0</v>
      </c>
      <c r="N11" s="416">
        <f t="shared" si="1"/>
        <v>0</v>
      </c>
    </row>
    <row r="12" spans="1:14">
      <c r="A12" s="392" t="s">
        <v>2917</v>
      </c>
      <c r="B12" s="404"/>
      <c r="C12" s="404"/>
      <c r="D12" s="409"/>
      <c r="E12" s="404"/>
      <c r="F12" s="396">
        <f t="shared" si="2"/>
        <v>0</v>
      </c>
      <c r="G12" s="405"/>
      <c r="H12" s="404"/>
      <c r="I12" s="409"/>
      <c r="J12" s="404"/>
      <c r="K12" s="396">
        <f t="shared" si="3"/>
        <v>0</v>
      </c>
      <c r="L12" s="396">
        <f t="shared" si="4"/>
        <v>0</v>
      </c>
      <c r="M12" s="290"/>
      <c r="N12" s="416">
        <f t="shared" si="1"/>
        <v>0</v>
      </c>
    </row>
    <row r="13" spans="1:14">
      <c r="A13" s="392" t="s">
        <v>2919</v>
      </c>
      <c r="B13" s="404"/>
      <c r="C13" s="404"/>
      <c r="D13" s="409"/>
      <c r="E13" s="404"/>
      <c r="F13" s="396">
        <f t="shared" si="2"/>
        <v>0</v>
      </c>
      <c r="G13" s="405"/>
      <c r="H13" s="404"/>
      <c r="I13" s="409"/>
      <c r="J13" s="404"/>
      <c r="K13" s="396">
        <f t="shared" si="3"/>
        <v>0</v>
      </c>
      <c r="L13" s="396">
        <f t="shared" si="4"/>
        <v>0</v>
      </c>
      <c r="M13" s="290"/>
      <c r="N13" s="416">
        <f t="shared" si="1"/>
        <v>0</v>
      </c>
    </row>
    <row r="14" spans="1:14">
      <c r="A14" s="392"/>
      <c r="B14" s="395"/>
      <c r="C14" s="395"/>
      <c r="D14" s="409"/>
      <c r="E14" s="395"/>
      <c r="F14" s="396"/>
      <c r="G14" s="397"/>
      <c r="H14" s="395"/>
      <c r="I14" s="409"/>
      <c r="J14" s="395"/>
      <c r="K14" s="396"/>
      <c r="L14" s="396"/>
      <c r="N14" s="413"/>
    </row>
    <row r="15" spans="1:14">
      <c r="A15" s="398" t="s">
        <v>1192</v>
      </c>
      <c r="B15" s="230" t="e">
        <f t="shared" ref="B15:D15" si="5">SUM(B16:B30)</f>
        <v>#N/A</v>
      </c>
      <c r="C15" s="230">
        <f t="shared" si="5"/>
        <v>0</v>
      </c>
      <c r="D15" s="230">
        <f t="shared" si="5"/>
        <v>0</v>
      </c>
      <c r="E15" s="230">
        <f>SUM(E16:E30)</f>
        <v>0</v>
      </c>
      <c r="F15" s="396">
        <f t="shared" si="2"/>
        <v>0</v>
      </c>
      <c r="G15" s="230">
        <f t="shared" ref="G15:J15" si="6">SUM(G16:G30)</f>
        <v>0</v>
      </c>
      <c r="H15" s="230">
        <f t="shared" si="6"/>
        <v>0</v>
      </c>
      <c r="I15" s="230">
        <f t="shared" si="6"/>
        <v>0</v>
      </c>
      <c r="J15" s="230">
        <f t="shared" si="6"/>
        <v>0</v>
      </c>
      <c r="K15" s="396">
        <f t="shared" si="3"/>
        <v>0</v>
      </c>
      <c r="L15" s="230" t="e">
        <f>SUM(L16:L30)</f>
        <v>#N/A</v>
      </c>
      <c r="N15" s="413"/>
    </row>
    <row r="16" spans="1:14">
      <c r="A16" t="s">
        <v>936</v>
      </c>
      <c r="B16" s="230">
        <f>上期TB!H49</f>
        <v>0</v>
      </c>
      <c r="C16" s="260">
        <f>SUM(存货明细表!K:K)</f>
        <v>0</v>
      </c>
      <c r="D16" s="260"/>
      <c r="E16" s="290"/>
      <c r="F16" s="396">
        <f t="shared" si="2"/>
        <v>0</v>
      </c>
      <c r="G16" s="260">
        <f>SUM(存货明细表!L:L)</f>
        <v>0</v>
      </c>
      <c r="H16" s="260">
        <f>SUM(存货明细表!M:M)</f>
        <v>0</v>
      </c>
      <c r="J16" s="290"/>
      <c r="K16" s="396">
        <f t="shared" si="3"/>
        <v>0</v>
      </c>
      <c r="L16" s="396">
        <f t="shared" si="4"/>
        <v>0</v>
      </c>
      <c r="M16" s="230">
        <f>本期TB!H49</f>
        <v>0</v>
      </c>
      <c r="N16" s="416">
        <f t="shared" ref="N16:N30" si="7">L16-M16</f>
        <v>0</v>
      </c>
    </row>
    <row r="17" spans="1:14">
      <c r="A17" t="s">
        <v>2379</v>
      </c>
      <c r="B17" s="230">
        <f>预付账款账龄明细!H6</f>
        <v>0</v>
      </c>
      <c r="C17" s="290"/>
      <c r="D17" s="260"/>
      <c r="E17" s="290"/>
      <c r="F17" s="396">
        <f t="shared" si="2"/>
        <v>0</v>
      </c>
      <c r="G17" s="290"/>
      <c r="H17" s="290"/>
      <c r="J17" s="290"/>
      <c r="K17" s="396">
        <f t="shared" si="3"/>
        <v>0</v>
      </c>
      <c r="L17" s="396">
        <f t="shared" si="4"/>
        <v>0</v>
      </c>
      <c r="M17" s="230">
        <f>预付账款账龄明细!D6</f>
        <v>0</v>
      </c>
      <c r="N17" s="416">
        <f t="shared" si="7"/>
        <v>0</v>
      </c>
    </row>
    <row r="18" spans="1:14">
      <c r="A18" t="s">
        <v>2873</v>
      </c>
      <c r="B18" s="290"/>
      <c r="C18" s="290"/>
      <c r="D18" s="260"/>
      <c r="E18" s="290"/>
      <c r="F18" s="396">
        <f t="shared" si="2"/>
        <v>0</v>
      </c>
      <c r="G18" s="290"/>
      <c r="H18" s="290"/>
      <c r="J18" s="290"/>
      <c r="K18" s="396">
        <f t="shared" si="3"/>
        <v>0</v>
      </c>
      <c r="L18" s="396">
        <f t="shared" si="4"/>
        <v>0</v>
      </c>
      <c r="M18" s="290"/>
      <c r="N18" s="416">
        <f t="shared" si="7"/>
        <v>0</v>
      </c>
    </row>
    <row r="19" spans="1:14">
      <c r="A19" t="s">
        <v>2928</v>
      </c>
      <c r="B19" s="260">
        <f>可供出售金融资产情况!F7</f>
        <v>0</v>
      </c>
      <c r="C19" s="260">
        <f>SUM(可供出售权益工具明细表!Q:Q)</f>
        <v>0</v>
      </c>
      <c r="D19" s="260"/>
      <c r="E19" s="260"/>
      <c r="F19" s="411">
        <f t="shared" si="2"/>
        <v>0</v>
      </c>
      <c r="G19" s="260"/>
      <c r="H19" s="260">
        <f>SUM(可供出售权益工具明细表!R:R)</f>
        <v>0</v>
      </c>
      <c r="J19" s="260"/>
      <c r="K19" s="396">
        <f t="shared" si="3"/>
        <v>0</v>
      </c>
      <c r="L19" s="396">
        <f t="shared" si="4"/>
        <v>0</v>
      </c>
      <c r="M19" s="230">
        <f>可供出售金融资产情况!C7</f>
        <v>0</v>
      </c>
      <c r="N19" s="416">
        <f t="shared" si="7"/>
        <v>0</v>
      </c>
    </row>
    <row r="20" spans="1:14">
      <c r="A20" t="s">
        <v>995</v>
      </c>
      <c r="B20" s="230">
        <f>上期TB!H83</f>
        <v>7094592.7199999997</v>
      </c>
      <c r="C20" s="260">
        <f>SUMIF(固定资产明细表!I:I,"减值准备本期增加计提",固定资产明细表!F:F)</f>
        <v>0</v>
      </c>
      <c r="D20" s="260"/>
      <c r="E20" s="260">
        <f>SUMIF(固定资产明细表!I:I,"减值准备本期增加其他",固定资产明细表!F:F)</f>
        <v>0</v>
      </c>
      <c r="F20" s="396">
        <f t="shared" si="2"/>
        <v>0</v>
      </c>
      <c r="G20" s="260"/>
      <c r="H20" s="260">
        <f>SUMIF(固定资产明细表!I:I,"减值准备本期减少处置",固定资产明细表!F:F)</f>
        <v>0</v>
      </c>
      <c r="J20" s="260">
        <f>SUMIF(固定资产明细表!I:I,"减值准备本期减少其他",固定资产明细表!F:F)</f>
        <v>0</v>
      </c>
      <c r="K20" s="396">
        <f t="shared" si="3"/>
        <v>0</v>
      </c>
      <c r="L20" s="396">
        <f t="shared" si="4"/>
        <v>7094592.7199999997</v>
      </c>
      <c r="M20" s="230">
        <f>本期TB!H83</f>
        <v>7094592.7199999997</v>
      </c>
      <c r="N20" s="416">
        <f t="shared" si="7"/>
        <v>0</v>
      </c>
    </row>
    <row r="21" spans="1:14">
      <c r="A21" t="s">
        <v>2923</v>
      </c>
      <c r="B21" s="230">
        <f>上期TB!H73</f>
        <v>0</v>
      </c>
      <c r="C21" s="260">
        <f>长期股权投资分类情况!C6</f>
        <v>0</v>
      </c>
      <c r="D21" s="260"/>
      <c r="E21" s="260"/>
      <c r="F21" s="396">
        <f t="shared" si="2"/>
        <v>0</v>
      </c>
      <c r="G21" s="260"/>
      <c r="H21" s="260">
        <f>长期股权投资分类情况!D6</f>
        <v>0</v>
      </c>
      <c r="J21" s="260"/>
      <c r="K21" s="396">
        <f t="shared" si="3"/>
        <v>0</v>
      </c>
      <c r="L21" s="396">
        <f t="shared" si="4"/>
        <v>0</v>
      </c>
      <c r="M21" s="230">
        <f>本期TB!H73</f>
        <v>0</v>
      </c>
      <c r="N21" s="416">
        <f t="shared" si="7"/>
        <v>0</v>
      </c>
    </row>
    <row r="22" spans="1:14">
      <c r="A22" t="s">
        <v>1678</v>
      </c>
      <c r="B22" s="230">
        <f>上期TB!H79</f>
        <v>0</v>
      </c>
      <c r="C22" s="260">
        <f>SUMIF(成本法核算投资性房地产明细表!I:I,"减值准备本期增加计提",成本法核算投资性房地产明细表!F:F)</f>
        <v>0</v>
      </c>
      <c r="D22" s="260"/>
      <c r="E22" s="260">
        <f>SUMIF(成本法核算投资性房地产明细表!I:I,"减值准备本期增加其他",成本法核算投资性房地产明细表!F:F)</f>
        <v>0</v>
      </c>
      <c r="F22" s="396">
        <f t="shared" ref="F22" si="8">SUM(C22:E22)</f>
        <v>0</v>
      </c>
      <c r="G22" s="260"/>
      <c r="H22" s="260">
        <f>SUMIF(成本法核算投资性房地产明细表!I:I,"减值准备本期减少处置",成本法核算投资性房地产明细表!F:F)</f>
        <v>0</v>
      </c>
      <c r="J22" s="260">
        <f>SUMIF(成本法核算投资性房地产明细表!I:I,"减值准备本期减少其他",成本法核算投资性房地产明细表!F:F)</f>
        <v>0</v>
      </c>
      <c r="K22" s="411">
        <f t="shared" si="3"/>
        <v>0</v>
      </c>
      <c r="L22" s="396">
        <f t="shared" si="4"/>
        <v>0</v>
      </c>
      <c r="M22" s="230">
        <f>本期TB!H79</f>
        <v>0</v>
      </c>
      <c r="N22" s="416">
        <f t="shared" si="7"/>
        <v>0</v>
      </c>
    </row>
    <row r="23" spans="1:14">
      <c r="A23" t="s">
        <v>2381</v>
      </c>
      <c r="B23" s="230" t="e">
        <f>在建工程情况!F16</f>
        <v>#N/A</v>
      </c>
      <c r="C23" s="260">
        <f>本期计提在建工程减值准备情况!B13</f>
        <v>0</v>
      </c>
      <c r="D23" s="260"/>
      <c r="E23" s="290"/>
      <c r="F23" s="396">
        <f t="shared" si="2"/>
        <v>0</v>
      </c>
      <c r="G23" s="260"/>
      <c r="H23" s="290"/>
      <c r="J23" s="290"/>
      <c r="K23" s="396">
        <f t="shared" si="3"/>
        <v>0</v>
      </c>
      <c r="L23" s="396" t="e">
        <f t="shared" si="4"/>
        <v>#N/A</v>
      </c>
      <c r="M23" s="230" t="e">
        <f>在建工程情况!C16</f>
        <v>#N/A</v>
      </c>
      <c r="N23" s="416" t="e">
        <f t="shared" si="7"/>
        <v>#N/A</v>
      </c>
    </row>
    <row r="24" spans="1:14">
      <c r="A24" t="s">
        <v>2925</v>
      </c>
      <c r="B24" s="230">
        <f>生产性生物资产!F22</f>
        <v>0</v>
      </c>
      <c r="C24" s="260">
        <f>SUMIF(生产性生物资产明细表!I:I,"减值准备本期增加计提",生产性生物资产明细表!F:F)</f>
        <v>0</v>
      </c>
      <c r="D24" s="260"/>
      <c r="E24" s="260">
        <f>SUMIF(生产性生物资产明细表!I:I,"减值准备本期增加其他",生产性生物资产明细表!F:F)</f>
        <v>0</v>
      </c>
      <c r="F24" s="396">
        <f t="shared" ref="F24" si="9">SUM(C24:E24)</f>
        <v>0</v>
      </c>
      <c r="G24" s="260"/>
      <c r="H24" s="260">
        <f>SUMIF(生产性生物资产明细表!I:I,"减值准备本期减少处置",生产性生物资产明细表!F:F)</f>
        <v>0</v>
      </c>
      <c r="J24" s="260">
        <f>SUMIF(生产性生物资产明细表!I:I,"减值准备本期减少其他",生产性生物资产明细表!F:F)</f>
        <v>0</v>
      </c>
      <c r="K24" s="411">
        <f t="shared" si="3"/>
        <v>0</v>
      </c>
      <c r="L24" s="411">
        <f t="shared" si="4"/>
        <v>0</v>
      </c>
      <c r="M24" s="230">
        <f>生产性生物资产!F29</f>
        <v>0</v>
      </c>
      <c r="N24" s="416">
        <f t="shared" si="7"/>
        <v>0</v>
      </c>
    </row>
    <row r="25" spans="1:14">
      <c r="A25" t="s">
        <v>2927</v>
      </c>
      <c r="B25" s="230">
        <f>油气资产!E22</f>
        <v>0</v>
      </c>
      <c r="C25" s="260">
        <f>SUMIF(油气资产明细表!I:I,"减值准备本期增加计提",油气资产明细表!F:F)</f>
        <v>0</v>
      </c>
      <c r="D25" s="260"/>
      <c r="E25" s="260">
        <f>SUMIF(油气资产明细表!I:I,"减值准备本期增加其他",油气资产明细表!F:F)</f>
        <v>0</v>
      </c>
      <c r="F25" s="396">
        <f t="shared" ref="F25" si="10">SUM(C25:E25)</f>
        <v>0</v>
      </c>
      <c r="G25" s="260"/>
      <c r="H25" s="260">
        <f>SUMIF(油气资产明细表!I:I,"减值准备本期减少处置",油气资产明细表!F:F)</f>
        <v>0</v>
      </c>
      <c r="J25" s="260">
        <f>SUMIF(油气资产明细表!I:I,"减值准备本期减少其他",油气资产明细表!F:F)</f>
        <v>0</v>
      </c>
      <c r="K25" s="396">
        <f t="shared" si="3"/>
        <v>0</v>
      </c>
      <c r="L25" s="396">
        <f t="shared" si="4"/>
        <v>0</v>
      </c>
      <c r="M25" s="230">
        <f>油气资产!E29</f>
        <v>0</v>
      </c>
      <c r="N25" s="416">
        <f t="shared" si="7"/>
        <v>0</v>
      </c>
    </row>
    <row r="26" spans="1:14">
      <c r="A26" t="s">
        <v>2382</v>
      </c>
      <c r="B26" s="230">
        <f>上期TB!H96</f>
        <v>0</v>
      </c>
      <c r="C26" s="260">
        <f>SUMIF(无形资产明细表!I:I,"减值准备本期增加计提",无形资产明细表!F:F)</f>
        <v>0</v>
      </c>
      <c r="D26" s="260"/>
      <c r="E26" s="260">
        <f>SUMIF(无形资产明细表!I:I,"减值准备本期增加其他",无形资产明细表!F:F)</f>
        <v>0</v>
      </c>
      <c r="F26" s="396">
        <f t="shared" ref="F26" si="11">SUM(C26:E26)</f>
        <v>0</v>
      </c>
      <c r="G26" s="260"/>
      <c r="H26" s="260">
        <f>SUMIF(无形资产明细表!I:I,"减值准备本期减少处置",无形资产明细表!F:F)</f>
        <v>0</v>
      </c>
      <c r="J26" s="260">
        <f>SUMIF(无形资产明细表!I:I,"减值准备本期减少其他",无形资产明细表!F:F)</f>
        <v>0</v>
      </c>
      <c r="K26" s="411">
        <f t="shared" si="3"/>
        <v>0</v>
      </c>
      <c r="L26" s="411">
        <f t="shared" si="4"/>
        <v>0</v>
      </c>
      <c r="M26" s="230">
        <f>本期TB!H98</f>
        <v>0</v>
      </c>
      <c r="N26" s="416">
        <f t="shared" si="7"/>
        <v>0</v>
      </c>
    </row>
    <row r="27" spans="1:14">
      <c r="A27" t="s">
        <v>2383</v>
      </c>
      <c r="B27" s="230">
        <f>上期TB!H100</f>
        <v>0</v>
      </c>
      <c r="C27" s="260">
        <f>商誉减值准备!C4</f>
        <v>0</v>
      </c>
      <c r="D27" s="260"/>
      <c r="E27" s="260"/>
      <c r="F27" s="411">
        <f t="shared" si="2"/>
        <v>0</v>
      </c>
      <c r="G27" s="260"/>
      <c r="H27" s="260">
        <f>商誉减值准备!D4</f>
        <v>0</v>
      </c>
      <c r="J27" s="260"/>
      <c r="K27" s="411">
        <f t="shared" si="3"/>
        <v>0</v>
      </c>
      <c r="L27" s="411">
        <f t="shared" si="4"/>
        <v>0</v>
      </c>
      <c r="M27" s="230">
        <f>本期TB!H102</f>
        <v>0</v>
      </c>
      <c r="N27" s="416">
        <f t="shared" si="7"/>
        <v>0</v>
      </c>
    </row>
    <row r="28" spans="1:14">
      <c r="A28" t="s">
        <v>2930</v>
      </c>
      <c r="B28" s="290"/>
      <c r="C28" s="260">
        <f>合同取得成本!E9</f>
        <v>0</v>
      </c>
      <c r="D28" s="260"/>
      <c r="E28" s="290"/>
      <c r="F28" s="396">
        <f t="shared" si="2"/>
        <v>0</v>
      </c>
      <c r="G28" s="290"/>
      <c r="H28" s="290"/>
      <c r="J28" s="290"/>
      <c r="K28" s="396">
        <f t="shared" si="3"/>
        <v>0</v>
      </c>
      <c r="L28" s="396">
        <f t="shared" si="4"/>
        <v>0</v>
      </c>
      <c r="M28" s="290"/>
      <c r="N28" s="416">
        <f t="shared" si="7"/>
        <v>0</v>
      </c>
    </row>
    <row r="29" spans="1:14">
      <c r="A29" t="s">
        <v>2932</v>
      </c>
      <c r="B29" s="290"/>
      <c r="C29" s="290"/>
      <c r="D29" s="260"/>
      <c r="E29" s="290"/>
      <c r="F29" s="396">
        <f t="shared" si="2"/>
        <v>0</v>
      </c>
      <c r="G29" s="290"/>
      <c r="H29" s="290"/>
      <c r="J29" s="290"/>
      <c r="K29" s="396">
        <f t="shared" si="3"/>
        <v>0</v>
      </c>
      <c r="L29" s="396">
        <f t="shared" si="4"/>
        <v>0</v>
      </c>
      <c r="M29" s="290"/>
      <c r="N29" s="416">
        <f t="shared" si="7"/>
        <v>0</v>
      </c>
    </row>
    <row r="30" spans="1:14">
      <c r="A30" t="s">
        <v>2941</v>
      </c>
      <c r="B30" s="230">
        <f>上期TB!H92</f>
        <v>0</v>
      </c>
      <c r="C30" s="230">
        <f>使用权资产!E24</f>
        <v>0</v>
      </c>
      <c r="E30" s="230">
        <f>使用权资产!E25</f>
        <v>0</v>
      </c>
      <c r="F30" s="396">
        <f t="shared" si="2"/>
        <v>0</v>
      </c>
      <c r="H30" s="230">
        <f>使用权资产!E27</f>
        <v>0</v>
      </c>
      <c r="J30" s="230">
        <f>使用权资产!E28</f>
        <v>0</v>
      </c>
      <c r="K30" s="396">
        <f t="shared" si="3"/>
        <v>0</v>
      </c>
      <c r="L30" s="396">
        <f t="shared" si="4"/>
        <v>0</v>
      </c>
      <c r="M30" s="230">
        <f>本期TB!H94</f>
        <v>0</v>
      </c>
      <c r="N30" s="416">
        <f t="shared" si="7"/>
        <v>0</v>
      </c>
    </row>
    <row r="31" spans="1:14">
      <c r="A31" t="s">
        <v>282</v>
      </c>
      <c r="B31" s="230" t="e">
        <f>B15+B2</f>
        <v>#N/A</v>
      </c>
      <c r="C31" s="230">
        <f t="shared" ref="C31:L31" si="12">C15+C2</f>
        <v>0</v>
      </c>
      <c r="D31" s="230">
        <f t="shared" si="12"/>
        <v>0</v>
      </c>
      <c r="E31" s="230">
        <f>E15+E2</f>
        <v>0</v>
      </c>
      <c r="F31" s="230">
        <f t="shared" si="12"/>
        <v>0</v>
      </c>
      <c r="G31" s="230">
        <f t="shared" si="12"/>
        <v>0</v>
      </c>
      <c r="H31" s="230">
        <f t="shared" si="12"/>
        <v>0</v>
      </c>
      <c r="I31" s="260">
        <f t="shared" si="12"/>
        <v>0</v>
      </c>
      <c r="J31" s="230">
        <f t="shared" si="12"/>
        <v>0</v>
      </c>
      <c r="K31" s="230">
        <f t="shared" si="12"/>
        <v>0</v>
      </c>
      <c r="L31" s="230" t="e">
        <f t="shared" si="12"/>
        <v>#N/A</v>
      </c>
    </row>
    <row r="32" spans="1:14">
      <c r="K32" s="396"/>
      <c r="L32" s="396"/>
    </row>
    <row r="33" spans="1:3">
      <c r="A33" t="s">
        <v>2391</v>
      </c>
    </row>
    <row r="34" spans="1:3">
      <c r="A34" t="s">
        <v>1189</v>
      </c>
      <c r="C34" s="230">
        <f>利润表!B33</f>
        <v>0</v>
      </c>
    </row>
    <row r="35" spans="1:3">
      <c r="A35" t="s">
        <v>1192</v>
      </c>
      <c r="C35" s="230">
        <f>利润表!B34</f>
        <v>-20045068.129999999</v>
      </c>
    </row>
    <row r="36" spans="1:3">
      <c r="A36" s="413" t="s">
        <v>2937</v>
      </c>
      <c r="B36" s="414"/>
      <c r="C36" s="414">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codeName="Sheet310">
    <tabColor rgb="FFFFC000"/>
  </sheetPr>
  <dimension ref="A1:E3"/>
  <sheetViews>
    <sheetView workbookViewId="0">
      <selection activeCell="H15" sqref="H15"/>
    </sheetView>
  </sheetViews>
  <sheetFormatPr defaultRowHeight="13.8"/>
  <cols>
    <col min="1" max="1" width="14.5546875" style="18" customWidth="1"/>
    <col min="2" max="16384" width="8.88671875" style="18"/>
  </cols>
  <sheetData>
    <row r="1" spans="1:5" ht="14.4">
      <c r="A1" s="19" t="s">
        <v>28</v>
      </c>
      <c r="B1" s="20" t="s">
        <v>285</v>
      </c>
      <c r="C1" s="20" t="s">
        <v>391</v>
      </c>
      <c r="D1" s="20" t="s">
        <v>509</v>
      </c>
      <c r="E1" s="20" t="s">
        <v>203</v>
      </c>
    </row>
    <row r="2" spans="1:5" ht="14.4">
      <c r="A2" s="19" t="s">
        <v>661</v>
      </c>
      <c r="B2" s="281"/>
      <c r="C2" s="281"/>
      <c r="D2" s="281"/>
      <c r="E2" s="21">
        <f>ROUND(B2+C2-D2,2)</f>
        <v>0</v>
      </c>
    </row>
    <row r="3" spans="1:5" ht="14.4">
      <c r="A3" s="19" t="s">
        <v>204</v>
      </c>
      <c r="B3" s="21">
        <f>ROUND(SUM(B2),2)</f>
        <v>0</v>
      </c>
      <c r="C3" s="21">
        <f>ROUND(SUM(C2),2)</f>
        <v>0</v>
      </c>
      <c r="D3" s="21">
        <f>ROUND(SUM(D2),2)</f>
        <v>0</v>
      </c>
      <c r="E3" s="21">
        <f>ROUND(SUM(E2),2)</f>
        <v>0</v>
      </c>
    </row>
  </sheetData>
  <phoneticPr fontId="1" type="noConversion"/>
  <pageMargins left="0.7" right="0.7" top="0.75" bottom="0.75" header="0.3" footer="0.3"/>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codeName="Sheet311">
    <tabColor rgb="FFFFC000"/>
  </sheetPr>
  <dimension ref="A1:F7"/>
  <sheetViews>
    <sheetView workbookViewId="0">
      <selection activeCell="E16" sqref="E16"/>
    </sheetView>
  </sheetViews>
  <sheetFormatPr defaultRowHeight="13.8"/>
  <cols>
    <col min="1" max="1" width="13.88671875" style="18" bestFit="1" customWidth="1"/>
    <col min="2" max="2" width="18.33203125" style="1" bestFit="1" customWidth="1"/>
    <col min="3" max="3" width="13.109375" style="1" customWidth="1"/>
    <col min="4" max="4" width="18.6640625" style="1" customWidth="1"/>
    <col min="5" max="5" width="18.33203125" style="1" bestFit="1" customWidth="1"/>
    <col min="6" max="6" width="8.88671875" style="1"/>
    <col min="7" max="16384" width="8.88671875" style="18"/>
  </cols>
  <sheetData>
    <row r="1" spans="1:5" ht="14.4">
      <c r="A1" s="19" t="s">
        <v>28</v>
      </c>
      <c r="B1" s="154" t="s">
        <v>285</v>
      </c>
      <c r="C1" s="154" t="s">
        <v>391</v>
      </c>
      <c r="D1" s="154" t="s">
        <v>509</v>
      </c>
      <c r="E1" s="154" t="s">
        <v>203</v>
      </c>
    </row>
    <row r="2" spans="1:5" ht="14.4">
      <c r="A2" s="269" t="s">
        <v>662</v>
      </c>
      <c r="B2" s="268">
        <f>ROUND(上期TB!H161,2)</f>
        <v>155546840.28999999</v>
      </c>
      <c r="C2" s="268">
        <f>ROUND(本期TB!H244,2)</f>
        <v>0</v>
      </c>
      <c r="D2" s="268"/>
      <c r="E2" s="69">
        <f>ROUND(B2+C2-D2,2)</f>
        <v>155546840.28999999</v>
      </c>
    </row>
    <row r="3" spans="1:5" ht="14.4">
      <c r="A3" s="269" t="s">
        <v>663</v>
      </c>
      <c r="B3" s="268"/>
      <c r="C3" s="268"/>
      <c r="D3" s="268"/>
      <c r="E3" s="69">
        <f>ROUND(B3+C3-D3,2)</f>
        <v>0</v>
      </c>
    </row>
    <row r="4" spans="1:5" ht="14.4">
      <c r="A4" s="269" t="s">
        <v>664</v>
      </c>
      <c r="B4" s="268"/>
      <c r="C4" s="268"/>
      <c r="D4" s="268"/>
      <c r="E4" s="69">
        <f>ROUND(B4+C4-D4,2)</f>
        <v>0</v>
      </c>
    </row>
    <row r="5" spans="1:5" ht="14.4">
      <c r="A5" s="269" t="s">
        <v>665</v>
      </c>
      <c r="B5" s="268"/>
      <c r="C5" s="268"/>
      <c r="D5" s="268"/>
      <c r="E5" s="69">
        <f>ROUND(B5+C5-D5,2)</f>
        <v>0</v>
      </c>
    </row>
    <row r="6" spans="1:5" ht="14.4">
      <c r="A6" s="269" t="s">
        <v>13</v>
      </c>
      <c r="B6" s="268"/>
      <c r="C6" s="268"/>
      <c r="D6" s="268"/>
      <c r="E6" s="69">
        <f>ROUND(B6+C6-D6,2)</f>
        <v>0</v>
      </c>
    </row>
    <row r="7" spans="1:5" ht="14.4">
      <c r="A7" s="19" t="s">
        <v>204</v>
      </c>
      <c r="B7" s="69">
        <f>ROUND(SUM(B2:B6),2)</f>
        <v>155546840.28999999</v>
      </c>
      <c r="C7" s="69">
        <f>ROUND(SUM(C2:C6),2)</f>
        <v>0</v>
      </c>
      <c r="D7" s="69">
        <f>ROUND(SUM(D2:D6),2)</f>
        <v>0</v>
      </c>
      <c r="E7" s="69">
        <f>ROUND(SUM(E2:E6),2)</f>
        <v>155546840.28999999</v>
      </c>
    </row>
  </sheetData>
  <phoneticPr fontId="1"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codeName="Sheet312">
    <tabColor rgb="FFFFC000"/>
  </sheetPr>
  <dimension ref="A1:C11"/>
  <sheetViews>
    <sheetView workbookViewId="0">
      <selection activeCell="F18" sqref="F18"/>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4233</v>
      </c>
      <c r="C1" s="20" t="s">
        <v>4234</v>
      </c>
    </row>
    <row r="2" spans="1:3" ht="14.4">
      <c r="A2" s="32" t="s">
        <v>667</v>
      </c>
      <c r="B2" s="281">
        <f>ROUND(C11,2)</f>
        <v>1123892798.95</v>
      </c>
      <c r="C2" s="281">
        <f>ROUND(上期TB!H240,2)</f>
        <v>837672284.46000004</v>
      </c>
    </row>
    <row r="3" spans="1:3" ht="15">
      <c r="A3" s="32" t="s">
        <v>668</v>
      </c>
      <c r="B3" s="281"/>
      <c r="C3" s="281"/>
    </row>
    <row r="4" spans="1:3" ht="14.4">
      <c r="A4" s="32" t="s">
        <v>669</v>
      </c>
      <c r="B4" s="21">
        <f>ROUND(B2+B3,2)</f>
        <v>1123892798.95</v>
      </c>
      <c r="C4" s="21">
        <f>ROUND(C2+C3,2)</f>
        <v>837672284.46000004</v>
      </c>
    </row>
    <row r="5" spans="1:3" ht="14.4">
      <c r="A5" s="36" t="s">
        <v>670</v>
      </c>
      <c r="B5" s="281">
        <f>ROUND(本期TB!H208,2)</f>
        <v>246130378.22999999</v>
      </c>
      <c r="C5" s="281">
        <f>ROUND(上期TB!H206,2)</f>
        <v>286220514.49000001</v>
      </c>
    </row>
    <row r="6" spans="1:3" ht="14.4">
      <c r="A6" s="36" t="s">
        <v>671</v>
      </c>
      <c r="B6" s="281">
        <f>ROUND(本期TB!H244,2)</f>
        <v>0</v>
      </c>
      <c r="C6" s="281">
        <f>ROUND(上期TB!H242,2)</f>
        <v>0</v>
      </c>
    </row>
    <row r="7" spans="1:3" ht="14.4">
      <c r="A7" s="37" t="s">
        <v>5466</v>
      </c>
      <c r="B7" s="281"/>
      <c r="C7" s="281"/>
    </row>
    <row r="8" spans="1:3" ht="14.4">
      <c r="A8" s="37" t="s">
        <v>5467</v>
      </c>
      <c r="B8" s="281"/>
      <c r="C8" s="281"/>
    </row>
    <row r="9" spans="1:3" ht="14.4">
      <c r="A9" s="37" t="s">
        <v>5468</v>
      </c>
      <c r="B9" s="281">
        <f>ROUND(本期TB!H253,2)</f>
        <v>0</v>
      </c>
      <c r="C9" s="281">
        <f>ROUND(上期TB!H251,2)</f>
        <v>0</v>
      </c>
    </row>
    <row r="10" spans="1:3" ht="14.4">
      <c r="A10" s="37" t="s">
        <v>5469</v>
      </c>
      <c r="B10" s="281"/>
      <c r="C10" s="281"/>
    </row>
    <row r="11" spans="1:3" ht="14.4">
      <c r="A11" s="32" t="s">
        <v>672</v>
      </c>
      <c r="B11" s="21">
        <f>ROUND(B4+B5-SUM(B6:B10),2)</f>
        <v>1370023177.1800001</v>
      </c>
      <c r="C11" s="21">
        <f>ROUND(C4+C5-SUM(C6:C10),2)</f>
        <v>1123892798.95</v>
      </c>
    </row>
  </sheetData>
  <phoneticPr fontId="1"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codeName="Sheet313">
    <tabColor rgb="FFFFC000"/>
  </sheetPr>
  <dimension ref="A1:E4"/>
  <sheetViews>
    <sheetView workbookViewId="0">
      <selection activeCell="G15" sqref="G15"/>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673</v>
      </c>
      <c r="C1" s="32" t="s">
        <v>674</v>
      </c>
      <c r="D1" s="32" t="s">
        <v>675</v>
      </c>
      <c r="E1" s="32" t="s">
        <v>676</v>
      </c>
    </row>
    <row r="2" spans="1:5" ht="14.4">
      <c r="A2" s="19" t="s">
        <v>677</v>
      </c>
      <c r="B2" s="69">
        <f>ROUND(主营业务收入与主营业务成本!B7,2)</f>
        <v>0</v>
      </c>
      <c r="C2" s="69">
        <f>ROUND(主营业务收入与主营业务成本!C7,2)</f>
        <v>0</v>
      </c>
      <c r="D2" s="69">
        <f>ROUND(主营业务收入与主营业务成本!D7,2)</f>
        <v>0</v>
      </c>
      <c r="E2" s="69">
        <f>ROUND(主营业务收入与主营业务成本!E7,2)</f>
        <v>0</v>
      </c>
    </row>
    <row r="3" spans="1:5" ht="14.4">
      <c r="A3" s="19" t="s">
        <v>678</v>
      </c>
      <c r="B3" s="69">
        <f>ROUND(其他业务收入与其他业务成本!B11,2)</f>
        <v>0</v>
      </c>
      <c r="C3" s="69">
        <f>ROUND(其他业务收入与其他业务成本!C11,2)</f>
        <v>0</v>
      </c>
      <c r="D3" s="69">
        <f>ROUND(其他业务收入与其他业务成本!D11,2)</f>
        <v>0</v>
      </c>
      <c r="E3" s="69">
        <f>ROUND(其他业务收入与其他业务成本!E11,2)</f>
        <v>0</v>
      </c>
    </row>
    <row r="4" spans="1:5" ht="14.4">
      <c r="A4" s="19" t="s">
        <v>204</v>
      </c>
      <c r="B4" s="69">
        <f>ROUND(SUM(B2:B3),2)</f>
        <v>0</v>
      </c>
      <c r="C4" s="69">
        <f>ROUND(SUM(C2:C3),2)</f>
        <v>0</v>
      </c>
      <c r="D4" s="69">
        <f>ROUND(SUM(D2:D3),2)</f>
        <v>0</v>
      </c>
      <c r="E4" s="69">
        <f>ROUND(SUM(E2:E3),2)</f>
        <v>0</v>
      </c>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codeName="Sheet314">
    <tabColor rgb="FFFFC000"/>
  </sheetPr>
  <dimension ref="A1:E7"/>
  <sheetViews>
    <sheetView workbookViewId="0">
      <selection activeCell="E17" sqref="E17"/>
    </sheetView>
  </sheetViews>
  <sheetFormatPr defaultRowHeight="13.8"/>
  <cols>
    <col min="1" max="1" width="42.88671875" style="18" customWidth="1"/>
    <col min="2" max="16384" width="8.88671875" style="18"/>
  </cols>
  <sheetData>
    <row r="1" spans="1:5" ht="28.8">
      <c r="A1" s="32" t="s">
        <v>28</v>
      </c>
      <c r="B1" s="32" t="s">
        <v>673</v>
      </c>
      <c r="C1" s="32" t="s">
        <v>674</v>
      </c>
      <c r="D1" s="32" t="s">
        <v>675</v>
      </c>
      <c r="E1" s="32" t="s">
        <v>676</v>
      </c>
    </row>
    <row r="2" spans="1:5" ht="14.4">
      <c r="A2" s="347" t="s">
        <v>2868</v>
      </c>
      <c r="B2" s="300">
        <f>ROUND(SUMIF(主营业务明细表!$E:$E,B$1&amp;$A2,主营业务明细表!$D:$D),2)</f>
        <v>0</v>
      </c>
      <c r="C2" s="300">
        <f>ROUND(SUMIF(主营业务明细表!$E:$E,C$1&amp;$A2,主营业务明细表!$D:$D),2)</f>
        <v>0</v>
      </c>
      <c r="D2" s="300">
        <f>ROUND(SUMIF(主营业务明细表!$E:$E,D$1&amp;$A2,主营业务明细表!$D:$D),2)</f>
        <v>0</v>
      </c>
      <c r="E2" s="300">
        <f>ROUND(SUMIF(主营业务明细表!$E:$E,E$1&amp;$A2,主营业务明细表!$D:$D),2)</f>
        <v>0</v>
      </c>
    </row>
    <row r="3" spans="1:5" ht="14.4">
      <c r="A3" s="347" t="s">
        <v>2865</v>
      </c>
      <c r="B3" s="300">
        <f>ROUND(SUMIF(主营业务明细表!$E:$E,B$1&amp;$A3,主营业务明细表!$D:$D),2)</f>
        <v>0</v>
      </c>
      <c r="C3" s="300">
        <f>ROUND(SUMIF(主营业务明细表!$E:$E,C$1&amp;$A3,主营业务明细表!$D:$D),2)</f>
        <v>0</v>
      </c>
      <c r="D3" s="300">
        <f>ROUND(SUMIF(主营业务明细表!$E:$E,D$1&amp;$A3,主营业务明细表!$D:$D),2)</f>
        <v>0</v>
      </c>
      <c r="E3" s="300">
        <f>ROUND(SUMIF(主营业务明细表!$E:$E,E$1&amp;$A3,主营业务明细表!$D:$D),2)</f>
        <v>0</v>
      </c>
    </row>
    <row r="4" spans="1:5" ht="14.4">
      <c r="A4" s="347" t="s">
        <v>2866</v>
      </c>
      <c r="B4" s="300">
        <f>ROUND(SUMIF(主营业务明细表!$E:$E,B$1&amp;$A4,主营业务明细表!$D:$D),2)</f>
        <v>0</v>
      </c>
      <c r="C4" s="300">
        <f>ROUND(SUMIF(主营业务明细表!$E:$E,C$1&amp;$A4,主营业务明细表!$D:$D),2)</f>
        <v>0</v>
      </c>
      <c r="D4" s="300">
        <f>ROUND(SUMIF(主营业务明细表!$E:$E,D$1&amp;$A4,主营业务明细表!$D:$D),2)</f>
        <v>0</v>
      </c>
      <c r="E4" s="300">
        <f>ROUND(SUMIF(主营业务明细表!$E:$E,E$1&amp;$A4,主营业务明细表!$D:$D),2)</f>
        <v>0</v>
      </c>
    </row>
    <row r="5" spans="1:5" ht="14.4">
      <c r="A5" s="347" t="s">
        <v>2331</v>
      </c>
      <c r="B5" s="300">
        <f>ROUND(SUMIF(主营业务明细表!$E:$E,B$1&amp;$A5,主营业务明细表!$D:$D),2)</f>
        <v>0</v>
      </c>
      <c r="C5" s="300">
        <f>ROUND(SUMIF(主营业务明细表!$E:$E,C$1&amp;$A5,主营业务明细表!$D:$D),2)</f>
        <v>0</v>
      </c>
      <c r="D5" s="300">
        <f>ROUND(SUMIF(主营业务明细表!$E:$E,D$1&amp;$A5,主营业务明细表!$D:$D),2)</f>
        <v>0</v>
      </c>
      <c r="E5" s="300">
        <f>ROUND(SUMIF(主营业务明细表!$E:$E,E$1&amp;$A5,主营业务明细表!$D:$D),2)</f>
        <v>0</v>
      </c>
    </row>
    <row r="6" spans="1:5" ht="14.4">
      <c r="A6" s="347" t="s">
        <v>2867</v>
      </c>
      <c r="B6" s="300">
        <f>ROUND(SUMIF(主营业务明细表!$E:$E,B$1&amp;$A6,主营业务明细表!$D:$D),2)</f>
        <v>0</v>
      </c>
      <c r="C6" s="300">
        <f>ROUND(SUMIF(主营业务明细表!$E:$E,C$1&amp;$A6,主营业务明细表!$D:$D),2)</f>
        <v>0</v>
      </c>
      <c r="D6" s="300">
        <f>ROUND(SUMIF(主营业务明细表!$E:$E,D$1&amp;$A6,主营业务明细表!$D:$D),2)</f>
        <v>0</v>
      </c>
      <c r="E6" s="300">
        <f>ROUND(SUMIF(主营业务明细表!$E:$E,E$1&amp;$A6,主营业务明细表!$D:$D),2)</f>
        <v>0</v>
      </c>
    </row>
    <row r="7" spans="1:5" ht="14.4">
      <c r="A7" s="19" t="s">
        <v>204</v>
      </c>
      <c r="B7" s="21">
        <f>ROUND(SUM(B2:B6),2)</f>
        <v>0</v>
      </c>
      <c r="C7" s="21">
        <f>ROUND(SUM(C2:C6),2)</f>
        <v>0</v>
      </c>
      <c r="D7" s="21">
        <f>ROUND(SUM(D2:D6),2)</f>
        <v>0</v>
      </c>
      <c r="E7" s="21">
        <f>ROUND(SUM(E2:E6),2)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sheetPr codeName="Sheet315"/>
  <dimension ref="A1:E19"/>
  <sheetViews>
    <sheetView workbookViewId="0">
      <selection activeCell="A10" sqref="A10"/>
    </sheetView>
  </sheetViews>
  <sheetFormatPr defaultRowHeight="13.8"/>
  <sheetData>
    <row r="1" spans="1:5">
      <c r="A1" t="s">
        <v>2427</v>
      </c>
      <c r="B1" t="s">
        <v>95</v>
      </c>
      <c r="C1" t="s">
        <v>4554</v>
      </c>
      <c r="D1" t="s">
        <v>2523</v>
      </c>
      <c r="E1" t="s">
        <v>4259</v>
      </c>
    </row>
    <row r="2" spans="1:5">
      <c r="A2" t="str">
        <f>IF(OR(ABS(D2)&gt;0),基础信息!$B$1,"")</f>
        <v/>
      </c>
      <c r="B2" s="277"/>
      <c r="C2" s="277"/>
      <c r="D2" s="256"/>
      <c r="E2" t="str">
        <f>B2&amp;C2</f>
        <v/>
      </c>
    </row>
    <row r="3" spans="1:5">
      <c r="A3" t="str">
        <f>IF(OR(ABS(D3)&gt;0),基础信息!$B$1,"")</f>
        <v/>
      </c>
      <c r="B3" s="277"/>
      <c r="C3" s="277"/>
      <c r="D3" s="256"/>
      <c r="E3" t="str">
        <f t="shared" ref="E3:E19" si="0">B3&amp;C3</f>
        <v/>
      </c>
    </row>
    <row r="4" spans="1:5">
      <c r="A4" t="str">
        <f>IF(OR(ABS(D4)&gt;0),基础信息!$B$1,"")</f>
        <v/>
      </c>
      <c r="B4" s="277"/>
      <c r="C4" s="277"/>
      <c r="D4" s="256"/>
      <c r="E4" t="str">
        <f t="shared" si="0"/>
        <v/>
      </c>
    </row>
    <row r="5" spans="1:5">
      <c r="A5" t="str">
        <f>IF(OR(ABS(D5)&gt;0),基础信息!$B$1,"")</f>
        <v/>
      </c>
      <c r="B5" s="277"/>
      <c r="C5" s="277"/>
      <c r="D5" s="256"/>
      <c r="E5" t="str">
        <f t="shared" si="0"/>
        <v/>
      </c>
    </row>
    <row r="6" spans="1:5">
      <c r="A6" t="str">
        <f>IF(OR(ABS(D6)&gt;0),基础信息!$B$1,"")</f>
        <v/>
      </c>
      <c r="B6" s="277"/>
      <c r="C6" s="277"/>
      <c r="D6" s="256"/>
      <c r="E6" t="str">
        <f t="shared" si="0"/>
        <v/>
      </c>
    </row>
    <row r="7" spans="1:5">
      <c r="A7" t="str">
        <f>IF(OR(ABS(D7)&gt;0),基础信息!$B$1,"")</f>
        <v/>
      </c>
      <c r="B7" s="277"/>
      <c r="C7" s="277"/>
      <c r="D7" s="256"/>
      <c r="E7" t="str">
        <f t="shared" si="0"/>
        <v/>
      </c>
    </row>
    <row r="8" spans="1:5">
      <c r="A8" t="str">
        <f>IF(OR(ABS(D8)&gt;0),基础信息!$B$1,"")</f>
        <v/>
      </c>
      <c r="B8" s="277"/>
      <c r="C8" s="277"/>
      <c r="D8" s="256"/>
      <c r="E8" t="str">
        <f t="shared" si="0"/>
        <v/>
      </c>
    </row>
    <row r="9" spans="1:5">
      <c r="A9" t="str">
        <f>IF(OR(ABS(D9)&gt;0),基础信息!$B$1,"")</f>
        <v/>
      </c>
      <c r="B9" s="277"/>
      <c r="C9" s="277"/>
      <c r="D9" s="256"/>
      <c r="E9" t="str">
        <f t="shared" si="0"/>
        <v/>
      </c>
    </row>
    <row r="10" spans="1:5">
      <c r="A10" t="str">
        <f>IF(OR(ABS(D10)&gt;0),基础信息!$B$1,"")</f>
        <v/>
      </c>
      <c r="B10" s="277"/>
      <c r="C10" s="277"/>
      <c r="D10" s="256"/>
      <c r="E10" t="str">
        <f t="shared" si="0"/>
        <v/>
      </c>
    </row>
    <row r="11" spans="1:5">
      <c r="A11" t="str">
        <f>IF(OR(ABS(D11)&gt;0),基础信息!$B$1,"")</f>
        <v/>
      </c>
      <c r="B11" s="277"/>
      <c r="C11" s="277"/>
      <c r="D11" s="256"/>
      <c r="E11" t="str">
        <f t="shared" si="0"/>
        <v/>
      </c>
    </row>
    <row r="12" spans="1:5">
      <c r="A12" t="str">
        <f>IF(OR(ABS(D12)&gt;0),基础信息!$B$1,"")</f>
        <v/>
      </c>
      <c r="B12" s="277"/>
      <c r="C12" s="277"/>
      <c r="D12" s="256"/>
      <c r="E12" t="str">
        <f t="shared" si="0"/>
        <v/>
      </c>
    </row>
    <row r="13" spans="1:5">
      <c r="A13" t="str">
        <f>IF(OR(ABS(D13)&gt;0),基础信息!$B$1,"")</f>
        <v/>
      </c>
      <c r="B13" s="277"/>
      <c r="C13" s="277"/>
      <c r="D13" s="256"/>
      <c r="E13" t="str">
        <f t="shared" si="0"/>
        <v/>
      </c>
    </row>
    <row r="14" spans="1:5">
      <c r="A14" t="str">
        <f>IF(OR(ABS(D14)&gt;0),基础信息!$B$1,"")</f>
        <v/>
      </c>
      <c r="B14" s="277"/>
      <c r="C14" s="277"/>
      <c r="D14" s="256"/>
      <c r="E14" t="str">
        <f t="shared" si="0"/>
        <v/>
      </c>
    </row>
    <row r="15" spans="1:5">
      <c r="A15" t="str">
        <f>IF(OR(ABS(D15)&gt;0),基础信息!$B$1,"")</f>
        <v/>
      </c>
      <c r="B15" s="277"/>
      <c r="C15" s="277"/>
      <c r="D15" s="256"/>
      <c r="E15" t="str">
        <f t="shared" si="0"/>
        <v/>
      </c>
    </row>
    <row r="16" spans="1:5">
      <c r="A16" t="str">
        <f>IF(OR(ABS(D16)&gt;0),基础信息!$B$1,"")</f>
        <v/>
      </c>
      <c r="B16" s="277"/>
      <c r="C16" s="277"/>
      <c r="D16" s="256"/>
      <c r="E16" t="str">
        <f t="shared" si="0"/>
        <v/>
      </c>
    </row>
    <row r="17" spans="1:5">
      <c r="A17" t="str">
        <f>IF(OR(ABS(D17)&gt;0),基础信息!$B$1,"")</f>
        <v/>
      </c>
      <c r="B17" s="277"/>
      <c r="C17" s="277"/>
      <c r="D17" s="256"/>
      <c r="E17" t="str">
        <f t="shared" si="0"/>
        <v/>
      </c>
    </row>
    <row r="18" spans="1:5">
      <c r="A18" t="str">
        <f>IF(OR(ABS(D18)&gt;0),基础信息!$B$1,"")</f>
        <v/>
      </c>
      <c r="B18" s="277"/>
      <c r="C18" s="277"/>
      <c r="D18" s="256"/>
      <c r="E18" t="str">
        <f t="shared" si="0"/>
        <v/>
      </c>
    </row>
    <row r="19" spans="1:5">
      <c r="A19" t="str">
        <f>IF(OR(ABS(D19)&gt;0),基础信息!$B$1,"")</f>
        <v/>
      </c>
      <c r="B19" s="277"/>
      <c r="C19" s="277"/>
      <c r="D19" s="256"/>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codeName="Sheet316">
    <tabColor rgb="FFFFC000"/>
  </sheetPr>
  <dimension ref="A1:E11"/>
  <sheetViews>
    <sheetView workbookViewId="0">
      <selection activeCell="G15" sqref="G15"/>
    </sheetView>
  </sheetViews>
  <sheetFormatPr defaultRowHeight="13.8"/>
  <cols>
    <col min="1" max="1" width="21.88671875" style="18" customWidth="1"/>
    <col min="2" max="16384" width="8.88671875" style="18"/>
  </cols>
  <sheetData>
    <row r="1" spans="1:5" ht="28.8">
      <c r="A1" s="32" t="s">
        <v>28</v>
      </c>
      <c r="B1" s="32" t="s">
        <v>673</v>
      </c>
      <c r="C1" s="32" t="s">
        <v>674</v>
      </c>
      <c r="D1" s="32" t="s">
        <v>675</v>
      </c>
      <c r="E1" s="32" t="s">
        <v>676</v>
      </c>
    </row>
    <row r="2" spans="1:5" ht="14.4">
      <c r="A2" s="347" t="s">
        <v>2864</v>
      </c>
      <c r="B2" s="295">
        <f>ROUND(SUMIF(其他业务明细表!$E:$E,B$1&amp;$A2,其他业务明细表!$D:$D),2)</f>
        <v>0</v>
      </c>
      <c r="C2" s="295">
        <f>ROUND(SUMIF(其他业务明细表!$E:$E,C$1&amp;$A2,其他业务明细表!$D:$D),2)</f>
        <v>0</v>
      </c>
      <c r="D2" s="295">
        <f>ROUND(SUMIF(其他业务明细表!$E:$E,D$1&amp;$A2,其他业务明细表!$D:$D),2)</f>
        <v>0</v>
      </c>
      <c r="E2" s="295">
        <f>ROUND(SUMIF(其他业务明细表!$E:$E,E$1&amp;$A2,其他业务明细表!$D:$D),2)</f>
        <v>0</v>
      </c>
    </row>
    <row r="3" spans="1:5" ht="14.4">
      <c r="A3" s="347" t="s">
        <v>2869</v>
      </c>
      <c r="B3" s="295">
        <f>ROUND(SUMIF(其他业务明细表!$E:$E,B$1&amp;$A3,其他业务明细表!$D:$D),2)</f>
        <v>0</v>
      </c>
      <c r="C3" s="295">
        <f>ROUND(SUMIF(其他业务明细表!$E:$E,C$1&amp;$A3,其他业务明细表!$D:$D),2)</f>
        <v>0</v>
      </c>
      <c r="D3" s="295">
        <f>ROUND(SUMIF(其他业务明细表!$E:$E,D$1&amp;$A3,其他业务明细表!$D:$D),2)</f>
        <v>0</v>
      </c>
      <c r="E3" s="295">
        <f>ROUND(SUMIF(其他业务明细表!$E:$E,E$1&amp;$A3,其他业务明细表!$D:$D),2)</f>
        <v>0</v>
      </c>
    </row>
    <row r="4" spans="1:5" ht="14.4">
      <c r="A4" s="347" t="s">
        <v>2870</v>
      </c>
      <c r="B4" s="295">
        <f>ROUND(SUMIF(其他业务明细表!$E:$E,B$1&amp;$A4,其他业务明细表!$D:$D),2)</f>
        <v>0</v>
      </c>
      <c r="C4" s="295">
        <f>ROUND(SUMIF(其他业务明细表!$E:$E,C$1&amp;$A4,其他业务明细表!$D:$D),2)</f>
        <v>0</v>
      </c>
      <c r="D4" s="295">
        <f>ROUND(SUMIF(其他业务明细表!$E:$E,D$1&amp;$A4,其他业务明细表!$D:$D),2)</f>
        <v>0</v>
      </c>
      <c r="E4" s="295">
        <f>ROUND(SUMIF(其他业务明细表!$E:$E,E$1&amp;$A4,其他业务明细表!$D:$D),2)</f>
        <v>0</v>
      </c>
    </row>
    <row r="5" spans="1:5" ht="14.4">
      <c r="A5" s="347"/>
      <c r="B5" s="295">
        <f>ROUND(SUMIF(其他业务明细表!$E:$E,B$1&amp;$A5,其他业务明细表!$D:$D),2)</f>
        <v>0</v>
      </c>
      <c r="C5" s="295">
        <f>ROUND(SUMIF(其他业务明细表!$E:$E,C$1&amp;$A5,其他业务明细表!$D:$D),2)</f>
        <v>0</v>
      </c>
      <c r="D5" s="295">
        <f>ROUND(SUMIF(其他业务明细表!$E:$E,D$1&amp;$A5,其他业务明细表!$D:$D),2)</f>
        <v>0</v>
      </c>
      <c r="E5" s="295">
        <f>ROUND(SUMIF(其他业务明细表!$E:$E,E$1&amp;$A5,其他业务明细表!$D:$D),2)</f>
        <v>0</v>
      </c>
    </row>
    <row r="6" spans="1:5" ht="14.4">
      <c r="A6" s="347"/>
      <c r="B6" s="295">
        <f>ROUND(SUMIF(其他业务明细表!$E:$E,B$1&amp;$A6,其他业务明细表!$D:$D),2)</f>
        <v>0</v>
      </c>
      <c r="C6" s="295">
        <f>ROUND(SUMIF(其他业务明细表!$E:$E,C$1&amp;$A6,其他业务明细表!$D:$D),2)</f>
        <v>0</v>
      </c>
      <c r="D6" s="295">
        <f>ROUND(SUMIF(其他业务明细表!$E:$E,D$1&amp;$A6,其他业务明细表!$D:$D),2)</f>
        <v>0</v>
      </c>
      <c r="E6" s="295">
        <f>ROUND(SUMIF(其他业务明细表!$E:$E,E$1&amp;$A6,其他业务明细表!$D:$D),2)</f>
        <v>0</v>
      </c>
    </row>
    <row r="7" spans="1:5" ht="14.4">
      <c r="A7" s="347"/>
      <c r="B7" s="295">
        <f>ROUND(SUMIF(其他业务明细表!$E:$E,B$1&amp;$A7,其他业务明细表!$D:$D),2)</f>
        <v>0</v>
      </c>
      <c r="C7" s="295">
        <f>ROUND(SUMIF(其他业务明细表!$E:$E,C$1&amp;$A7,其他业务明细表!$D:$D),2)</f>
        <v>0</v>
      </c>
      <c r="D7" s="295">
        <f>ROUND(SUMIF(其他业务明细表!$E:$E,D$1&amp;$A7,其他业务明细表!$D:$D),2)</f>
        <v>0</v>
      </c>
      <c r="E7" s="295">
        <f>ROUND(SUMIF(其他业务明细表!$E:$E,E$1&amp;$A7,其他业务明细表!$D:$D),2)</f>
        <v>0</v>
      </c>
    </row>
    <row r="8" spans="1:5" ht="14.4">
      <c r="A8" s="347"/>
      <c r="B8" s="295">
        <f>ROUND(SUMIF(其他业务明细表!$E:$E,B$1&amp;$A8,其他业务明细表!$D:$D),2)</f>
        <v>0</v>
      </c>
      <c r="C8" s="295">
        <f>ROUND(SUMIF(其他业务明细表!$E:$E,C$1&amp;$A8,其他业务明细表!$D:$D),2)</f>
        <v>0</v>
      </c>
      <c r="D8" s="295">
        <f>ROUND(SUMIF(其他业务明细表!$E:$E,D$1&amp;$A8,其他业务明细表!$D:$D),2)</f>
        <v>0</v>
      </c>
      <c r="E8" s="295">
        <f>ROUND(SUMIF(其他业务明细表!$E:$E,E$1&amp;$A8,其他业务明细表!$D:$D),2)</f>
        <v>0</v>
      </c>
    </row>
    <row r="9" spans="1:5" ht="14.4">
      <c r="A9" s="347"/>
      <c r="B9" s="295">
        <f>ROUND(SUMIF(其他业务明细表!$E:$E,B$1&amp;$A9,其他业务明细表!$D:$D),2)</f>
        <v>0</v>
      </c>
      <c r="C9" s="295">
        <f>ROUND(SUMIF(其他业务明细表!$E:$E,C$1&amp;$A9,其他业务明细表!$D:$D),2)</f>
        <v>0</v>
      </c>
      <c r="D9" s="295">
        <f>ROUND(SUMIF(其他业务明细表!$E:$E,D$1&amp;$A9,其他业务明细表!$D:$D),2)</f>
        <v>0</v>
      </c>
      <c r="E9" s="295">
        <f>ROUND(SUMIF(其他业务明细表!$E:$E,E$1&amp;$A9,其他业务明细表!$D:$D),2)</f>
        <v>0</v>
      </c>
    </row>
    <row r="10" spans="1:5" ht="14.4">
      <c r="A10" s="347"/>
      <c r="B10" s="295">
        <f>ROUND(SUMIF(其他业务明细表!$E:$E,B$1&amp;$A10,其他业务明细表!$D:$D),2)</f>
        <v>0</v>
      </c>
      <c r="C10" s="295">
        <f>ROUND(SUMIF(其他业务明细表!$E:$E,C$1&amp;$A10,其他业务明细表!$D:$D),2)</f>
        <v>0</v>
      </c>
      <c r="D10" s="295">
        <f>ROUND(SUMIF(其他业务明细表!$E:$E,D$1&amp;$A10,其他业务明细表!$D:$D),2)</f>
        <v>0</v>
      </c>
      <c r="E10" s="295">
        <f>ROUND(SUMIF(其他业务明细表!$E:$E,E$1&amp;$A10,其他业务明细表!$D:$D),2)</f>
        <v>0</v>
      </c>
    </row>
    <row r="11" spans="1:5" ht="14.4">
      <c r="A11" s="19" t="s">
        <v>204</v>
      </c>
      <c r="B11" s="69">
        <f>ROUND(SUM(B2:B10),2)</f>
        <v>0</v>
      </c>
      <c r="C11" s="69">
        <f>ROUND(SUM(C2:C10),2)</f>
        <v>0</v>
      </c>
      <c r="D11" s="69">
        <f>ROUND(SUM(D2:D10),2)</f>
        <v>0</v>
      </c>
      <c r="E11" s="69">
        <f>ROUND(SUM(E2:E10),2)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sheetPr codeName="Sheet317"/>
  <dimension ref="A1:E19"/>
  <sheetViews>
    <sheetView workbookViewId="0">
      <selection activeCell="D15" sqref="D15"/>
    </sheetView>
  </sheetViews>
  <sheetFormatPr defaultRowHeight="13.8"/>
  <sheetData>
    <row r="1" spans="1:5">
      <c r="A1" t="s">
        <v>2427</v>
      </c>
      <c r="B1" t="s">
        <v>95</v>
      </c>
      <c r="C1" t="s">
        <v>4554</v>
      </c>
      <c r="D1" t="s">
        <v>2523</v>
      </c>
      <c r="E1" t="s">
        <v>4259</v>
      </c>
    </row>
    <row r="2" spans="1:5">
      <c r="A2" t="str">
        <f>IF(OR(ABS(D2)&gt;0),基础信息!$B$1,"")</f>
        <v/>
      </c>
      <c r="B2" s="277"/>
      <c r="C2" s="277"/>
      <c r="D2" s="256"/>
      <c r="E2" t="str">
        <f>B2&amp;C2</f>
        <v/>
      </c>
    </row>
    <row r="3" spans="1:5">
      <c r="A3" t="str">
        <f>IF(OR(ABS(D3)&gt;0),基础信息!$B$1,"")</f>
        <v/>
      </c>
      <c r="B3" s="277"/>
      <c r="C3" s="277"/>
      <c r="D3" s="256"/>
      <c r="E3" t="str">
        <f t="shared" ref="E3:E19" si="0">B3&amp;C3</f>
        <v/>
      </c>
    </row>
    <row r="4" spans="1:5">
      <c r="A4" t="str">
        <f>IF(OR(ABS(D4)&gt;0),基础信息!$B$1,"")</f>
        <v/>
      </c>
      <c r="B4" s="277"/>
      <c r="C4" s="277"/>
      <c r="D4" s="256"/>
      <c r="E4" t="str">
        <f t="shared" si="0"/>
        <v/>
      </c>
    </row>
    <row r="5" spans="1:5">
      <c r="A5" t="str">
        <f>IF(OR(ABS(D5)&gt;0),基础信息!$B$1,"")</f>
        <v/>
      </c>
      <c r="B5" s="277"/>
      <c r="C5" s="277"/>
      <c r="D5" s="256"/>
      <c r="E5" t="str">
        <f t="shared" si="0"/>
        <v/>
      </c>
    </row>
    <row r="6" spans="1:5">
      <c r="A6" t="str">
        <f>IF(OR(ABS(D6)&gt;0),基础信息!$B$1,"")</f>
        <v/>
      </c>
      <c r="B6" s="277"/>
      <c r="C6" s="277"/>
      <c r="D6" s="256"/>
      <c r="E6" t="str">
        <f t="shared" si="0"/>
        <v/>
      </c>
    </row>
    <row r="7" spans="1:5">
      <c r="A7" t="str">
        <f>IF(OR(ABS(D7)&gt;0),基础信息!$B$1,"")</f>
        <v/>
      </c>
      <c r="B7" s="277"/>
      <c r="C7" s="277"/>
      <c r="D7" s="256"/>
      <c r="E7" t="str">
        <f t="shared" si="0"/>
        <v/>
      </c>
    </row>
    <row r="8" spans="1:5">
      <c r="A8" t="str">
        <f>IF(OR(ABS(D8)&gt;0),基础信息!$B$1,"")</f>
        <v/>
      </c>
      <c r="B8" s="277"/>
      <c r="C8" s="277"/>
      <c r="D8" s="256"/>
      <c r="E8" t="str">
        <f t="shared" si="0"/>
        <v/>
      </c>
    </row>
    <row r="9" spans="1:5">
      <c r="A9" t="str">
        <f>IF(OR(ABS(D9)&gt;0),基础信息!$B$1,"")</f>
        <v/>
      </c>
      <c r="B9" s="277"/>
      <c r="C9" s="277"/>
      <c r="D9" s="256"/>
      <c r="E9" t="str">
        <f t="shared" si="0"/>
        <v/>
      </c>
    </row>
    <row r="10" spans="1:5">
      <c r="A10" t="str">
        <f>IF(OR(ABS(D10)&gt;0),基础信息!$B$1,"")</f>
        <v/>
      </c>
      <c r="B10" s="277"/>
      <c r="C10" s="277"/>
      <c r="D10" s="256"/>
      <c r="E10" t="str">
        <f t="shared" si="0"/>
        <v/>
      </c>
    </row>
    <row r="11" spans="1:5">
      <c r="A11" t="str">
        <f>IF(OR(ABS(D11)&gt;0),基础信息!$B$1,"")</f>
        <v/>
      </c>
      <c r="B11" s="277"/>
      <c r="C11" s="277"/>
      <c r="D11" s="256"/>
      <c r="E11" t="str">
        <f t="shared" si="0"/>
        <v/>
      </c>
    </row>
    <row r="12" spans="1:5">
      <c r="A12" t="str">
        <f>IF(OR(ABS(D12)&gt;0),基础信息!$B$1,"")</f>
        <v/>
      </c>
      <c r="B12" s="277"/>
      <c r="C12" s="277"/>
      <c r="D12" s="256"/>
      <c r="E12" t="str">
        <f t="shared" si="0"/>
        <v/>
      </c>
    </row>
    <row r="13" spans="1:5">
      <c r="A13" t="str">
        <f>IF(OR(ABS(D13)&gt;0),基础信息!$B$1,"")</f>
        <v/>
      </c>
      <c r="B13" s="277"/>
      <c r="C13" s="277"/>
      <c r="D13" s="256"/>
      <c r="E13" t="str">
        <f t="shared" si="0"/>
        <v/>
      </c>
    </row>
    <row r="14" spans="1:5">
      <c r="A14" t="str">
        <f>IF(OR(ABS(D14)&gt;0),基础信息!$B$1,"")</f>
        <v/>
      </c>
      <c r="B14" s="277"/>
      <c r="C14" s="277"/>
      <c r="D14" s="256"/>
      <c r="E14" t="str">
        <f t="shared" si="0"/>
        <v/>
      </c>
    </row>
    <row r="15" spans="1:5">
      <c r="A15" t="str">
        <f>IF(OR(ABS(D15)&gt;0),基础信息!$B$1,"")</f>
        <v/>
      </c>
      <c r="B15" s="277"/>
      <c r="C15" s="277"/>
      <c r="D15" s="256"/>
      <c r="E15" t="str">
        <f t="shared" si="0"/>
        <v/>
      </c>
    </row>
    <row r="16" spans="1:5">
      <c r="A16" t="str">
        <f>IF(OR(ABS(D16)&gt;0),基础信息!$B$1,"")</f>
        <v/>
      </c>
      <c r="B16" s="277"/>
      <c r="C16" s="277"/>
      <c r="D16" s="256"/>
      <c r="E16" t="str">
        <f t="shared" si="0"/>
        <v/>
      </c>
    </row>
    <row r="17" spans="1:5">
      <c r="A17" t="str">
        <f>IF(OR(ABS(D17)&gt;0),基础信息!$B$1,"")</f>
        <v/>
      </c>
      <c r="B17" s="277"/>
      <c r="C17" s="277"/>
      <c r="D17" s="256"/>
      <c r="E17" t="str">
        <f t="shared" si="0"/>
        <v/>
      </c>
    </row>
    <row r="18" spans="1:5">
      <c r="A18" t="str">
        <f>IF(OR(ABS(D18)&gt;0),基础信息!$B$1,"")</f>
        <v/>
      </c>
      <c r="B18" s="277"/>
      <c r="C18" s="277"/>
      <c r="D18" s="256"/>
      <c r="E18" t="str">
        <f t="shared" si="0"/>
        <v/>
      </c>
    </row>
    <row r="19" spans="1:5">
      <c r="A19" t="str">
        <f>IF(OR(ABS(D19)&gt;0),基础信息!$B$1,"")</f>
        <v/>
      </c>
      <c r="B19" s="277"/>
      <c r="C19" s="277"/>
      <c r="D19" s="256"/>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codeName="Sheet318">
    <tabColor rgb="FFFFC000"/>
  </sheetPr>
  <dimension ref="A1:C12"/>
  <sheetViews>
    <sheetView workbookViewId="0">
      <selection activeCell="E16" sqref="E16"/>
    </sheetView>
  </sheetViews>
  <sheetFormatPr defaultRowHeight="13.8"/>
  <cols>
    <col min="1" max="4" width="17.5546875" style="18" customWidth="1"/>
    <col min="5" max="16384" width="8.88671875" style="18"/>
  </cols>
  <sheetData>
    <row r="1" spans="1:3" ht="14.4">
      <c r="A1" s="31" t="s">
        <v>28</v>
      </c>
      <c r="B1" s="20" t="s">
        <v>609</v>
      </c>
      <c r="C1" s="20" t="s">
        <v>666</v>
      </c>
    </row>
    <row r="2" spans="1:3" ht="14.4">
      <c r="A2" s="379" t="s">
        <v>105</v>
      </c>
      <c r="B2" s="268"/>
      <c r="C2" s="268"/>
    </row>
    <row r="3" spans="1:3" ht="14.4">
      <c r="A3" s="379" t="s">
        <v>553</v>
      </c>
      <c r="B3" s="268"/>
      <c r="C3" s="268"/>
    </row>
    <row r="4" spans="1:3" ht="14.4">
      <c r="A4" s="379" t="s">
        <v>108</v>
      </c>
      <c r="B4" s="268"/>
      <c r="C4" s="268"/>
    </row>
    <row r="5" spans="1:3" ht="14.4">
      <c r="A5" s="379" t="s">
        <v>554</v>
      </c>
      <c r="B5" s="268"/>
      <c r="C5" s="268"/>
    </row>
    <row r="6" spans="1:3" ht="14.4">
      <c r="A6" s="379" t="s">
        <v>679</v>
      </c>
      <c r="B6" s="268"/>
      <c r="C6" s="268"/>
    </row>
    <row r="7" spans="1:3" ht="14.4">
      <c r="A7" s="379" t="s">
        <v>2296</v>
      </c>
      <c r="B7" s="268"/>
      <c r="C7" s="268"/>
    </row>
    <row r="8" spans="1:3" ht="14.4">
      <c r="A8" s="379" t="s">
        <v>1932</v>
      </c>
      <c r="B8" s="268"/>
      <c r="C8" s="268"/>
    </row>
    <row r="9" spans="1:3" ht="14.4">
      <c r="A9" s="379" t="s">
        <v>1930</v>
      </c>
      <c r="B9" s="268"/>
      <c r="C9" s="268"/>
    </row>
    <row r="10" spans="1:3" ht="14.4">
      <c r="A10" s="379" t="s">
        <v>1929</v>
      </c>
      <c r="B10" s="268"/>
      <c r="C10" s="268"/>
    </row>
    <row r="11" spans="1:3" ht="14.4">
      <c r="A11" s="379" t="s">
        <v>680</v>
      </c>
      <c r="B11" s="268"/>
      <c r="C11" s="268"/>
    </row>
    <row r="12" spans="1:3" ht="14.4">
      <c r="A12" s="31" t="s">
        <v>204</v>
      </c>
      <c r="B12" s="69">
        <f>ROUND(SUM(B2:B11),2)</f>
        <v>0</v>
      </c>
      <c r="C12" s="69">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codeName="Sheet319">
    <tabColor rgb="FFFFC000"/>
  </sheetPr>
  <dimension ref="A1:C21"/>
  <sheetViews>
    <sheetView workbookViewId="0">
      <selection activeCell="G17" sqref="G17"/>
    </sheetView>
  </sheetViews>
  <sheetFormatPr defaultRowHeight="13.8"/>
  <cols>
    <col min="1" max="1" width="32.6640625" style="18" customWidth="1"/>
    <col min="2" max="16384" width="8.88671875" style="18"/>
  </cols>
  <sheetData>
    <row r="1" spans="1:3" ht="28.8">
      <c r="A1" s="31" t="s">
        <v>28</v>
      </c>
      <c r="B1" s="20" t="s">
        <v>609</v>
      </c>
      <c r="C1" s="20" t="s">
        <v>666</v>
      </c>
    </row>
    <row r="2" spans="1:3" ht="14.4">
      <c r="A2" s="379" t="s">
        <v>2335</v>
      </c>
      <c r="B2" s="281"/>
      <c r="C2" s="281"/>
    </row>
    <row r="3" spans="1:3" ht="14.4">
      <c r="A3" s="379" t="s">
        <v>2207</v>
      </c>
      <c r="B3" s="281"/>
      <c r="C3" s="281"/>
    </row>
    <row r="4" spans="1:3" ht="14.4">
      <c r="A4" s="379" t="s">
        <v>2336</v>
      </c>
      <c r="B4" s="281"/>
      <c r="C4" s="281"/>
    </row>
    <row r="5" spans="1:3" ht="14.4">
      <c r="A5" s="379" t="s">
        <v>2337</v>
      </c>
      <c r="B5" s="281"/>
      <c r="C5" s="281"/>
    </row>
    <row r="6" spans="1:3" ht="14.4">
      <c r="A6" s="379" t="s">
        <v>2338</v>
      </c>
      <c r="B6" s="281"/>
      <c r="C6" s="281"/>
    </row>
    <row r="7" spans="1:3" ht="14.4">
      <c r="A7" s="379" t="s">
        <v>2339</v>
      </c>
      <c r="B7" s="281"/>
      <c r="C7" s="281"/>
    </row>
    <row r="8" spans="1:3" ht="14.4">
      <c r="A8" s="379" t="s">
        <v>2340</v>
      </c>
      <c r="B8" s="281"/>
      <c r="C8" s="281"/>
    </row>
    <row r="9" spans="1:3" ht="14.4">
      <c r="A9" s="379" t="s">
        <v>2341</v>
      </c>
      <c r="B9" s="281"/>
      <c r="C9" s="281"/>
    </row>
    <row r="10" spans="1:3" ht="14.4">
      <c r="A10" s="379" t="s">
        <v>2342</v>
      </c>
      <c r="B10" s="281"/>
      <c r="C10" s="281"/>
    </row>
    <row r="11" spans="1:3" ht="14.4">
      <c r="A11" s="379" t="s">
        <v>2343</v>
      </c>
      <c r="B11" s="281"/>
      <c r="C11" s="281"/>
    </row>
    <row r="12" spans="1:3" ht="14.4">
      <c r="A12" s="379" t="s">
        <v>2344</v>
      </c>
      <c r="B12" s="281"/>
      <c r="C12" s="281"/>
    </row>
    <row r="13" spans="1:3" ht="14.4">
      <c r="A13" s="379" t="s">
        <v>2356</v>
      </c>
      <c r="B13" s="281"/>
      <c r="C13" s="281"/>
    </row>
    <row r="14" spans="1:3" ht="14.4">
      <c r="A14" s="379" t="s">
        <v>2345</v>
      </c>
      <c r="B14" s="281"/>
      <c r="C14" s="281"/>
    </row>
    <row r="15" spans="1:3" ht="14.4">
      <c r="A15" s="379" t="s">
        <v>734</v>
      </c>
      <c r="B15" s="281"/>
      <c r="C15" s="281"/>
    </row>
    <row r="16" spans="1:3" ht="14.4">
      <c r="A16" s="379" t="s">
        <v>2346</v>
      </c>
      <c r="B16" s="281"/>
      <c r="C16" s="281"/>
    </row>
    <row r="17" spans="1:3" ht="14.4">
      <c r="A17" s="379" t="s">
        <v>2347</v>
      </c>
      <c r="B17" s="281"/>
      <c r="C17" s="281"/>
    </row>
    <row r="18" spans="1:3" ht="14.4">
      <c r="A18" s="379" t="s">
        <v>2348</v>
      </c>
      <c r="B18" s="281"/>
      <c r="C18" s="281"/>
    </row>
    <row r="19" spans="1:3" ht="14.4">
      <c r="A19" s="379"/>
      <c r="B19" s="281"/>
      <c r="C19" s="281"/>
    </row>
    <row r="20" spans="1:3" ht="14.4">
      <c r="A20" s="379"/>
      <c r="B20" s="281"/>
      <c r="C20" s="281"/>
    </row>
    <row r="21" spans="1:3" ht="14.4">
      <c r="A21" s="31" t="s">
        <v>204</v>
      </c>
      <c r="B21" s="21">
        <f>ROUND(SUM(B2:B20),2)</f>
        <v>0</v>
      </c>
      <c r="C21" s="21">
        <f>ROUND(SUM(C2:C20),2)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codeName="Sheet32">
    <tabColor rgb="FF00B0F0"/>
  </sheetPr>
  <dimension ref="A1:D3"/>
  <sheetViews>
    <sheetView workbookViewId="0">
      <selection activeCell="H22" sqref="H22"/>
    </sheetView>
  </sheetViews>
  <sheetFormatPr defaultRowHeight="13.8"/>
  <cols>
    <col min="1" max="1" width="47.33203125" bestFit="1" customWidth="1"/>
    <col min="2" max="2" width="16.109375" style="230" bestFit="1" customWidth="1"/>
    <col min="3" max="3" width="18.33203125" style="230" bestFit="1" customWidth="1"/>
    <col min="4" max="4" width="8.88671875" style="230"/>
  </cols>
  <sheetData>
    <row r="1" spans="1:4">
      <c r="A1" s="245" t="s">
        <v>95</v>
      </c>
      <c r="B1" s="377" t="s">
        <v>2960</v>
      </c>
      <c r="C1" s="377" t="s">
        <v>2961</v>
      </c>
      <c r="D1" s="377" t="s">
        <v>2391</v>
      </c>
    </row>
    <row r="2" spans="1:4">
      <c r="A2" t="str">
        <f>现金流量表!A46</f>
        <v xml:space="preserve">        其中：子公司吸收少数股东投资收到的现金</v>
      </c>
      <c r="B2" s="230">
        <f>现金流量表!B46</f>
        <v>0</v>
      </c>
      <c r="C2" s="230">
        <f>本期所有者权益变动表!N10</f>
        <v>0</v>
      </c>
      <c r="D2" s="230">
        <f>B2-C2</f>
        <v>0</v>
      </c>
    </row>
    <row r="3" spans="1:4">
      <c r="A3" t="str">
        <f>现金流量表!A53</f>
        <v xml:space="preserve">        其中：子公司支付给少数股东的股利、利润</v>
      </c>
      <c r="B3" s="230">
        <f>现金流量表!B53</f>
        <v>0</v>
      </c>
      <c r="C3" s="230">
        <f>本期所有者权益变动表!N25</f>
        <v>0</v>
      </c>
      <c r="D3" s="230">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codeName="Sheet320">
    <tabColor rgb="FFFFC000"/>
  </sheetPr>
  <dimension ref="A1:C28"/>
  <sheetViews>
    <sheetView topLeftCell="A15" workbookViewId="0">
      <selection activeCell="B28" sqref="B28:C2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609</v>
      </c>
      <c r="C1" s="20" t="s">
        <v>666</v>
      </c>
    </row>
    <row r="2" spans="1:3" ht="14.4">
      <c r="A2" s="380" t="s">
        <v>4761</v>
      </c>
      <c r="B2" s="270"/>
      <c r="C2" s="270"/>
    </row>
    <row r="3" spans="1:3" ht="14.4">
      <c r="A3" s="380" t="s">
        <v>2335</v>
      </c>
      <c r="B3" s="281"/>
      <c r="C3" s="281"/>
    </row>
    <row r="4" spans="1:3" ht="14.4">
      <c r="A4" s="380" t="s">
        <v>2207</v>
      </c>
      <c r="B4" s="281"/>
      <c r="C4" s="281"/>
    </row>
    <row r="5" spans="1:3" ht="14.4">
      <c r="A5" s="380" t="s">
        <v>2336</v>
      </c>
      <c r="B5" s="281"/>
      <c r="C5" s="281"/>
    </row>
    <row r="6" spans="1:3" ht="14.4">
      <c r="A6" s="380" t="s">
        <v>2349</v>
      </c>
      <c r="B6" s="281"/>
      <c r="C6" s="281"/>
    </row>
    <row r="7" spans="1:3" ht="14.4">
      <c r="A7" s="380" t="s">
        <v>2350</v>
      </c>
      <c r="B7" s="281"/>
      <c r="C7" s="281"/>
    </row>
    <row r="8" spans="1:3" ht="14.4">
      <c r="A8" s="380" t="s">
        <v>2338</v>
      </c>
      <c r="B8" s="281"/>
      <c r="C8" s="281"/>
    </row>
    <row r="9" spans="1:3" ht="14.4">
      <c r="A9" s="380" t="s">
        <v>2339</v>
      </c>
      <c r="B9" s="281"/>
      <c r="C9" s="281"/>
    </row>
    <row r="10" spans="1:3" ht="14.4">
      <c r="A10" s="380" t="s">
        <v>2351</v>
      </c>
      <c r="B10" s="281"/>
      <c r="C10" s="281"/>
    </row>
    <row r="11" spans="1:3" ht="14.4">
      <c r="A11" s="380" t="s">
        <v>2352</v>
      </c>
      <c r="B11" s="281"/>
      <c r="C11" s="281"/>
    </row>
    <row r="12" spans="1:3" ht="14.4">
      <c r="A12" s="380" t="s">
        <v>2353</v>
      </c>
      <c r="B12" s="281"/>
      <c r="C12" s="281"/>
    </row>
    <row r="13" spans="1:3" ht="14.4">
      <c r="A13" s="380" t="s">
        <v>2354</v>
      </c>
      <c r="B13" s="281"/>
      <c r="C13" s="281"/>
    </row>
    <row r="14" spans="1:3" ht="14.4">
      <c r="A14" s="380" t="s">
        <v>2341</v>
      </c>
      <c r="B14" s="281"/>
      <c r="C14" s="281"/>
    </row>
    <row r="15" spans="1:3" ht="14.4">
      <c r="A15" s="380" t="s">
        <v>2355</v>
      </c>
      <c r="B15" s="281"/>
      <c r="C15" s="281"/>
    </row>
    <row r="16" spans="1:3" ht="14.4">
      <c r="A16" s="380" t="s">
        <v>2342</v>
      </c>
      <c r="B16" s="281"/>
      <c r="C16" s="281"/>
    </row>
    <row r="17" spans="1:3" ht="14.4">
      <c r="A17" s="380" t="s">
        <v>733</v>
      </c>
      <c r="B17" s="281"/>
      <c r="C17" s="281"/>
    </row>
    <row r="18" spans="1:3" ht="14.4">
      <c r="A18" s="380" t="s">
        <v>2343</v>
      </c>
      <c r="B18" s="281"/>
      <c r="C18" s="281"/>
    </row>
    <row r="19" spans="1:3" ht="14.4">
      <c r="A19" s="380" t="s">
        <v>2344</v>
      </c>
      <c r="B19" s="281"/>
      <c r="C19" s="281"/>
    </row>
    <row r="20" spans="1:3" ht="14.4">
      <c r="A20" s="380" t="s">
        <v>2356</v>
      </c>
      <c r="B20" s="281"/>
      <c r="C20" s="281"/>
    </row>
    <row r="21" spans="1:3" ht="14.4">
      <c r="A21" s="380" t="s">
        <v>734</v>
      </c>
      <c r="B21" s="281"/>
      <c r="C21" s="281"/>
    </row>
    <row r="22" spans="1:3" ht="14.4">
      <c r="A22" s="380" t="s">
        <v>2357</v>
      </c>
      <c r="B22" s="281"/>
      <c r="C22" s="281"/>
    </row>
    <row r="23" spans="1:3" ht="14.4">
      <c r="A23" s="380" t="s">
        <v>2346</v>
      </c>
      <c r="B23" s="281"/>
      <c r="C23" s="281"/>
    </row>
    <row r="24" spans="1:3" ht="14.4">
      <c r="A24" s="380" t="s">
        <v>2347</v>
      </c>
      <c r="B24" s="281"/>
      <c r="C24" s="281"/>
    </row>
    <row r="25" spans="1:3" ht="14.4">
      <c r="A25" s="380" t="s">
        <v>2348</v>
      </c>
      <c r="B25" s="281"/>
      <c r="C25" s="281"/>
    </row>
    <row r="26" spans="1:3" ht="14.4">
      <c r="A26" s="380"/>
      <c r="B26" s="281"/>
      <c r="C26" s="281"/>
    </row>
    <row r="27" spans="1:3" ht="14.4">
      <c r="A27" s="380"/>
      <c r="B27" s="281"/>
      <c r="C27" s="281"/>
    </row>
    <row r="28" spans="1:3" ht="14.4">
      <c r="A28" s="31" t="s">
        <v>204</v>
      </c>
      <c r="B28" s="21">
        <f>ROUND(SUM(B2:B27),2)</f>
        <v>0</v>
      </c>
      <c r="C28" s="21">
        <f>ROUND(SUM(C2:C27),2)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codeName="Sheet321">
    <tabColor rgb="FFFFC000"/>
  </sheetPr>
  <dimension ref="A1:C24"/>
  <sheetViews>
    <sheetView workbookViewId="0">
      <selection activeCell="B24" sqref="B24:C24"/>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609</v>
      </c>
      <c r="C1" s="20" t="s">
        <v>666</v>
      </c>
    </row>
    <row r="2" spans="1:3" ht="14.4">
      <c r="A2" s="379" t="s">
        <v>2347</v>
      </c>
      <c r="B2" s="281"/>
      <c r="C2" s="281"/>
    </row>
    <row r="3" spans="1:3" ht="14.4">
      <c r="A3" s="379" t="s">
        <v>2346</v>
      </c>
      <c r="B3" s="281"/>
      <c r="C3" s="281"/>
    </row>
    <row r="4" spans="1:3" ht="14.4">
      <c r="A4" s="379" t="s">
        <v>2336</v>
      </c>
      <c r="B4" s="281"/>
      <c r="C4" s="281"/>
    </row>
    <row r="5" spans="1:3" ht="14.4">
      <c r="A5" s="379" t="s">
        <v>2348</v>
      </c>
      <c r="B5" s="281"/>
      <c r="C5" s="281"/>
    </row>
    <row r="6" spans="1:3" ht="14.4">
      <c r="A6" s="379" t="s">
        <v>4763</v>
      </c>
      <c r="B6" s="281"/>
      <c r="C6" s="281"/>
    </row>
    <row r="7" spans="1:3" ht="14.4">
      <c r="A7" s="379" t="s">
        <v>2287</v>
      </c>
      <c r="B7" s="281"/>
      <c r="C7" s="281"/>
    </row>
    <row r="8" spans="1:3" ht="14.4">
      <c r="A8" s="379" t="s">
        <v>2288</v>
      </c>
      <c r="B8" s="281"/>
      <c r="C8" s="281"/>
    </row>
    <row r="9" spans="1:3" ht="14.4">
      <c r="A9" s="379" t="s">
        <v>4762</v>
      </c>
      <c r="B9" s="281"/>
      <c r="C9" s="281"/>
    </row>
    <row r="10" spans="1:3" ht="14.4">
      <c r="A10" s="379"/>
      <c r="B10" s="281"/>
      <c r="C10" s="281"/>
    </row>
    <row r="11" spans="1:3" ht="14.4">
      <c r="A11" s="379"/>
      <c r="B11" s="281"/>
      <c r="C11" s="281"/>
    </row>
    <row r="12" spans="1:3" ht="14.4">
      <c r="A12" s="379"/>
      <c r="B12" s="281"/>
      <c r="C12" s="281"/>
    </row>
    <row r="13" spans="1:3" ht="14.4">
      <c r="A13" s="379"/>
      <c r="B13" s="281"/>
      <c r="C13" s="281"/>
    </row>
    <row r="14" spans="1:3" ht="14.4">
      <c r="A14" s="379"/>
      <c r="B14" s="281"/>
      <c r="C14" s="281"/>
    </row>
    <row r="15" spans="1:3" ht="14.4">
      <c r="A15" s="379"/>
      <c r="B15" s="281"/>
      <c r="C15" s="281"/>
    </row>
    <row r="16" spans="1:3" ht="14.4">
      <c r="A16" s="379"/>
      <c r="B16" s="281"/>
      <c r="C16" s="281"/>
    </row>
    <row r="17" spans="1:3" ht="14.4">
      <c r="A17" s="379"/>
      <c r="B17" s="281"/>
      <c r="C17" s="281"/>
    </row>
    <row r="18" spans="1:3" ht="14.4">
      <c r="A18" s="379"/>
      <c r="B18" s="281"/>
      <c r="C18" s="281"/>
    </row>
    <row r="19" spans="1:3" ht="14.4">
      <c r="A19" s="379"/>
      <c r="B19" s="281"/>
      <c r="C19" s="281"/>
    </row>
    <row r="20" spans="1:3" ht="14.4">
      <c r="A20" s="379"/>
      <c r="B20" s="281"/>
      <c r="C20" s="281"/>
    </row>
    <row r="21" spans="1:3" ht="14.4">
      <c r="A21" s="379"/>
      <c r="B21" s="281"/>
      <c r="C21" s="281"/>
    </row>
    <row r="22" spans="1:3" ht="14.4">
      <c r="A22" s="379"/>
      <c r="B22" s="281"/>
      <c r="C22" s="281"/>
    </row>
    <row r="23" spans="1:3" ht="14.4">
      <c r="A23" s="379"/>
      <c r="B23" s="281"/>
      <c r="C23" s="281"/>
    </row>
    <row r="24" spans="1:3" ht="14.4">
      <c r="A24" s="31" t="s">
        <v>204</v>
      </c>
      <c r="B24" s="21">
        <f>ROUND(SUM(B2:B23),2)</f>
        <v>0</v>
      </c>
      <c r="C24" s="21">
        <f>ROUND(SUM(C2:C23),2)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codeName="Sheet322">
    <tabColor rgb="FFFFC000"/>
  </sheetPr>
  <dimension ref="A1:C10"/>
  <sheetViews>
    <sheetView workbookViewId="0">
      <selection activeCell="B5" sqref="B5:C5 B10:C10"/>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4" t="s">
        <v>609</v>
      </c>
      <c r="C1" s="154" t="s">
        <v>666</v>
      </c>
    </row>
    <row r="2" spans="1:3" ht="14.4">
      <c r="A2" s="32" t="s">
        <v>1957</v>
      </c>
      <c r="B2" s="268"/>
      <c r="C2" s="268"/>
    </row>
    <row r="3" spans="1:3" ht="14.4">
      <c r="A3" s="32" t="s">
        <v>1958</v>
      </c>
      <c r="B3" s="268"/>
      <c r="C3" s="268"/>
    </row>
    <row r="4" spans="1:3" ht="14.4">
      <c r="A4" s="32" t="s">
        <v>1959</v>
      </c>
      <c r="B4" s="268"/>
      <c r="C4" s="268"/>
    </row>
    <row r="5" spans="1:3" ht="14.4">
      <c r="A5" s="32" t="s">
        <v>1961</v>
      </c>
      <c r="B5" s="69">
        <f>ROUND(B2-B3+B4,2)</f>
        <v>0</v>
      </c>
      <c r="C5" s="69">
        <f>ROUND(C2-C3+C4,2)</f>
        <v>0</v>
      </c>
    </row>
    <row r="6" spans="1:3" ht="14.4">
      <c r="A6" s="32" t="s">
        <v>1960</v>
      </c>
      <c r="B6" s="268"/>
      <c r="C6" s="268"/>
    </row>
    <row r="7" spans="1:3" ht="14.4">
      <c r="A7" s="32" t="s">
        <v>4172</v>
      </c>
      <c r="B7" s="268"/>
      <c r="C7" s="268"/>
    </row>
    <row r="8" spans="1:3" ht="14.4">
      <c r="A8" s="32" t="s">
        <v>1962</v>
      </c>
      <c r="B8" s="268"/>
      <c r="C8" s="268"/>
    </row>
    <row r="9" spans="1:3" ht="14.4">
      <c r="A9" s="32" t="s">
        <v>1963</v>
      </c>
      <c r="B9" s="268"/>
      <c r="C9" s="268"/>
    </row>
    <row r="10" spans="1:3" ht="14.4">
      <c r="A10" s="31" t="s">
        <v>204</v>
      </c>
      <c r="B10" s="69">
        <f>ROUND(B5+B6-B7+B8+B9,2)</f>
        <v>0</v>
      </c>
      <c r="C10" s="69">
        <f>ROUND(C5+C6-C7+C8+C9,2)</f>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sheetPr codeName="Sheet323"/>
  <dimension ref="A1:C12"/>
  <sheetViews>
    <sheetView workbookViewId="0">
      <selection activeCell="A21" sqref="A21"/>
    </sheetView>
  </sheetViews>
  <sheetFormatPr defaultRowHeight="13.8"/>
  <cols>
    <col min="1" max="1" width="108" style="237" customWidth="1"/>
    <col min="2" max="3" width="8.88671875" style="230"/>
  </cols>
  <sheetData>
    <row r="1" spans="1:3">
      <c r="A1" s="354" t="s">
        <v>95</v>
      </c>
      <c r="B1" s="230" t="s">
        <v>444</v>
      </c>
      <c r="C1" s="230" t="s">
        <v>445</v>
      </c>
    </row>
    <row r="2" spans="1:3" ht="27.6">
      <c r="A2" s="237" t="s">
        <v>2731</v>
      </c>
      <c r="B2" s="290"/>
      <c r="C2" s="290"/>
    </row>
    <row r="3" spans="1:3">
      <c r="A3" s="237" t="s">
        <v>2732</v>
      </c>
      <c r="B3" s="290"/>
      <c r="C3" s="290"/>
    </row>
    <row r="4" spans="1:3">
      <c r="A4" s="237" t="s">
        <v>2733</v>
      </c>
      <c r="B4" s="290"/>
      <c r="C4" s="290"/>
    </row>
    <row r="5" spans="1:3">
      <c r="A5" s="271" t="s">
        <v>2735</v>
      </c>
      <c r="B5" s="264">
        <f>SUM(B2:B4)</f>
        <v>0</v>
      </c>
      <c r="C5" s="264">
        <f>SUM(C2:C4)</f>
        <v>0</v>
      </c>
    </row>
    <row r="6" spans="1:3">
      <c r="A6" s="237" t="s">
        <v>2734</v>
      </c>
      <c r="B6" s="290"/>
      <c r="C6" s="290"/>
    </row>
    <row r="7" spans="1:3">
      <c r="A7" s="237" t="s">
        <v>2595</v>
      </c>
      <c r="B7" s="290"/>
      <c r="C7" s="290"/>
    </row>
    <row r="8" spans="1:3">
      <c r="A8" s="237" t="s">
        <v>2596</v>
      </c>
      <c r="B8" s="290"/>
      <c r="C8" s="290"/>
    </row>
    <row r="9" spans="1:3">
      <c r="A9" s="237" t="s">
        <v>2597</v>
      </c>
      <c r="B9" s="290"/>
      <c r="C9" s="290"/>
    </row>
    <row r="10" spans="1:3">
      <c r="A10" s="271" t="s">
        <v>2736</v>
      </c>
      <c r="B10" s="264">
        <f>SUM(B6:B9)</f>
        <v>0</v>
      </c>
      <c r="C10" s="264">
        <f>SUM(C6:C9)</f>
        <v>0</v>
      </c>
    </row>
    <row r="11" spans="1:3">
      <c r="A11" s="237" t="s">
        <v>2737</v>
      </c>
      <c r="B11" s="230">
        <f>B5-财务费用!B7</f>
        <v>0</v>
      </c>
      <c r="C11" s="230">
        <f>C5-财务费用!C7</f>
        <v>0</v>
      </c>
    </row>
    <row r="12" spans="1:3">
      <c r="A12" s="237" t="s">
        <v>2738</v>
      </c>
      <c r="B12" s="230">
        <f>财务费用!B5-财务费用分类表!B10</f>
        <v>0</v>
      </c>
      <c r="C12" s="230">
        <f>财务费用!C5-财务费用分类表!C10</f>
        <v>0</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codeName="Sheet324">
    <tabColor rgb="FFFFC000"/>
  </sheetPr>
  <dimension ref="A1:D5"/>
  <sheetViews>
    <sheetView workbookViewId="0">
      <selection activeCell="E19" sqref="E19:E20"/>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609</v>
      </c>
      <c r="C1" s="20" t="s">
        <v>666</v>
      </c>
      <c r="D1" s="20" t="s">
        <v>681</v>
      </c>
    </row>
    <row r="2" spans="1:4" ht="14.4">
      <c r="A2" s="269" t="s">
        <v>5472</v>
      </c>
      <c r="B2" s="281"/>
      <c r="C2" s="281"/>
      <c r="D2" s="281"/>
    </row>
    <row r="3" spans="1:4" ht="14.4">
      <c r="A3" s="269" t="s">
        <v>5473</v>
      </c>
      <c r="B3" s="281"/>
      <c r="C3" s="281"/>
      <c r="D3" s="281"/>
    </row>
    <row r="4" spans="1:4" ht="14.4">
      <c r="A4" s="269" t="s">
        <v>682</v>
      </c>
      <c r="B4" s="281"/>
      <c r="C4" s="281"/>
      <c r="D4" s="281"/>
    </row>
    <row r="5" spans="1:4" ht="14.4">
      <c r="A5" s="19" t="s">
        <v>204</v>
      </c>
      <c r="B5" s="21">
        <f>ROUND(SUM(B2:B4),2)</f>
        <v>0</v>
      </c>
      <c r="C5" s="21">
        <f>ROUND(SUM(C2:C4),2)</f>
        <v>0</v>
      </c>
      <c r="D5" s="21"/>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codeName="Sheet325">
    <tabColor rgb="FFFFC000"/>
  </sheetPr>
  <dimension ref="A1:C12"/>
  <sheetViews>
    <sheetView workbookViewId="0">
      <selection activeCell="E22" sqref="E22"/>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609</v>
      </c>
      <c r="C1" s="20" t="s">
        <v>666</v>
      </c>
    </row>
    <row r="2" spans="1:3" ht="14.4">
      <c r="A2" s="347" t="s">
        <v>3050</v>
      </c>
      <c r="B2" s="281">
        <v>0</v>
      </c>
      <c r="C2" s="281"/>
    </row>
    <row r="3" spans="1:3" ht="14.4">
      <c r="A3" s="347" t="s">
        <v>684</v>
      </c>
      <c r="B3" s="281"/>
      <c r="C3" s="281"/>
    </row>
    <row r="4" spans="1:3" ht="14.4">
      <c r="A4" s="347" t="s">
        <v>689</v>
      </c>
      <c r="B4" s="281"/>
      <c r="C4" s="281"/>
    </row>
    <row r="5" spans="1:3" ht="14.4">
      <c r="A5" s="347" t="s">
        <v>690</v>
      </c>
      <c r="B5" s="281"/>
      <c r="C5" s="281"/>
    </row>
    <row r="6" spans="1:3" ht="14.4">
      <c r="A6" s="347"/>
      <c r="B6" s="281"/>
      <c r="C6" s="281"/>
    </row>
    <row r="7" spans="1:3" ht="14.4">
      <c r="A7" s="347"/>
      <c r="B7" s="281"/>
      <c r="C7" s="281"/>
    </row>
    <row r="8" spans="1:3" ht="14.4">
      <c r="A8" s="347"/>
      <c r="B8" s="281"/>
      <c r="C8" s="281"/>
    </row>
    <row r="9" spans="1:3" ht="14.4">
      <c r="A9" s="347"/>
      <c r="B9" s="281"/>
      <c r="C9" s="281"/>
    </row>
    <row r="10" spans="1:3" ht="14.4">
      <c r="A10" s="347"/>
      <c r="B10" s="281"/>
      <c r="C10" s="281"/>
    </row>
    <row r="11" spans="1:3" ht="14.4">
      <c r="A11" s="347"/>
      <c r="B11" s="281"/>
      <c r="C11" s="281"/>
    </row>
    <row r="12" spans="1:3" ht="14.4">
      <c r="A12" s="19" t="s">
        <v>204</v>
      </c>
      <c r="B12" s="21">
        <f>ROUND(SUM(B2:B11),2)</f>
        <v>0</v>
      </c>
      <c r="C12" s="21">
        <f>ROUND(SUM(C2:C11),2)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codeName="Sheet326">
    <tabColor rgb="FFFFC000"/>
  </sheetPr>
  <dimension ref="A1:C4"/>
  <sheetViews>
    <sheetView workbookViewId="0">
      <selection activeCell="C15" sqref="C15"/>
    </sheetView>
  </sheetViews>
  <sheetFormatPr defaultRowHeight="13.8"/>
  <cols>
    <col min="1" max="3" width="34.6640625" style="18" customWidth="1"/>
    <col min="4" max="16384" width="8.88671875" style="18"/>
  </cols>
  <sheetData>
    <row r="1" spans="1:3" ht="14.4">
      <c r="A1" s="19" t="s">
        <v>28</v>
      </c>
      <c r="B1" s="20" t="s">
        <v>609</v>
      </c>
      <c r="C1" s="20" t="s">
        <v>666</v>
      </c>
    </row>
    <row r="2" spans="1:3" ht="28.8">
      <c r="A2" s="34" t="s">
        <v>691</v>
      </c>
      <c r="B2" s="281"/>
      <c r="C2" s="270"/>
    </row>
    <row r="3" spans="1:3" ht="28.8">
      <c r="A3" s="34" t="s">
        <v>692</v>
      </c>
      <c r="B3" s="281"/>
      <c r="C3" s="270"/>
    </row>
    <row r="4" spans="1:3" ht="14.4">
      <c r="A4" s="35" t="s">
        <v>204</v>
      </c>
      <c r="B4" s="21">
        <f>ROUND(SUM(B2:B3),2)</f>
        <v>0</v>
      </c>
      <c r="C4" s="21">
        <f>ROUND(SUM(C2:C3),2)</f>
        <v>0</v>
      </c>
    </row>
  </sheetData>
  <phoneticPr fontId="1"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codeName="Sheet327">
    <tabColor rgb="FFFFC000"/>
  </sheetPr>
  <dimension ref="A1:C9"/>
  <sheetViews>
    <sheetView workbookViewId="0">
      <selection activeCell="D20" sqref="D20:D21"/>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609</v>
      </c>
      <c r="C1" s="20" t="s">
        <v>666</v>
      </c>
    </row>
    <row r="2" spans="1:3" ht="14.4">
      <c r="A2" s="269" t="s">
        <v>693</v>
      </c>
      <c r="B2" s="281"/>
      <c r="C2" s="281"/>
    </row>
    <row r="3" spans="1:3" ht="14.4">
      <c r="A3" s="269" t="s">
        <v>694</v>
      </c>
      <c r="B3" s="281"/>
      <c r="C3" s="281"/>
    </row>
    <row r="4" spans="1:3" ht="28.8">
      <c r="A4" s="269" t="s">
        <v>695</v>
      </c>
      <c r="B4" s="281"/>
      <c r="C4" s="281"/>
    </row>
    <row r="5" spans="1:3" ht="14.4">
      <c r="A5" s="269" t="s">
        <v>696</v>
      </c>
      <c r="B5" s="281"/>
      <c r="C5" s="281"/>
    </row>
    <row r="6" spans="1:3" ht="28.8">
      <c r="A6" s="269" t="s">
        <v>697</v>
      </c>
      <c r="B6" s="281"/>
      <c r="C6" s="281"/>
    </row>
    <row r="7" spans="1:3" ht="14.4">
      <c r="A7" s="269" t="s">
        <v>698</v>
      </c>
      <c r="B7" s="281"/>
      <c r="C7" s="281"/>
    </row>
    <row r="8" spans="1:3" ht="14.4">
      <c r="A8" s="269" t="s">
        <v>13</v>
      </c>
      <c r="B8" s="281"/>
      <c r="C8" s="281"/>
    </row>
    <row r="9" spans="1:3" ht="14.4">
      <c r="A9" s="19" t="s">
        <v>204</v>
      </c>
      <c r="B9" s="21">
        <f>ROUND(SUM(B2:B8),2)</f>
        <v>0</v>
      </c>
      <c r="C9" s="21">
        <f>ROUND(SUM(C2:C8),2)</f>
        <v>0</v>
      </c>
    </row>
  </sheetData>
  <phoneticPr fontId="1" type="noConversion"/>
  <pageMargins left="0.7" right="0.7" top="0.75" bottom="0.75" header="0.3" footer="0.3"/>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codeName="Sheet328">
    <tabColor rgb="FFFFC000"/>
  </sheetPr>
  <dimension ref="A1:C6"/>
  <sheetViews>
    <sheetView workbookViewId="0">
      <selection activeCell="F19" sqref="F19:G2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609</v>
      </c>
      <c r="C1" s="20" t="s">
        <v>666</v>
      </c>
    </row>
    <row r="2" spans="1:3" ht="14.4">
      <c r="A2" s="269" t="s">
        <v>699</v>
      </c>
      <c r="B2" s="281"/>
      <c r="C2" s="247"/>
    </row>
    <row r="3" spans="1:3" ht="14.4">
      <c r="A3" s="269" t="s">
        <v>700</v>
      </c>
      <c r="B3" s="281"/>
      <c r="C3" s="247"/>
    </row>
    <row r="4" spans="1:3" ht="14.4">
      <c r="A4" s="269" t="s">
        <v>701</v>
      </c>
      <c r="B4" s="281"/>
      <c r="C4" s="247"/>
    </row>
    <row r="5" spans="1:3" ht="14.4">
      <c r="A5" s="269" t="s">
        <v>13</v>
      </c>
      <c r="B5" s="281"/>
      <c r="C5" s="247"/>
    </row>
    <row r="6" spans="1:3" ht="14.4">
      <c r="A6" s="19" t="s">
        <v>204</v>
      </c>
      <c r="B6" s="21">
        <f>ROUND(SUM(B2:B5),2)</f>
        <v>0</v>
      </c>
      <c r="C6" s="21">
        <f>ROUND(SUM(C2:C5),2)</f>
        <v>0</v>
      </c>
    </row>
  </sheetData>
  <phoneticPr fontId="1" type="noConversion"/>
  <pageMargins left="0.7" right="0.7" top="0.75" bottom="0.75" header="0.3" footer="0.3"/>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codeName="Sheet329">
    <tabColor rgb="FFFFC000"/>
  </sheetPr>
  <dimension ref="A1:C17"/>
  <sheetViews>
    <sheetView workbookViewId="0">
      <selection activeCell="G16" sqref="G16"/>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609</v>
      </c>
      <c r="C1" s="20" t="s">
        <v>666</v>
      </c>
    </row>
    <row r="2" spans="1:3" ht="14.4">
      <c r="A2" s="19" t="s">
        <v>699</v>
      </c>
      <c r="B2" s="268"/>
      <c r="C2" s="268"/>
    </row>
    <row r="3" spans="1:3" ht="14.4">
      <c r="A3" s="19" t="s">
        <v>702</v>
      </c>
      <c r="B3" s="268"/>
      <c r="C3" s="268"/>
    </row>
    <row r="4" spans="1:3" ht="14.4">
      <c r="A4" s="19" t="s">
        <v>703</v>
      </c>
      <c r="B4" s="268"/>
      <c r="C4" s="268"/>
    </row>
    <row r="5" spans="1:3" ht="14.4">
      <c r="A5" s="19" t="s">
        <v>704</v>
      </c>
      <c r="B5" s="268"/>
      <c r="C5" s="268"/>
    </row>
    <row r="6" spans="1:3" ht="14.4">
      <c r="A6" s="19" t="s">
        <v>705</v>
      </c>
      <c r="B6" s="268"/>
      <c r="C6" s="268"/>
    </row>
    <row r="7" spans="1:3" ht="14.4">
      <c r="A7" s="19" t="s">
        <v>706</v>
      </c>
      <c r="B7" s="268"/>
      <c r="C7" s="268"/>
    </row>
    <row r="8" spans="1:3" ht="14.4">
      <c r="A8" s="19" t="s">
        <v>707</v>
      </c>
      <c r="B8" s="268"/>
      <c r="C8" s="268"/>
    </row>
    <row r="9" spans="1:3" ht="14.4">
      <c r="A9" s="19" t="s">
        <v>708</v>
      </c>
      <c r="B9" s="268"/>
      <c r="C9" s="268"/>
    </row>
    <row r="10" spans="1:3" ht="14.4">
      <c r="A10" s="19" t="s">
        <v>709</v>
      </c>
      <c r="B10" s="268"/>
      <c r="C10" s="268"/>
    </row>
    <row r="11" spans="1:3" ht="14.4">
      <c r="A11" s="19" t="s">
        <v>710</v>
      </c>
      <c r="B11" s="268"/>
      <c r="C11" s="268"/>
    </row>
    <row r="12" spans="1:3" ht="14.4">
      <c r="A12" s="19" t="s">
        <v>711</v>
      </c>
      <c r="B12" s="268"/>
      <c r="C12" s="268"/>
    </row>
    <row r="13" spans="1:3" ht="14.4">
      <c r="A13" s="19" t="s">
        <v>712</v>
      </c>
      <c r="B13" s="268"/>
      <c r="C13" s="268"/>
    </row>
    <row r="14" spans="1:3" ht="14.4">
      <c r="A14" s="19" t="s">
        <v>713</v>
      </c>
      <c r="B14" s="268"/>
      <c r="C14" s="268"/>
    </row>
    <row r="15" spans="1:3" ht="14.4">
      <c r="A15" s="19" t="s">
        <v>714</v>
      </c>
      <c r="B15" s="268"/>
      <c r="C15" s="268"/>
    </row>
    <row r="16" spans="1:3" ht="14.4">
      <c r="A16" s="19" t="s">
        <v>13</v>
      </c>
      <c r="B16" s="268"/>
      <c r="C16" s="268"/>
    </row>
    <row r="17" spans="1:3" ht="14.4">
      <c r="A17" s="19" t="s">
        <v>204</v>
      </c>
      <c r="B17" s="69">
        <f>ROUND(SUM(B2:B16),2)</f>
        <v>0</v>
      </c>
      <c r="C17" s="69">
        <f>ROUND(SUM(C2:C16),2)</f>
        <v>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codeName="Sheet33">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6" t="s">
        <v>21</v>
      </c>
      <c r="B1" s="66" t="s">
        <v>22</v>
      </c>
      <c r="C1" s="66" t="s">
        <v>23</v>
      </c>
      <c r="D1" s="66" t="s">
        <v>24</v>
      </c>
      <c r="E1" s="66" t="s">
        <v>25</v>
      </c>
      <c r="F1" s="66" t="s">
        <v>26</v>
      </c>
    </row>
    <row r="2" spans="1:6" ht="14.4">
      <c r="A2" s="546" t="s">
        <v>0</v>
      </c>
      <c r="B2" s="546" t="s">
        <v>1</v>
      </c>
      <c r="C2" s="547"/>
      <c r="D2" s="546" t="s">
        <v>0</v>
      </c>
      <c r="E2" s="546" t="s">
        <v>1</v>
      </c>
      <c r="F2" s="547"/>
    </row>
    <row r="3" spans="1:6" ht="28.8">
      <c r="A3" s="546" t="s">
        <v>3</v>
      </c>
      <c r="B3" s="546" t="s">
        <v>4</v>
      </c>
      <c r="C3" s="547"/>
      <c r="D3" s="546" t="s">
        <v>5</v>
      </c>
      <c r="E3" s="546" t="s">
        <v>4</v>
      </c>
      <c r="F3" s="547"/>
    </row>
    <row r="4" spans="1:6" ht="14.4">
      <c r="A4" s="372" t="s">
        <v>6</v>
      </c>
      <c r="B4" s="372" t="s">
        <v>1</v>
      </c>
      <c r="C4" s="547"/>
      <c r="D4" s="546" t="s">
        <v>6</v>
      </c>
      <c r="E4" s="546" t="s">
        <v>1</v>
      </c>
      <c r="F4" s="547"/>
    </row>
    <row r="5" spans="1:6" ht="28.8">
      <c r="A5" s="372" t="s">
        <v>6</v>
      </c>
      <c r="B5" s="372" t="s">
        <v>1</v>
      </c>
      <c r="C5" s="547"/>
      <c r="D5" s="546" t="s">
        <v>7</v>
      </c>
      <c r="E5" s="546" t="s">
        <v>8</v>
      </c>
      <c r="F5" s="547"/>
    </row>
    <row r="6" spans="1:6" ht="14.4">
      <c r="A6" s="372" t="s">
        <v>9</v>
      </c>
      <c r="B6" s="372" t="s">
        <v>1</v>
      </c>
      <c r="C6" s="547"/>
      <c r="D6" s="546" t="s">
        <v>9</v>
      </c>
      <c r="E6" s="546" t="s">
        <v>1</v>
      </c>
      <c r="F6" s="547"/>
    </row>
    <row r="7" spans="1:6" ht="28.8">
      <c r="A7" s="372" t="s">
        <v>9</v>
      </c>
      <c r="B7" s="372" t="s">
        <v>1</v>
      </c>
      <c r="C7" s="547"/>
      <c r="D7" s="546" t="s">
        <v>7</v>
      </c>
      <c r="E7" s="546" t="s">
        <v>8</v>
      </c>
      <c r="F7" s="547"/>
    </row>
    <row r="8" spans="1:6" ht="14.4">
      <c r="A8" s="546" t="s">
        <v>10</v>
      </c>
      <c r="B8" s="546" t="s">
        <v>1</v>
      </c>
      <c r="C8" s="547"/>
      <c r="D8" s="546" t="s">
        <v>10</v>
      </c>
      <c r="E8" s="546" t="s">
        <v>1</v>
      </c>
      <c r="F8" s="547"/>
    </row>
    <row r="9" spans="1:6" ht="14.4">
      <c r="A9" s="372" t="s">
        <v>11</v>
      </c>
      <c r="B9" s="372" t="s">
        <v>1</v>
      </c>
      <c r="C9" s="547"/>
      <c r="D9" s="546" t="s">
        <v>12</v>
      </c>
      <c r="E9" s="546" t="s">
        <v>1</v>
      </c>
      <c r="F9" s="547"/>
    </row>
    <row r="10" spans="1:6" ht="13.8" customHeight="1">
      <c r="A10" s="372" t="s">
        <v>14</v>
      </c>
      <c r="B10" s="546" t="s">
        <v>15</v>
      </c>
      <c r="C10" s="547"/>
      <c r="D10" s="546" t="s">
        <v>16</v>
      </c>
      <c r="E10" s="546" t="s">
        <v>8</v>
      </c>
      <c r="F10" s="547"/>
    </row>
    <row r="11" spans="1:6" ht="28.8">
      <c r="A11" s="372" t="s">
        <v>14</v>
      </c>
      <c r="B11" s="372" t="s">
        <v>17</v>
      </c>
      <c r="C11" s="547"/>
      <c r="D11" s="372" t="s">
        <v>27</v>
      </c>
      <c r="E11" s="372" t="s">
        <v>4</v>
      </c>
      <c r="F11" s="547"/>
    </row>
    <row r="12" spans="1:6" ht="13.8" customHeight="1">
      <c r="A12" s="372" t="s">
        <v>14</v>
      </c>
      <c r="B12" s="546" t="s">
        <v>18</v>
      </c>
      <c r="C12" s="547"/>
      <c r="D12" s="546" t="s">
        <v>19</v>
      </c>
      <c r="E12" s="546" t="s">
        <v>8</v>
      </c>
      <c r="F12" s="547"/>
    </row>
    <row r="13" spans="1:6" ht="13.8" customHeight="1">
      <c r="A13" s="546" t="s">
        <v>20</v>
      </c>
      <c r="B13" s="546" t="s">
        <v>1</v>
      </c>
      <c r="C13" s="547"/>
      <c r="D13" s="546" t="s">
        <v>20</v>
      </c>
      <c r="E13" s="546" t="s">
        <v>1</v>
      </c>
      <c r="F13" s="547"/>
    </row>
    <row r="14" spans="1:6" ht="14.4">
      <c r="A14" s="372"/>
      <c r="B14" s="546"/>
      <c r="C14" s="547"/>
      <c r="D14" s="546"/>
      <c r="E14" s="546"/>
      <c r="F14" s="547"/>
    </row>
    <row r="15" spans="1:6" ht="14.4">
      <c r="A15" s="546"/>
      <c r="B15" s="546"/>
      <c r="C15" s="547"/>
      <c r="D15" s="546"/>
      <c r="E15" s="546"/>
      <c r="F15" s="547"/>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codeName="Sheet330">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E17" sqref="E17"/>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609</v>
      </c>
      <c r="C1" s="20" t="s">
        <v>666</v>
      </c>
      <c r="D1" s="20" t="s">
        <v>681</v>
      </c>
    </row>
    <row r="2" spans="1:4" ht="14.4">
      <c r="A2" s="340" t="s">
        <v>715</v>
      </c>
      <c r="B2" s="281"/>
      <c r="C2" s="281"/>
      <c r="D2" s="281"/>
    </row>
    <row r="3" spans="1:4" ht="14.4">
      <c r="A3" s="340" t="s">
        <v>716</v>
      </c>
      <c r="B3" s="281"/>
      <c r="C3" s="281"/>
      <c r="D3" s="281"/>
    </row>
    <row r="4" spans="1:4" ht="14.4">
      <c r="A4" s="340" t="s">
        <v>717</v>
      </c>
      <c r="B4" s="281"/>
      <c r="C4" s="281"/>
      <c r="D4" s="281"/>
    </row>
    <row r="5" spans="1:4" ht="14.4">
      <c r="A5" s="340" t="s">
        <v>718</v>
      </c>
      <c r="B5" s="281"/>
      <c r="C5" s="281"/>
      <c r="D5" s="281"/>
    </row>
    <row r="6" spans="1:4" ht="14.4">
      <c r="A6" s="340" t="s">
        <v>719</v>
      </c>
      <c r="B6" s="281"/>
      <c r="C6" s="281"/>
      <c r="D6" s="281"/>
    </row>
    <row r="7" spans="1:4" ht="14.4">
      <c r="A7" s="340" t="s">
        <v>13</v>
      </c>
      <c r="B7" s="281"/>
      <c r="C7" s="281"/>
      <c r="D7" s="281"/>
    </row>
    <row r="8" spans="1:4" ht="14.4">
      <c r="A8" s="19" t="s">
        <v>204</v>
      </c>
      <c r="B8" s="69">
        <f>ROUND(SUM(B2:B7),2)</f>
        <v>0</v>
      </c>
      <c r="C8" s="69">
        <f>ROUND(SUM(C2:C7),2)</f>
        <v>0</v>
      </c>
      <c r="D8" s="69">
        <f>ROUND(SUM(D2:D7),2)</f>
        <v>0</v>
      </c>
    </row>
  </sheetData>
  <phoneticPr fontId="1"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codeName="Sheet331">
    <tabColor rgb="FFFFC000"/>
  </sheetPr>
  <dimension ref="A1:D6"/>
  <sheetViews>
    <sheetView workbookViewId="0">
      <selection activeCell="E21" sqref="E21"/>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609</v>
      </c>
      <c r="C1" s="20" t="s">
        <v>666</v>
      </c>
      <c r="D1" s="20" t="s">
        <v>722</v>
      </c>
    </row>
    <row r="2" spans="1:4" ht="14.4">
      <c r="A2" s="347" t="s">
        <v>721</v>
      </c>
      <c r="B2" s="281"/>
      <c r="C2" s="281"/>
      <c r="D2" s="281"/>
    </row>
    <row r="3" spans="1:4" ht="14.4">
      <c r="A3" s="347" t="s">
        <v>2370</v>
      </c>
      <c r="B3" s="281"/>
      <c r="C3" s="281"/>
      <c r="D3" s="281"/>
    </row>
    <row r="4" spans="1:4" ht="14.4">
      <c r="A4" s="347" t="s">
        <v>720</v>
      </c>
      <c r="B4" s="281"/>
      <c r="C4" s="281"/>
      <c r="D4" s="281"/>
    </row>
    <row r="5" spans="1:4" ht="14.4">
      <c r="A5" s="347" t="s">
        <v>2373</v>
      </c>
      <c r="B5" s="281"/>
      <c r="C5" s="281"/>
      <c r="D5" s="281"/>
    </row>
    <row r="6" spans="1:4" ht="14.4">
      <c r="A6" s="19" t="s">
        <v>204</v>
      </c>
      <c r="B6" s="69">
        <f>ROUND(SUM(B2:B5),2)</f>
        <v>0</v>
      </c>
      <c r="C6" s="69">
        <f>ROUND(SUM(C2:C5),2)</f>
        <v>0</v>
      </c>
      <c r="D6" s="69">
        <f>ROUND(SUM(D2:D5),2)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codeName="Sheet332">
    <tabColor rgb="FFFFC000"/>
  </sheetPr>
  <dimension ref="A1:D5"/>
  <sheetViews>
    <sheetView workbookViewId="0">
      <selection activeCell="E13" sqref="E13"/>
    </sheetView>
  </sheetViews>
  <sheetFormatPr defaultRowHeight="13.8"/>
  <cols>
    <col min="1" max="1" width="30" style="18" customWidth="1"/>
    <col min="2" max="16384" width="8.88671875" style="18"/>
  </cols>
  <sheetData>
    <row r="1" spans="1:4" ht="57.6">
      <c r="A1" s="19" t="s">
        <v>28</v>
      </c>
      <c r="B1" s="20" t="s">
        <v>609</v>
      </c>
      <c r="C1" s="20" t="s">
        <v>666</v>
      </c>
      <c r="D1" s="20" t="s">
        <v>681</v>
      </c>
    </row>
    <row r="2" spans="1:4" ht="14.4">
      <c r="A2" s="347" t="s">
        <v>2374</v>
      </c>
      <c r="B2" s="281"/>
      <c r="C2" s="281"/>
      <c r="D2" s="281"/>
    </row>
    <row r="3" spans="1:4" ht="14.4">
      <c r="A3" s="347" t="s">
        <v>723</v>
      </c>
      <c r="B3" s="281"/>
      <c r="C3" s="281"/>
      <c r="D3" s="281"/>
    </row>
    <row r="4" spans="1:4" ht="14.4">
      <c r="A4" s="347" t="s">
        <v>2375</v>
      </c>
      <c r="B4" s="281"/>
      <c r="C4" s="281"/>
      <c r="D4" s="281"/>
    </row>
    <row r="5" spans="1:4" ht="14.4">
      <c r="A5" s="19" t="s">
        <v>204</v>
      </c>
      <c r="B5" s="69">
        <f>ROUND(SUM(B2:B4),2)</f>
        <v>0</v>
      </c>
      <c r="C5" s="69">
        <f>ROUND(SUM(C2:C4),2)</f>
        <v>0</v>
      </c>
      <c r="D5" s="69">
        <f>ROUND(SUM(D2:D4),2)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codeName="Sheet333">
    <tabColor rgb="FFFFC000"/>
  </sheetPr>
  <dimension ref="A1:C5"/>
  <sheetViews>
    <sheetView workbookViewId="0">
      <selection activeCell="F16" sqref="F16"/>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4" t="s">
        <v>609</v>
      </c>
      <c r="C1" s="20" t="s">
        <v>666</v>
      </c>
    </row>
    <row r="2" spans="1:3" ht="14.4">
      <c r="A2" s="379" t="s">
        <v>724</v>
      </c>
      <c r="B2" s="268">
        <f>ROUND(当期所得税费用计算表!B50,2)</f>
        <v>63652876.710000001</v>
      </c>
      <c r="C2" s="281"/>
    </row>
    <row r="3" spans="1:3" ht="14.4">
      <c r="A3" s="379" t="s">
        <v>725</v>
      </c>
      <c r="B3" s="268"/>
      <c r="C3" s="281"/>
    </row>
    <row r="4" spans="1:3" ht="14.4">
      <c r="A4" s="379" t="s">
        <v>202</v>
      </c>
      <c r="B4" s="268"/>
      <c r="C4" s="281"/>
    </row>
    <row r="5" spans="1:3" ht="14.4">
      <c r="A5" s="31" t="s">
        <v>204</v>
      </c>
      <c r="B5" s="69">
        <f>ROUND(SUM(B2:B4),2)</f>
        <v>63652876.710000001</v>
      </c>
      <c r="C5" s="21">
        <f>ROUND(SUM(C2:C4),2)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codeName="Sheet334">
    <tabColor rgb="FFFFC000"/>
  </sheetPr>
  <dimension ref="A1:C12"/>
  <sheetViews>
    <sheetView workbookViewId="0">
      <selection activeCell="B18" sqref="B18"/>
    </sheetView>
  </sheetViews>
  <sheetFormatPr defaultRowHeight="13.8"/>
  <cols>
    <col min="1" max="1" width="65.21875" style="18" customWidth="1"/>
    <col min="2" max="4" width="30.77734375" style="18" customWidth="1"/>
    <col min="5" max="16384" width="8.88671875" style="18"/>
  </cols>
  <sheetData>
    <row r="1" spans="1:3" ht="14.4">
      <c r="A1" s="31" t="s">
        <v>28</v>
      </c>
      <c r="B1" s="20" t="s">
        <v>609</v>
      </c>
      <c r="C1" s="20" t="s">
        <v>666</v>
      </c>
    </row>
    <row r="2" spans="1:3" ht="14.4">
      <c r="A2" s="32" t="s">
        <v>726</v>
      </c>
      <c r="B2" s="295">
        <f>ROUND(利润表!B40,2)</f>
        <v>254611506.84999999</v>
      </c>
      <c r="C2" s="295">
        <f>ROUND(利润表!C40,2)</f>
        <v>294701643.11000001</v>
      </c>
    </row>
    <row r="3" spans="1:3" ht="14.4">
      <c r="A3" s="32" t="s">
        <v>2890</v>
      </c>
      <c r="B3" s="295">
        <f>ROUND(B2*所得税项目计算!F2,2)</f>
        <v>63652876.710000001</v>
      </c>
      <c r="C3" s="295">
        <f>ROUND(C2*所得税项目计算!F2,2)</f>
        <v>73675410.780000001</v>
      </c>
    </row>
    <row r="4" spans="1:3" ht="14.4">
      <c r="A4" s="32" t="s">
        <v>5470</v>
      </c>
      <c r="B4" s="295"/>
      <c r="C4" s="295"/>
    </row>
    <row r="5" spans="1:3" ht="14.4">
      <c r="A5" s="32" t="s">
        <v>727</v>
      </c>
      <c r="B5" s="295">
        <f>ROUND(所得税费用!B4,2)</f>
        <v>0</v>
      </c>
      <c r="C5" s="268"/>
    </row>
    <row r="6" spans="1:3" ht="14.4">
      <c r="A6" s="32" t="s">
        <v>728</v>
      </c>
      <c r="B6" s="295">
        <f>ROUND(-SUMIF(当期所得税费用计算表!D:D,会计利润与所得税费用调整过程!A6,当期所得税费用计算表!B:B)*所得税项目计算!F2,2)</f>
        <v>0</v>
      </c>
      <c r="C6" s="268"/>
    </row>
    <row r="7" spans="1:3" ht="14.4">
      <c r="A7" s="32" t="s">
        <v>729</v>
      </c>
      <c r="B7" s="295">
        <f>ROUND(SUMIF(当期所得税费用计算表!D:D,会计利润与所得税费用调整过程!A7,当期所得税费用计算表!B:B)*所得税项目计算!F2,2)</f>
        <v>0</v>
      </c>
      <c r="C7" s="268"/>
    </row>
    <row r="8" spans="1:3" ht="14.4">
      <c r="A8" s="32" t="s">
        <v>2896</v>
      </c>
      <c r="B8" s="295">
        <f>ROUND(SUMIF(当期所得税费用计算表!D:D,会计利润与所得税费用调整过程!A8,当期所得税费用计算表!B:B)*所得税项目计算!F2,2)</f>
        <v>0</v>
      </c>
      <c r="C8" s="268"/>
    </row>
    <row r="9" spans="1:3" ht="14.4">
      <c r="A9" s="32" t="s">
        <v>3105</v>
      </c>
      <c r="B9" s="295">
        <f>ROUND(SUM(可抵扣暂时性差异明细表!O:O)*所得税项目计算!F2,2)</f>
        <v>0</v>
      </c>
      <c r="C9" s="268"/>
    </row>
    <row r="10" spans="1:3" ht="14.4">
      <c r="A10" s="32" t="s">
        <v>730</v>
      </c>
      <c r="B10" s="295">
        <f>ROUND(SUM(可抵扣暂时性差异明细表!J:J)*所得税项目计算!F2,2)</f>
        <v>0</v>
      </c>
      <c r="C10" s="268"/>
    </row>
    <row r="11" spans="1:3" ht="14.4">
      <c r="A11" s="32" t="s">
        <v>5471</v>
      </c>
      <c r="B11" s="295"/>
      <c r="C11" s="268"/>
    </row>
    <row r="12" spans="1:3" ht="14.4">
      <c r="A12" s="32" t="s">
        <v>731</v>
      </c>
      <c r="B12" s="295">
        <f>ROUND(SUM(B3:B11),2)</f>
        <v>63652876.710000001</v>
      </c>
      <c r="C12" s="69">
        <f>ROUND(SUM(C3:C11),2)</f>
        <v>73675410.780000001</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sheetPr codeName="Sheet335"/>
  <dimension ref="A1:X47"/>
  <sheetViews>
    <sheetView workbookViewId="0">
      <pane xSplit="2" ySplit="1" topLeftCell="C5" activePane="bottomRight" state="frozen"/>
      <selection activeCell="D22" sqref="D22"/>
      <selection pane="topRight" activeCell="D22" sqref="D22"/>
      <selection pane="bottomLeft" activeCell="D22" sqref="D22"/>
      <selection pane="bottomRight" activeCell="C24" sqref="C24"/>
    </sheetView>
  </sheetViews>
  <sheetFormatPr defaultColWidth="12.109375" defaultRowHeight="13.8"/>
  <cols>
    <col min="1" max="1" width="34.88671875" style="230" bestFit="1" customWidth="1"/>
    <col min="2" max="2" width="70" style="230" bestFit="1" customWidth="1"/>
    <col min="3" max="3" width="20" style="230" bestFit="1" customWidth="1"/>
    <col min="4" max="4" width="11.21875" style="230" bestFit="1" customWidth="1"/>
    <col min="5" max="15" width="12.109375" style="230"/>
    <col min="16" max="16" width="14.33203125" style="230" bestFit="1" customWidth="1"/>
    <col min="17" max="17" width="11.21875" style="230" bestFit="1" customWidth="1"/>
    <col min="18" max="18" width="13.6640625" style="230" customWidth="1"/>
    <col min="19" max="20" width="12.109375" style="230"/>
    <col min="21" max="24" width="14.33203125" style="230" bestFit="1" customWidth="1"/>
    <col min="25" max="16384" width="12.109375" style="230"/>
  </cols>
  <sheetData>
    <row r="1" spans="1:24" s="521" customFormat="1" ht="27.6">
      <c r="A1" s="521" t="s">
        <v>4764</v>
      </c>
      <c r="B1" s="521" t="s">
        <v>95</v>
      </c>
      <c r="C1" s="521" t="s">
        <v>3096</v>
      </c>
      <c r="D1" s="521" t="s">
        <v>3113</v>
      </c>
      <c r="E1" s="521" t="s">
        <v>3112</v>
      </c>
      <c r="F1" s="521" t="s">
        <v>3095</v>
      </c>
      <c r="G1" s="521" t="s">
        <v>3111</v>
      </c>
      <c r="H1" s="521" t="s">
        <v>4460</v>
      </c>
      <c r="I1" s="521" t="s">
        <v>4461</v>
      </c>
      <c r="J1" s="521" t="s">
        <v>3110</v>
      </c>
      <c r="K1" s="521" t="s">
        <v>3097</v>
      </c>
      <c r="L1" s="521" t="s">
        <v>3109</v>
      </c>
      <c r="M1" s="521" t="s">
        <v>4462</v>
      </c>
      <c r="N1" s="521" t="s">
        <v>4463</v>
      </c>
      <c r="O1" s="521" t="s">
        <v>3108</v>
      </c>
      <c r="P1" s="521" t="s">
        <v>3094</v>
      </c>
      <c r="Q1" s="521" t="s">
        <v>3106</v>
      </c>
      <c r="R1" s="521" t="s">
        <v>3107</v>
      </c>
      <c r="S1" s="521" t="s">
        <v>515</v>
      </c>
      <c r="T1" s="521" t="s">
        <v>3114</v>
      </c>
      <c r="U1" s="521" t="s">
        <v>4347</v>
      </c>
      <c r="V1" s="521" t="s">
        <v>4775</v>
      </c>
      <c r="W1" s="521" t="s">
        <v>4346</v>
      </c>
      <c r="X1" s="521" t="s">
        <v>4776</v>
      </c>
    </row>
    <row r="2" spans="1:24">
      <c r="A2" s="230" t="str">
        <f>IF(OR(ABS(C2)&gt;0,ABS(F2)&gt;0,ABS(K2)&gt;0,ABS(P2)&gt;0),基础信息!$B$1,"")</f>
        <v/>
      </c>
      <c r="B2" s="550" t="s">
        <v>57</v>
      </c>
      <c r="C2" s="230">
        <f>SUM(D2:E2)</f>
        <v>0</v>
      </c>
      <c r="D2" s="290"/>
      <c r="E2" s="290"/>
      <c r="F2" s="260">
        <f>G2+J2</f>
        <v>0</v>
      </c>
      <c r="G2" s="260">
        <f>SUM(H2:I2)</f>
        <v>0</v>
      </c>
      <c r="H2" s="290"/>
      <c r="I2" s="290"/>
      <c r="J2" s="290"/>
      <c r="K2" s="230">
        <f>L2+O2</f>
        <v>0</v>
      </c>
      <c r="L2" s="260">
        <f>SUM(M2:N2)</f>
        <v>0</v>
      </c>
      <c r="M2" s="290"/>
      <c r="N2" s="290"/>
      <c r="O2" s="290"/>
      <c r="P2" s="230">
        <f>C2+F2-K2</f>
        <v>0</v>
      </c>
      <c r="Q2" s="230">
        <f>D2+G2-L2</f>
        <v>0</v>
      </c>
      <c r="R2" s="230">
        <f>E2+J2-O2</f>
        <v>0</v>
      </c>
      <c r="S2" s="230">
        <f>IF(D2&gt;0,D2*所得税项目计算!$F$2,0)</f>
        <v>0</v>
      </c>
      <c r="T2" s="230">
        <f>IF(Q2&gt;0,Q2*所得税项目计算!$F$2,0)</f>
        <v>0</v>
      </c>
      <c r="U2" s="230">
        <f>IFERROR(VLOOKUP(B2,资产减值损失核对!A:L,2,0),"")</f>
        <v>0</v>
      </c>
      <c r="V2" s="230">
        <f t="shared" ref="V2:V47" si="0">IF(U2="","",U2-C2)</f>
        <v>0</v>
      </c>
      <c r="W2" s="230">
        <f>IFERROR(VLOOKUP(B2,资产减值损失核对!A:L,12,0),"")</f>
        <v>0</v>
      </c>
      <c r="X2" s="230">
        <f t="shared" ref="X2:X47" si="1">IF(W2="","",W2-P2)</f>
        <v>0</v>
      </c>
    </row>
    <row r="3" spans="1:24">
      <c r="A3" s="230" t="str">
        <f>IF(OR(ABS(C3)&gt;0,ABS(F3)&gt;0,ABS(K3)&gt;0,ABS(P3)&gt;0),基础信息!$B$1,"")</f>
        <v/>
      </c>
      <c r="B3" s="550" t="s">
        <v>58</v>
      </c>
      <c r="C3" s="230">
        <f t="shared" ref="C3:C36" si="2">SUM(D3:E3)</f>
        <v>0</v>
      </c>
      <c r="D3" s="290"/>
      <c r="E3" s="290"/>
      <c r="F3" s="260">
        <f t="shared" ref="F3:F36" si="3">G3+J3</f>
        <v>0</v>
      </c>
      <c r="G3" s="260">
        <f t="shared" ref="G3:G36" si="4">SUM(H3:I3)</f>
        <v>0</v>
      </c>
      <c r="H3" s="290"/>
      <c r="I3" s="290"/>
      <c r="J3" s="290"/>
      <c r="K3" s="230">
        <f t="shared" ref="K3:K36" si="5">L3+O3</f>
        <v>0</v>
      </c>
      <c r="L3" s="260">
        <f t="shared" ref="L3:L36" si="6">SUM(M3:N3)</f>
        <v>0</v>
      </c>
      <c r="M3" s="290"/>
      <c r="N3" s="290"/>
      <c r="O3" s="290"/>
      <c r="P3" s="230">
        <f t="shared" ref="P3:Q36" si="7">C3+F3-K3</f>
        <v>0</v>
      </c>
      <c r="Q3" s="230">
        <f t="shared" si="7"/>
        <v>0</v>
      </c>
      <c r="R3" s="230">
        <f t="shared" ref="R3:R36" si="8">E3+J3-O3</f>
        <v>0</v>
      </c>
      <c r="S3" s="230">
        <f>IF(D3&gt;0,D3*所得税项目计算!$F$2,0)</f>
        <v>0</v>
      </c>
      <c r="T3" s="230">
        <f>IF(Q3&gt;0,Q3*所得税项目计算!$F$2,0)</f>
        <v>0</v>
      </c>
      <c r="U3" s="230">
        <f>IFERROR(VLOOKUP(B3,资产减值损失核对!A:L,2,0),"")</f>
        <v>32762887</v>
      </c>
      <c r="V3" s="230">
        <f t="shared" si="0"/>
        <v>32762887</v>
      </c>
      <c r="W3" s="230">
        <f>IFERROR(VLOOKUP(B3,资产减值损失核对!A:L,12,0),"")</f>
        <v>32762887</v>
      </c>
      <c r="X3" s="230">
        <f t="shared" si="1"/>
        <v>32762887</v>
      </c>
    </row>
    <row r="4" spans="1:24">
      <c r="A4" s="230" t="str">
        <f>IF(OR(ABS(C4)&gt;0,ABS(F4)&gt;0,ABS(K4)&gt;0,ABS(P4)&gt;0),基础信息!$B$1,"")</f>
        <v/>
      </c>
      <c r="B4" s="550" t="s">
        <v>2909</v>
      </c>
      <c r="C4" s="230">
        <f t="shared" si="2"/>
        <v>0</v>
      </c>
      <c r="D4" s="290"/>
      <c r="E4" s="290"/>
      <c r="F4" s="260">
        <f t="shared" si="3"/>
        <v>0</v>
      </c>
      <c r="G4" s="260">
        <f t="shared" si="4"/>
        <v>0</v>
      </c>
      <c r="H4" s="290"/>
      <c r="I4" s="290"/>
      <c r="J4" s="290"/>
      <c r="K4" s="230">
        <f t="shared" si="5"/>
        <v>0</v>
      </c>
      <c r="L4" s="260">
        <f t="shared" si="6"/>
        <v>0</v>
      </c>
      <c r="M4" s="290"/>
      <c r="N4" s="290"/>
      <c r="O4" s="290"/>
      <c r="P4" s="230">
        <f t="shared" si="7"/>
        <v>0</v>
      </c>
      <c r="Q4" s="230">
        <f t="shared" si="7"/>
        <v>0</v>
      </c>
      <c r="R4" s="230">
        <f t="shared" si="8"/>
        <v>0</v>
      </c>
      <c r="S4" s="230">
        <f>IF(D4&gt;0,D4*所得税项目计算!$F$2,0)</f>
        <v>0</v>
      </c>
      <c r="T4" s="230">
        <f>IF(Q4&gt;0,Q4*所得税项目计算!$F$2,0)</f>
        <v>0</v>
      </c>
      <c r="U4" s="230">
        <f>IFERROR(VLOOKUP(B4,资产减值损失核对!A:L,2,0),"")</f>
        <v>0</v>
      </c>
      <c r="V4" s="230">
        <f t="shared" si="0"/>
        <v>0</v>
      </c>
      <c r="W4" s="230">
        <f>IFERROR(VLOOKUP(B4,资产减值损失核对!A:L,12,0),"")</f>
        <v>0</v>
      </c>
      <c r="X4" s="230">
        <f t="shared" si="1"/>
        <v>0</v>
      </c>
    </row>
    <row r="5" spans="1:24">
      <c r="A5" s="230" t="str">
        <f>IF(OR(ABS(C5)&gt;0,ABS(F5)&gt;0,ABS(K5)&gt;0,ABS(P5)&gt;0),基础信息!$B$1,"")</f>
        <v/>
      </c>
      <c r="B5" s="550" t="s">
        <v>2911</v>
      </c>
      <c r="C5" s="230">
        <f t="shared" si="2"/>
        <v>0</v>
      </c>
      <c r="D5" s="290"/>
      <c r="E5" s="290"/>
      <c r="F5" s="260">
        <f t="shared" si="3"/>
        <v>0</v>
      </c>
      <c r="G5" s="260">
        <f t="shared" si="4"/>
        <v>0</v>
      </c>
      <c r="H5" s="290"/>
      <c r="I5" s="290"/>
      <c r="J5" s="290"/>
      <c r="K5" s="230">
        <f t="shared" si="5"/>
        <v>0</v>
      </c>
      <c r="L5" s="260">
        <f t="shared" si="6"/>
        <v>0</v>
      </c>
      <c r="M5" s="290"/>
      <c r="N5" s="290"/>
      <c r="O5" s="290"/>
      <c r="P5" s="230">
        <f t="shared" si="7"/>
        <v>0</v>
      </c>
      <c r="Q5" s="230">
        <f t="shared" si="7"/>
        <v>0</v>
      </c>
      <c r="R5" s="230">
        <f t="shared" si="8"/>
        <v>0</v>
      </c>
      <c r="S5" s="230">
        <f>IF(D5&gt;0,D5*所得税项目计算!$F$2,0)</f>
        <v>0</v>
      </c>
      <c r="T5" s="230">
        <f>IF(Q5&gt;0,Q5*所得税项目计算!$F$2,0)</f>
        <v>0</v>
      </c>
      <c r="U5" s="230">
        <f>IFERROR(VLOOKUP(B5,资产减值损失核对!A:L,2,0),"")</f>
        <v>0</v>
      </c>
      <c r="V5" s="230">
        <f t="shared" si="0"/>
        <v>0</v>
      </c>
      <c r="W5" s="230">
        <f>IFERROR(VLOOKUP(B5,资产减值损失核对!A:L,12,0),"")</f>
        <v>0</v>
      </c>
      <c r="X5" s="230">
        <f t="shared" si="1"/>
        <v>0</v>
      </c>
    </row>
    <row r="6" spans="1:24">
      <c r="A6" s="230" t="str">
        <f>IF(OR(ABS(C6)&gt;0,ABS(F6)&gt;0,ABS(K6)&gt;0,ABS(P6)&gt;0),基础信息!$B$1,"")</f>
        <v/>
      </c>
      <c r="B6" s="550" t="s">
        <v>59</v>
      </c>
      <c r="C6" s="230">
        <f t="shared" si="2"/>
        <v>0</v>
      </c>
      <c r="D6" s="290"/>
      <c r="E6" s="290"/>
      <c r="F6" s="260">
        <f t="shared" si="3"/>
        <v>0</v>
      </c>
      <c r="G6" s="260">
        <f t="shared" si="4"/>
        <v>0</v>
      </c>
      <c r="H6" s="290"/>
      <c r="I6" s="290"/>
      <c r="J6" s="290"/>
      <c r="K6" s="230">
        <f t="shared" si="5"/>
        <v>0</v>
      </c>
      <c r="L6" s="260">
        <f t="shared" si="6"/>
        <v>0</v>
      </c>
      <c r="M6" s="290"/>
      <c r="N6" s="290"/>
      <c r="O6" s="290"/>
      <c r="P6" s="230">
        <f t="shared" si="7"/>
        <v>0</v>
      </c>
      <c r="Q6" s="230">
        <f t="shared" si="7"/>
        <v>0</v>
      </c>
      <c r="R6" s="230">
        <f t="shared" si="8"/>
        <v>0</v>
      </c>
      <c r="S6" s="230">
        <f>IF(D6&gt;0,D6*所得税项目计算!$F$2,0)</f>
        <v>0</v>
      </c>
      <c r="T6" s="230">
        <f>IF(Q6&gt;0,Q6*所得税项目计算!$F$2,0)</f>
        <v>0</v>
      </c>
      <c r="U6" s="230">
        <f>IFERROR(VLOOKUP(B6,资产减值损失核对!A:L,2,0),"")</f>
        <v>0</v>
      </c>
      <c r="V6" s="230">
        <f t="shared" si="0"/>
        <v>0</v>
      </c>
      <c r="W6" s="230">
        <f>IFERROR(VLOOKUP(B6,资产减值损失核对!A:L,12,0),"")</f>
        <v>0</v>
      </c>
      <c r="X6" s="230">
        <f t="shared" si="1"/>
        <v>0</v>
      </c>
    </row>
    <row r="7" spans="1:24">
      <c r="A7" s="230" t="str">
        <f>IF(OR(ABS(C7)&gt;0,ABS(F7)&gt;0,ABS(K7)&gt;0,ABS(P7)&gt;0),基础信息!$B$1,"")</f>
        <v/>
      </c>
      <c r="B7" s="550" t="s">
        <v>61</v>
      </c>
      <c r="C7" s="230">
        <f t="shared" si="2"/>
        <v>0</v>
      </c>
      <c r="D7" s="290"/>
      <c r="E7" s="290"/>
      <c r="F7" s="260">
        <f t="shared" si="3"/>
        <v>0</v>
      </c>
      <c r="G7" s="260">
        <f t="shared" si="4"/>
        <v>0</v>
      </c>
      <c r="H7" s="290"/>
      <c r="I7" s="290"/>
      <c r="J7" s="290"/>
      <c r="K7" s="230">
        <f t="shared" si="5"/>
        <v>0</v>
      </c>
      <c r="L7" s="260">
        <f t="shared" si="6"/>
        <v>0</v>
      </c>
      <c r="M7" s="290"/>
      <c r="N7" s="290"/>
      <c r="O7" s="290"/>
      <c r="P7" s="230">
        <f t="shared" si="7"/>
        <v>0</v>
      </c>
      <c r="Q7" s="230">
        <f t="shared" si="7"/>
        <v>0</v>
      </c>
      <c r="R7" s="230">
        <f t="shared" si="8"/>
        <v>0</v>
      </c>
      <c r="S7" s="230">
        <f>IF(D7&gt;0,D7*所得税项目计算!$F$2,0)</f>
        <v>0</v>
      </c>
      <c r="T7" s="230">
        <f>IF(Q7&gt;0,Q7*所得税项目计算!$F$2,0)</f>
        <v>0</v>
      </c>
      <c r="U7" s="230">
        <f>IFERROR(VLOOKUP(B7,资产减值损失核对!A:L,2,0),"")</f>
        <v>0</v>
      </c>
      <c r="V7" s="230">
        <f t="shared" si="0"/>
        <v>0</v>
      </c>
      <c r="W7" s="230">
        <f>IFERROR(VLOOKUP(B7,资产减值损失核对!A:L,12,0),"")</f>
        <v>0</v>
      </c>
      <c r="X7" s="230">
        <f t="shared" si="1"/>
        <v>0</v>
      </c>
    </row>
    <row r="8" spans="1:24">
      <c r="A8" s="230" t="str">
        <f>IF(OR(ABS(C8)&gt;0,ABS(F8)&gt;0,ABS(K8)&gt;0,ABS(P8)&gt;0),基础信息!$B$1,"")</f>
        <v/>
      </c>
      <c r="B8" s="550" t="s">
        <v>64</v>
      </c>
      <c r="C8" s="230">
        <f t="shared" si="2"/>
        <v>0</v>
      </c>
      <c r="D8" s="290"/>
      <c r="E8" s="290"/>
      <c r="F8" s="260">
        <f t="shared" si="3"/>
        <v>0</v>
      </c>
      <c r="G8" s="260">
        <f t="shared" si="4"/>
        <v>0</v>
      </c>
      <c r="H8" s="290"/>
      <c r="I8" s="290"/>
      <c r="J8" s="290"/>
      <c r="K8" s="230">
        <f t="shared" si="5"/>
        <v>0</v>
      </c>
      <c r="L8" s="260">
        <f t="shared" si="6"/>
        <v>0</v>
      </c>
      <c r="M8" s="290"/>
      <c r="N8" s="290"/>
      <c r="O8" s="290"/>
      <c r="P8" s="230">
        <f t="shared" si="7"/>
        <v>0</v>
      </c>
      <c r="Q8" s="230">
        <f t="shared" si="7"/>
        <v>0</v>
      </c>
      <c r="R8" s="230">
        <f t="shared" si="8"/>
        <v>0</v>
      </c>
      <c r="S8" s="230">
        <f>IF(D8&gt;0,D8*所得税项目计算!$F$2,0)</f>
        <v>0</v>
      </c>
      <c r="T8" s="230">
        <f>IF(Q8&gt;0,Q8*所得税项目计算!$F$2,0)</f>
        <v>0</v>
      </c>
      <c r="U8" s="230">
        <f>IFERROR(VLOOKUP(B8,资产减值损失核对!A:L,2,0),"")</f>
        <v>0</v>
      </c>
      <c r="V8" s="230">
        <f t="shared" si="0"/>
        <v>0</v>
      </c>
      <c r="W8" s="230">
        <f>IFERROR(VLOOKUP(B8,资产减值损失核对!A:L,12,0),"")</f>
        <v>0</v>
      </c>
      <c r="X8" s="230">
        <f t="shared" si="1"/>
        <v>0</v>
      </c>
    </row>
    <row r="9" spans="1:24">
      <c r="A9" s="230" t="str">
        <f>IF(OR(ABS(C9)&gt;0,ABS(F9)&gt;0,ABS(K9)&gt;0,ABS(P9)&gt;0),基础信息!$B$1,"")</f>
        <v/>
      </c>
      <c r="B9" s="550" t="s">
        <v>2914</v>
      </c>
      <c r="C9" s="230">
        <f t="shared" si="2"/>
        <v>0</v>
      </c>
      <c r="D9" s="290"/>
      <c r="E9" s="290"/>
      <c r="F9" s="260">
        <f t="shared" si="3"/>
        <v>0</v>
      </c>
      <c r="G9" s="260">
        <f t="shared" si="4"/>
        <v>0</v>
      </c>
      <c r="H9" s="290"/>
      <c r="I9" s="290"/>
      <c r="J9" s="290"/>
      <c r="K9" s="230">
        <f t="shared" si="5"/>
        <v>0</v>
      </c>
      <c r="L9" s="260">
        <f t="shared" si="6"/>
        <v>0</v>
      </c>
      <c r="M9" s="290"/>
      <c r="N9" s="290"/>
      <c r="O9" s="290"/>
      <c r="P9" s="230">
        <f t="shared" si="7"/>
        <v>0</v>
      </c>
      <c r="Q9" s="230">
        <f t="shared" si="7"/>
        <v>0</v>
      </c>
      <c r="R9" s="230">
        <f t="shared" si="8"/>
        <v>0</v>
      </c>
      <c r="S9" s="230">
        <f>IF(D9&gt;0,D9*所得税项目计算!$F$2,0)</f>
        <v>0</v>
      </c>
      <c r="T9" s="230">
        <f>IF(Q9&gt;0,Q9*所得税项目计算!$F$2,0)</f>
        <v>0</v>
      </c>
      <c r="U9" s="230">
        <f>IFERROR(VLOOKUP(B9,资产减值损失核对!A:L,2,0),"")</f>
        <v>0</v>
      </c>
      <c r="V9" s="230">
        <f t="shared" si="0"/>
        <v>0</v>
      </c>
      <c r="W9" s="230">
        <f>IFERROR(VLOOKUP(B9,资产减值损失核对!A:L,12,0),"")</f>
        <v>0</v>
      </c>
      <c r="X9" s="230">
        <f t="shared" si="1"/>
        <v>0</v>
      </c>
    </row>
    <row r="10" spans="1:24">
      <c r="A10" s="230" t="str">
        <f>IF(OR(ABS(C10)&gt;0,ABS(F10)&gt;0,ABS(K10)&gt;0,ABS(P10)&gt;0),基础信息!$B$1,"")</f>
        <v/>
      </c>
      <c r="B10" s="550" t="s">
        <v>62</v>
      </c>
      <c r="C10" s="230">
        <f t="shared" si="2"/>
        <v>0</v>
      </c>
      <c r="D10" s="290"/>
      <c r="E10" s="290"/>
      <c r="F10" s="260">
        <f t="shared" si="3"/>
        <v>0</v>
      </c>
      <c r="G10" s="260">
        <f t="shared" si="4"/>
        <v>0</v>
      </c>
      <c r="H10" s="290"/>
      <c r="I10" s="290"/>
      <c r="J10" s="290"/>
      <c r="K10" s="230">
        <f t="shared" si="5"/>
        <v>0</v>
      </c>
      <c r="L10" s="260">
        <f t="shared" si="6"/>
        <v>0</v>
      </c>
      <c r="M10" s="290"/>
      <c r="N10" s="290"/>
      <c r="O10" s="290"/>
      <c r="P10" s="230">
        <f t="shared" si="7"/>
        <v>0</v>
      </c>
      <c r="Q10" s="230">
        <f t="shared" si="7"/>
        <v>0</v>
      </c>
      <c r="R10" s="230">
        <f t="shared" si="8"/>
        <v>0</v>
      </c>
      <c r="S10" s="230">
        <f>IF(D10&gt;0,D10*所得税项目计算!$F$2,0)</f>
        <v>0</v>
      </c>
      <c r="T10" s="230">
        <f>IF(Q10&gt;0,Q10*所得税项目计算!$F$2,0)</f>
        <v>0</v>
      </c>
      <c r="U10" s="230">
        <f>IFERROR(VLOOKUP(B10,资产减值损失核对!A:L,2,0),"")</f>
        <v>0</v>
      </c>
      <c r="V10" s="230">
        <f t="shared" si="0"/>
        <v>0</v>
      </c>
      <c r="W10" s="230">
        <f>IFERROR(VLOOKUP(B10,资产减值损失核对!A:L,12,0),"")</f>
        <v>0</v>
      </c>
      <c r="X10" s="230">
        <f t="shared" si="1"/>
        <v>0</v>
      </c>
    </row>
    <row r="11" spans="1:24">
      <c r="A11" s="230" t="str">
        <f>IF(OR(ABS(C11)&gt;0,ABS(F11)&gt;0,ABS(K11)&gt;0,ABS(P11)&gt;0),基础信息!$B$1,"")</f>
        <v/>
      </c>
      <c r="B11" s="550" t="s">
        <v>2916</v>
      </c>
      <c r="C11" s="230">
        <f t="shared" si="2"/>
        <v>0</v>
      </c>
      <c r="D11" s="290"/>
      <c r="E11" s="290"/>
      <c r="F11" s="260">
        <f t="shared" si="3"/>
        <v>0</v>
      </c>
      <c r="G11" s="260">
        <f t="shared" si="4"/>
        <v>0</v>
      </c>
      <c r="H11" s="290"/>
      <c r="I11" s="290"/>
      <c r="J11" s="290"/>
      <c r="K11" s="230">
        <f t="shared" si="5"/>
        <v>0</v>
      </c>
      <c r="L11" s="260">
        <f t="shared" si="6"/>
        <v>0</v>
      </c>
      <c r="M11" s="290"/>
      <c r="N11" s="290"/>
      <c r="O11" s="290"/>
      <c r="P11" s="230">
        <f t="shared" si="7"/>
        <v>0</v>
      </c>
      <c r="Q11" s="230">
        <f t="shared" si="7"/>
        <v>0</v>
      </c>
      <c r="R11" s="230">
        <f t="shared" si="8"/>
        <v>0</v>
      </c>
      <c r="S11" s="230">
        <f>IF(D11&gt;0,D11*所得税项目计算!$F$2,0)</f>
        <v>0</v>
      </c>
      <c r="T11" s="230">
        <f>IF(Q11&gt;0,Q11*所得税项目计算!$F$2,0)</f>
        <v>0</v>
      </c>
      <c r="U11" s="230">
        <f>IFERROR(VLOOKUP(B11,资产减值损失核对!A:L,2,0),"")</f>
        <v>0</v>
      </c>
      <c r="V11" s="230">
        <f t="shared" si="0"/>
        <v>0</v>
      </c>
      <c r="W11" s="230">
        <f>IFERROR(VLOOKUP(B11,资产减值损失核对!A:L,12,0),"")</f>
        <v>0</v>
      </c>
      <c r="X11" s="230">
        <f t="shared" si="1"/>
        <v>0</v>
      </c>
    </row>
    <row r="12" spans="1:24">
      <c r="A12" s="230" t="str">
        <f>IF(OR(ABS(C12)&gt;0,ABS(F12)&gt;0,ABS(K12)&gt;0,ABS(P12)&gt;0),基础信息!$B$1,"")</f>
        <v/>
      </c>
      <c r="B12" s="550" t="s">
        <v>2918</v>
      </c>
      <c r="C12" s="230">
        <f t="shared" si="2"/>
        <v>0</v>
      </c>
      <c r="D12" s="290"/>
      <c r="E12" s="290"/>
      <c r="F12" s="260">
        <f t="shared" si="3"/>
        <v>0</v>
      </c>
      <c r="G12" s="260">
        <f t="shared" si="4"/>
        <v>0</v>
      </c>
      <c r="H12" s="290"/>
      <c r="I12" s="290"/>
      <c r="J12" s="290"/>
      <c r="K12" s="230">
        <f t="shared" si="5"/>
        <v>0</v>
      </c>
      <c r="L12" s="260">
        <f t="shared" si="6"/>
        <v>0</v>
      </c>
      <c r="M12" s="290"/>
      <c r="N12" s="290"/>
      <c r="O12" s="290"/>
      <c r="P12" s="230">
        <f t="shared" si="7"/>
        <v>0</v>
      </c>
      <c r="Q12" s="230">
        <f t="shared" si="7"/>
        <v>0</v>
      </c>
      <c r="R12" s="230">
        <f t="shared" si="8"/>
        <v>0</v>
      </c>
      <c r="S12" s="230">
        <f>IF(D12&gt;0,D12*所得税项目计算!$F$2,0)</f>
        <v>0</v>
      </c>
      <c r="T12" s="230">
        <f>IF(Q12&gt;0,Q12*所得税项目计算!$F$2,0)</f>
        <v>0</v>
      </c>
      <c r="U12" s="230">
        <f>IFERROR(VLOOKUP(B12,资产减值损失核对!A:L,2,0),"")</f>
        <v>0</v>
      </c>
      <c r="V12" s="230">
        <f t="shared" si="0"/>
        <v>0</v>
      </c>
      <c r="W12" s="230">
        <f>IFERROR(VLOOKUP(B12,资产减值损失核对!A:L,12,0),"")</f>
        <v>0</v>
      </c>
      <c r="X12" s="230">
        <f t="shared" si="1"/>
        <v>0</v>
      </c>
    </row>
    <row r="13" spans="1:24">
      <c r="A13" s="230" t="str">
        <f>IF(OR(ABS(C13)&gt;0,ABS(F13)&gt;0,ABS(K13)&gt;0,ABS(P13)&gt;0),基础信息!$B$1,"")</f>
        <v/>
      </c>
      <c r="B13" s="550" t="s">
        <v>937</v>
      </c>
      <c r="C13" s="230">
        <f t="shared" si="2"/>
        <v>0</v>
      </c>
      <c r="D13" s="290"/>
      <c r="E13" s="290"/>
      <c r="F13" s="260">
        <f t="shared" si="3"/>
        <v>0</v>
      </c>
      <c r="G13" s="260">
        <f t="shared" si="4"/>
        <v>0</v>
      </c>
      <c r="H13" s="290"/>
      <c r="I13" s="290"/>
      <c r="J13" s="290"/>
      <c r="K13" s="230">
        <f t="shared" si="5"/>
        <v>0</v>
      </c>
      <c r="L13" s="260">
        <f t="shared" si="6"/>
        <v>0</v>
      </c>
      <c r="M13" s="290"/>
      <c r="N13" s="290"/>
      <c r="O13" s="290"/>
      <c r="P13" s="230">
        <f t="shared" si="7"/>
        <v>0</v>
      </c>
      <c r="Q13" s="230">
        <f t="shared" si="7"/>
        <v>0</v>
      </c>
      <c r="R13" s="230">
        <f t="shared" si="8"/>
        <v>0</v>
      </c>
      <c r="S13" s="230">
        <f>IF(D13&gt;0,D13*所得税项目计算!$F$2,0)</f>
        <v>0</v>
      </c>
      <c r="T13" s="230">
        <f>IF(Q13&gt;0,Q13*所得税项目计算!$F$2,0)</f>
        <v>0</v>
      </c>
      <c r="U13" s="230">
        <f>IFERROR(VLOOKUP(B13,资产减值损失核对!A:L,2,0),"")</f>
        <v>0</v>
      </c>
      <c r="V13" s="230">
        <f t="shared" si="0"/>
        <v>0</v>
      </c>
      <c r="W13" s="230">
        <f>IFERROR(VLOOKUP(B13,资产减值损失核对!A:L,12,0),"")</f>
        <v>0</v>
      </c>
      <c r="X13" s="230">
        <f t="shared" si="1"/>
        <v>0</v>
      </c>
    </row>
    <row r="14" spans="1:24">
      <c r="A14" s="230" t="str">
        <f>IF(OR(ABS(C14)&gt;0,ABS(F14)&gt;0,ABS(K14)&gt;0,ABS(P14)&gt;0),基础信息!$B$1,"")</f>
        <v/>
      </c>
      <c r="B14" s="550" t="s">
        <v>2922</v>
      </c>
      <c r="C14" s="230">
        <f t="shared" si="2"/>
        <v>0</v>
      </c>
      <c r="D14" s="290"/>
      <c r="E14" s="290"/>
      <c r="F14" s="260">
        <f t="shared" si="3"/>
        <v>0</v>
      </c>
      <c r="G14" s="260">
        <f t="shared" si="4"/>
        <v>0</v>
      </c>
      <c r="H14" s="290"/>
      <c r="I14" s="290"/>
      <c r="J14" s="290"/>
      <c r="K14" s="230">
        <f t="shared" si="5"/>
        <v>0</v>
      </c>
      <c r="L14" s="260">
        <f t="shared" si="6"/>
        <v>0</v>
      </c>
      <c r="M14" s="290"/>
      <c r="N14" s="290"/>
      <c r="O14" s="290"/>
      <c r="P14" s="230">
        <f t="shared" si="7"/>
        <v>0</v>
      </c>
      <c r="Q14" s="230">
        <f t="shared" si="7"/>
        <v>0</v>
      </c>
      <c r="R14" s="230">
        <f t="shared" si="8"/>
        <v>0</v>
      </c>
      <c r="S14" s="230">
        <f>IF(D14&gt;0,D14*所得税项目计算!$F$2,0)</f>
        <v>0</v>
      </c>
      <c r="T14" s="230">
        <f>IF(Q14&gt;0,Q14*所得税项目计算!$F$2,0)</f>
        <v>0</v>
      </c>
      <c r="U14" s="230">
        <f>IFERROR(VLOOKUP(B14,资产减值损失核对!A:L,2,0),"")</f>
        <v>0</v>
      </c>
      <c r="V14" s="230">
        <f t="shared" si="0"/>
        <v>0</v>
      </c>
      <c r="W14" s="230">
        <f>IFERROR(VLOOKUP(B14,资产减值损失核对!A:L,12,0),"")</f>
        <v>0</v>
      </c>
      <c r="X14" s="230">
        <f t="shared" si="1"/>
        <v>0</v>
      </c>
    </row>
    <row r="15" spans="1:24">
      <c r="A15" s="230" t="str">
        <f>IF(OR(ABS(C15)&gt;0,ABS(F15)&gt;0,ABS(K15)&gt;0,ABS(P15)&gt;0),基础信息!$B$1,"")</f>
        <v/>
      </c>
      <c r="B15" s="550" t="s">
        <v>2872</v>
      </c>
      <c r="C15" s="230">
        <f t="shared" si="2"/>
        <v>0</v>
      </c>
      <c r="D15" s="290"/>
      <c r="E15" s="290"/>
      <c r="F15" s="260">
        <f t="shared" si="3"/>
        <v>0</v>
      </c>
      <c r="G15" s="260">
        <f t="shared" si="4"/>
        <v>0</v>
      </c>
      <c r="H15" s="290"/>
      <c r="I15" s="290"/>
      <c r="J15" s="290"/>
      <c r="K15" s="230">
        <f t="shared" si="5"/>
        <v>0</v>
      </c>
      <c r="L15" s="260">
        <f t="shared" si="6"/>
        <v>0</v>
      </c>
      <c r="M15" s="290"/>
      <c r="N15" s="290"/>
      <c r="O15" s="290"/>
      <c r="P15" s="230">
        <f t="shared" si="7"/>
        <v>0</v>
      </c>
      <c r="Q15" s="230">
        <f t="shared" si="7"/>
        <v>0</v>
      </c>
      <c r="R15" s="230">
        <f t="shared" si="8"/>
        <v>0</v>
      </c>
      <c r="S15" s="230">
        <f>IF(D15&gt;0,D15*所得税项目计算!$F$2,0)</f>
        <v>0</v>
      </c>
      <c r="T15" s="230">
        <f>IF(Q15&gt;0,Q15*所得税项目计算!$F$2,0)</f>
        <v>0</v>
      </c>
      <c r="U15" s="230">
        <f>IFERROR(VLOOKUP(B15,资产减值损失核对!A:L,2,0),"")</f>
        <v>0</v>
      </c>
      <c r="V15" s="230">
        <f t="shared" si="0"/>
        <v>0</v>
      </c>
      <c r="W15" s="230">
        <f>IFERROR(VLOOKUP(B15,资产减值损失核对!A:L,12,0),"")</f>
        <v>0</v>
      </c>
      <c r="X15" s="230">
        <f t="shared" si="1"/>
        <v>0</v>
      </c>
    </row>
    <row r="16" spans="1:24">
      <c r="A16" s="230" t="str">
        <f>IF(OR(ABS(C16)&gt;0,ABS(F16)&gt;0,ABS(K16)&gt;0,ABS(P16)&gt;0),基础信息!$B$1,"")</f>
        <v/>
      </c>
      <c r="B16" s="550" t="s">
        <v>703</v>
      </c>
      <c r="C16" s="230">
        <f t="shared" si="2"/>
        <v>0</v>
      </c>
      <c r="D16" s="290"/>
      <c r="E16" s="290"/>
      <c r="F16" s="260">
        <f t="shared" si="3"/>
        <v>0</v>
      </c>
      <c r="G16" s="260">
        <f t="shared" si="4"/>
        <v>0</v>
      </c>
      <c r="H16" s="290"/>
      <c r="I16" s="290"/>
      <c r="J16" s="290"/>
      <c r="K16" s="230">
        <f t="shared" si="5"/>
        <v>0</v>
      </c>
      <c r="L16" s="260">
        <f t="shared" si="6"/>
        <v>0</v>
      </c>
      <c r="M16" s="290"/>
      <c r="N16" s="290"/>
      <c r="O16" s="290"/>
      <c r="P16" s="230">
        <f t="shared" si="7"/>
        <v>0</v>
      </c>
      <c r="Q16" s="230">
        <f t="shared" si="7"/>
        <v>0</v>
      </c>
      <c r="R16" s="230">
        <f t="shared" si="8"/>
        <v>0</v>
      </c>
      <c r="S16" s="230">
        <f>IF(D16&gt;0,D16*所得税项目计算!$F$2,0)</f>
        <v>0</v>
      </c>
      <c r="T16" s="230">
        <f>IF(Q16&gt;0,Q16*所得税项目计算!$F$2,0)</f>
        <v>0</v>
      </c>
      <c r="U16" s="230">
        <f>IFERROR(VLOOKUP(B16,资产减值损失核对!A:L,2,0),"")</f>
        <v>0</v>
      </c>
      <c r="V16" s="230">
        <f t="shared" si="0"/>
        <v>0</v>
      </c>
      <c r="W16" s="230">
        <f>IFERROR(VLOOKUP(B16,资产减值损失核对!A:L,12,0),"")</f>
        <v>0</v>
      </c>
      <c r="X16" s="230">
        <f t="shared" si="1"/>
        <v>0</v>
      </c>
    </row>
    <row r="17" spans="1:24">
      <c r="A17" s="230" t="str">
        <f>IF(OR(ABS(C17)&gt;0,ABS(F17)&gt;0,ABS(K17)&gt;0,ABS(P17)&gt;0),基础信息!$B$1,"")</f>
        <v/>
      </c>
      <c r="B17" s="550" t="s">
        <v>780</v>
      </c>
      <c r="C17" s="230">
        <f t="shared" si="2"/>
        <v>0</v>
      </c>
      <c r="D17" s="290"/>
      <c r="E17" s="290"/>
      <c r="F17" s="260">
        <f t="shared" si="3"/>
        <v>0</v>
      </c>
      <c r="G17" s="260">
        <f t="shared" si="4"/>
        <v>0</v>
      </c>
      <c r="H17" s="290"/>
      <c r="I17" s="290"/>
      <c r="J17" s="290"/>
      <c r="K17" s="230">
        <f t="shared" si="5"/>
        <v>0</v>
      </c>
      <c r="L17" s="260">
        <f t="shared" si="6"/>
        <v>0</v>
      </c>
      <c r="M17" s="290"/>
      <c r="N17" s="290"/>
      <c r="O17" s="290"/>
      <c r="P17" s="230">
        <f t="shared" si="7"/>
        <v>0</v>
      </c>
      <c r="Q17" s="230">
        <f t="shared" si="7"/>
        <v>0</v>
      </c>
      <c r="R17" s="230">
        <f t="shared" si="8"/>
        <v>0</v>
      </c>
      <c r="S17" s="230">
        <f>IF(D17&gt;0,D17*所得税项目计算!$F$2,0)</f>
        <v>0</v>
      </c>
      <c r="T17" s="230">
        <f>IF(Q17&gt;0,Q17*所得税项目计算!$F$2,0)</f>
        <v>0</v>
      </c>
      <c r="U17" s="230">
        <f>IFERROR(VLOOKUP(B17,资产减值损失核对!A:L,2,0),"")</f>
        <v>7094592.7199999997</v>
      </c>
      <c r="V17" s="230">
        <f t="shared" si="0"/>
        <v>7094592.7199999997</v>
      </c>
      <c r="W17" s="230">
        <f>IFERROR(VLOOKUP(B17,资产减值损失核对!A:L,12,0),"")</f>
        <v>7094592.7199999997</v>
      </c>
      <c r="X17" s="230">
        <f t="shared" si="1"/>
        <v>7094592.7199999997</v>
      </c>
    </row>
    <row r="18" spans="1:24">
      <c r="A18" s="230" t="str">
        <f>IF(OR(ABS(C18)&gt;0,ABS(F18)&gt;0,ABS(K18)&gt;0,ABS(P18)&gt;0),基础信息!$B$1,"")</f>
        <v/>
      </c>
      <c r="B18" s="550" t="s">
        <v>777</v>
      </c>
      <c r="C18" s="230">
        <f t="shared" si="2"/>
        <v>0</v>
      </c>
      <c r="D18" s="290"/>
      <c r="E18" s="290"/>
      <c r="F18" s="260">
        <f t="shared" si="3"/>
        <v>0</v>
      </c>
      <c r="G18" s="260">
        <f t="shared" si="4"/>
        <v>0</v>
      </c>
      <c r="H18" s="290"/>
      <c r="I18" s="290"/>
      <c r="J18" s="290"/>
      <c r="K18" s="230">
        <f t="shared" si="5"/>
        <v>0</v>
      </c>
      <c r="L18" s="260">
        <f t="shared" si="6"/>
        <v>0</v>
      </c>
      <c r="M18" s="290"/>
      <c r="N18" s="290"/>
      <c r="O18" s="290"/>
      <c r="P18" s="230">
        <f t="shared" si="7"/>
        <v>0</v>
      </c>
      <c r="Q18" s="230">
        <f t="shared" si="7"/>
        <v>0</v>
      </c>
      <c r="R18" s="230">
        <f t="shared" si="8"/>
        <v>0</v>
      </c>
      <c r="S18" s="230">
        <f>IF(D18&gt;0,D18*所得税项目计算!$F$2,0)</f>
        <v>0</v>
      </c>
      <c r="T18" s="230">
        <f>IF(Q18&gt;0,Q18*所得税项目计算!$F$2,0)</f>
        <v>0</v>
      </c>
      <c r="U18" s="230">
        <f>IFERROR(VLOOKUP(B18,资产减值损失核对!A:L,2,0),"")</f>
        <v>0</v>
      </c>
      <c r="V18" s="230">
        <f t="shared" si="0"/>
        <v>0</v>
      </c>
      <c r="W18" s="230">
        <f>IFERROR(VLOOKUP(B18,资产减值损失核对!A:L,12,0),"")</f>
        <v>0</v>
      </c>
      <c r="X18" s="230">
        <f t="shared" si="1"/>
        <v>0</v>
      </c>
    </row>
    <row r="19" spans="1:24">
      <c r="A19" s="230" t="str">
        <f>IF(OR(ABS(C19)&gt;0,ABS(F19)&gt;0,ABS(K19)&gt;0,ABS(P19)&gt;0),基础信息!$B$1,"")</f>
        <v/>
      </c>
      <c r="B19" s="550" t="s">
        <v>988</v>
      </c>
      <c r="C19" s="230">
        <f t="shared" si="2"/>
        <v>0</v>
      </c>
      <c r="D19" s="290"/>
      <c r="E19" s="290"/>
      <c r="F19" s="260">
        <f t="shared" si="3"/>
        <v>0</v>
      </c>
      <c r="G19" s="260">
        <f t="shared" si="4"/>
        <v>0</v>
      </c>
      <c r="H19" s="290"/>
      <c r="I19" s="290"/>
      <c r="J19" s="290"/>
      <c r="K19" s="230">
        <f t="shared" si="5"/>
        <v>0</v>
      </c>
      <c r="L19" s="260">
        <f t="shared" si="6"/>
        <v>0</v>
      </c>
      <c r="M19" s="290"/>
      <c r="N19" s="290"/>
      <c r="O19" s="290"/>
      <c r="P19" s="230">
        <f t="shared" si="7"/>
        <v>0</v>
      </c>
      <c r="Q19" s="230">
        <f t="shared" si="7"/>
        <v>0</v>
      </c>
      <c r="R19" s="230">
        <f t="shared" si="8"/>
        <v>0</v>
      </c>
      <c r="S19" s="230">
        <f>IF(D19&gt;0,D19*所得税项目计算!$F$2,0)</f>
        <v>0</v>
      </c>
      <c r="T19" s="230">
        <f>IF(Q19&gt;0,Q19*所得税项目计算!$F$2,0)</f>
        <v>0</v>
      </c>
      <c r="U19" s="230">
        <f>IFERROR(VLOOKUP(B19,资产减值损失核对!A:L,2,0),"")</f>
        <v>0</v>
      </c>
      <c r="V19" s="230">
        <f t="shared" si="0"/>
        <v>0</v>
      </c>
      <c r="W19" s="230">
        <f>IFERROR(VLOOKUP(B19,资产减值损失核对!A:L,12,0),"")</f>
        <v>0</v>
      </c>
      <c r="X19" s="230">
        <f t="shared" si="1"/>
        <v>0</v>
      </c>
    </row>
    <row r="20" spans="1:24">
      <c r="A20" s="230" t="str">
        <f>IF(OR(ABS(C20)&gt;0,ABS(F20)&gt;0,ABS(K20)&gt;0,ABS(P20)&gt;0),基础信息!$B$1,"")</f>
        <v/>
      </c>
      <c r="B20" s="550" t="s">
        <v>781</v>
      </c>
      <c r="C20" s="230">
        <f t="shared" si="2"/>
        <v>0</v>
      </c>
      <c r="D20" s="290"/>
      <c r="E20" s="290"/>
      <c r="F20" s="260">
        <f t="shared" si="3"/>
        <v>0</v>
      </c>
      <c r="G20" s="260">
        <f t="shared" si="4"/>
        <v>0</v>
      </c>
      <c r="H20" s="290"/>
      <c r="I20" s="290"/>
      <c r="J20" s="290"/>
      <c r="K20" s="230">
        <f t="shared" si="5"/>
        <v>0</v>
      </c>
      <c r="L20" s="260">
        <f t="shared" si="6"/>
        <v>0</v>
      </c>
      <c r="M20" s="290"/>
      <c r="N20" s="290"/>
      <c r="O20" s="290"/>
      <c r="P20" s="230">
        <f t="shared" si="7"/>
        <v>0</v>
      </c>
      <c r="Q20" s="230">
        <f t="shared" si="7"/>
        <v>0</v>
      </c>
      <c r="R20" s="230">
        <f t="shared" si="8"/>
        <v>0</v>
      </c>
      <c r="S20" s="230">
        <f>IF(D20&gt;0,D20*所得税项目计算!$F$2,0)</f>
        <v>0</v>
      </c>
      <c r="T20" s="230">
        <f>IF(Q20&gt;0,Q20*所得税项目计算!$F$2,0)</f>
        <v>0</v>
      </c>
      <c r="U20" s="230" t="str">
        <f>IFERROR(VLOOKUP(B20,资产减值损失核对!A:L,2,0),"")</f>
        <v/>
      </c>
      <c r="V20" s="230" t="str">
        <f t="shared" si="0"/>
        <v/>
      </c>
      <c r="W20" s="230" t="str">
        <f>IFERROR(VLOOKUP(B20,资产减值损失核对!A:L,12,0),"")</f>
        <v/>
      </c>
      <c r="X20" s="230" t="str">
        <f t="shared" si="1"/>
        <v/>
      </c>
    </row>
    <row r="21" spans="1:24">
      <c r="A21" s="230" t="str">
        <f>IF(OR(ABS(C21)&gt;0,ABS(F21)&gt;0,ABS(K21)&gt;0,ABS(P21)&gt;0),基础信息!$B$1,"")</f>
        <v/>
      </c>
      <c r="B21" s="550" t="s">
        <v>2924</v>
      </c>
      <c r="C21" s="230">
        <f t="shared" si="2"/>
        <v>0</v>
      </c>
      <c r="D21" s="290"/>
      <c r="E21" s="290"/>
      <c r="F21" s="260">
        <f t="shared" si="3"/>
        <v>0</v>
      </c>
      <c r="G21" s="260">
        <f t="shared" si="4"/>
        <v>0</v>
      </c>
      <c r="H21" s="290"/>
      <c r="I21" s="290"/>
      <c r="J21" s="290"/>
      <c r="K21" s="230">
        <f t="shared" si="5"/>
        <v>0</v>
      </c>
      <c r="L21" s="260">
        <f t="shared" si="6"/>
        <v>0</v>
      </c>
      <c r="M21" s="290"/>
      <c r="N21" s="290"/>
      <c r="O21" s="290"/>
      <c r="P21" s="230">
        <f t="shared" si="7"/>
        <v>0</v>
      </c>
      <c r="Q21" s="230">
        <f t="shared" si="7"/>
        <v>0</v>
      </c>
      <c r="R21" s="230">
        <f t="shared" si="8"/>
        <v>0</v>
      </c>
      <c r="S21" s="230">
        <f>IF(D21&gt;0,D21*所得税项目计算!$F$2,0)</f>
        <v>0</v>
      </c>
      <c r="T21" s="230">
        <f>IF(Q21&gt;0,Q21*所得税项目计算!$F$2,0)</f>
        <v>0</v>
      </c>
      <c r="U21" s="230">
        <f>IFERROR(VLOOKUP(B21,资产减值损失核对!A:L,2,0),"")</f>
        <v>0</v>
      </c>
      <c r="V21" s="230">
        <f t="shared" si="0"/>
        <v>0</v>
      </c>
      <c r="W21" s="230">
        <f>IFERROR(VLOOKUP(B21,资产减值损失核对!A:L,12,0),"")</f>
        <v>0</v>
      </c>
      <c r="X21" s="230">
        <f t="shared" si="1"/>
        <v>0</v>
      </c>
    </row>
    <row r="22" spans="1:24">
      <c r="A22" s="230" t="str">
        <f>IF(OR(ABS(C22)&gt;0,ABS(F22)&gt;0,ABS(K22)&gt;0,ABS(P22)&gt;0),基础信息!$B$1,"")</f>
        <v/>
      </c>
      <c r="B22" s="550" t="s">
        <v>2926</v>
      </c>
      <c r="C22" s="230">
        <f t="shared" si="2"/>
        <v>0</v>
      </c>
      <c r="D22" s="290"/>
      <c r="E22" s="290"/>
      <c r="F22" s="260">
        <f t="shared" si="3"/>
        <v>0</v>
      </c>
      <c r="G22" s="260">
        <f t="shared" si="4"/>
        <v>0</v>
      </c>
      <c r="H22" s="290"/>
      <c r="I22" s="290"/>
      <c r="J22" s="290"/>
      <c r="K22" s="230">
        <f t="shared" si="5"/>
        <v>0</v>
      </c>
      <c r="L22" s="260">
        <f t="shared" si="6"/>
        <v>0</v>
      </c>
      <c r="M22" s="290"/>
      <c r="N22" s="290"/>
      <c r="O22" s="290"/>
      <c r="P22" s="230">
        <f t="shared" si="7"/>
        <v>0</v>
      </c>
      <c r="Q22" s="230">
        <f t="shared" si="7"/>
        <v>0</v>
      </c>
      <c r="R22" s="230">
        <f t="shared" si="8"/>
        <v>0</v>
      </c>
      <c r="S22" s="230">
        <f>IF(D22&gt;0,D22*所得税项目计算!$F$2,0)</f>
        <v>0</v>
      </c>
      <c r="T22" s="230">
        <f>IF(Q22&gt;0,Q22*所得税项目计算!$F$2,0)</f>
        <v>0</v>
      </c>
      <c r="U22" s="230">
        <f>IFERROR(VLOOKUP(B22,资产减值损失核对!A:L,2,0),"")</f>
        <v>0</v>
      </c>
      <c r="V22" s="230">
        <f t="shared" si="0"/>
        <v>0</v>
      </c>
      <c r="W22" s="230">
        <f>IFERROR(VLOOKUP(B22,资产减值损失核对!A:L,12,0),"")</f>
        <v>0</v>
      </c>
      <c r="X22" s="230">
        <f t="shared" si="1"/>
        <v>0</v>
      </c>
    </row>
    <row r="23" spans="1:24">
      <c r="A23" s="230" t="str">
        <f>IF(OR(ABS(C23)&gt;0,ABS(F23)&gt;0,ABS(K23)&gt;0,ABS(P23)&gt;0),基础信息!$B$1,"")</f>
        <v/>
      </c>
      <c r="B23" s="550" t="s">
        <v>1021</v>
      </c>
      <c r="C23" s="230">
        <f t="shared" si="2"/>
        <v>0</v>
      </c>
      <c r="D23" s="290"/>
      <c r="E23" s="290"/>
      <c r="F23" s="260">
        <f t="shared" si="3"/>
        <v>0</v>
      </c>
      <c r="G23" s="260">
        <f t="shared" si="4"/>
        <v>0</v>
      </c>
      <c r="H23" s="290"/>
      <c r="I23" s="290"/>
      <c r="J23" s="290"/>
      <c r="K23" s="230">
        <f t="shared" si="5"/>
        <v>0</v>
      </c>
      <c r="L23" s="260">
        <f t="shared" si="6"/>
        <v>0</v>
      </c>
      <c r="M23" s="290"/>
      <c r="N23" s="290"/>
      <c r="O23" s="290"/>
      <c r="P23" s="230">
        <f t="shared" si="7"/>
        <v>0</v>
      </c>
      <c r="Q23" s="230">
        <f t="shared" si="7"/>
        <v>0</v>
      </c>
      <c r="R23" s="230">
        <f t="shared" si="8"/>
        <v>0</v>
      </c>
      <c r="S23" s="230">
        <f>IF(D23&gt;0,D23*所得税项目计算!$F$2,0)</f>
        <v>0</v>
      </c>
      <c r="T23" s="230">
        <f>IF(Q23&gt;0,Q23*所得税项目计算!$F$2,0)</f>
        <v>0</v>
      </c>
      <c r="U23" s="230">
        <f>IFERROR(VLOOKUP(B23,资产减值损失核对!A:L,2,0),"")</f>
        <v>0</v>
      </c>
      <c r="V23" s="230">
        <f t="shared" si="0"/>
        <v>0</v>
      </c>
      <c r="W23" s="230">
        <f>IFERROR(VLOOKUP(B23,资产减值损失核对!A:L,12,0),"")</f>
        <v>0</v>
      </c>
      <c r="X23" s="230">
        <f t="shared" si="1"/>
        <v>0</v>
      </c>
    </row>
    <row r="24" spans="1:24">
      <c r="A24" s="230" t="str">
        <f>IF(OR(ABS(C24)&gt;0,ABS(F24)&gt;0,ABS(K24)&gt;0,ABS(P24)&gt;0),基础信息!$B$1,"")</f>
        <v/>
      </c>
      <c r="B24" s="550" t="s">
        <v>1030</v>
      </c>
      <c r="C24" s="230">
        <f t="shared" si="2"/>
        <v>0</v>
      </c>
      <c r="D24" s="290"/>
      <c r="E24" s="290"/>
      <c r="F24" s="260">
        <f t="shared" si="3"/>
        <v>0</v>
      </c>
      <c r="G24" s="260">
        <f t="shared" si="4"/>
        <v>0</v>
      </c>
      <c r="H24" s="290"/>
      <c r="I24" s="290"/>
      <c r="J24" s="290"/>
      <c r="K24" s="230">
        <f t="shared" si="5"/>
        <v>0</v>
      </c>
      <c r="L24" s="260">
        <f t="shared" si="6"/>
        <v>0</v>
      </c>
      <c r="M24" s="290"/>
      <c r="N24" s="290"/>
      <c r="O24" s="290"/>
      <c r="P24" s="230">
        <f t="shared" si="7"/>
        <v>0</v>
      </c>
      <c r="Q24" s="230">
        <f t="shared" si="7"/>
        <v>0</v>
      </c>
      <c r="R24" s="230">
        <f t="shared" si="8"/>
        <v>0</v>
      </c>
      <c r="S24" s="230">
        <f>IF(D24&gt;0,D24*所得税项目计算!$F$2,0)</f>
        <v>0</v>
      </c>
      <c r="T24" s="230">
        <f>IF(Q24&gt;0,Q24*所得税项目计算!$F$2,0)</f>
        <v>0</v>
      </c>
      <c r="U24" s="230">
        <f>IFERROR(VLOOKUP(B24,资产减值损失核对!A:L,2,0),"")</f>
        <v>0</v>
      </c>
      <c r="V24" s="230">
        <f t="shared" si="0"/>
        <v>0</v>
      </c>
      <c r="W24" s="230">
        <f>IFERROR(VLOOKUP(B24,资产减值损失核对!A:L,12,0),"")</f>
        <v>0</v>
      </c>
      <c r="X24" s="230">
        <f t="shared" si="1"/>
        <v>0</v>
      </c>
    </row>
    <row r="25" spans="1:24">
      <c r="A25" s="230" t="str">
        <f>IF(OR(ABS(C25)&gt;0,ABS(F25)&gt;0,ABS(K25)&gt;0,ABS(P25)&gt;0),基础信息!$B$1,"")</f>
        <v/>
      </c>
      <c r="B25" s="550" t="s">
        <v>2929</v>
      </c>
      <c r="C25" s="230">
        <f t="shared" si="2"/>
        <v>0</v>
      </c>
      <c r="D25" s="290"/>
      <c r="E25" s="290"/>
      <c r="F25" s="260">
        <f t="shared" si="3"/>
        <v>0</v>
      </c>
      <c r="G25" s="260">
        <f t="shared" si="4"/>
        <v>0</v>
      </c>
      <c r="H25" s="290"/>
      <c r="I25" s="290"/>
      <c r="J25" s="290"/>
      <c r="K25" s="230">
        <f t="shared" si="5"/>
        <v>0</v>
      </c>
      <c r="L25" s="260">
        <f t="shared" si="6"/>
        <v>0</v>
      </c>
      <c r="M25" s="290"/>
      <c r="N25" s="290"/>
      <c r="O25" s="290"/>
      <c r="P25" s="230">
        <f t="shared" si="7"/>
        <v>0</v>
      </c>
      <c r="Q25" s="230">
        <f t="shared" si="7"/>
        <v>0</v>
      </c>
      <c r="R25" s="230">
        <f t="shared" si="8"/>
        <v>0</v>
      </c>
      <c r="S25" s="230">
        <f>IF(D25&gt;0,D25*所得税项目计算!$F$2,0)</f>
        <v>0</v>
      </c>
      <c r="T25" s="230">
        <f>IF(Q25&gt;0,Q25*所得税项目计算!$F$2,0)</f>
        <v>0</v>
      </c>
      <c r="U25" s="230">
        <f>IFERROR(VLOOKUP(B25,资产减值损失核对!A:L,2,0),"")</f>
        <v>0</v>
      </c>
      <c r="V25" s="230">
        <f t="shared" si="0"/>
        <v>0</v>
      </c>
      <c r="W25" s="230">
        <f>IFERROR(VLOOKUP(B25,资产减值损失核对!A:L,12,0),"")</f>
        <v>0</v>
      </c>
      <c r="X25" s="230">
        <f t="shared" si="1"/>
        <v>0</v>
      </c>
    </row>
    <row r="26" spans="1:24">
      <c r="A26" s="230" t="str">
        <f>IF(OR(ABS(C26)&gt;0,ABS(F26)&gt;0,ABS(K26)&gt;0,ABS(P26)&gt;0),基础信息!$B$1,"")</f>
        <v/>
      </c>
      <c r="B26" s="550" t="s">
        <v>2931</v>
      </c>
      <c r="C26" s="230">
        <f t="shared" si="2"/>
        <v>0</v>
      </c>
      <c r="D26" s="290"/>
      <c r="E26" s="290"/>
      <c r="F26" s="260">
        <f t="shared" si="3"/>
        <v>0</v>
      </c>
      <c r="G26" s="260">
        <f t="shared" si="4"/>
        <v>0</v>
      </c>
      <c r="H26" s="290"/>
      <c r="I26" s="290"/>
      <c r="J26" s="290"/>
      <c r="K26" s="230">
        <f t="shared" si="5"/>
        <v>0</v>
      </c>
      <c r="L26" s="260">
        <f t="shared" si="6"/>
        <v>0</v>
      </c>
      <c r="M26" s="290"/>
      <c r="N26" s="290"/>
      <c r="O26" s="290"/>
      <c r="P26" s="230">
        <f t="shared" si="7"/>
        <v>0</v>
      </c>
      <c r="Q26" s="230">
        <f t="shared" si="7"/>
        <v>0</v>
      </c>
      <c r="R26" s="230">
        <f t="shared" si="8"/>
        <v>0</v>
      </c>
      <c r="S26" s="230">
        <f>IF(D26&gt;0,D26*所得税项目计算!$F$2,0)</f>
        <v>0</v>
      </c>
      <c r="T26" s="230">
        <f>IF(Q26&gt;0,Q26*所得税项目计算!$F$2,0)</f>
        <v>0</v>
      </c>
      <c r="U26" s="230">
        <f>IFERROR(VLOOKUP(B26,资产减值损失核对!A:L,2,0),"")</f>
        <v>0</v>
      </c>
      <c r="V26" s="230">
        <f t="shared" si="0"/>
        <v>0</v>
      </c>
      <c r="W26" s="230">
        <f>IFERROR(VLOOKUP(B26,资产减值损失核对!A:L,12,0),"")</f>
        <v>0</v>
      </c>
      <c r="X26" s="230">
        <f t="shared" si="1"/>
        <v>0</v>
      </c>
    </row>
    <row r="27" spans="1:24">
      <c r="A27" s="230" t="str">
        <f>IF(OR(ABS(C27)&gt;0,ABS(F27)&gt;0,ABS(K27)&gt;0,ABS(P27)&gt;0),基础信息!$B$1,"")</f>
        <v/>
      </c>
      <c r="B27" s="550" t="s">
        <v>1013</v>
      </c>
      <c r="C27" s="230">
        <f t="shared" si="2"/>
        <v>0</v>
      </c>
      <c r="D27" s="290"/>
      <c r="E27" s="290"/>
      <c r="F27" s="260">
        <f t="shared" si="3"/>
        <v>0</v>
      </c>
      <c r="G27" s="260">
        <f t="shared" si="4"/>
        <v>0</v>
      </c>
      <c r="H27" s="290"/>
      <c r="I27" s="290"/>
      <c r="J27" s="290"/>
      <c r="K27" s="230">
        <f t="shared" si="5"/>
        <v>0</v>
      </c>
      <c r="L27" s="260">
        <f t="shared" si="6"/>
        <v>0</v>
      </c>
      <c r="M27" s="290"/>
      <c r="N27" s="290"/>
      <c r="O27" s="290"/>
      <c r="P27" s="230">
        <f t="shared" si="7"/>
        <v>0</v>
      </c>
      <c r="Q27" s="230">
        <f t="shared" si="7"/>
        <v>0</v>
      </c>
      <c r="R27" s="230">
        <f t="shared" si="8"/>
        <v>0</v>
      </c>
      <c r="S27" s="230">
        <f>IF(D27&gt;0,D27*所得税项目计算!$F$2,0)</f>
        <v>0</v>
      </c>
      <c r="T27" s="230">
        <f>IF(Q27&gt;0,Q27*所得税项目计算!$F$2,0)</f>
        <v>0</v>
      </c>
      <c r="U27" s="230">
        <f>IFERROR(VLOOKUP(B27,资产减值损失核对!A:L,2,0),"")</f>
        <v>0</v>
      </c>
      <c r="V27" s="230">
        <f t="shared" si="0"/>
        <v>0</v>
      </c>
      <c r="W27" s="230">
        <f>IFERROR(VLOOKUP(B27,资产减值损失核对!A:L,12,0),"")</f>
        <v>0</v>
      </c>
      <c r="X27" s="230">
        <f t="shared" si="1"/>
        <v>0</v>
      </c>
    </row>
    <row r="28" spans="1:24">
      <c r="A28" s="230" t="str">
        <f>IF(OR(ABS(C28)&gt;0,ABS(F28)&gt;0,ABS(K28)&gt;0,ABS(P28)&gt;0),基础信息!$B$1,"")</f>
        <v/>
      </c>
      <c r="B28" s="550" t="s">
        <v>4148</v>
      </c>
      <c r="C28" s="230">
        <f t="shared" si="2"/>
        <v>0</v>
      </c>
      <c r="D28" s="290"/>
      <c r="E28" s="290"/>
      <c r="F28" s="260">
        <f t="shared" si="3"/>
        <v>0</v>
      </c>
      <c r="G28" s="260">
        <f t="shared" si="4"/>
        <v>0</v>
      </c>
      <c r="H28" s="290"/>
      <c r="I28" s="290"/>
      <c r="J28" s="290"/>
      <c r="K28" s="230">
        <f t="shared" si="5"/>
        <v>0</v>
      </c>
      <c r="L28" s="260">
        <f t="shared" si="6"/>
        <v>0</v>
      </c>
      <c r="M28" s="290"/>
      <c r="N28" s="290"/>
      <c r="O28" s="290"/>
      <c r="P28" s="230">
        <f t="shared" si="7"/>
        <v>0</v>
      </c>
      <c r="Q28" s="230">
        <f t="shared" si="7"/>
        <v>0</v>
      </c>
      <c r="R28" s="230">
        <f t="shared" si="8"/>
        <v>0</v>
      </c>
      <c r="S28" s="230">
        <f>IF(D28&gt;0,D28*所得税项目计算!$F$2,0)</f>
        <v>0</v>
      </c>
      <c r="T28" s="230">
        <f>IF(Q28&gt;0,Q28*所得税项目计算!$F$2,0)</f>
        <v>0</v>
      </c>
      <c r="U28" s="230" t="str">
        <f>IFERROR(VLOOKUP(B28,资产减值损失核对!A:L,2,0),"")</f>
        <v/>
      </c>
      <c r="V28" s="230" t="str">
        <f t="shared" si="0"/>
        <v/>
      </c>
      <c r="W28" s="230" t="str">
        <f>IFERROR(VLOOKUP(B28,资产减值损失核对!A:L,12,0),"")</f>
        <v/>
      </c>
      <c r="X28" s="230" t="str">
        <f t="shared" si="1"/>
        <v/>
      </c>
    </row>
    <row r="29" spans="1:24">
      <c r="A29" s="230" t="str">
        <f>IF(OR(ABS(C29)&gt;0,ABS(F29)&gt;0,ABS(K29)&gt;0,ABS(P29)&gt;0),基础信息!$B$1,"")</f>
        <v/>
      </c>
      <c r="B29" s="550" t="s">
        <v>4149</v>
      </c>
      <c r="C29" s="230">
        <f t="shared" si="2"/>
        <v>0</v>
      </c>
      <c r="D29" s="290"/>
      <c r="E29" s="290"/>
      <c r="F29" s="260">
        <f t="shared" si="3"/>
        <v>0</v>
      </c>
      <c r="G29" s="260">
        <f t="shared" si="4"/>
        <v>0</v>
      </c>
      <c r="H29" s="290"/>
      <c r="I29" s="290"/>
      <c r="J29" s="290"/>
      <c r="K29" s="230">
        <f t="shared" si="5"/>
        <v>0</v>
      </c>
      <c r="L29" s="260">
        <f t="shared" si="6"/>
        <v>0</v>
      </c>
      <c r="M29" s="290"/>
      <c r="N29" s="290"/>
      <c r="O29" s="290"/>
      <c r="P29" s="230">
        <f t="shared" si="7"/>
        <v>0</v>
      </c>
      <c r="Q29" s="230">
        <f t="shared" si="7"/>
        <v>0</v>
      </c>
      <c r="R29" s="230">
        <f t="shared" si="8"/>
        <v>0</v>
      </c>
      <c r="S29" s="230">
        <f>IF(D29&gt;0,D29*所得税项目计算!$F$2,0)</f>
        <v>0</v>
      </c>
      <c r="T29" s="230">
        <f>IF(Q29&gt;0,Q29*所得税项目计算!$F$2,0)</f>
        <v>0</v>
      </c>
      <c r="U29" s="230" t="str">
        <f>IFERROR(VLOOKUP(B29,资产减值损失核对!A:L,2,0),"")</f>
        <v/>
      </c>
      <c r="V29" s="230" t="str">
        <f t="shared" si="0"/>
        <v/>
      </c>
      <c r="W29" s="230" t="str">
        <f>IFERROR(VLOOKUP(B29,资产减值损失核对!A:L,12,0),"")</f>
        <v/>
      </c>
      <c r="X29" s="230" t="str">
        <f t="shared" si="1"/>
        <v/>
      </c>
    </row>
    <row r="30" spans="1:24">
      <c r="A30" s="230" t="str">
        <f>IF(OR(ABS(C30)&gt;0,ABS(F30)&gt;0,ABS(K30)&gt;0,ABS(P30)&gt;0),基础信息!$B$1,"")</f>
        <v/>
      </c>
      <c r="B30" s="550" t="s">
        <v>4143</v>
      </c>
      <c r="C30" s="230">
        <f t="shared" si="2"/>
        <v>0</v>
      </c>
      <c r="D30" s="290"/>
      <c r="E30" s="290"/>
      <c r="F30" s="260">
        <f t="shared" si="3"/>
        <v>0</v>
      </c>
      <c r="G30" s="260">
        <f t="shared" si="4"/>
        <v>0</v>
      </c>
      <c r="H30" s="290"/>
      <c r="I30" s="290"/>
      <c r="J30" s="290"/>
      <c r="K30" s="230">
        <f t="shared" si="5"/>
        <v>0</v>
      </c>
      <c r="L30" s="260">
        <f t="shared" si="6"/>
        <v>0</v>
      </c>
      <c r="M30" s="290"/>
      <c r="N30" s="290"/>
      <c r="O30" s="290"/>
      <c r="P30" s="230">
        <f t="shared" si="7"/>
        <v>0</v>
      </c>
      <c r="Q30" s="230">
        <f t="shared" si="7"/>
        <v>0</v>
      </c>
      <c r="R30" s="230">
        <f t="shared" si="8"/>
        <v>0</v>
      </c>
      <c r="S30" s="230">
        <f>IF(D30&gt;0,D30*所得税项目计算!$F$2,0)</f>
        <v>0</v>
      </c>
      <c r="T30" s="230">
        <f>IF(Q30&gt;0,Q30*所得税项目计算!$F$2,0)</f>
        <v>0</v>
      </c>
      <c r="U30" s="230" t="str">
        <f>IFERROR(VLOOKUP(B30,资产减值损失核对!A:L,2,0),"")</f>
        <v/>
      </c>
      <c r="V30" s="230" t="str">
        <f t="shared" si="0"/>
        <v/>
      </c>
      <c r="W30" s="230" t="str">
        <f>IFERROR(VLOOKUP(B30,资产减值损失核对!A:L,12,0),"")</f>
        <v/>
      </c>
      <c r="X30" s="230" t="str">
        <f t="shared" si="1"/>
        <v/>
      </c>
    </row>
    <row r="31" spans="1:24" s="260" customFormat="1">
      <c r="A31" s="230" t="str">
        <f>IF(OR(ABS(C31)&gt;0,ABS(F31)&gt;0,ABS(K31)&gt;0,ABS(P31)&gt;0),基础信息!$B$1,"")</f>
        <v/>
      </c>
      <c r="B31" s="550" t="s">
        <v>788</v>
      </c>
      <c r="C31" s="230">
        <f t="shared" si="2"/>
        <v>0</v>
      </c>
      <c r="D31" s="290"/>
      <c r="E31" s="290"/>
      <c r="F31" s="260">
        <f t="shared" si="3"/>
        <v>0</v>
      </c>
      <c r="G31" s="260">
        <f t="shared" si="4"/>
        <v>0</v>
      </c>
      <c r="H31" s="290"/>
      <c r="I31" s="290"/>
      <c r="J31" s="290"/>
      <c r="K31" s="230">
        <f t="shared" si="5"/>
        <v>0</v>
      </c>
      <c r="L31" s="260">
        <f t="shared" si="6"/>
        <v>0</v>
      </c>
      <c r="M31" s="290"/>
      <c r="N31" s="290"/>
      <c r="O31" s="290"/>
      <c r="P31" s="260">
        <f t="shared" si="7"/>
        <v>0</v>
      </c>
      <c r="Q31" s="260">
        <f t="shared" si="7"/>
        <v>0</v>
      </c>
      <c r="R31" s="260">
        <f t="shared" si="8"/>
        <v>0</v>
      </c>
      <c r="S31" s="230">
        <f>IF(D31&gt;0,D31*所得税项目计算!$F$2,0)</f>
        <v>0</v>
      </c>
      <c r="T31" s="230">
        <f>IF(Q31&gt;0,Q31*所得税项目计算!$F$2,0)</f>
        <v>0</v>
      </c>
      <c r="U31" s="230" t="str">
        <f>IFERROR(VLOOKUP(B31,资产减值损失核对!A:L,2,0),"")</f>
        <v/>
      </c>
      <c r="V31" s="230" t="str">
        <f t="shared" si="0"/>
        <v/>
      </c>
      <c r="W31" s="230" t="str">
        <f>IFERROR(VLOOKUP(B31,资产减值损失核对!A:L,12,0),"")</f>
        <v/>
      </c>
      <c r="X31" s="230" t="str">
        <f t="shared" si="1"/>
        <v/>
      </c>
    </row>
    <row r="32" spans="1:24">
      <c r="A32" s="230" t="str">
        <f>IF(OR(ABS(C32)&gt;0,ABS(F32)&gt;0,ABS(K32)&gt;0,ABS(P32)&gt;0),基础信息!$B$1,"")</f>
        <v/>
      </c>
      <c r="B32" s="550" t="s">
        <v>512</v>
      </c>
      <c r="C32" s="230">
        <f t="shared" si="2"/>
        <v>0</v>
      </c>
      <c r="D32" s="290"/>
      <c r="E32" s="290"/>
      <c r="F32" s="260">
        <f t="shared" si="3"/>
        <v>0</v>
      </c>
      <c r="G32" s="260">
        <f t="shared" si="4"/>
        <v>0</v>
      </c>
      <c r="H32" s="290"/>
      <c r="I32" s="290"/>
      <c r="J32" s="290"/>
      <c r="K32" s="230">
        <f t="shared" si="5"/>
        <v>0</v>
      </c>
      <c r="L32" s="260">
        <f t="shared" si="6"/>
        <v>0</v>
      </c>
      <c r="M32" s="290"/>
      <c r="N32" s="290"/>
      <c r="O32" s="290"/>
      <c r="P32" s="230">
        <f t="shared" si="7"/>
        <v>0</v>
      </c>
      <c r="Q32" s="230">
        <f t="shared" si="7"/>
        <v>0</v>
      </c>
      <c r="R32" s="230">
        <f t="shared" si="8"/>
        <v>0</v>
      </c>
      <c r="S32" s="230">
        <f>IF(D32&gt;0,D32*所得税项目计算!$F$2,0)</f>
        <v>0</v>
      </c>
      <c r="T32" s="230">
        <f>IF(Q32&gt;0,Q32*所得税项目计算!$F$2,0)</f>
        <v>0</v>
      </c>
      <c r="U32" s="230" t="str">
        <f>IFERROR(VLOOKUP(B32,资产减值损失核对!A:L,2,0),"")</f>
        <v/>
      </c>
      <c r="V32" s="230" t="str">
        <f t="shared" si="0"/>
        <v/>
      </c>
      <c r="W32" s="230" t="str">
        <f>IFERROR(VLOOKUP(B32,资产减值损失核对!A:L,12,0),"")</f>
        <v/>
      </c>
      <c r="X32" s="230" t="str">
        <f t="shared" si="1"/>
        <v/>
      </c>
    </row>
    <row r="33" spans="1:24">
      <c r="A33" s="230" t="str">
        <f>IF(OR(ABS(C33)&gt;0,ABS(F33)&gt;0,ABS(K33)&gt;0,ABS(P33)&gt;0),基础信息!$B$1,"")</f>
        <v/>
      </c>
      <c r="B33" s="550" t="s">
        <v>4766</v>
      </c>
      <c r="C33" s="230">
        <f t="shared" si="2"/>
        <v>0</v>
      </c>
      <c r="D33" s="290"/>
      <c r="E33" s="290"/>
      <c r="F33" s="260">
        <f t="shared" si="3"/>
        <v>0</v>
      </c>
      <c r="G33" s="260">
        <f t="shared" si="4"/>
        <v>0</v>
      </c>
      <c r="H33" s="290"/>
      <c r="I33" s="290"/>
      <c r="J33" s="290"/>
      <c r="K33" s="230">
        <f t="shared" si="5"/>
        <v>0</v>
      </c>
      <c r="L33" s="260">
        <f t="shared" si="6"/>
        <v>0</v>
      </c>
      <c r="M33" s="290"/>
      <c r="N33" s="290"/>
      <c r="O33" s="290"/>
      <c r="P33" s="230">
        <f t="shared" si="7"/>
        <v>0</v>
      </c>
      <c r="Q33" s="230">
        <f t="shared" si="7"/>
        <v>0</v>
      </c>
      <c r="R33" s="230">
        <f t="shared" si="8"/>
        <v>0</v>
      </c>
      <c r="S33" s="230">
        <f>IF(D33&gt;0,D33*所得税项目计算!$F$2,0)</f>
        <v>0</v>
      </c>
      <c r="T33" s="230">
        <f>IF(Q33&gt;0,Q33*所得税项目计算!$F$2,0)</f>
        <v>0</v>
      </c>
      <c r="U33" s="230" t="str">
        <f>IFERROR(VLOOKUP(B33,资产减值损失核对!A:L,2,0),"")</f>
        <v/>
      </c>
      <c r="V33" s="230" t="str">
        <f t="shared" si="0"/>
        <v/>
      </c>
      <c r="W33" s="230" t="str">
        <f>IFERROR(VLOOKUP(B33,资产减值损失核对!A:L,12,0),"")</f>
        <v/>
      </c>
      <c r="X33" s="230" t="str">
        <f t="shared" si="1"/>
        <v/>
      </c>
    </row>
    <row r="34" spans="1:24">
      <c r="A34" s="230" t="str">
        <f>IF(OR(ABS(C34)&gt;0,ABS(F34)&gt;0,ABS(K34)&gt;0,ABS(P34)&gt;0),基础信息!$B$1,"")</f>
        <v/>
      </c>
      <c r="B34" s="550" t="s">
        <v>4765</v>
      </c>
      <c r="C34" s="230">
        <f t="shared" si="2"/>
        <v>0</v>
      </c>
      <c r="D34" s="290"/>
      <c r="E34" s="290"/>
      <c r="F34" s="260">
        <f t="shared" si="3"/>
        <v>0</v>
      </c>
      <c r="G34" s="260">
        <f t="shared" si="4"/>
        <v>0</v>
      </c>
      <c r="H34" s="290"/>
      <c r="I34" s="290"/>
      <c r="J34" s="290"/>
      <c r="K34" s="230">
        <f t="shared" si="5"/>
        <v>0</v>
      </c>
      <c r="L34" s="260">
        <f t="shared" si="6"/>
        <v>0</v>
      </c>
      <c r="M34" s="290"/>
      <c r="N34" s="290"/>
      <c r="O34" s="290"/>
      <c r="P34" s="230">
        <f t="shared" si="7"/>
        <v>0</v>
      </c>
      <c r="Q34" s="230">
        <f t="shared" si="7"/>
        <v>0</v>
      </c>
      <c r="R34" s="230">
        <f t="shared" si="8"/>
        <v>0</v>
      </c>
      <c r="S34" s="230">
        <f>IF(D34&gt;0,D34*所得税项目计算!$F$2,0)</f>
        <v>0</v>
      </c>
      <c r="T34" s="230">
        <f>IF(Q34&gt;0,Q34*所得税项目计算!$F$2,0)</f>
        <v>0</v>
      </c>
      <c r="U34" s="230" t="str">
        <f>IFERROR(VLOOKUP(B34,资产减值损失核对!A:L,2,0),"")</f>
        <v/>
      </c>
      <c r="V34" s="230" t="str">
        <f t="shared" si="0"/>
        <v/>
      </c>
      <c r="W34" s="230" t="str">
        <f>IFERROR(VLOOKUP(B34,资产减值损失核对!A:L,12,0),"")</f>
        <v/>
      </c>
      <c r="X34" s="230" t="str">
        <f t="shared" si="1"/>
        <v/>
      </c>
    </row>
    <row r="35" spans="1:24">
      <c r="A35" s="230" t="str">
        <f>IF(OR(ABS(C35)&gt;0,ABS(F35)&gt;0,ABS(K35)&gt;0,ABS(P35)&gt;0),基础信息!$B$1,"")</f>
        <v/>
      </c>
      <c r="B35" s="550" t="s">
        <v>4767</v>
      </c>
      <c r="C35" s="230">
        <f t="shared" si="2"/>
        <v>0</v>
      </c>
      <c r="D35" s="290"/>
      <c r="E35" s="290"/>
      <c r="F35" s="260">
        <f t="shared" si="3"/>
        <v>0</v>
      </c>
      <c r="G35" s="260">
        <f t="shared" si="4"/>
        <v>0</v>
      </c>
      <c r="H35" s="290"/>
      <c r="I35" s="290"/>
      <c r="J35" s="290"/>
      <c r="K35" s="230">
        <f t="shared" si="5"/>
        <v>0</v>
      </c>
      <c r="L35" s="260">
        <f t="shared" si="6"/>
        <v>0</v>
      </c>
      <c r="M35" s="290"/>
      <c r="N35" s="290"/>
      <c r="O35" s="290"/>
      <c r="P35" s="230">
        <f t="shared" si="7"/>
        <v>0</v>
      </c>
      <c r="Q35" s="230">
        <f t="shared" si="7"/>
        <v>0</v>
      </c>
      <c r="R35" s="230">
        <f t="shared" si="8"/>
        <v>0</v>
      </c>
      <c r="S35" s="230">
        <f>IF(D35&gt;0,D35*所得税项目计算!$F$2,0)</f>
        <v>0</v>
      </c>
      <c r="T35" s="230">
        <f>IF(Q35&gt;0,Q35*所得税项目计算!$F$2,0)</f>
        <v>0</v>
      </c>
      <c r="U35" s="230" t="str">
        <f>IFERROR(VLOOKUP(B35,资产减值损失核对!A:L,2,0),"")</f>
        <v/>
      </c>
      <c r="V35" s="230" t="str">
        <f t="shared" si="0"/>
        <v/>
      </c>
      <c r="W35" s="230" t="str">
        <f>IFERROR(VLOOKUP(B35,资产减值损失核对!A:L,12,0),"")</f>
        <v/>
      </c>
      <c r="X35" s="230" t="str">
        <f t="shared" si="1"/>
        <v/>
      </c>
    </row>
    <row r="36" spans="1:24">
      <c r="A36" s="230" t="str">
        <f>IF(OR(ABS(C36)&gt;0,ABS(F36)&gt;0,ABS(K36)&gt;0,ABS(P36)&gt;0),基础信息!$B$1,"")</f>
        <v/>
      </c>
      <c r="B36" s="550" t="s">
        <v>2272</v>
      </c>
      <c r="C36" s="230">
        <f t="shared" si="2"/>
        <v>0</v>
      </c>
      <c r="D36" s="290"/>
      <c r="E36" s="290"/>
      <c r="F36" s="260">
        <f t="shared" si="3"/>
        <v>0</v>
      </c>
      <c r="G36" s="260">
        <f t="shared" si="4"/>
        <v>0</v>
      </c>
      <c r="H36" s="290"/>
      <c r="I36" s="290"/>
      <c r="J36" s="290"/>
      <c r="K36" s="230">
        <f t="shared" si="5"/>
        <v>0</v>
      </c>
      <c r="L36" s="260">
        <f t="shared" si="6"/>
        <v>0</v>
      </c>
      <c r="M36" s="290"/>
      <c r="N36" s="290"/>
      <c r="O36" s="290"/>
      <c r="P36" s="230">
        <f t="shared" si="7"/>
        <v>0</v>
      </c>
      <c r="Q36" s="230">
        <f t="shared" si="7"/>
        <v>0</v>
      </c>
      <c r="R36" s="230">
        <f t="shared" si="8"/>
        <v>0</v>
      </c>
      <c r="S36" s="230">
        <f>IF(D36&gt;0,D36*所得税项目计算!$F$2,0)</f>
        <v>0</v>
      </c>
      <c r="T36" s="230">
        <f>IF(Q36&gt;0,Q36*所得税项目计算!$F$2,0)</f>
        <v>0</v>
      </c>
      <c r="U36" s="230" t="str">
        <f>IFERROR(VLOOKUP(B36,资产减值损失核对!A:L,2,0),"")</f>
        <v/>
      </c>
      <c r="V36" s="230" t="str">
        <f t="shared" si="0"/>
        <v/>
      </c>
      <c r="W36" s="230" t="str">
        <f>IFERROR(VLOOKUP(B36,资产减值损失核对!A:L,12,0),"")</f>
        <v/>
      </c>
      <c r="X36" s="230" t="str">
        <f t="shared" si="1"/>
        <v/>
      </c>
    </row>
    <row r="37" spans="1:24">
      <c r="A37" s="230" t="str">
        <f>IF(OR(ABS(C37)&gt;0,ABS(F37)&gt;0,ABS(K37)&gt;0,ABS(P37)&gt;0),基础信息!$B$1,"")</f>
        <v/>
      </c>
      <c r="B37" s="550" t="s">
        <v>1107</v>
      </c>
      <c r="C37" s="230">
        <f t="shared" ref="C37:C47" si="9">SUM(D37:E37)</f>
        <v>0</v>
      </c>
      <c r="D37" s="290"/>
      <c r="E37" s="290"/>
      <c r="F37" s="260">
        <f t="shared" ref="F37:F47" si="10">G37+J37</f>
        <v>0</v>
      </c>
      <c r="G37" s="260">
        <f t="shared" ref="G37:G47" si="11">SUM(H37:I37)</f>
        <v>0</v>
      </c>
      <c r="H37" s="290"/>
      <c r="I37" s="290"/>
      <c r="J37" s="290"/>
      <c r="K37" s="230">
        <f t="shared" ref="K37:K47" si="12">L37+O37</f>
        <v>0</v>
      </c>
      <c r="L37" s="260">
        <f t="shared" ref="L37:L47" si="13">SUM(M37:N37)</f>
        <v>0</v>
      </c>
      <c r="M37" s="290"/>
      <c r="N37" s="290"/>
      <c r="O37" s="290"/>
      <c r="P37" s="230">
        <f t="shared" ref="P37:P47" si="14">C37+F37-K37</f>
        <v>0</v>
      </c>
      <c r="Q37" s="230">
        <f t="shared" ref="Q37:Q47" si="15">D37+G37-L37</f>
        <v>0</v>
      </c>
      <c r="R37" s="230">
        <f t="shared" ref="R37:R47" si="16">E37+J37-O37</f>
        <v>0</v>
      </c>
      <c r="S37" s="230">
        <f>IF(D37&gt;0,D37*所得税项目计算!$F$2,0)</f>
        <v>0</v>
      </c>
      <c r="T37" s="230">
        <f>IF(Q37&gt;0,Q37*所得税项目计算!$F$2,0)</f>
        <v>0</v>
      </c>
      <c r="U37" s="230" t="str">
        <f>IFERROR(VLOOKUP(B37,资产减值损失核对!A:L,2,0),"")</f>
        <v/>
      </c>
      <c r="V37" s="230" t="str">
        <f t="shared" si="0"/>
        <v/>
      </c>
      <c r="W37" s="230" t="str">
        <f>IFERROR(VLOOKUP(B37,资产减值损失核对!A:L,12,0),"")</f>
        <v/>
      </c>
      <c r="X37" s="230" t="str">
        <f t="shared" si="1"/>
        <v/>
      </c>
    </row>
    <row r="38" spans="1:24">
      <c r="A38" s="230" t="str">
        <f>IF(OR(ABS(C38)&gt;0,ABS(F38)&gt;0,ABS(K38)&gt;0,ABS(P38)&gt;0),基础信息!$B$1,"")</f>
        <v/>
      </c>
      <c r="B38" s="550" t="s">
        <v>4768</v>
      </c>
      <c r="C38" s="230">
        <f t="shared" si="9"/>
        <v>0</v>
      </c>
      <c r="D38" s="290"/>
      <c r="E38" s="290"/>
      <c r="F38" s="260">
        <f t="shared" si="10"/>
        <v>0</v>
      </c>
      <c r="G38" s="260">
        <f t="shared" si="11"/>
        <v>0</v>
      </c>
      <c r="H38" s="290"/>
      <c r="I38" s="290"/>
      <c r="J38" s="290"/>
      <c r="K38" s="230">
        <f t="shared" si="12"/>
        <v>0</v>
      </c>
      <c r="L38" s="260">
        <f t="shared" si="13"/>
        <v>0</v>
      </c>
      <c r="M38" s="290"/>
      <c r="N38" s="290"/>
      <c r="O38" s="290"/>
      <c r="P38" s="230">
        <f t="shared" si="14"/>
        <v>0</v>
      </c>
      <c r="Q38" s="230">
        <f t="shared" si="15"/>
        <v>0</v>
      </c>
      <c r="R38" s="230">
        <f t="shared" si="16"/>
        <v>0</v>
      </c>
      <c r="S38" s="230">
        <f>IF(D38&gt;0,D38*所得税项目计算!$F$2,0)</f>
        <v>0</v>
      </c>
      <c r="T38" s="230">
        <f>IF(Q38&gt;0,Q38*所得税项目计算!$F$2,0)</f>
        <v>0</v>
      </c>
      <c r="U38" s="230" t="str">
        <f>IFERROR(VLOOKUP(B38,资产减值损失核对!A:L,2,0),"")</f>
        <v/>
      </c>
      <c r="V38" s="230" t="str">
        <f t="shared" si="0"/>
        <v/>
      </c>
      <c r="W38" s="230" t="str">
        <f>IFERROR(VLOOKUP(B38,资产减值损失核对!A:L,12,0),"")</f>
        <v/>
      </c>
      <c r="X38" s="230" t="str">
        <f t="shared" si="1"/>
        <v/>
      </c>
    </row>
    <row r="39" spans="1:24">
      <c r="A39" s="230" t="str">
        <f>IF(OR(ABS(C39)&gt;0,ABS(F39)&gt;0,ABS(K39)&gt;0,ABS(P39)&gt;0),基础信息!$B$1,"")</f>
        <v/>
      </c>
      <c r="B39" s="550"/>
      <c r="C39" s="230">
        <f t="shared" si="9"/>
        <v>0</v>
      </c>
      <c r="D39" s="290"/>
      <c r="E39" s="290"/>
      <c r="F39" s="260">
        <f t="shared" si="10"/>
        <v>0</v>
      </c>
      <c r="G39" s="260">
        <f t="shared" si="11"/>
        <v>0</v>
      </c>
      <c r="H39" s="290"/>
      <c r="I39" s="290"/>
      <c r="J39" s="290"/>
      <c r="K39" s="230">
        <f t="shared" si="12"/>
        <v>0</v>
      </c>
      <c r="L39" s="260">
        <f t="shared" si="13"/>
        <v>0</v>
      </c>
      <c r="M39" s="290"/>
      <c r="N39" s="290"/>
      <c r="O39" s="290"/>
      <c r="P39" s="230">
        <f t="shared" si="14"/>
        <v>0</v>
      </c>
      <c r="Q39" s="230">
        <f t="shared" si="15"/>
        <v>0</v>
      </c>
      <c r="R39" s="230">
        <f t="shared" si="16"/>
        <v>0</v>
      </c>
      <c r="S39" s="230">
        <f>IF(D39&gt;0,D39*所得税项目计算!$F$2,0)</f>
        <v>0</v>
      </c>
      <c r="T39" s="230">
        <f>IF(Q39&gt;0,Q39*所得税项目计算!$F$2,0)</f>
        <v>0</v>
      </c>
      <c r="U39" s="230" t="str">
        <f>IFERROR(VLOOKUP(B39,资产减值损失核对!A:L,2,0),"")</f>
        <v/>
      </c>
      <c r="V39" s="230" t="str">
        <f t="shared" si="0"/>
        <v/>
      </c>
      <c r="W39" s="230" t="str">
        <f>IFERROR(VLOOKUP(B39,资产减值损失核对!A:L,12,0),"")</f>
        <v/>
      </c>
      <c r="X39" s="230" t="str">
        <f t="shared" si="1"/>
        <v/>
      </c>
    </row>
    <row r="40" spans="1:24">
      <c r="A40" s="230" t="str">
        <f>IF(OR(ABS(C40)&gt;0,ABS(F40)&gt;0,ABS(K40)&gt;0,ABS(P40)&gt;0),基础信息!$B$1,"")</f>
        <v/>
      </c>
      <c r="B40" s="550"/>
      <c r="C40" s="230">
        <f t="shared" si="9"/>
        <v>0</v>
      </c>
      <c r="D40" s="290"/>
      <c r="E40" s="290"/>
      <c r="F40" s="260">
        <f t="shared" si="10"/>
        <v>0</v>
      </c>
      <c r="G40" s="260">
        <f t="shared" si="11"/>
        <v>0</v>
      </c>
      <c r="H40" s="290"/>
      <c r="I40" s="290"/>
      <c r="J40" s="290"/>
      <c r="K40" s="230">
        <f t="shared" si="12"/>
        <v>0</v>
      </c>
      <c r="L40" s="260">
        <f t="shared" si="13"/>
        <v>0</v>
      </c>
      <c r="M40" s="290"/>
      <c r="N40" s="290"/>
      <c r="O40" s="290"/>
      <c r="P40" s="230">
        <f t="shared" si="14"/>
        <v>0</v>
      </c>
      <c r="Q40" s="230">
        <f t="shared" si="15"/>
        <v>0</v>
      </c>
      <c r="R40" s="230">
        <f t="shared" si="16"/>
        <v>0</v>
      </c>
      <c r="S40" s="230">
        <f>IF(D40&gt;0,D40*所得税项目计算!$F$2,0)</f>
        <v>0</v>
      </c>
      <c r="T40" s="230">
        <f>IF(Q40&gt;0,Q40*所得税项目计算!$F$2,0)</f>
        <v>0</v>
      </c>
      <c r="U40" s="230" t="str">
        <f>IFERROR(VLOOKUP(B40,资产减值损失核对!A:L,2,0),"")</f>
        <v/>
      </c>
      <c r="V40" s="230" t="str">
        <f t="shared" si="0"/>
        <v/>
      </c>
      <c r="W40" s="230" t="str">
        <f>IFERROR(VLOOKUP(B40,资产减值损失核对!A:L,12,0),"")</f>
        <v/>
      </c>
      <c r="X40" s="230" t="str">
        <f t="shared" si="1"/>
        <v/>
      </c>
    </row>
    <row r="41" spans="1:24">
      <c r="A41" s="230" t="str">
        <f>IF(OR(ABS(C41)&gt;0,ABS(F41)&gt;0,ABS(K41)&gt;0,ABS(P41)&gt;0),基础信息!$B$1,"")</f>
        <v/>
      </c>
      <c r="B41" s="550"/>
      <c r="C41" s="230">
        <f t="shared" si="9"/>
        <v>0</v>
      </c>
      <c r="D41" s="290"/>
      <c r="E41" s="290"/>
      <c r="F41" s="260">
        <f t="shared" si="10"/>
        <v>0</v>
      </c>
      <c r="G41" s="260">
        <f t="shared" si="11"/>
        <v>0</v>
      </c>
      <c r="H41" s="290"/>
      <c r="I41" s="290"/>
      <c r="J41" s="290"/>
      <c r="K41" s="230">
        <f t="shared" si="12"/>
        <v>0</v>
      </c>
      <c r="L41" s="260">
        <f t="shared" si="13"/>
        <v>0</v>
      </c>
      <c r="M41" s="290"/>
      <c r="N41" s="290"/>
      <c r="O41" s="290"/>
      <c r="P41" s="230">
        <f t="shared" si="14"/>
        <v>0</v>
      </c>
      <c r="Q41" s="230">
        <f t="shared" si="15"/>
        <v>0</v>
      </c>
      <c r="R41" s="230">
        <f t="shared" si="16"/>
        <v>0</v>
      </c>
      <c r="S41" s="230">
        <f>IF(D41&gt;0,D41*所得税项目计算!$F$2,0)</f>
        <v>0</v>
      </c>
      <c r="T41" s="230">
        <f>IF(Q41&gt;0,Q41*所得税项目计算!$F$2,0)</f>
        <v>0</v>
      </c>
      <c r="U41" s="230" t="str">
        <f>IFERROR(VLOOKUP(B41,资产减值损失核对!A:L,2,0),"")</f>
        <v/>
      </c>
      <c r="V41" s="230" t="str">
        <f t="shared" si="0"/>
        <v/>
      </c>
      <c r="W41" s="230" t="str">
        <f>IFERROR(VLOOKUP(B41,资产减值损失核对!A:L,12,0),"")</f>
        <v/>
      </c>
      <c r="X41" s="230" t="str">
        <f t="shared" si="1"/>
        <v/>
      </c>
    </row>
    <row r="42" spans="1:24">
      <c r="A42" s="230" t="str">
        <f>IF(OR(ABS(C42)&gt;0,ABS(F42)&gt;0,ABS(K42)&gt;0,ABS(P42)&gt;0),基础信息!$B$1,"")</f>
        <v/>
      </c>
      <c r="B42" s="550"/>
      <c r="C42" s="230">
        <f t="shared" si="9"/>
        <v>0</v>
      </c>
      <c r="D42" s="290"/>
      <c r="E42" s="290"/>
      <c r="F42" s="260">
        <f t="shared" si="10"/>
        <v>0</v>
      </c>
      <c r="G42" s="260">
        <f t="shared" si="11"/>
        <v>0</v>
      </c>
      <c r="H42" s="290"/>
      <c r="I42" s="290"/>
      <c r="J42" s="290"/>
      <c r="K42" s="230">
        <f t="shared" si="12"/>
        <v>0</v>
      </c>
      <c r="L42" s="260">
        <f t="shared" si="13"/>
        <v>0</v>
      </c>
      <c r="M42" s="290"/>
      <c r="N42" s="290"/>
      <c r="O42" s="290"/>
      <c r="P42" s="230">
        <f t="shared" si="14"/>
        <v>0</v>
      </c>
      <c r="Q42" s="230">
        <f t="shared" si="15"/>
        <v>0</v>
      </c>
      <c r="R42" s="230">
        <f t="shared" si="16"/>
        <v>0</v>
      </c>
      <c r="S42" s="230">
        <f>IF(D42&gt;0,D42*所得税项目计算!$F$2,0)</f>
        <v>0</v>
      </c>
      <c r="T42" s="230">
        <f>IF(Q42&gt;0,Q42*所得税项目计算!$F$2,0)</f>
        <v>0</v>
      </c>
      <c r="U42" s="230" t="str">
        <f>IFERROR(VLOOKUP(B42,资产减值损失核对!A:L,2,0),"")</f>
        <v/>
      </c>
      <c r="V42" s="230" t="str">
        <f t="shared" si="0"/>
        <v/>
      </c>
      <c r="W42" s="230" t="str">
        <f>IFERROR(VLOOKUP(B42,资产减值损失核对!A:L,12,0),"")</f>
        <v/>
      </c>
      <c r="X42" s="230" t="str">
        <f t="shared" si="1"/>
        <v/>
      </c>
    </row>
    <row r="43" spans="1:24">
      <c r="A43" s="230" t="str">
        <f>IF(OR(ABS(C43)&gt;0,ABS(F43)&gt;0,ABS(K43)&gt;0,ABS(P43)&gt;0),基础信息!$B$1,"")</f>
        <v/>
      </c>
      <c r="B43" s="550"/>
      <c r="C43" s="230">
        <f t="shared" si="9"/>
        <v>0</v>
      </c>
      <c r="D43" s="290"/>
      <c r="E43" s="290"/>
      <c r="F43" s="260">
        <f t="shared" si="10"/>
        <v>0</v>
      </c>
      <c r="G43" s="260">
        <f t="shared" si="11"/>
        <v>0</v>
      </c>
      <c r="H43" s="290"/>
      <c r="I43" s="290"/>
      <c r="J43" s="290"/>
      <c r="K43" s="230">
        <f t="shared" si="12"/>
        <v>0</v>
      </c>
      <c r="L43" s="260">
        <f t="shared" si="13"/>
        <v>0</v>
      </c>
      <c r="M43" s="290"/>
      <c r="N43" s="290"/>
      <c r="O43" s="290"/>
      <c r="P43" s="230">
        <f t="shared" si="14"/>
        <v>0</v>
      </c>
      <c r="Q43" s="230">
        <f t="shared" si="15"/>
        <v>0</v>
      </c>
      <c r="R43" s="230">
        <f t="shared" si="16"/>
        <v>0</v>
      </c>
      <c r="S43" s="230">
        <f>IF(D43&gt;0,D43*所得税项目计算!$F$2,0)</f>
        <v>0</v>
      </c>
      <c r="T43" s="230">
        <f>IF(Q43&gt;0,Q43*所得税项目计算!$F$2,0)</f>
        <v>0</v>
      </c>
      <c r="U43" s="230" t="str">
        <f>IFERROR(VLOOKUP(B43,资产减值损失核对!A:L,2,0),"")</f>
        <v/>
      </c>
      <c r="V43" s="230" t="str">
        <f t="shared" si="0"/>
        <v/>
      </c>
      <c r="W43" s="230" t="str">
        <f>IFERROR(VLOOKUP(B43,资产减值损失核对!A:L,12,0),"")</f>
        <v/>
      </c>
      <c r="X43" s="230" t="str">
        <f t="shared" si="1"/>
        <v/>
      </c>
    </row>
    <row r="44" spans="1:24">
      <c r="A44" s="230" t="str">
        <f>IF(OR(ABS(C44)&gt;0,ABS(F44)&gt;0,ABS(K44)&gt;0,ABS(P44)&gt;0),基础信息!$B$1,"")</f>
        <v/>
      </c>
      <c r="B44" s="550"/>
      <c r="C44" s="230">
        <f t="shared" si="9"/>
        <v>0</v>
      </c>
      <c r="D44" s="290"/>
      <c r="E44" s="290"/>
      <c r="F44" s="260">
        <f t="shared" si="10"/>
        <v>0</v>
      </c>
      <c r="G44" s="260">
        <f t="shared" si="11"/>
        <v>0</v>
      </c>
      <c r="H44" s="290"/>
      <c r="I44" s="290"/>
      <c r="J44" s="290"/>
      <c r="K44" s="230">
        <f t="shared" si="12"/>
        <v>0</v>
      </c>
      <c r="L44" s="260">
        <f t="shared" si="13"/>
        <v>0</v>
      </c>
      <c r="M44" s="290"/>
      <c r="N44" s="290"/>
      <c r="O44" s="290"/>
      <c r="P44" s="230">
        <f t="shared" si="14"/>
        <v>0</v>
      </c>
      <c r="Q44" s="230">
        <f t="shared" si="15"/>
        <v>0</v>
      </c>
      <c r="R44" s="230">
        <f t="shared" si="16"/>
        <v>0</v>
      </c>
      <c r="S44" s="230">
        <f>IF(D44&gt;0,D44*所得税项目计算!$F$2,0)</f>
        <v>0</v>
      </c>
      <c r="T44" s="230">
        <f>IF(Q44&gt;0,Q44*所得税项目计算!$F$2,0)</f>
        <v>0</v>
      </c>
      <c r="U44" s="230" t="str">
        <f>IFERROR(VLOOKUP(B44,资产减值损失核对!A:L,2,0),"")</f>
        <v/>
      </c>
      <c r="V44" s="230" t="str">
        <f t="shared" si="0"/>
        <v/>
      </c>
      <c r="W44" s="230" t="str">
        <f>IFERROR(VLOOKUP(B44,资产减值损失核对!A:L,12,0),"")</f>
        <v/>
      </c>
      <c r="X44" s="230" t="str">
        <f t="shared" si="1"/>
        <v/>
      </c>
    </row>
    <row r="45" spans="1:24">
      <c r="A45" s="230" t="str">
        <f>IF(OR(ABS(C45)&gt;0,ABS(F45)&gt;0,ABS(K45)&gt;0,ABS(P45)&gt;0),基础信息!$B$1,"")</f>
        <v/>
      </c>
      <c r="B45" s="550"/>
      <c r="C45" s="230">
        <f t="shared" si="9"/>
        <v>0</v>
      </c>
      <c r="D45" s="290"/>
      <c r="E45" s="290"/>
      <c r="F45" s="260">
        <f t="shared" si="10"/>
        <v>0</v>
      </c>
      <c r="G45" s="260">
        <f t="shared" si="11"/>
        <v>0</v>
      </c>
      <c r="H45" s="290"/>
      <c r="I45" s="290"/>
      <c r="J45" s="290"/>
      <c r="K45" s="230">
        <f t="shared" si="12"/>
        <v>0</v>
      </c>
      <c r="L45" s="260">
        <f t="shared" si="13"/>
        <v>0</v>
      </c>
      <c r="M45" s="290"/>
      <c r="N45" s="290"/>
      <c r="O45" s="290"/>
      <c r="P45" s="230">
        <f t="shared" si="14"/>
        <v>0</v>
      </c>
      <c r="Q45" s="230">
        <f t="shared" si="15"/>
        <v>0</v>
      </c>
      <c r="R45" s="230">
        <f t="shared" si="16"/>
        <v>0</v>
      </c>
      <c r="S45" s="230">
        <f>IF(D45&gt;0,D45*所得税项目计算!$F$2,0)</f>
        <v>0</v>
      </c>
      <c r="T45" s="230">
        <f>IF(Q45&gt;0,Q45*所得税项目计算!$F$2,0)</f>
        <v>0</v>
      </c>
      <c r="U45" s="230" t="str">
        <f>IFERROR(VLOOKUP(B45,资产减值损失核对!A:L,2,0),"")</f>
        <v/>
      </c>
      <c r="V45" s="230" t="str">
        <f t="shared" si="0"/>
        <v/>
      </c>
      <c r="W45" s="230" t="str">
        <f>IFERROR(VLOOKUP(B45,资产减值损失核对!A:L,12,0),"")</f>
        <v/>
      </c>
      <c r="X45" s="230" t="str">
        <f t="shared" si="1"/>
        <v/>
      </c>
    </row>
    <row r="46" spans="1:24">
      <c r="A46" s="230" t="str">
        <f>IF(OR(ABS(C46)&gt;0,ABS(F46)&gt;0,ABS(K46)&gt;0,ABS(P46)&gt;0),基础信息!$B$1,"")</f>
        <v/>
      </c>
      <c r="B46" s="550"/>
      <c r="C46" s="230">
        <f t="shared" si="9"/>
        <v>0</v>
      </c>
      <c r="D46" s="290"/>
      <c r="E46" s="290"/>
      <c r="F46" s="260">
        <f t="shared" si="10"/>
        <v>0</v>
      </c>
      <c r="G46" s="260">
        <f t="shared" si="11"/>
        <v>0</v>
      </c>
      <c r="H46" s="290"/>
      <c r="I46" s="290"/>
      <c r="J46" s="290"/>
      <c r="K46" s="230">
        <f t="shared" si="12"/>
        <v>0</v>
      </c>
      <c r="L46" s="260">
        <f t="shared" si="13"/>
        <v>0</v>
      </c>
      <c r="M46" s="290"/>
      <c r="N46" s="290"/>
      <c r="O46" s="290"/>
      <c r="P46" s="230">
        <f t="shared" si="14"/>
        <v>0</v>
      </c>
      <c r="Q46" s="230">
        <f t="shared" si="15"/>
        <v>0</v>
      </c>
      <c r="R46" s="230">
        <f t="shared" si="16"/>
        <v>0</v>
      </c>
      <c r="S46" s="230">
        <f>IF(D46&gt;0,D46*所得税项目计算!$F$2,0)</f>
        <v>0</v>
      </c>
      <c r="T46" s="230">
        <f>IF(Q46&gt;0,Q46*所得税项目计算!$F$2,0)</f>
        <v>0</v>
      </c>
      <c r="U46" s="230" t="str">
        <f>IFERROR(VLOOKUP(B46,资产减值损失核对!A:L,2,0),"")</f>
        <v/>
      </c>
      <c r="V46" s="230" t="str">
        <f t="shared" si="0"/>
        <v/>
      </c>
      <c r="W46" s="230" t="str">
        <f>IFERROR(VLOOKUP(B46,资产减值损失核对!A:L,12,0),"")</f>
        <v/>
      </c>
      <c r="X46" s="230" t="str">
        <f t="shared" si="1"/>
        <v/>
      </c>
    </row>
    <row r="47" spans="1:24">
      <c r="A47" s="230" t="str">
        <f>IF(OR(ABS(C47)&gt;0,ABS(F47)&gt;0,ABS(K47)&gt;0,ABS(P47)&gt;0),基础信息!$B$1,"")</f>
        <v/>
      </c>
      <c r="B47" s="550"/>
      <c r="C47" s="230">
        <f t="shared" si="9"/>
        <v>0</v>
      </c>
      <c r="D47" s="290"/>
      <c r="E47" s="290"/>
      <c r="F47" s="260">
        <f t="shared" si="10"/>
        <v>0</v>
      </c>
      <c r="G47" s="260">
        <f t="shared" si="11"/>
        <v>0</v>
      </c>
      <c r="H47" s="290"/>
      <c r="I47" s="290"/>
      <c r="J47" s="290"/>
      <c r="K47" s="230">
        <f t="shared" si="12"/>
        <v>0</v>
      </c>
      <c r="L47" s="260">
        <f t="shared" si="13"/>
        <v>0</v>
      </c>
      <c r="M47" s="290"/>
      <c r="N47" s="290"/>
      <c r="O47" s="290"/>
      <c r="P47" s="230">
        <f t="shared" si="14"/>
        <v>0</v>
      </c>
      <c r="Q47" s="230">
        <f t="shared" si="15"/>
        <v>0</v>
      </c>
      <c r="R47" s="230">
        <f t="shared" si="16"/>
        <v>0</v>
      </c>
      <c r="S47" s="230">
        <f>IF(D47&gt;0,D47*所得税项目计算!$F$2,0)</f>
        <v>0</v>
      </c>
      <c r="T47" s="230">
        <f>IF(Q47&gt;0,Q47*所得税项目计算!$F$2,0)</f>
        <v>0</v>
      </c>
      <c r="U47" s="230" t="str">
        <f>IFERROR(VLOOKUP(B47,资产减值损失核对!A:L,2,0),"")</f>
        <v/>
      </c>
      <c r="V47" s="230" t="str">
        <f t="shared" si="0"/>
        <v/>
      </c>
      <c r="W47" s="230" t="str">
        <f>IFERROR(VLOOKUP(B47,资产减值损失核对!A:L,12,0),"")</f>
        <v/>
      </c>
      <c r="X47" s="230"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sheetPr codeName="Sheet336"/>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30" bestFit="1" customWidth="1"/>
    <col min="2" max="2" width="70" style="230" bestFit="1" customWidth="1"/>
    <col min="3" max="3" width="20" style="230" bestFit="1" customWidth="1"/>
    <col min="4" max="4" width="11.21875" style="230" bestFit="1" customWidth="1"/>
    <col min="5" max="15" width="12.109375" style="230"/>
    <col min="16" max="16" width="14.33203125" style="230" bestFit="1" customWidth="1"/>
    <col min="17" max="17" width="11.21875" style="230" bestFit="1" customWidth="1"/>
    <col min="18" max="18" width="13.6640625" style="230" customWidth="1"/>
    <col min="19" max="16384" width="12.109375" style="230"/>
  </cols>
  <sheetData>
    <row r="1" spans="1:20" s="521" customFormat="1" ht="27.6">
      <c r="A1" s="521" t="s">
        <v>4764</v>
      </c>
      <c r="B1" s="521" t="s">
        <v>95</v>
      </c>
      <c r="C1" s="521" t="s">
        <v>3096</v>
      </c>
      <c r="D1" s="521" t="s">
        <v>3113</v>
      </c>
      <c r="E1" s="521" t="s">
        <v>3112</v>
      </c>
      <c r="F1" s="521" t="s">
        <v>3095</v>
      </c>
      <c r="G1" s="521" t="s">
        <v>3111</v>
      </c>
      <c r="H1" s="521" t="s">
        <v>4460</v>
      </c>
      <c r="I1" s="521" t="s">
        <v>4461</v>
      </c>
      <c r="J1" s="521" t="s">
        <v>3110</v>
      </c>
      <c r="K1" s="521" t="s">
        <v>3097</v>
      </c>
      <c r="L1" s="521" t="s">
        <v>3109</v>
      </c>
      <c r="M1" s="521" t="s">
        <v>4462</v>
      </c>
      <c r="N1" s="521" t="s">
        <v>4463</v>
      </c>
      <c r="O1" s="521" t="s">
        <v>3108</v>
      </c>
      <c r="P1" s="521" t="s">
        <v>3094</v>
      </c>
      <c r="Q1" s="521" t="s">
        <v>3106</v>
      </c>
      <c r="R1" s="521" t="s">
        <v>3107</v>
      </c>
      <c r="S1" s="521" t="s">
        <v>520</v>
      </c>
      <c r="T1" s="521" t="s">
        <v>518</v>
      </c>
    </row>
    <row r="2" spans="1:20">
      <c r="A2" s="230" t="str">
        <f>IF(OR(ABS(C2)&gt;0,ABS(F2)&gt;0,ABS(K2)&gt;0,ABS(P2)&gt;0),基础信息!$B$1,"")</f>
        <v/>
      </c>
      <c r="B2" s="550" t="s">
        <v>4769</v>
      </c>
      <c r="C2" s="260">
        <f>D2+E2</f>
        <v>0</v>
      </c>
      <c r="D2" s="290"/>
      <c r="E2" s="290"/>
      <c r="F2" s="260">
        <f>G2+J2</f>
        <v>0</v>
      </c>
      <c r="G2" s="260">
        <f>SUM(H2:I2)</f>
        <v>0</v>
      </c>
      <c r="H2" s="290"/>
      <c r="I2" s="290"/>
      <c r="J2" s="290"/>
      <c r="K2" s="290"/>
      <c r="L2" s="260">
        <f>SUM(M2:N2)</f>
        <v>0</v>
      </c>
      <c r="M2" s="290"/>
      <c r="N2" s="290"/>
      <c r="O2" s="290"/>
      <c r="P2" s="230">
        <f>C2+F2-K2</f>
        <v>0</v>
      </c>
      <c r="Q2" s="230">
        <f>D2+G2-L2</f>
        <v>0</v>
      </c>
      <c r="R2" s="230">
        <f>E2+J2-O2</f>
        <v>0</v>
      </c>
      <c r="S2" s="230">
        <f>D2*所得税项目计算!$F$2</f>
        <v>0</v>
      </c>
      <c r="T2" s="230">
        <f>Q2*所得税项目计算!$F$2</f>
        <v>0</v>
      </c>
    </row>
    <row r="3" spans="1:20">
      <c r="A3" s="230" t="str">
        <f>IF(OR(ABS(C3)&gt;0,ABS(F3)&gt;0,ABS(K3)&gt;0,ABS(P3)&gt;0),基础信息!$B$1,"")</f>
        <v/>
      </c>
      <c r="B3" s="550" t="s">
        <v>4770</v>
      </c>
      <c r="C3" s="260">
        <f t="shared" ref="C3:C66" si="0">D3+E3</f>
        <v>0</v>
      </c>
      <c r="D3" s="290"/>
      <c r="E3" s="290"/>
      <c r="F3" s="260">
        <f t="shared" ref="F3:F66" si="1">G3+J3</f>
        <v>0</v>
      </c>
      <c r="G3" s="260">
        <f t="shared" ref="G3:G57" si="2">SUM(H3:I3)</f>
        <v>0</v>
      </c>
      <c r="H3" s="290"/>
      <c r="I3" s="290"/>
      <c r="J3" s="290"/>
      <c r="K3" s="290"/>
      <c r="L3" s="260">
        <f t="shared" ref="L3:L57" si="3">SUM(M3:N3)</f>
        <v>0</v>
      </c>
      <c r="M3" s="290"/>
      <c r="N3" s="290"/>
      <c r="O3" s="290"/>
      <c r="P3" s="230">
        <f t="shared" ref="P3:Q36" si="4">C3+F3-K3</f>
        <v>0</v>
      </c>
      <c r="Q3" s="230">
        <f t="shared" si="4"/>
        <v>0</v>
      </c>
      <c r="R3" s="230">
        <f t="shared" ref="R3:R57" si="5">E3+J3-O3</f>
        <v>0</v>
      </c>
      <c r="S3" s="230">
        <f>D3*所得税项目计算!$F$2</f>
        <v>0</v>
      </c>
      <c r="T3" s="230">
        <f>Q3*所得税项目计算!$F$2</f>
        <v>0</v>
      </c>
    </row>
    <row r="4" spans="1:20">
      <c r="A4" s="230" t="str">
        <f>IF(OR(ABS(C4)&gt;0,ABS(F4)&gt;0,ABS(K4)&gt;0,ABS(P4)&gt;0),基础信息!$B$1,"")</f>
        <v/>
      </c>
      <c r="B4" s="550" t="s">
        <v>4771</v>
      </c>
      <c r="C4" s="260">
        <f t="shared" si="0"/>
        <v>0</v>
      </c>
      <c r="D4" s="290"/>
      <c r="E4" s="290"/>
      <c r="F4" s="260">
        <f t="shared" si="1"/>
        <v>0</v>
      </c>
      <c r="G4" s="260">
        <f t="shared" si="2"/>
        <v>0</v>
      </c>
      <c r="H4" s="290"/>
      <c r="I4" s="290"/>
      <c r="J4" s="290"/>
      <c r="K4" s="290"/>
      <c r="L4" s="260">
        <f t="shared" si="3"/>
        <v>0</v>
      </c>
      <c r="M4" s="290"/>
      <c r="N4" s="290"/>
      <c r="O4" s="290"/>
      <c r="P4" s="230">
        <f t="shared" si="4"/>
        <v>0</v>
      </c>
      <c r="Q4" s="230">
        <f t="shared" si="4"/>
        <v>0</v>
      </c>
      <c r="R4" s="230">
        <f t="shared" si="5"/>
        <v>0</v>
      </c>
      <c r="S4" s="230">
        <f>D4*所得税项目计算!$F$2</f>
        <v>0</v>
      </c>
      <c r="T4" s="230">
        <f>Q4*所得税项目计算!$F$2</f>
        <v>0</v>
      </c>
    </row>
    <row r="5" spans="1:20">
      <c r="A5" s="230" t="str">
        <f>IF(OR(ABS(C5)&gt;0,ABS(F5)&gt;0,ABS(K5)&gt;0,ABS(P5)&gt;0),基础信息!$B$1,"")</f>
        <v/>
      </c>
      <c r="B5" s="550" t="s">
        <v>4772</v>
      </c>
      <c r="C5" s="260">
        <f t="shared" si="0"/>
        <v>0</v>
      </c>
      <c r="D5" s="290"/>
      <c r="E5" s="290"/>
      <c r="F5" s="260">
        <f t="shared" si="1"/>
        <v>0</v>
      </c>
      <c r="G5" s="260">
        <f t="shared" si="2"/>
        <v>0</v>
      </c>
      <c r="H5" s="290"/>
      <c r="I5" s="290"/>
      <c r="J5" s="290"/>
      <c r="K5" s="290"/>
      <c r="L5" s="260">
        <f t="shared" si="3"/>
        <v>0</v>
      </c>
      <c r="M5" s="290"/>
      <c r="N5" s="290"/>
      <c r="O5" s="290"/>
      <c r="P5" s="230">
        <f t="shared" si="4"/>
        <v>0</v>
      </c>
      <c r="Q5" s="230">
        <f t="shared" si="4"/>
        <v>0</v>
      </c>
      <c r="R5" s="230">
        <f t="shared" si="5"/>
        <v>0</v>
      </c>
      <c r="S5" s="230">
        <f>D5*所得税项目计算!$F$2</f>
        <v>0</v>
      </c>
      <c r="T5" s="230">
        <f>Q5*所得税项目计算!$F$2</f>
        <v>0</v>
      </c>
    </row>
    <row r="6" spans="1:20">
      <c r="A6" s="230" t="str">
        <f>IF(OR(ABS(C6)&gt;0,ABS(F6)&gt;0,ABS(K6)&gt;0,ABS(P6)&gt;0),基础信息!$B$1,"")</f>
        <v/>
      </c>
      <c r="B6" s="550" t="s">
        <v>4773</v>
      </c>
      <c r="C6" s="260">
        <f t="shared" si="0"/>
        <v>0</v>
      </c>
      <c r="D6" s="290"/>
      <c r="E6" s="290"/>
      <c r="F6" s="260">
        <f t="shared" si="1"/>
        <v>0</v>
      </c>
      <c r="G6" s="260">
        <f t="shared" si="2"/>
        <v>0</v>
      </c>
      <c r="H6" s="290"/>
      <c r="I6" s="290"/>
      <c r="J6" s="290"/>
      <c r="K6" s="290"/>
      <c r="L6" s="260">
        <f t="shared" si="3"/>
        <v>0</v>
      </c>
      <c r="M6" s="290"/>
      <c r="N6" s="290"/>
      <c r="O6" s="290"/>
      <c r="P6" s="230">
        <f t="shared" si="4"/>
        <v>0</v>
      </c>
      <c r="Q6" s="230">
        <f t="shared" si="4"/>
        <v>0</v>
      </c>
      <c r="R6" s="230">
        <f t="shared" si="5"/>
        <v>0</v>
      </c>
      <c r="S6" s="230">
        <f>D6*所得税项目计算!$F$2</f>
        <v>0</v>
      </c>
      <c r="T6" s="230">
        <f>Q6*所得税项目计算!$F$2</f>
        <v>0</v>
      </c>
    </row>
    <row r="7" spans="1:20">
      <c r="A7" s="230" t="str">
        <f>IF(OR(ABS(C7)&gt;0,ABS(F7)&gt;0,ABS(K7)&gt;0,ABS(P7)&gt;0),基础信息!$B$1,"")</f>
        <v/>
      </c>
      <c r="B7" s="550" t="s">
        <v>4774</v>
      </c>
      <c r="C7" s="260">
        <f t="shared" si="0"/>
        <v>0</v>
      </c>
      <c r="D7" s="290"/>
      <c r="E7" s="290"/>
      <c r="F7" s="260">
        <f t="shared" si="1"/>
        <v>0</v>
      </c>
      <c r="G7" s="260">
        <f t="shared" si="2"/>
        <v>0</v>
      </c>
      <c r="H7" s="290"/>
      <c r="I7" s="290"/>
      <c r="J7" s="290"/>
      <c r="K7" s="290"/>
      <c r="L7" s="260">
        <f t="shared" si="3"/>
        <v>0</v>
      </c>
      <c r="M7" s="290"/>
      <c r="N7" s="290"/>
      <c r="O7" s="290"/>
      <c r="P7" s="230">
        <f t="shared" si="4"/>
        <v>0</v>
      </c>
      <c r="Q7" s="230">
        <f t="shared" si="4"/>
        <v>0</v>
      </c>
      <c r="R7" s="230">
        <f t="shared" si="5"/>
        <v>0</v>
      </c>
      <c r="S7" s="230">
        <f>D7*所得税项目计算!$F$2</f>
        <v>0</v>
      </c>
      <c r="T7" s="230">
        <f>Q7*所得税项目计算!$F$2</f>
        <v>0</v>
      </c>
    </row>
    <row r="8" spans="1:20">
      <c r="A8" s="230" t="str">
        <f>IF(OR(ABS(C8)&gt;0,ABS(F8)&gt;0,ABS(K8)&gt;0,ABS(P8)&gt;0),基础信息!$B$1,"")</f>
        <v/>
      </c>
      <c r="B8" s="550"/>
      <c r="C8" s="260">
        <f t="shared" si="0"/>
        <v>0</v>
      </c>
      <c r="D8" s="290"/>
      <c r="E8" s="290"/>
      <c r="F8" s="260">
        <f t="shared" si="1"/>
        <v>0</v>
      </c>
      <c r="G8" s="260">
        <f t="shared" si="2"/>
        <v>0</v>
      </c>
      <c r="H8" s="290"/>
      <c r="I8" s="290"/>
      <c r="J8" s="290"/>
      <c r="K8" s="290"/>
      <c r="L8" s="260">
        <f t="shared" si="3"/>
        <v>0</v>
      </c>
      <c r="M8" s="290"/>
      <c r="N8" s="290"/>
      <c r="O8" s="290"/>
      <c r="P8" s="230">
        <f t="shared" si="4"/>
        <v>0</v>
      </c>
      <c r="Q8" s="230">
        <f t="shared" si="4"/>
        <v>0</v>
      </c>
      <c r="R8" s="230">
        <f t="shared" si="5"/>
        <v>0</v>
      </c>
      <c r="S8" s="230">
        <f>D8*所得税项目计算!$F$2</f>
        <v>0</v>
      </c>
      <c r="T8" s="230">
        <f>Q8*所得税项目计算!$F$2</f>
        <v>0</v>
      </c>
    </row>
    <row r="9" spans="1:20">
      <c r="A9" s="230" t="str">
        <f>IF(OR(ABS(C9)&gt;0,ABS(F9)&gt;0,ABS(K9)&gt;0,ABS(P9)&gt;0),基础信息!$B$1,"")</f>
        <v/>
      </c>
      <c r="B9" s="550"/>
      <c r="C9" s="260">
        <f t="shared" si="0"/>
        <v>0</v>
      </c>
      <c r="D9" s="290"/>
      <c r="E9" s="290"/>
      <c r="F9" s="260">
        <f t="shared" si="1"/>
        <v>0</v>
      </c>
      <c r="G9" s="260">
        <f t="shared" si="2"/>
        <v>0</v>
      </c>
      <c r="H9" s="290"/>
      <c r="I9" s="290"/>
      <c r="J9" s="290"/>
      <c r="K9" s="290"/>
      <c r="L9" s="260">
        <f t="shared" si="3"/>
        <v>0</v>
      </c>
      <c r="M9" s="290"/>
      <c r="N9" s="290"/>
      <c r="O9" s="290"/>
      <c r="P9" s="230">
        <f t="shared" si="4"/>
        <v>0</v>
      </c>
      <c r="Q9" s="230">
        <f t="shared" si="4"/>
        <v>0</v>
      </c>
      <c r="R9" s="230">
        <f t="shared" si="5"/>
        <v>0</v>
      </c>
      <c r="S9" s="230">
        <f>D9*所得税项目计算!$F$2</f>
        <v>0</v>
      </c>
      <c r="T9" s="230">
        <f>Q9*所得税项目计算!$F$2</f>
        <v>0</v>
      </c>
    </row>
    <row r="10" spans="1:20">
      <c r="A10" s="230" t="str">
        <f>IF(OR(ABS(C10)&gt;0,ABS(F10)&gt;0,ABS(K10)&gt;0,ABS(P10)&gt;0),基础信息!$B$1,"")</f>
        <v/>
      </c>
      <c r="B10" s="550"/>
      <c r="C10" s="260">
        <f t="shared" si="0"/>
        <v>0</v>
      </c>
      <c r="D10" s="290"/>
      <c r="E10" s="290"/>
      <c r="F10" s="260">
        <f t="shared" si="1"/>
        <v>0</v>
      </c>
      <c r="G10" s="260">
        <f t="shared" si="2"/>
        <v>0</v>
      </c>
      <c r="H10" s="290"/>
      <c r="I10" s="290"/>
      <c r="J10" s="290"/>
      <c r="K10" s="290"/>
      <c r="L10" s="260">
        <f t="shared" si="3"/>
        <v>0</v>
      </c>
      <c r="M10" s="290"/>
      <c r="N10" s="290"/>
      <c r="O10" s="290"/>
      <c r="P10" s="230">
        <f t="shared" si="4"/>
        <v>0</v>
      </c>
      <c r="Q10" s="230">
        <f t="shared" si="4"/>
        <v>0</v>
      </c>
      <c r="R10" s="230">
        <f t="shared" si="5"/>
        <v>0</v>
      </c>
      <c r="S10" s="230">
        <f>D10*所得税项目计算!$F$2</f>
        <v>0</v>
      </c>
      <c r="T10" s="230">
        <f>Q10*所得税项目计算!$F$2</f>
        <v>0</v>
      </c>
    </row>
    <row r="11" spans="1:20">
      <c r="A11" s="230" t="str">
        <f>IF(OR(ABS(C11)&gt;0,ABS(F11)&gt;0,ABS(K11)&gt;0,ABS(P11)&gt;0),基础信息!$B$1,"")</f>
        <v/>
      </c>
      <c r="B11" s="550"/>
      <c r="C11" s="260">
        <f t="shared" si="0"/>
        <v>0</v>
      </c>
      <c r="D11" s="290"/>
      <c r="E11" s="290"/>
      <c r="F11" s="260">
        <f t="shared" si="1"/>
        <v>0</v>
      </c>
      <c r="G11" s="260">
        <f t="shared" si="2"/>
        <v>0</v>
      </c>
      <c r="H11" s="290"/>
      <c r="I11" s="290"/>
      <c r="J11" s="290"/>
      <c r="K11" s="290"/>
      <c r="L11" s="260">
        <f t="shared" si="3"/>
        <v>0</v>
      </c>
      <c r="M11" s="290"/>
      <c r="N11" s="290"/>
      <c r="O11" s="290"/>
      <c r="P11" s="230">
        <f t="shared" si="4"/>
        <v>0</v>
      </c>
      <c r="Q11" s="230">
        <f t="shared" si="4"/>
        <v>0</v>
      </c>
      <c r="R11" s="230">
        <f t="shared" si="5"/>
        <v>0</v>
      </c>
      <c r="S11" s="230">
        <f>D11*所得税项目计算!$F$2</f>
        <v>0</v>
      </c>
      <c r="T11" s="230">
        <f>Q11*所得税项目计算!$F$2</f>
        <v>0</v>
      </c>
    </row>
    <row r="12" spans="1:20">
      <c r="A12" s="230" t="str">
        <f>IF(OR(ABS(C12)&gt;0,ABS(F12)&gt;0,ABS(K12)&gt;0,ABS(P12)&gt;0),基础信息!$B$1,"")</f>
        <v/>
      </c>
      <c r="B12" s="550"/>
      <c r="C12" s="260">
        <f t="shared" si="0"/>
        <v>0</v>
      </c>
      <c r="D12" s="290"/>
      <c r="E12" s="290"/>
      <c r="F12" s="260">
        <f t="shared" si="1"/>
        <v>0</v>
      </c>
      <c r="G12" s="260">
        <f t="shared" si="2"/>
        <v>0</v>
      </c>
      <c r="H12" s="290"/>
      <c r="I12" s="290"/>
      <c r="J12" s="290"/>
      <c r="K12" s="290"/>
      <c r="L12" s="260">
        <f t="shared" si="3"/>
        <v>0</v>
      </c>
      <c r="M12" s="290"/>
      <c r="N12" s="290"/>
      <c r="O12" s="290"/>
      <c r="P12" s="230">
        <f t="shared" si="4"/>
        <v>0</v>
      </c>
      <c r="Q12" s="230">
        <f t="shared" si="4"/>
        <v>0</v>
      </c>
      <c r="R12" s="230">
        <f t="shared" si="5"/>
        <v>0</v>
      </c>
      <c r="S12" s="230">
        <f>D12*所得税项目计算!$F$2</f>
        <v>0</v>
      </c>
      <c r="T12" s="230">
        <f>Q12*所得税项目计算!$F$2</f>
        <v>0</v>
      </c>
    </row>
    <row r="13" spans="1:20">
      <c r="A13" s="230" t="str">
        <f>IF(OR(ABS(C13)&gt;0,ABS(F13)&gt;0,ABS(K13)&gt;0,ABS(P13)&gt;0),基础信息!$B$1,"")</f>
        <v/>
      </c>
      <c r="B13" s="550"/>
      <c r="C13" s="260">
        <f t="shared" si="0"/>
        <v>0</v>
      </c>
      <c r="D13" s="290"/>
      <c r="E13" s="290"/>
      <c r="F13" s="260">
        <f t="shared" si="1"/>
        <v>0</v>
      </c>
      <c r="G13" s="260">
        <f t="shared" si="2"/>
        <v>0</v>
      </c>
      <c r="H13" s="290"/>
      <c r="I13" s="290"/>
      <c r="J13" s="290"/>
      <c r="K13" s="290"/>
      <c r="L13" s="260">
        <f t="shared" si="3"/>
        <v>0</v>
      </c>
      <c r="M13" s="290"/>
      <c r="N13" s="290"/>
      <c r="O13" s="290"/>
      <c r="P13" s="230">
        <f t="shared" si="4"/>
        <v>0</v>
      </c>
      <c r="Q13" s="230">
        <f t="shared" si="4"/>
        <v>0</v>
      </c>
      <c r="R13" s="230">
        <f t="shared" si="5"/>
        <v>0</v>
      </c>
      <c r="S13" s="230">
        <f>D13*所得税项目计算!$F$2</f>
        <v>0</v>
      </c>
      <c r="T13" s="230">
        <f>Q13*所得税项目计算!$F$2</f>
        <v>0</v>
      </c>
    </row>
    <row r="14" spans="1:20">
      <c r="A14" s="230" t="str">
        <f>IF(OR(ABS(C14)&gt;0,ABS(F14)&gt;0,ABS(K14)&gt;0,ABS(P14)&gt;0),基础信息!$B$1,"")</f>
        <v/>
      </c>
      <c r="B14" s="550"/>
      <c r="C14" s="260">
        <f t="shared" si="0"/>
        <v>0</v>
      </c>
      <c r="D14" s="290"/>
      <c r="E14" s="290"/>
      <c r="F14" s="260">
        <f t="shared" si="1"/>
        <v>0</v>
      </c>
      <c r="G14" s="260">
        <f t="shared" si="2"/>
        <v>0</v>
      </c>
      <c r="H14" s="290"/>
      <c r="I14" s="290"/>
      <c r="J14" s="290"/>
      <c r="K14" s="290"/>
      <c r="L14" s="260">
        <f t="shared" si="3"/>
        <v>0</v>
      </c>
      <c r="M14" s="290"/>
      <c r="N14" s="290"/>
      <c r="O14" s="290"/>
      <c r="P14" s="230">
        <f t="shared" si="4"/>
        <v>0</v>
      </c>
      <c r="Q14" s="230">
        <f t="shared" si="4"/>
        <v>0</v>
      </c>
      <c r="R14" s="230">
        <f t="shared" si="5"/>
        <v>0</v>
      </c>
      <c r="S14" s="230">
        <f>D14*所得税项目计算!$F$2</f>
        <v>0</v>
      </c>
      <c r="T14" s="230">
        <f>Q14*所得税项目计算!$F$2</f>
        <v>0</v>
      </c>
    </row>
    <row r="15" spans="1:20">
      <c r="A15" s="230" t="str">
        <f>IF(OR(ABS(C15)&gt;0,ABS(F15)&gt;0,ABS(K15)&gt;0,ABS(P15)&gt;0),基础信息!$B$1,"")</f>
        <v/>
      </c>
      <c r="B15" s="550"/>
      <c r="C15" s="260">
        <f t="shared" si="0"/>
        <v>0</v>
      </c>
      <c r="D15" s="290"/>
      <c r="E15" s="290"/>
      <c r="F15" s="260">
        <f t="shared" si="1"/>
        <v>0</v>
      </c>
      <c r="G15" s="260">
        <f t="shared" si="2"/>
        <v>0</v>
      </c>
      <c r="H15" s="290"/>
      <c r="I15" s="290"/>
      <c r="J15" s="290"/>
      <c r="K15" s="290"/>
      <c r="L15" s="260">
        <f t="shared" si="3"/>
        <v>0</v>
      </c>
      <c r="M15" s="290"/>
      <c r="N15" s="290"/>
      <c r="O15" s="290"/>
      <c r="P15" s="230">
        <f t="shared" si="4"/>
        <v>0</v>
      </c>
      <c r="Q15" s="230">
        <f t="shared" si="4"/>
        <v>0</v>
      </c>
      <c r="R15" s="230">
        <f t="shared" si="5"/>
        <v>0</v>
      </c>
      <c r="S15" s="230">
        <f>D15*所得税项目计算!$F$2</f>
        <v>0</v>
      </c>
      <c r="T15" s="230">
        <f>Q15*所得税项目计算!$F$2</f>
        <v>0</v>
      </c>
    </row>
    <row r="16" spans="1:20">
      <c r="A16" s="230" t="str">
        <f>IF(OR(ABS(C16)&gt;0,ABS(F16)&gt;0,ABS(K16)&gt;0,ABS(P16)&gt;0),基础信息!$B$1,"")</f>
        <v/>
      </c>
      <c r="B16" s="550"/>
      <c r="C16" s="260">
        <f t="shared" si="0"/>
        <v>0</v>
      </c>
      <c r="D16" s="290"/>
      <c r="E16" s="290"/>
      <c r="F16" s="260">
        <f t="shared" si="1"/>
        <v>0</v>
      </c>
      <c r="G16" s="260">
        <f t="shared" si="2"/>
        <v>0</v>
      </c>
      <c r="H16" s="290"/>
      <c r="I16" s="290"/>
      <c r="J16" s="290"/>
      <c r="K16" s="290"/>
      <c r="L16" s="260">
        <f t="shared" si="3"/>
        <v>0</v>
      </c>
      <c r="M16" s="290"/>
      <c r="N16" s="290"/>
      <c r="O16" s="290"/>
      <c r="P16" s="230">
        <f t="shared" si="4"/>
        <v>0</v>
      </c>
      <c r="Q16" s="230">
        <f t="shared" si="4"/>
        <v>0</v>
      </c>
      <c r="R16" s="230">
        <f t="shared" si="5"/>
        <v>0</v>
      </c>
      <c r="S16" s="230">
        <f>D16*所得税项目计算!$F$2</f>
        <v>0</v>
      </c>
      <c r="T16" s="230">
        <f>Q16*所得税项目计算!$F$2</f>
        <v>0</v>
      </c>
    </row>
    <row r="17" spans="1:20">
      <c r="A17" s="230" t="str">
        <f>IF(OR(ABS(C17)&gt;0,ABS(F17)&gt;0,ABS(K17)&gt;0,ABS(P17)&gt;0),基础信息!$B$1,"")</f>
        <v/>
      </c>
      <c r="B17" s="550"/>
      <c r="C17" s="260">
        <f t="shared" si="0"/>
        <v>0</v>
      </c>
      <c r="D17" s="290"/>
      <c r="E17" s="290"/>
      <c r="F17" s="260">
        <f t="shared" si="1"/>
        <v>0</v>
      </c>
      <c r="G17" s="260">
        <f t="shared" si="2"/>
        <v>0</v>
      </c>
      <c r="H17" s="290"/>
      <c r="I17" s="290"/>
      <c r="J17" s="290"/>
      <c r="K17" s="290"/>
      <c r="L17" s="260">
        <f t="shared" si="3"/>
        <v>0</v>
      </c>
      <c r="M17" s="290"/>
      <c r="N17" s="290"/>
      <c r="O17" s="290"/>
      <c r="P17" s="230">
        <f t="shared" si="4"/>
        <v>0</v>
      </c>
      <c r="Q17" s="230">
        <f t="shared" si="4"/>
        <v>0</v>
      </c>
      <c r="R17" s="230">
        <f t="shared" si="5"/>
        <v>0</v>
      </c>
      <c r="S17" s="230">
        <f>D17*所得税项目计算!$F$2</f>
        <v>0</v>
      </c>
      <c r="T17" s="230">
        <f>Q17*所得税项目计算!$F$2</f>
        <v>0</v>
      </c>
    </row>
    <row r="18" spans="1:20">
      <c r="A18" s="230" t="str">
        <f>IF(OR(ABS(C18)&gt;0,ABS(F18)&gt;0,ABS(K18)&gt;0,ABS(P18)&gt;0),基础信息!$B$1,"")</f>
        <v/>
      </c>
      <c r="B18" s="550"/>
      <c r="C18" s="260">
        <f t="shared" si="0"/>
        <v>0</v>
      </c>
      <c r="D18" s="290"/>
      <c r="E18" s="290"/>
      <c r="F18" s="260">
        <f t="shared" si="1"/>
        <v>0</v>
      </c>
      <c r="G18" s="260">
        <f t="shared" si="2"/>
        <v>0</v>
      </c>
      <c r="H18" s="290"/>
      <c r="I18" s="290"/>
      <c r="J18" s="290"/>
      <c r="K18" s="290"/>
      <c r="L18" s="260">
        <f t="shared" si="3"/>
        <v>0</v>
      </c>
      <c r="M18" s="290"/>
      <c r="N18" s="290"/>
      <c r="O18" s="290"/>
      <c r="P18" s="230">
        <f t="shared" si="4"/>
        <v>0</v>
      </c>
      <c r="Q18" s="230">
        <f t="shared" si="4"/>
        <v>0</v>
      </c>
      <c r="R18" s="230">
        <f t="shared" si="5"/>
        <v>0</v>
      </c>
      <c r="S18" s="230">
        <f>D18*所得税项目计算!$F$2</f>
        <v>0</v>
      </c>
      <c r="T18" s="230">
        <f>Q18*所得税项目计算!$F$2</f>
        <v>0</v>
      </c>
    </row>
    <row r="19" spans="1:20">
      <c r="A19" s="230" t="str">
        <f>IF(OR(ABS(C19)&gt;0,ABS(F19)&gt;0,ABS(K19)&gt;0,ABS(P19)&gt;0),基础信息!$B$1,"")</f>
        <v/>
      </c>
      <c r="B19" s="550"/>
      <c r="C19" s="260">
        <f t="shared" si="0"/>
        <v>0</v>
      </c>
      <c r="D19" s="290"/>
      <c r="E19" s="290"/>
      <c r="F19" s="260">
        <f t="shared" si="1"/>
        <v>0</v>
      </c>
      <c r="G19" s="260">
        <f t="shared" si="2"/>
        <v>0</v>
      </c>
      <c r="H19" s="290"/>
      <c r="I19" s="290"/>
      <c r="J19" s="290"/>
      <c r="K19" s="290"/>
      <c r="L19" s="260">
        <f t="shared" si="3"/>
        <v>0</v>
      </c>
      <c r="M19" s="290"/>
      <c r="N19" s="290"/>
      <c r="O19" s="290"/>
      <c r="P19" s="230">
        <f t="shared" si="4"/>
        <v>0</v>
      </c>
      <c r="Q19" s="230">
        <f t="shared" si="4"/>
        <v>0</v>
      </c>
      <c r="R19" s="230">
        <f t="shared" si="5"/>
        <v>0</v>
      </c>
      <c r="S19" s="230">
        <f>D19*所得税项目计算!$F$2</f>
        <v>0</v>
      </c>
      <c r="T19" s="230">
        <f>Q19*所得税项目计算!$F$2</f>
        <v>0</v>
      </c>
    </row>
    <row r="20" spans="1:20">
      <c r="A20" s="230" t="str">
        <f>IF(OR(ABS(C20)&gt;0,ABS(F20)&gt;0,ABS(K20)&gt;0,ABS(P20)&gt;0),基础信息!$B$1,"")</f>
        <v/>
      </c>
      <c r="B20" s="550"/>
      <c r="C20" s="260">
        <f t="shared" si="0"/>
        <v>0</v>
      </c>
      <c r="D20" s="290"/>
      <c r="E20" s="290"/>
      <c r="F20" s="260">
        <f t="shared" si="1"/>
        <v>0</v>
      </c>
      <c r="G20" s="260">
        <f t="shared" si="2"/>
        <v>0</v>
      </c>
      <c r="H20" s="290"/>
      <c r="I20" s="290"/>
      <c r="J20" s="290"/>
      <c r="K20" s="290"/>
      <c r="L20" s="260">
        <f t="shared" si="3"/>
        <v>0</v>
      </c>
      <c r="M20" s="290"/>
      <c r="N20" s="290"/>
      <c r="O20" s="290"/>
      <c r="P20" s="230">
        <f t="shared" si="4"/>
        <v>0</v>
      </c>
      <c r="Q20" s="230">
        <f t="shared" si="4"/>
        <v>0</v>
      </c>
      <c r="R20" s="230">
        <f t="shared" si="5"/>
        <v>0</v>
      </c>
      <c r="S20" s="230">
        <f>D20*所得税项目计算!$F$2</f>
        <v>0</v>
      </c>
      <c r="T20" s="230">
        <f>Q20*所得税项目计算!$F$2</f>
        <v>0</v>
      </c>
    </row>
    <row r="21" spans="1:20">
      <c r="A21" s="230" t="str">
        <f>IF(OR(ABS(C21)&gt;0,ABS(F21)&gt;0,ABS(K21)&gt;0,ABS(P21)&gt;0),基础信息!$B$1,"")</f>
        <v/>
      </c>
      <c r="B21" s="550"/>
      <c r="C21" s="260">
        <f t="shared" si="0"/>
        <v>0</v>
      </c>
      <c r="D21" s="290"/>
      <c r="E21" s="290"/>
      <c r="F21" s="260">
        <f t="shared" si="1"/>
        <v>0</v>
      </c>
      <c r="G21" s="260">
        <f t="shared" si="2"/>
        <v>0</v>
      </c>
      <c r="H21" s="290"/>
      <c r="I21" s="290"/>
      <c r="J21" s="290"/>
      <c r="K21" s="290"/>
      <c r="L21" s="260">
        <f t="shared" si="3"/>
        <v>0</v>
      </c>
      <c r="M21" s="290"/>
      <c r="N21" s="290"/>
      <c r="O21" s="290"/>
      <c r="P21" s="230">
        <f t="shared" si="4"/>
        <v>0</v>
      </c>
      <c r="Q21" s="230">
        <f t="shared" si="4"/>
        <v>0</v>
      </c>
      <c r="R21" s="230">
        <f t="shared" si="5"/>
        <v>0</v>
      </c>
      <c r="S21" s="230">
        <f>D21*所得税项目计算!$F$2</f>
        <v>0</v>
      </c>
      <c r="T21" s="230">
        <f>Q21*所得税项目计算!$F$2</f>
        <v>0</v>
      </c>
    </row>
    <row r="22" spans="1:20">
      <c r="A22" s="230" t="str">
        <f>IF(OR(ABS(C22)&gt;0,ABS(F22)&gt;0,ABS(K22)&gt;0,ABS(P22)&gt;0),基础信息!$B$1,"")</f>
        <v/>
      </c>
      <c r="B22" s="550"/>
      <c r="C22" s="260">
        <f t="shared" si="0"/>
        <v>0</v>
      </c>
      <c r="D22" s="290"/>
      <c r="E22" s="290"/>
      <c r="F22" s="260">
        <f t="shared" si="1"/>
        <v>0</v>
      </c>
      <c r="G22" s="260">
        <f t="shared" si="2"/>
        <v>0</v>
      </c>
      <c r="H22" s="290"/>
      <c r="I22" s="290"/>
      <c r="J22" s="290"/>
      <c r="K22" s="290"/>
      <c r="L22" s="260">
        <f t="shared" si="3"/>
        <v>0</v>
      </c>
      <c r="M22" s="290"/>
      <c r="N22" s="290"/>
      <c r="O22" s="290"/>
      <c r="P22" s="230">
        <f t="shared" si="4"/>
        <v>0</v>
      </c>
      <c r="Q22" s="230">
        <f t="shared" si="4"/>
        <v>0</v>
      </c>
      <c r="R22" s="230">
        <f t="shared" si="5"/>
        <v>0</v>
      </c>
      <c r="S22" s="230">
        <f>D22*所得税项目计算!$F$2</f>
        <v>0</v>
      </c>
      <c r="T22" s="230">
        <f>Q22*所得税项目计算!$F$2</f>
        <v>0</v>
      </c>
    </row>
    <row r="23" spans="1:20">
      <c r="A23" s="230" t="str">
        <f>IF(OR(ABS(C23)&gt;0,ABS(F23)&gt;0,ABS(K23)&gt;0,ABS(P23)&gt;0),基础信息!$B$1,"")</f>
        <v/>
      </c>
      <c r="B23" s="550"/>
      <c r="C23" s="260">
        <f t="shared" si="0"/>
        <v>0</v>
      </c>
      <c r="D23" s="290"/>
      <c r="E23" s="290"/>
      <c r="F23" s="260">
        <f t="shared" si="1"/>
        <v>0</v>
      </c>
      <c r="G23" s="260">
        <f t="shared" si="2"/>
        <v>0</v>
      </c>
      <c r="H23" s="290"/>
      <c r="I23" s="290"/>
      <c r="J23" s="290"/>
      <c r="K23" s="290"/>
      <c r="L23" s="260">
        <f t="shared" si="3"/>
        <v>0</v>
      </c>
      <c r="M23" s="290"/>
      <c r="N23" s="290"/>
      <c r="O23" s="290"/>
      <c r="P23" s="230">
        <f t="shared" si="4"/>
        <v>0</v>
      </c>
      <c r="Q23" s="230">
        <f t="shared" si="4"/>
        <v>0</v>
      </c>
      <c r="R23" s="230">
        <f t="shared" si="5"/>
        <v>0</v>
      </c>
      <c r="S23" s="230">
        <f>D23*所得税项目计算!$F$2</f>
        <v>0</v>
      </c>
      <c r="T23" s="230">
        <f>Q23*所得税项目计算!$F$2</f>
        <v>0</v>
      </c>
    </row>
    <row r="24" spans="1:20">
      <c r="A24" s="230" t="str">
        <f>IF(OR(ABS(C24)&gt;0,ABS(F24)&gt;0,ABS(K24)&gt;0,ABS(P24)&gt;0),基础信息!$B$1,"")</f>
        <v/>
      </c>
      <c r="B24" s="550"/>
      <c r="C24" s="260">
        <f t="shared" si="0"/>
        <v>0</v>
      </c>
      <c r="D24" s="290"/>
      <c r="E24" s="290"/>
      <c r="F24" s="260">
        <f t="shared" si="1"/>
        <v>0</v>
      </c>
      <c r="G24" s="260">
        <f t="shared" si="2"/>
        <v>0</v>
      </c>
      <c r="H24" s="290"/>
      <c r="I24" s="290"/>
      <c r="J24" s="290"/>
      <c r="K24" s="290"/>
      <c r="L24" s="260">
        <f t="shared" si="3"/>
        <v>0</v>
      </c>
      <c r="M24" s="290"/>
      <c r="N24" s="290"/>
      <c r="O24" s="290"/>
      <c r="P24" s="230">
        <f t="shared" si="4"/>
        <v>0</v>
      </c>
      <c r="Q24" s="230">
        <f t="shared" si="4"/>
        <v>0</v>
      </c>
      <c r="R24" s="230">
        <f t="shared" si="5"/>
        <v>0</v>
      </c>
      <c r="S24" s="230">
        <f>D24*所得税项目计算!$F$2</f>
        <v>0</v>
      </c>
      <c r="T24" s="230">
        <f>Q24*所得税项目计算!$F$2</f>
        <v>0</v>
      </c>
    </row>
    <row r="25" spans="1:20">
      <c r="A25" s="230" t="str">
        <f>IF(OR(ABS(C25)&gt;0,ABS(F25)&gt;0,ABS(K25)&gt;0,ABS(P25)&gt;0),基础信息!$B$1,"")</f>
        <v/>
      </c>
      <c r="B25" s="550"/>
      <c r="C25" s="260">
        <f t="shared" si="0"/>
        <v>0</v>
      </c>
      <c r="D25" s="290"/>
      <c r="E25" s="290"/>
      <c r="F25" s="260">
        <f t="shared" si="1"/>
        <v>0</v>
      </c>
      <c r="G25" s="260">
        <f t="shared" si="2"/>
        <v>0</v>
      </c>
      <c r="H25" s="290"/>
      <c r="I25" s="290"/>
      <c r="J25" s="290"/>
      <c r="K25" s="290"/>
      <c r="L25" s="260">
        <f t="shared" si="3"/>
        <v>0</v>
      </c>
      <c r="M25" s="290"/>
      <c r="N25" s="290"/>
      <c r="O25" s="290"/>
      <c r="P25" s="230">
        <f t="shared" si="4"/>
        <v>0</v>
      </c>
      <c r="Q25" s="230">
        <f t="shared" si="4"/>
        <v>0</v>
      </c>
      <c r="R25" s="230">
        <f t="shared" si="5"/>
        <v>0</v>
      </c>
      <c r="S25" s="230">
        <f>D25*所得税项目计算!$F$2</f>
        <v>0</v>
      </c>
      <c r="T25" s="230">
        <f>Q25*所得税项目计算!$F$2</f>
        <v>0</v>
      </c>
    </row>
    <row r="26" spans="1:20">
      <c r="A26" s="230" t="str">
        <f>IF(OR(ABS(C26)&gt;0,ABS(F26)&gt;0,ABS(K26)&gt;0,ABS(P26)&gt;0),基础信息!$B$1,"")</f>
        <v/>
      </c>
      <c r="B26" s="550"/>
      <c r="C26" s="260">
        <f t="shared" si="0"/>
        <v>0</v>
      </c>
      <c r="D26" s="290"/>
      <c r="E26" s="290"/>
      <c r="F26" s="260">
        <f t="shared" si="1"/>
        <v>0</v>
      </c>
      <c r="G26" s="260">
        <f t="shared" si="2"/>
        <v>0</v>
      </c>
      <c r="H26" s="290"/>
      <c r="I26" s="290"/>
      <c r="J26" s="290"/>
      <c r="K26" s="290"/>
      <c r="L26" s="260">
        <f t="shared" si="3"/>
        <v>0</v>
      </c>
      <c r="M26" s="290"/>
      <c r="N26" s="290"/>
      <c r="O26" s="290"/>
      <c r="P26" s="230">
        <f t="shared" si="4"/>
        <v>0</v>
      </c>
      <c r="Q26" s="230">
        <f t="shared" si="4"/>
        <v>0</v>
      </c>
      <c r="R26" s="230">
        <f t="shared" si="5"/>
        <v>0</v>
      </c>
      <c r="S26" s="230">
        <f>D26*所得税项目计算!$F$2</f>
        <v>0</v>
      </c>
      <c r="T26" s="230">
        <f>Q26*所得税项目计算!$F$2</f>
        <v>0</v>
      </c>
    </row>
    <row r="27" spans="1:20">
      <c r="A27" s="230" t="str">
        <f>IF(OR(ABS(C27)&gt;0,ABS(F27)&gt;0,ABS(K27)&gt;0,ABS(P27)&gt;0),基础信息!$B$1,"")</f>
        <v/>
      </c>
      <c r="B27" s="550"/>
      <c r="C27" s="260">
        <f t="shared" si="0"/>
        <v>0</v>
      </c>
      <c r="D27" s="290"/>
      <c r="E27" s="290"/>
      <c r="F27" s="260">
        <f t="shared" si="1"/>
        <v>0</v>
      </c>
      <c r="G27" s="260">
        <f t="shared" si="2"/>
        <v>0</v>
      </c>
      <c r="H27" s="290"/>
      <c r="I27" s="290"/>
      <c r="J27" s="290"/>
      <c r="K27" s="290"/>
      <c r="L27" s="260">
        <f t="shared" si="3"/>
        <v>0</v>
      </c>
      <c r="M27" s="290"/>
      <c r="N27" s="290"/>
      <c r="O27" s="290"/>
      <c r="P27" s="230">
        <f t="shared" si="4"/>
        <v>0</v>
      </c>
      <c r="Q27" s="230">
        <f t="shared" si="4"/>
        <v>0</v>
      </c>
      <c r="R27" s="230">
        <f t="shared" si="5"/>
        <v>0</v>
      </c>
      <c r="S27" s="230">
        <f>D27*所得税项目计算!$F$2</f>
        <v>0</v>
      </c>
      <c r="T27" s="230">
        <f>Q27*所得税项目计算!$F$2</f>
        <v>0</v>
      </c>
    </row>
    <row r="28" spans="1:20">
      <c r="A28" s="230" t="str">
        <f>IF(OR(ABS(C28)&gt;0,ABS(F28)&gt;0,ABS(K28)&gt;0,ABS(P28)&gt;0),基础信息!$B$1,"")</f>
        <v/>
      </c>
      <c r="B28" s="550"/>
      <c r="C28" s="260">
        <f t="shared" si="0"/>
        <v>0</v>
      </c>
      <c r="D28" s="290"/>
      <c r="E28" s="290"/>
      <c r="F28" s="260">
        <f t="shared" si="1"/>
        <v>0</v>
      </c>
      <c r="G28" s="260">
        <f t="shared" si="2"/>
        <v>0</v>
      </c>
      <c r="H28" s="290"/>
      <c r="I28" s="290"/>
      <c r="J28" s="290"/>
      <c r="K28" s="290"/>
      <c r="L28" s="260">
        <f t="shared" si="3"/>
        <v>0</v>
      </c>
      <c r="M28" s="290"/>
      <c r="N28" s="290"/>
      <c r="O28" s="290"/>
      <c r="P28" s="230">
        <f t="shared" si="4"/>
        <v>0</v>
      </c>
      <c r="Q28" s="230">
        <f t="shared" si="4"/>
        <v>0</v>
      </c>
      <c r="R28" s="230">
        <f t="shared" si="5"/>
        <v>0</v>
      </c>
      <c r="S28" s="230">
        <f>D28*所得税项目计算!$F$2</f>
        <v>0</v>
      </c>
      <c r="T28" s="230">
        <f>Q28*所得税项目计算!$F$2</f>
        <v>0</v>
      </c>
    </row>
    <row r="29" spans="1:20">
      <c r="A29" s="230" t="str">
        <f>IF(OR(ABS(C29)&gt;0,ABS(F29)&gt;0,ABS(K29)&gt;0,ABS(P29)&gt;0),基础信息!$B$1,"")</f>
        <v/>
      </c>
      <c r="B29" s="550"/>
      <c r="C29" s="260">
        <f t="shared" si="0"/>
        <v>0</v>
      </c>
      <c r="D29" s="290"/>
      <c r="E29" s="290"/>
      <c r="F29" s="260">
        <f t="shared" si="1"/>
        <v>0</v>
      </c>
      <c r="G29" s="260">
        <f t="shared" si="2"/>
        <v>0</v>
      </c>
      <c r="H29" s="290"/>
      <c r="I29" s="290"/>
      <c r="J29" s="290"/>
      <c r="K29" s="290"/>
      <c r="L29" s="260">
        <f t="shared" si="3"/>
        <v>0</v>
      </c>
      <c r="M29" s="290"/>
      <c r="N29" s="290"/>
      <c r="O29" s="290"/>
      <c r="P29" s="230">
        <f t="shared" si="4"/>
        <v>0</v>
      </c>
      <c r="Q29" s="230">
        <f t="shared" si="4"/>
        <v>0</v>
      </c>
      <c r="R29" s="230">
        <f t="shared" si="5"/>
        <v>0</v>
      </c>
      <c r="S29" s="230">
        <f>D29*所得税项目计算!$F$2</f>
        <v>0</v>
      </c>
      <c r="T29" s="230">
        <f>Q29*所得税项目计算!$F$2</f>
        <v>0</v>
      </c>
    </row>
    <row r="30" spans="1:20">
      <c r="A30" s="230" t="str">
        <f>IF(OR(ABS(C30)&gt;0,ABS(F30)&gt;0,ABS(K30)&gt;0,ABS(P30)&gt;0),基础信息!$B$1,"")</f>
        <v/>
      </c>
      <c r="B30" s="550"/>
      <c r="C30" s="260">
        <f t="shared" si="0"/>
        <v>0</v>
      </c>
      <c r="D30" s="290"/>
      <c r="E30" s="290"/>
      <c r="F30" s="260">
        <f t="shared" si="1"/>
        <v>0</v>
      </c>
      <c r="G30" s="260">
        <f t="shared" si="2"/>
        <v>0</v>
      </c>
      <c r="H30" s="290"/>
      <c r="I30" s="290"/>
      <c r="J30" s="290"/>
      <c r="K30" s="290"/>
      <c r="L30" s="260">
        <f t="shared" si="3"/>
        <v>0</v>
      </c>
      <c r="M30" s="290"/>
      <c r="N30" s="290"/>
      <c r="O30" s="290"/>
      <c r="P30" s="230">
        <f t="shared" si="4"/>
        <v>0</v>
      </c>
      <c r="Q30" s="230">
        <f t="shared" si="4"/>
        <v>0</v>
      </c>
      <c r="R30" s="230">
        <f t="shared" si="5"/>
        <v>0</v>
      </c>
      <c r="S30" s="230">
        <f>D30*所得税项目计算!$F$2</f>
        <v>0</v>
      </c>
      <c r="T30" s="230">
        <f>Q30*所得税项目计算!$F$2</f>
        <v>0</v>
      </c>
    </row>
    <row r="31" spans="1:20" s="260" customFormat="1">
      <c r="A31" s="230" t="str">
        <f>IF(OR(ABS(C31)&gt;0,ABS(F31)&gt;0,ABS(K31)&gt;0,ABS(P31)&gt;0),基础信息!$B$1,"")</f>
        <v/>
      </c>
      <c r="B31" s="550"/>
      <c r="C31" s="260">
        <f t="shared" si="0"/>
        <v>0</v>
      </c>
      <c r="D31" s="290"/>
      <c r="E31" s="290"/>
      <c r="F31" s="260">
        <f t="shared" si="1"/>
        <v>0</v>
      </c>
      <c r="G31" s="260">
        <f t="shared" si="2"/>
        <v>0</v>
      </c>
      <c r="H31" s="290"/>
      <c r="I31" s="290"/>
      <c r="J31" s="290"/>
      <c r="K31" s="290"/>
      <c r="L31" s="260">
        <f t="shared" si="3"/>
        <v>0</v>
      </c>
      <c r="M31" s="290"/>
      <c r="N31" s="290"/>
      <c r="O31" s="290"/>
      <c r="P31" s="260">
        <f t="shared" si="4"/>
        <v>0</v>
      </c>
      <c r="Q31" s="260">
        <f t="shared" si="4"/>
        <v>0</v>
      </c>
      <c r="R31" s="260">
        <f t="shared" si="5"/>
        <v>0</v>
      </c>
      <c r="S31" s="230">
        <f>D31*所得税项目计算!$F$2</f>
        <v>0</v>
      </c>
      <c r="T31" s="230">
        <f>Q31*所得税项目计算!$F$2</f>
        <v>0</v>
      </c>
    </row>
    <row r="32" spans="1:20">
      <c r="A32" s="230" t="str">
        <f>IF(OR(ABS(C32)&gt;0,ABS(F32)&gt;0,ABS(K32)&gt;0,ABS(P32)&gt;0),基础信息!$B$1,"")</f>
        <v/>
      </c>
      <c r="B32" s="550"/>
      <c r="C32" s="260">
        <f t="shared" si="0"/>
        <v>0</v>
      </c>
      <c r="D32" s="290"/>
      <c r="E32" s="290"/>
      <c r="F32" s="260">
        <f t="shared" si="1"/>
        <v>0</v>
      </c>
      <c r="G32" s="260">
        <f t="shared" si="2"/>
        <v>0</v>
      </c>
      <c r="H32" s="290"/>
      <c r="I32" s="290"/>
      <c r="J32" s="290"/>
      <c r="K32" s="290"/>
      <c r="L32" s="260">
        <f t="shared" si="3"/>
        <v>0</v>
      </c>
      <c r="M32" s="290"/>
      <c r="N32" s="290"/>
      <c r="O32" s="290"/>
      <c r="P32" s="230">
        <f t="shared" si="4"/>
        <v>0</v>
      </c>
      <c r="Q32" s="230">
        <f t="shared" si="4"/>
        <v>0</v>
      </c>
      <c r="R32" s="230">
        <f t="shared" si="5"/>
        <v>0</v>
      </c>
      <c r="S32" s="230">
        <f>D32*所得税项目计算!$F$2</f>
        <v>0</v>
      </c>
      <c r="T32" s="230">
        <f>Q32*所得税项目计算!$F$2</f>
        <v>0</v>
      </c>
    </row>
    <row r="33" spans="1:20">
      <c r="A33" s="230" t="str">
        <f>IF(OR(ABS(C33)&gt;0,ABS(F33)&gt;0,ABS(K33)&gt;0,ABS(P33)&gt;0),基础信息!$B$1,"")</f>
        <v/>
      </c>
      <c r="B33" s="550"/>
      <c r="C33" s="260">
        <f t="shared" si="0"/>
        <v>0</v>
      </c>
      <c r="D33" s="290"/>
      <c r="E33" s="290"/>
      <c r="F33" s="260">
        <f t="shared" si="1"/>
        <v>0</v>
      </c>
      <c r="G33" s="260">
        <f t="shared" si="2"/>
        <v>0</v>
      </c>
      <c r="H33" s="290"/>
      <c r="I33" s="290"/>
      <c r="J33" s="290"/>
      <c r="K33" s="290"/>
      <c r="L33" s="260">
        <f t="shared" si="3"/>
        <v>0</v>
      </c>
      <c r="M33" s="290"/>
      <c r="N33" s="290"/>
      <c r="O33" s="290"/>
      <c r="P33" s="230">
        <f t="shared" si="4"/>
        <v>0</v>
      </c>
      <c r="Q33" s="230">
        <f t="shared" si="4"/>
        <v>0</v>
      </c>
      <c r="R33" s="230">
        <f t="shared" si="5"/>
        <v>0</v>
      </c>
      <c r="S33" s="230">
        <f>D33*所得税项目计算!$F$2</f>
        <v>0</v>
      </c>
      <c r="T33" s="230">
        <f>Q33*所得税项目计算!$F$2</f>
        <v>0</v>
      </c>
    </row>
    <row r="34" spans="1:20">
      <c r="A34" s="230" t="str">
        <f>IF(OR(ABS(C34)&gt;0,ABS(F34)&gt;0,ABS(K34)&gt;0,ABS(P34)&gt;0),基础信息!$B$1,"")</f>
        <v/>
      </c>
      <c r="B34" s="550"/>
      <c r="C34" s="260">
        <f t="shared" si="0"/>
        <v>0</v>
      </c>
      <c r="D34" s="290"/>
      <c r="E34" s="290"/>
      <c r="F34" s="260">
        <f t="shared" si="1"/>
        <v>0</v>
      </c>
      <c r="G34" s="260">
        <f t="shared" si="2"/>
        <v>0</v>
      </c>
      <c r="H34" s="290"/>
      <c r="I34" s="290"/>
      <c r="J34" s="290"/>
      <c r="K34" s="290"/>
      <c r="L34" s="260">
        <f t="shared" si="3"/>
        <v>0</v>
      </c>
      <c r="M34" s="290"/>
      <c r="N34" s="290"/>
      <c r="O34" s="290"/>
      <c r="P34" s="230">
        <f t="shared" si="4"/>
        <v>0</v>
      </c>
      <c r="Q34" s="230">
        <f t="shared" si="4"/>
        <v>0</v>
      </c>
      <c r="R34" s="230">
        <f t="shared" si="5"/>
        <v>0</v>
      </c>
      <c r="S34" s="230">
        <f>D34*所得税项目计算!$F$2</f>
        <v>0</v>
      </c>
      <c r="T34" s="230">
        <f>Q34*所得税项目计算!$F$2</f>
        <v>0</v>
      </c>
    </row>
    <row r="35" spans="1:20">
      <c r="A35" s="230" t="str">
        <f>IF(OR(ABS(C35)&gt;0,ABS(F35)&gt;0,ABS(K35)&gt;0,ABS(P35)&gt;0),基础信息!$B$1,"")</f>
        <v/>
      </c>
      <c r="B35" s="550"/>
      <c r="C35" s="260">
        <f t="shared" si="0"/>
        <v>0</v>
      </c>
      <c r="D35" s="290"/>
      <c r="E35" s="290"/>
      <c r="F35" s="260">
        <f t="shared" si="1"/>
        <v>0</v>
      </c>
      <c r="G35" s="260">
        <f t="shared" si="2"/>
        <v>0</v>
      </c>
      <c r="H35" s="290"/>
      <c r="I35" s="290"/>
      <c r="J35" s="290"/>
      <c r="K35" s="290"/>
      <c r="L35" s="260">
        <f t="shared" si="3"/>
        <v>0</v>
      </c>
      <c r="M35" s="290"/>
      <c r="N35" s="290"/>
      <c r="O35" s="290"/>
      <c r="P35" s="230">
        <f t="shared" si="4"/>
        <v>0</v>
      </c>
      <c r="Q35" s="230">
        <f t="shared" si="4"/>
        <v>0</v>
      </c>
      <c r="R35" s="230">
        <f t="shared" si="5"/>
        <v>0</v>
      </c>
      <c r="S35" s="230">
        <f>D35*所得税项目计算!$F$2</f>
        <v>0</v>
      </c>
      <c r="T35" s="230">
        <f>Q35*所得税项目计算!$F$2</f>
        <v>0</v>
      </c>
    </row>
    <row r="36" spans="1:20">
      <c r="A36" s="230" t="str">
        <f>IF(OR(ABS(C36)&gt;0,ABS(F36)&gt;0,ABS(K36)&gt;0,ABS(P36)&gt;0),基础信息!$B$1,"")</f>
        <v/>
      </c>
      <c r="B36" s="550"/>
      <c r="C36" s="260">
        <f t="shared" si="0"/>
        <v>0</v>
      </c>
      <c r="D36" s="290"/>
      <c r="E36" s="290"/>
      <c r="F36" s="260">
        <f t="shared" si="1"/>
        <v>0</v>
      </c>
      <c r="G36" s="260">
        <f t="shared" si="2"/>
        <v>0</v>
      </c>
      <c r="H36" s="290"/>
      <c r="I36" s="290"/>
      <c r="J36" s="290"/>
      <c r="K36" s="290"/>
      <c r="L36" s="260">
        <f t="shared" si="3"/>
        <v>0</v>
      </c>
      <c r="M36" s="290"/>
      <c r="N36" s="290"/>
      <c r="O36" s="290"/>
      <c r="P36" s="230">
        <f t="shared" si="4"/>
        <v>0</v>
      </c>
      <c r="Q36" s="230">
        <f t="shared" si="4"/>
        <v>0</v>
      </c>
      <c r="R36" s="230">
        <f t="shared" si="5"/>
        <v>0</v>
      </c>
      <c r="S36" s="230">
        <f>D36*所得税项目计算!$F$2</f>
        <v>0</v>
      </c>
      <c r="T36" s="230">
        <f>Q36*所得税项目计算!$F$2</f>
        <v>0</v>
      </c>
    </row>
    <row r="37" spans="1:20">
      <c r="A37" s="230" t="str">
        <f>IF(OR(ABS(C37)&gt;0,ABS(F37)&gt;0,ABS(K37)&gt;0,ABS(P37)&gt;0),基础信息!$B$1,"")</f>
        <v/>
      </c>
      <c r="B37" s="550"/>
      <c r="C37" s="260">
        <f t="shared" si="0"/>
        <v>0</v>
      </c>
      <c r="D37" s="290"/>
      <c r="E37" s="290"/>
      <c r="F37" s="260">
        <f t="shared" si="1"/>
        <v>0</v>
      </c>
      <c r="G37" s="260">
        <f t="shared" si="2"/>
        <v>0</v>
      </c>
      <c r="H37" s="290"/>
      <c r="I37" s="290"/>
      <c r="J37" s="290"/>
      <c r="K37" s="290"/>
      <c r="L37" s="260">
        <f t="shared" si="3"/>
        <v>0</v>
      </c>
      <c r="M37" s="290"/>
      <c r="N37" s="290"/>
      <c r="O37" s="290"/>
      <c r="P37" s="230">
        <f t="shared" ref="P37:Q57" si="6">C37+F37-K37</f>
        <v>0</v>
      </c>
      <c r="Q37" s="230">
        <f t="shared" si="6"/>
        <v>0</v>
      </c>
      <c r="R37" s="230">
        <f t="shared" si="5"/>
        <v>0</v>
      </c>
      <c r="S37" s="230">
        <f>D37*所得税项目计算!$F$2</f>
        <v>0</v>
      </c>
      <c r="T37" s="230">
        <f>Q37*所得税项目计算!$F$2</f>
        <v>0</v>
      </c>
    </row>
    <row r="38" spans="1:20">
      <c r="A38" s="230" t="str">
        <f>IF(OR(ABS(C38)&gt;0,ABS(F38)&gt;0,ABS(K38)&gt;0,ABS(P38)&gt;0),基础信息!$B$1,"")</f>
        <v/>
      </c>
      <c r="B38" s="550"/>
      <c r="C38" s="260">
        <f t="shared" si="0"/>
        <v>0</v>
      </c>
      <c r="D38" s="290"/>
      <c r="E38" s="290"/>
      <c r="F38" s="260">
        <f t="shared" si="1"/>
        <v>0</v>
      </c>
      <c r="G38" s="260">
        <f t="shared" si="2"/>
        <v>0</v>
      </c>
      <c r="H38" s="290"/>
      <c r="I38" s="290"/>
      <c r="J38" s="290"/>
      <c r="K38" s="290"/>
      <c r="L38" s="260">
        <f t="shared" si="3"/>
        <v>0</v>
      </c>
      <c r="M38" s="290"/>
      <c r="N38" s="290"/>
      <c r="O38" s="290"/>
      <c r="P38" s="230">
        <f t="shared" si="6"/>
        <v>0</v>
      </c>
      <c r="Q38" s="230">
        <f t="shared" si="6"/>
        <v>0</v>
      </c>
      <c r="R38" s="230">
        <f t="shared" si="5"/>
        <v>0</v>
      </c>
      <c r="S38" s="230">
        <f>D38*所得税项目计算!$F$2</f>
        <v>0</v>
      </c>
      <c r="T38" s="230">
        <f>Q38*所得税项目计算!$F$2</f>
        <v>0</v>
      </c>
    </row>
    <row r="39" spans="1:20">
      <c r="A39" s="230" t="str">
        <f>IF(OR(ABS(C39)&gt;0,ABS(F39)&gt;0,ABS(K39)&gt;0,ABS(P39)&gt;0),基础信息!$B$1,"")</f>
        <v/>
      </c>
      <c r="B39" s="550"/>
      <c r="C39" s="260">
        <f t="shared" si="0"/>
        <v>0</v>
      </c>
      <c r="D39" s="290"/>
      <c r="E39" s="290"/>
      <c r="F39" s="260">
        <f t="shared" si="1"/>
        <v>0</v>
      </c>
      <c r="G39" s="260">
        <f t="shared" si="2"/>
        <v>0</v>
      </c>
      <c r="H39" s="290"/>
      <c r="I39" s="290"/>
      <c r="J39" s="290"/>
      <c r="K39" s="290"/>
      <c r="L39" s="260">
        <f t="shared" si="3"/>
        <v>0</v>
      </c>
      <c r="M39" s="290"/>
      <c r="N39" s="290"/>
      <c r="O39" s="290"/>
      <c r="P39" s="230">
        <f t="shared" si="6"/>
        <v>0</v>
      </c>
      <c r="Q39" s="230">
        <f t="shared" si="6"/>
        <v>0</v>
      </c>
      <c r="R39" s="230">
        <f t="shared" si="5"/>
        <v>0</v>
      </c>
      <c r="S39" s="230">
        <f>D39*所得税项目计算!$F$2</f>
        <v>0</v>
      </c>
      <c r="T39" s="230">
        <f>Q39*所得税项目计算!$F$2</f>
        <v>0</v>
      </c>
    </row>
    <row r="40" spans="1:20">
      <c r="A40" s="230" t="str">
        <f>IF(OR(ABS(C40)&gt;0,ABS(F40)&gt;0,ABS(K40)&gt;0,ABS(P40)&gt;0),基础信息!$B$1,"")</f>
        <v/>
      </c>
      <c r="B40" s="550"/>
      <c r="C40" s="260">
        <f t="shared" si="0"/>
        <v>0</v>
      </c>
      <c r="D40" s="290"/>
      <c r="E40" s="290"/>
      <c r="F40" s="260">
        <f t="shared" si="1"/>
        <v>0</v>
      </c>
      <c r="G40" s="260">
        <f t="shared" si="2"/>
        <v>0</v>
      </c>
      <c r="H40" s="290"/>
      <c r="I40" s="290"/>
      <c r="J40" s="290"/>
      <c r="K40" s="290"/>
      <c r="L40" s="260">
        <f t="shared" si="3"/>
        <v>0</v>
      </c>
      <c r="M40" s="290"/>
      <c r="N40" s="290"/>
      <c r="O40" s="290"/>
      <c r="P40" s="230">
        <f t="shared" si="6"/>
        <v>0</v>
      </c>
      <c r="Q40" s="230">
        <f t="shared" si="6"/>
        <v>0</v>
      </c>
      <c r="R40" s="230">
        <f t="shared" si="5"/>
        <v>0</v>
      </c>
      <c r="S40" s="230">
        <f>D40*所得税项目计算!$F$2</f>
        <v>0</v>
      </c>
      <c r="T40" s="230">
        <f>Q40*所得税项目计算!$F$2</f>
        <v>0</v>
      </c>
    </row>
    <row r="41" spans="1:20">
      <c r="A41" s="230" t="str">
        <f>IF(OR(ABS(C41)&gt;0,ABS(F41)&gt;0,ABS(K41)&gt;0,ABS(P41)&gt;0),基础信息!$B$1,"")</f>
        <v/>
      </c>
      <c r="B41" s="550"/>
      <c r="C41" s="260">
        <f t="shared" si="0"/>
        <v>0</v>
      </c>
      <c r="D41" s="290"/>
      <c r="E41" s="290"/>
      <c r="F41" s="260">
        <f t="shared" si="1"/>
        <v>0</v>
      </c>
      <c r="G41" s="260">
        <f t="shared" si="2"/>
        <v>0</v>
      </c>
      <c r="H41" s="290"/>
      <c r="I41" s="290"/>
      <c r="J41" s="290"/>
      <c r="K41" s="290"/>
      <c r="L41" s="260">
        <f t="shared" si="3"/>
        <v>0</v>
      </c>
      <c r="M41" s="290"/>
      <c r="N41" s="290"/>
      <c r="O41" s="290"/>
      <c r="P41" s="230">
        <f t="shared" si="6"/>
        <v>0</v>
      </c>
      <c r="Q41" s="230">
        <f t="shared" si="6"/>
        <v>0</v>
      </c>
      <c r="R41" s="230">
        <f t="shared" si="5"/>
        <v>0</v>
      </c>
      <c r="S41" s="230">
        <f>D41*所得税项目计算!$F$2</f>
        <v>0</v>
      </c>
      <c r="T41" s="230">
        <f>Q41*所得税项目计算!$F$2</f>
        <v>0</v>
      </c>
    </row>
    <row r="42" spans="1:20">
      <c r="A42" s="230" t="str">
        <f>IF(OR(ABS(C42)&gt;0,ABS(F42)&gt;0,ABS(K42)&gt;0,ABS(P42)&gt;0),基础信息!$B$1,"")</f>
        <v/>
      </c>
      <c r="B42" s="550"/>
      <c r="C42" s="260">
        <f t="shared" si="0"/>
        <v>0</v>
      </c>
      <c r="D42" s="290"/>
      <c r="E42" s="290"/>
      <c r="F42" s="260">
        <f t="shared" si="1"/>
        <v>0</v>
      </c>
      <c r="G42" s="260">
        <f t="shared" si="2"/>
        <v>0</v>
      </c>
      <c r="H42" s="290"/>
      <c r="I42" s="290"/>
      <c r="J42" s="290"/>
      <c r="K42" s="290"/>
      <c r="L42" s="260">
        <f t="shared" si="3"/>
        <v>0</v>
      </c>
      <c r="M42" s="290"/>
      <c r="N42" s="290"/>
      <c r="O42" s="290"/>
      <c r="P42" s="230">
        <f t="shared" si="6"/>
        <v>0</v>
      </c>
      <c r="Q42" s="230">
        <f t="shared" si="6"/>
        <v>0</v>
      </c>
      <c r="R42" s="230">
        <f t="shared" si="5"/>
        <v>0</v>
      </c>
      <c r="S42" s="230">
        <f>D42*所得税项目计算!$F$2</f>
        <v>0</v>
      </c>
      <c r="T42" s="230">
        <f>Q42*所得税项目计算!$F$2</f>
        <v>0</v>
      </c>
    </row>
    <row r="43" spans="1:20">
      <c r="A43" s="230" t="str">
        <f>IF(OR(ABS(C43)&gt;0,ABS(F43)&gt;0,ABS(K43)&gt;0,ABS(P43)&gt;0),基础信息!$B$1,"")</f>
        <v/>
      </c>
      <c r="B43" s="550"/>
      <c r="C43" s="260">
        <f t="shared" si="0"/>
        <v>0</v>
      </c>
      <c r="D43" s="290"/>
      <c r="E43" s="290"/>
      <c r="F43" s="260">
        <f t="shared" si="1"/>
        <v>0</v>
      </c>
      <c r="G43" s="260">
        <f t="shared" si="2"/>
        <v>0</v>
      </c>
      <c r="H43" s="290"/>
      <c r="I43" s="290"/>
      <c r="J43" s="290"/>
      <c r="K43" s="290"/>
      <c r="L43" s="260">
        <f t="shared" si="3"/>
        <v>0</v>
      </c>
      <c r="M43" s="290"/>
      <c r="N43" s="290"/>
      <c r="O43" s="290"/>
      <c r="P43" s="230">
        <f t="shared" si="6"/>
        <v>0</v>
      </c>
      <c r="Q43" s="230">
        <f t="shared" si="6"/>
        <v>0</v>
      </c>
      <c r="R43" s="230">
        <f t="shared" si="5"/>
        <v>0</v>
      </c>
      <c r="S43" s="230">
        <f>D43*所得税项目计算!$F$2</f>
        <v>0</v>
      </c>
      <c r="T43" s="230">
        <f>Q43*所得税项目计算!$F$2</f>
        <v>0</v>
      </c>
    </row>
    <row r="44" spans="1:20">
      <c r="A44" s="230" t="str">
        <f>IF(OR(ABS(C44)&gt;0,ABS(F44)&gt;0,ABS(K44)&gt;0,ABS(P44)&gt;0),基础信息!$B$1,"")</f>
        <v/>
      </c>
      <c r="B44" s="550"/>
      <c r="C44" s="260">
        <f t="shared" si="0"/>
        <v>0</v>
      </c>
      <c r="D44" s="290"/>
      <c r="E44" s="290"/>
      <c r="F44" s="260">
        <f t="shared" si="1"/>
        <v>0</v>
      </c>
      <c r="G44" s="260">
        <f t="shared" si="2"/>
        <v>0</v>
      </c>
      <c r="H44" s="290"/>
      <c r="I44" s="290"/>
      <c r="J44" s="290"/>
      <c r="K44" s="290"/>
      <c r="L44" s="260">
        <f t="shared" si="3"/>
        <v>0</v>
      </c>
      <c r="M44" s="290"/>
      <c r="N44" s="290"/>
      <c r="O44" s="290"/>
      <c r="P44" s="230">
        <f t="shared" si="6"/>
        <v>0</v>
      </c>
      <c r="Q44" s="230">
        <f t="shared" si="6"/>
        <v>0</v>
      </c>
      <c r="R44" s="230">
        <f t="shared" si="5"/>
        <v>0</v>
      </c>
      <c r="S44" s="230">
        <f>D44*所得税项目计算!$F$2</f>
        <v>0</v>
      </c>
      <c r="T44" s="230">
        <f>Q44*所得税项目计算!$F$2</f>
        <v>0</v>
      </c>
    </row>
    <row r="45" spans="1:20">
      <c r="A45" s="230" t="str">
        <f>IF(OR(ABS(C45)&gt;0,ABS(F45)&gt;0,ABS(K45)&gt;0,ABS(P45)&gt;0),基础信息!$B$1,"")</f>
        <v/>
      </c>
      <c r="B45" s="550"/>
      <c r="C45" s="260">
        <f t="shared" si="0"/>
        <v>0</v>
      </c>
      <c r="D45" s="290"/>
      <c r="E45" s="290"/>
      <c r="F45" s="260">
        <f t="shared" si="1"/>
        <v>0</v>
      </c>
      <c r="G45" s="260">
        <f t="shared" si="2"/>
        <v>0</v>
      </c>
      <c r="H45" s="290"/>
      <c r="I45" s="290"/>
      <c r="J45" s="290"/>
      <c r="K45" s="290"/>
      <c r="L45" s="260">
        <f t="shared" si="3"/>
        <v>0</v>
      </c>
      <c r="M45" s="290"/>
      <c r="N45" s="290"/>
      <c r="O45" s="290"/>
      <c r="P45" s="230">
        <f t="shared" si="6"/>
        <v>0</v>
      </c>
      <c r="Q45" s="230">
        <f t="shared" si="6"/>
        <v>0</v>
      </c>
      <c r="R45" s="230">
        <f t="shared" si="5"/>
        <v>0</v>
      </c>
      <c r="S45" s="230">
        <f>D45*所得税项目计算!$F$2</f>
        <v>0</v>
      </c>
      <c r="T45" s="230">
        <f>Q45*所得税项目计算!$F$2</f>
        <v>0</v>
      </c>
    </row>
    <row r="46" spans="1:20">
      <c r="A46" s="230" t="str">
        <f>IF(OR(ABS(C46)&gt;0,ABS(F46)&gt;0,ABS(K46)&gt;0,ABS(P46)&gt;0),基础信息!$B$1,"")</f>
        <v/>
      </c>
      <c r="B46" s="550"/>
      <c r="C46" s="260">
        <f t="shared" si="0"/>
        <v>0</v>
      </c>
      <c r="D46" s="290"/>
      <c r="E46" s="290"/>
      <c r="F46" s="260">
        <f t="shared" si="1"/>
        <v>0</v>
      </c>
      <c r="G46" s="260">
        <f t="shared" si="2"/>
        <v>0</v>
      </c>
      <c r="H46" s="290"/>
      <c r="I46" s="290"/>
      <c r="J46" s="290"/>
      <c r="K46" s="290"/>
      <c r="L46" s="260">
        <f t="shared" si="3"/>
        <v>0</v>
      </c>
      <c r="M46" s="290"/>
      <c r="N46" s="290"/>
      <c r="O46" s="290"/>
      <c r="P46" s="230">
        <f t="shared" si="6"/>
        <v>0</v>
      </c>
      <c r="Q46" s="230">
        <f t="shared" si="6"/>
        <v>0</v>
      </c>
      <c r="R46" s="230">
        <f t="shared" si="5"/>
        <v>0</v>
      </c>
      <c r="S46" s="230">
        <f>D46*所得税项目计算!$F$2</f>
        <v>0</v>
      </c>
      <c r="T46" s="230">
        <f>Q46*所得税项目计算!$F$2</f>
        <v>0</v>
      </c>
    </row>
    <row r="47" spans="1:20">
      <c r="A47" s="230" t="str">
        <f>IF(OR(ABS(C47)&gt;0,ABS(F47)&gt;0,ABS(K47)&gt;0,ABS(P47)&gt;0),基础信息!$B$1,"")</f>
        <v/>
      </c>
      <c r="B47" s="550"/>
      <c r="C47" s="260">
        <f t="shared" si="0"/>
        <v>0</v>
      </c>
      <c r="D47" s="290"/>
      <c r="E47" s="290"/>
      <c r="F47" s="260">
        <f t="shared" si="1"/>
        <v>0</v>
      </c>
      <c r="G47" s="260">
        <f t="shared" si="2"/>
        <v>0</v>
      </c>
      <c r="H47" s="290"/>
      <c r="I47" s="290"/>
      <c r="J47" s="290"/>
      <c r="K47" s="290"/>
      <c r="L47" s="260">
        <f t="shared" si="3"/>
        <v>0</v>
      </c>
      <c r="M47" s="290"/>
      <c r="N47" s="290"/>
      <c r="O47" s="290"/>
      <c r="P47" s="230">
        <f t="shared" si="6"/>
        <v>0</v>
      </c>
      <c r="Q47" s="230">
        <f t="shared" si="6"/>
        <v>0</v>
      </c>
      <c r="R47" s="230">
        <f t="shared" si="5"/>
        <v>0</v>
      </c>
      <c r="S47" s="230">
        <f>D47*所得税项目计算!$F$2</f>
        <v>0</v>
      </c>
      <c r="T47" s="230">
        <f>Q47*所得税项目计算!$F$2</f>
        <v>0</v>
      </c>
    </row>
    <row r="48" spans="1:20">
      <c r="A48" s="230" t="str">
        <f>IF(OR(ABS(C48)&gt;0,ABS(F48)&gt;0,ABS(K48)&gt;0,ABS(P48)&gt;0),基础信息!$B$1,"")</f>
        <v/>
      </c>
      <c r="B48" s="550"/>
      <c r="C48" s="260">
        <f t="shared" si="0"/>
        <v>0</v>
      </c>
      <c r="D48" s="290"/>
      <c r="E48" s="290"/>
      <c r="F48" s="260">
        <f t="shared" si="1"/>
        <v>0</v>
      </c>
      <c r="G48" s="260">
        <f t="shared" si="2"/>
        <v>0</v>
      </c>
      <c r="H48" s="290"/>
      <c r="I48" s="290"/>
      <c r="J48" s="290"/>
      <c r="K48" s="290"/>
      <c r="L48" s="260">
        <f t="shared" si="3"/>
        <v>0</v>
      </c>
      <c r="M48" s="290"/>
      <c r="N48" s="290"/>
      <c r="O48" s="290"/>
      <c r="P48" s="230">
        <f t="shared" si="6"/>
        <v>0</v>
      </c>
      <c r="Q48" s="230">
        <f t="shared" si="6"/>
        <v>0</v>
      </c>
      <c r="R48" s="230">
        <f t="shared" si="5"/>
        <v>0</v>
      </c>
      <c r="S48" s="230">
        <f>D48*所得税项目计算!$F$2</f>
        <v>0</v>
      </c>
      <c r="T48" s="230">
        <f>Q48*所得税项目计算!$F$2</f>
        <v>0</v>
      </c>
    </row>
    <row r="49" spans="1:20">
      <c r="A49" s="230" t="str">
        <f>IF(OR(ABS(C49)&gt;0,ABS(F49)&gt;0,ABS(K49)&gt;0,ABS(P49)&gt;0),基础信息!$B$1,"")</f>
        <v/>
      </c>
      <c r="B49" s="550"/>
      <c r="C49" s="260">
        <f t="shared" si="0"/>
        <v>0</v>
      </c>
      <c r="D49" s="290"/>
      <c r="E49" s="290"/>
      <c r="F49" s="260">
        <f t="shared" si="1"/>
        <v>0</v>
      </c>
      <c r="G49" s="260">
        <f t="shared" si="2"/>
        <v>0</v>
      </c>
      <c r="H49" s="290"/>
      <c r="I49" s="290"/>
      <c r="J49" s="290"/>
      <c r="K49" s="290"/>
      <c r="L49" s="260">
        <f t="shared" si="3"/>
        <v>0</v>
      </c>
      <c r="M49" s="290"/>
      <c r="N49" s="290"/>
      <c r="O49" s="290"/>
      <c r="P49" s="230">
        <f t="shared" si="6"/>
        <v>0</v>
      </c>
      <c r="Q49" s="230">
        <f t="shared" si="6"/>
        <v>0</v>
      </c>
      <c r="R49" s="230">
        <f t="shared" si="5"/>
        <v>0</v>
      </c>
      <c r="S49" s="230">
        <f>D49*所得税项目计算!$F$2</f>
        <v>0</v>
      </c>
      <c r="T49" s="230">
        <f>Q49*所得税项目计算!$F$2</f>
        <v>0</v>
      </c>
    </row>
    <row r="50" spans="1:20">
      <c r="A50" s="230" t="str">
        <f>IF(OR(ABS(C50)&gt;0,ABS(F50)&gt;0,ABS(K50)&gt;0,ABS(P50)&gt;0),基础信息!$B$1,"")</f>
        <v/>
      </c>
      <c r="B50" s="550"/>
      <c r="C50" s="260">
        <f t="shared" si="0"/>
        <v>0</v>
      </c>
      <c r="D50" s="290"/>
      <c r="E50" s="290"/>
      <c r="F50" s="260">
        <f t="shared" si="1"/>
        <v>0</v>
      </c>
      <c r="G50" s="260">
        <f t="shared" si="2"/>
        <v>0</v>
      </c>
      <c r="H50" s="290"/>
      <c r="I50" s="290"/>
      <c r="J50" s="290"/>
      <c r="K50" s="290"/>
      <c r="L50" s="260">
        <f t="shared" si="3"/>
        <v>0</v>
      </c>
      <c r="M50" s="290"/>
      <c r="N50" s="290"/>
      <c r="O50" s="290"/>
      <c r="P50" s="230">
        <f t="shared" si="6"/>
        <v>0</v>
      </c>
      <c r="Q50" s="230">
        <f t="shared" si="6"/>
        <v>0</v>
      </c>
      <c r="R50" s="230">
        <f t="shared" si="5"/>
        <v>0</v>
      </c>
      <c r="S50" s="230">
        <f>D50*所得税项目计算!$F$2</f>
        <v>0</v>
      </c>
      <c r="T50" s="230">
        <f>Q50*所得税项目计算!$F$2</f>
        <v>0</v>
      </c>
    </row>
    <row r="51" spans="1:20">
      <c r="A51" s="230" t="str">
        <f>IF(OR(ABS(C51)&gt;0,ABS(F51)&gt;0,ABS(K51)&gt;0,ABS(P51)&gt;0),基础信息!$B$1,"")</f>
        <v/>
      </c>
      <c r="B51" s="550"/>
      <c r="C51" s="260">
        <f t="shared" si="0"/>
        <v>0</v>
      </c>
      <c r="D51" s="290"/>
      <c r="E51" s="290"/>
      <c r="F51" s="260">
        <f t="shared" si="1"/>
        <v>0</v>
      </c>
      <c r="G51" s="260">
        <f t="shared" si="2"/>
        <v>0</v>
      </c>
      <c r="H51" s="290"/>
      <c r="I51" s="290"/>
      <c r="J51" s="290"/>
      <c r="K51" s="290"/>
      <c r="L51" s="260">
        <f t="shared" si="3"/>
        <v>0</v>
      </c>
      <c r="M51" s="290"/>
      <c r="N51" s="290"/>
      <c r="O51" s="290"/>
      <c r="P51" s="230">
        <f t="shared" si="6"/>
        <v>0</v>
      </c>
      <c r="Q51" s="230">
        <f t="shared" si="6"/>
        <v>0</v>
      </c>
      <c r="R51" s="230">
        <f t="shared" si="5"/>
        <v>0</v>
      </c>
      <c r="S51" s="230">
        <f>D51*所得税项目计算!$F$2</f>
        <v>0</v>
      </c>
      <c r="T51" s="230">
        <f>Q51*所得税项目计算!$F$2</f>
        <v>0</v>
      </c>
    </row>
    <row r="52" spans="1:20">
      <c r="A52" s="230" t="str">
        <f>IF(OR(ABS(C52)&gt;0,ABS(F52)&gt;0,ABS(K52)&gt;0,ABS(P52)&gt;0),基础信息!$B$1,"")</f>
        <v/>
      </c>
      <c r="B52" s="550"/>
      <c r="C52" s="260">
        <f t="shared" si="0"/>
        <v>0</v>
      </c>
      <c r="D52" s="290"/>
      <c r="E52" s="290"/>
      <c r="F52" s="260">
        <f t="shared" si="1"/>
        <v>0</v>
      </c>
      <c r="G52" s="260">
        <f t="shared" si="2"/>
        <v>0</v>
      </c>
      <c r="H52" s="290"/>
      <c r="I52" s="290"/>
      <c r="J52" s="290"/>
      <c r="K52" s="290"/>
      <c r="L52" s="260">
        <f t="shared" si="3"/>
        <v>0</v>
      </c>
      <c r="M52" s="290"/>
      <c r="N52" s="290"/>
      <c r="O52" s="290"/>
      <c r="P52" s="230">
        <f t="shared" si="6"/>
        <v>0</v>
      </c>
      <c r="Q52" s="230">
        <f t="shared" si="6"/>
        <v>0</v>
      </c>
      <c r="R52" s="230">
        <f t="shared" si="5"/>
        <v>0</v>
      </c>
      <c r="S52" s="230">
        <f>D52*所得税项目计算!$F$2</f>
        <v>0</v>
      </c>
      <c r="T52" s="230">
        <f>Q52*所得税项目计算!$F$2</f>
        <v>0</v>
      </c>
    </row>
    <row r="53" spans="1:20">
      <c r="A53" s="230" t="str">
        <f>IF(OR(ABS(C53)&gt;0,ABS(F53)&gt;0,ABS(K53)&gt;0,ABS(P53)&gt;0),基础信息!$B$1,"")</f>
        <v/>
      </c>
      <c r="B53" s="550"/>
      <c r="C53" s="260">
        <f t="shared" si="0"/>
        <v>0</v>
      </c>
      <c r="D53" s="290"/>
      <c r="E53" s="290"/>
      <c r="F53" s="260">
        <f t="shared" si="1"/>
        <v>0</v>
      </c>
      <c r="G53" s="260">
        <f t="shared" si="2"/>
        <v>0</v>
      </c>
      <c r="H53" s="290"/>
      <c r="I53" s="290"/>
      <c r="J53" s="290"/>
      <c r="K53" s="290"/>
      <c r="L53" s="260">
        <f t="shared" si="3"/>
        <v>0</v>
      </c>
      <c r="M53" s="290"/>
      <c r="N53" s="290"/>
      <c r="O53" s="290"/>
      <c r="P53" s="230">
        <f t="shared" si="6"/>
        <v>0</v>
      </c>
      <c r="Q53" s="230">
        <f t="shared" si="6"/>
        <v>0</v>
      </c>
      <c r="R53" s="230">
        <f t="shared" si="5"/>
        <v>0</v>
      </c>
      <c r="S53" s="230">
        <f>D53*所得税项目计算!$F$2</f>
        <v>0</v>
      </c>
      <c r="T53" s="230">
        <f>Q53*所得税项目计算!$F$2</f>
        <v>0</v>
      </c>
    </row>
    <row r="54" spans="1:20">
      <c r="A54" s="230" t="str">
        <f>IF(OR(ABS(C54)&gt;0,ABS(F54)&gt;0,ABS(K54)&gt;0,ABS(P54)&gt;0),基础信息!$B$1,"")</f>
        <v/>
      </c>
      <c r="B54" s="550"/>
      <c r="C54" s="260">
        <f t="shared" si="0"/>
        <v>0</v>
      </c>
      <c r="D54" s="290"/>
      <c r="E54" s="290"/>
      <c r="F54" s="260">
        <f t="shared" si="1"/>
        <v>0</v>
      </c>
      <c r="G54" s="260">
        <f t="shared" si="2"/>
        <v>0</v>
      </c>
      <c r="H54" s="290"/>
      <c r="I54" s="290"/>
      <c r="J54" s="290"/>
      <c r="K54" s="290"/>
      <c r="L54" s="260">
        <f t="shared" si="3"/>
        <v>0</v>
      </c>
      <c r="M54" s="290"/>
      <c r="N54" s="290"/>
      <c r="O54" s="290"/>
      <c r="P54" s="230">
        <f t="shared" si="6"/>
        <v>0</v>
      </c>
      <c r="Q54" s="230">
        <f t="shared" si="6"/>
        <v>0</v>
      </c>
      <c r="R54" s="230">
        <f t="shared" si="5"/>
        <v>0</v>
      </c>
      <c r="S54" s="230">
        <f>D54*所得税项目计算!$F$2</f>
        <v>0</v>
      </c>
      <c r="T54" s="230">
        <f>Q54*所得税项目计算!$F$2</f>
        <v>0</v>
      </c>
    </row>
    <row r="55" spans="1:20">
      <c r="A55" s="230" t="str">
        <f>IF(OR(ABS(C55)&gt;0,ABS(F55)&gt;0,ABS(K55)&gt;0,ABS(P55)&gt;0),基础信息!$B$1,"")</f>
        <v/>
      </c>
      <c r="B55" s="550"/>
      <c r="C55" s="260">
        <f t="shared" si="0"/>
        <v>0</v>
      </c>
      <c r="D55" s="290"/>
      <c r="E55" s="290"/>
      <c r="F55" s="260">
        <f t="shared" si="1"/>
        <v>0</v>
      </c>
      <c r="G55" s="260">
        <f t="shared" si="2"/>
        <v>0</v>
      </c>
      <c r="H55" s="290"/>
      <c r="I55" s="290"/>
      <c r="J55" s="290"/>
      <c r="K55" s="290"/>
      <c r="L55" s="260">
        <f t="shared" si="3"/>
        <v>0</v>
      </c>
      <c r="M55" s="290"/>
      <c r="N55" s="290"/>
      <c r="O55" s="290"/>
      <c r="P55" s="230">
        <f t="shared" si="6"/>
        <v>0</v>
      </c>
      <c r="Q55" s="230">
        <f t="shared" si="6"/>
        <v>0</v>
      </c>
      <c r="R55" s="230">
        <f t="shared" si="5"/>
        <v>0</v>
      </c>
      <c r="S55" s="230">
        <f>D55*所得税项目计算!$F$2</f>
        <v>0</v>
      </c>
      <c r="T55" s="230">
        <f>Q55*所得税项目计算!$F$2</f>
        <v>0</v>
      </c>
    </row>
    <row r="56" spans="1:20">
      <c r="A56" s="230" t="str">
        <f>IF(OR(ABS(C56)&gt;0,ABS(F56)&gt;0,ABS(K56)&gt;0,ABS(P56)&gt;0),基础信息!$B$1,"")</f>
        <v/>
      </c>
      <c r="B56" s="550"/>
      <c r="C56" s="260">
        <f t="shared" si="0"/>
        <v>0</v>
      </c>
      <c r="D56" s="290"/>
      <c r="E56" s="290"/>
      <c r="F56" s="260">
        <f t="shared" si="1"/>
        <v>0</v>
      </c>
      <c r="G56" s="260">
        <f t="shared" si="2"/>
        <v>0</v>
      </c>
      <c r="H56" s="290"/>
      <c r="I56" s="290"/>
      <c r="J56" s="290"/>
      <c r="K56" s="290"/>
      <c r="L56" s="260">
        <f t="shared" si="3"/>
        <v>0</v>
      </c>
      <c r="M56" s="290"/>
      <c r="N56" s="290"/>
      <c r="O56" s="290"/>
      <c r="P56" s="230">
        <f t="shared" si="6"/>
        <v>0</v>
      </c>
      <c r="Q56" s="230">
        <f t="shared" si="6"/>
        <v>0</v>
      </c>
      <c r="R56" s="230">
        <f t="shared" si="5"/>
        <v>0</v>
      </c>
      <c r="S56" s="230">
        <f>D56*所得税项目计算!$F$2</f>
        <v>0</v>
      </c>
      <c r="T56" s="230">
        <f>Q56*所得税项目计算!$F$2</f>
        <v>0</v>
      </c>
    </row>
    <row r="57" spans="1:20">
      <c r="A57" s="230" t="str">
        <f>IF(OR(ABS(C57)&gt;0,ABS(F57)&gt;0,ABS(K57)&gt;0,ABS(P57)&gt;0),基础信息!$B$1,"")</f>
        <v/>
      </c>
      <c r="B57" s="550"/>
      <c r="C57" s="260">
        <f t="shared" si="0"/>
        <v>0</v>
      </c>
      <c r="D57" s="290"/>
      <c r="E57" s="290"/>
      <c r="F57" s="260">
        <f t="shared" si="1"/>
        <v>0</v>
      </c>
      <c r="G57" s="260">
        <f t="shared" si="2"/>
        <v>0</v>
      </c>
      <c r="H57" s="290"/>
      <c r="I57" s="290"/>
      <c r="J57" s="290"/>
      <c r="K57" s="290"/>
      <c r="L57" s="260">
        <f t="shared" si="3"/>
        <v>0</v>
      </c>
      <c r="M57" s="290"/>
      <c r="N57" s="290"/>
      <c r="O57" s="290"/>
      <c r="P57" s="230">
        <f t="shared" si="6"/>
        <v>0</v>
      </c>
      <c r="Q57" s="230">
        <f t="shared" si="6"/>
        <v>0</v>
      </c>
      <c r="R57" s="230">
        <f t="shared" si="5"/>
        <v>0</v>
      </c>
      <c r="S57" s="230">
        <f>D57*所得税项目计算!$F$2</f>
        <v>0</v>
      </c>
      <c r="T57" s="230">
        <f>Q57*所得税项目计算!$F$2</f>
        <v>0</v>
      </c>
    </row>
    <row r="58" spans="1:20">
      <c r="A58" s="230" t="str">
        <f>IF(OR(ABS(C58)&gt;0,ABS(F58)&gt;0,ABS(K58)&gt;0,ABS(P58)&gt;0),基础信息!$B$1,"")</f>
        <v/>
      </c>
      <c r="C58" s="260">
        <f t="shared" si="0"/>
        <v>0</v>
      </c>
      <c r="F58" s="260">
        <f t="shared" si="1"/>
        <v>0</v>
      </c>
    </row>
    <row r="59" spans="1:20">
      <c r="A59" s="230" t="str">
        <f>IF(OR(ABS(C59)&gt;0,ABS(F59)&gt;0,ABS(K59)&gt;0,ABS(P59)&gt;0),基础信息!$B$1,"")</f>
        <v/>
      </c>
      <c r="C59" s="260">
        <f t="shared" si="0"/>
        <v>0</v>
      </c>
      <c r="F59" s="260">
        <f t="shared" si="1"/>
        <v>0</v>
      </c>
    </row>
    <row r="60" spans="1:20">
      <c r="A60" s="230" t="str">
        <f>IF(OR(ABS(C60)&gt;0,ABS(F60)&gt;0,ABS(K60)&gt;0,ABS(P60)&gt;0),基础信息!$B$1,"")</f>
        <v/>
      </c>
      <c r="C60" s="260">
        <f t="shared" si="0"/>
        <v>0</v>
      </c>
      <c r="F60" s="260">
        <f t="shared" si="1"/>
        <v>0</v>
      </c>
    </row>
    <row r="61" spans="1:20">
      <c r="A61" s="230" t="str">
        <f>IF(OR(ABS(C61)&gt;0,ABS(F61)&gt;0,ABS(K61)&gt;0,ABS(P61)&gt;0),基础信息!$B$1,"")</f>
        <v/>
      </c>
      <c r="C61" s="260">
        <f t="shared" si="0"/>
        <v>0</v>
      </c>
      <c r="F61" s="260">
        <f t="shared" si="1"/>
        <v>0</v>
      </c>
    </row>
    <row r="62" spans="1:20">
      <c r="A62" s="230" t="str">
        <f>IF(OR(ABS(C62)&gt;0,ABS(F62)&gt;0,ABS(K62)&gt;0,ABS(P62)&gt;0),基础信息!$B$1,"")</f>
        <v/>
      </c>
      <c r="C62" s="260">
        <f t="shared" si="0"/>
        <v>0</v>
      </c>
      <c r="F62" s="260">
        <f t="shared" si="1"/>
        <v>0</v>
      </c>
    </row>
    <row r="63" spans="1:20">
      <c r="A63" s="230" t="str">
        <f>IF(OR(ABS(C63)&gt;0,ABS(F63)&gt;0,ABS(K63)&gt;0,ABS(P63)&gt;0),基础信息!$B$1,"")</f>
        <v/>
      </c>
      <c r="C63" s="260">
        <f t="shared" si="0"/>
        <v>0</v>
      </c>
      <c r="F63" s="260">
        <f t="shared" si="1"/>
        <v>0</v>
      </c>
    </row>
    <row r="64" spans="1:20">
      <c r="A64" s="230" t="str">
        <f>IF(OR(ABS(C64)&gt;0,ABS(F64)&gt;0,ABS(K64)&gt;0,ABS(P64)&gt;0),基础信息!$B$1,"")</f>
        <v/>
      </c>
      <c r="C64" s="260">
        <f t="shared" si="0"/>
        <v>0</v>
      </c>
      <c r="F64" s="260">
        <f t="shared" si="1"/>
        <v>0</v>
      </c>
    </row>
    <row r="65" spans="1:6">
      <c r="A65" s="230" t="str">
        <f>IF(OR(ABS(C65)&gt;0,ABS(F65)&gt;0,ABS(K65)&gt;0,ABS(P65)&gt;0),基础信息!$B$1,"")</f>
        <v/>
      </c>
      <c r="C65" s="260">
        <f t="shared" si="0"/>
        <v>0</v>
      </c>
      <c r="F65" s="260">
        <f t="shared" si="1"/>
        <v>0</v>
      </c>
    </row>
    <row r="66" spans="1:6">
      <c r="A66" s="230" t="str">
        <f>IF(OR(ABS(C66)&gt;0,ABS(F66)&gt;0,ABS(K66)&gt;0,ABS(P66)&gt;0),基础信息!$B$1,"")</f>
        <v/>
      </c>
      <c r="C66" s="260">
        <f t="shared" si="0"/>
        <v>0</v>
      </c>
      <c r="F66" s="260">
        <f t="shared" si="1"/>
        <v>0</v>
      </c>
    </row>
    <row r="67" spans="1:6">
      <c r="A67" s="230" t="str">
        <f>IF(OR(ABS(C67)&gt;0,ABS(F67)&gt;0,ABS(K67)&gt;0,ABS(P67)&gt;0),基础信息!$B$1,"")</f>
        <v/>
      </c>
      <c r="C67" s="260">
        <f t="shared" ref="C67:C68" si="7">D67+E67</f>
        <v>0</v>
      </c>
      <c r="F67" s="260">
        <f t="shared" ref="F67:F68" si="8">G67+J67</f>
        <v>0</v>
      </c>
    </row>
    <row r="68" spans="1:6">
      <c r="A68" s="230" t="str">
        <f>IF(OR(ABS(C68)&gt;0,ABS(F68)&gt;0,ABS(K68)&gt;0,ABS(P68)&gt;0),基础信息!$B$1,"")</f>
        <v/>
      </c>
      <c r="C68" s="260">
        <f t="shared" si="7"/>
        <v>0</v>
      </c>
      <c r="F68" s="260">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sheetPr codeName="Sheet337"/>
  <dimension ref="A1:I11"/>
  <sheetViews>
    <sheetView workbookViewId="0">
      <selection activeCell="F12" sqref="F12"/>
    </sheetView>
  </sheetViews>
  <sheetFormatPr defaultRowHeight="13.8"/>
  <cols>
    <col min="1" max="1" width="16.109375" bestFit="1" customWidth="1"/>
    <col min="2" max="3" width="8.88671875" style="230"/>
    <col min="4" max="5" width="27.109375" style="230" bestFit="1" customWidth="1"/>
    <col min="6" max="7" width="31.44140625" style="230" bestFit="1" customWidth="1"/>
    <col min="8" max="8" width="6.5546875" style="230" bestFit="1" customWidth="1"/>
    <col min="9" max="9" width="8.88671875" style="230"/>
  </cols>
  <sheetData>
    <row r="1" spans="1:9" ht="14.4">
      <c r="A1" s="495" t="s">
        <v>3089</v>
      </c>
      <c r="B1" s="511" t="s">
        <v>380</v>
      </c>
      <c r="C1" s="511" t="s">
        <v>1666</v>
      </c>
      <c r="D1" s="511" t="s">
        <v>3093</v>
      </c>
      <c r="E1" s="511" t="s">
        <v>3092</v>
      </c>
      <c r="F1" s="230" t="s">
        <v>3091</v>
      </c>
      <c r="G1" s="230" t="s">
        <v>3090</v>
      </c>
      <c r="H1" s="511" t="s">
        <v>2579</v>
      </c>
      <c r="I1" s="230" t="s">
        <v>2580</v>
      </c>
    </row>
    <row r="2" spans="1:9" ht="14.4">
      <c r="A2" s="510"/>
      <c r="B2" s="511"/>
      <c r="C2" s="511"/>
      <c r="D2" s="511"/>
      <c r="E2" s="511"/>
      <c r="H2" s="230">
        <f>B2-D2-E2</f>
        <v>0</v>
      </c>
      <c r="I2" s="230">
        <f>C2-F2-G2</f>
        <v>0</v>
      </c>
    </row>
    <row r="3" spans="1:9" ht="14.4">
      <c r="A3" s="510"/>
      <c r="B3" s="511"/>
      <c r="C3" s="511"/>
      <c r="D3" s="511"/>
      <c r="E3" s="511"/>
      <c r="H3" s="230">
        <f t="shared" ref="H3:H11" si="0">B3-D3-E3</f>
        <v>0</v>
      </c>
      <c r="I3" s="230">
        <f t="shared" ref="I3:I11" si="1">C3-F3-G3</f>
        <v>0</v>
      </c>
    </row>
    <row r="4" spans="1:9" ht="14.4">
      <c r="A4" s="510"/>
      <c r="B4" s="511"/>
      <c r="C4" s="511"/>
      <c r="D4" s="511"/>
      <c r="E4" s="511"/>
      <c r="H4" s="230">
        <f t="shared" si="0"/>
        <v>0</v>
      </c>
      <c r="I4" s="230">
        <f t="shared" si="1"/>
        <v>0</v>
      </c>
    </row>
    <row r="5" spans="1:9" ht="14.4">
      <c r="A5" s="510"/>
      <c r="B5" s="511"/>
      <c r="C5" s="511"/>
      <c r="D5" s="511"/>
      <c r="E5" s="511"/>
      <c r="H5" s="230">
        <f t="shared" si="0"/>
        <v>0</v>
      </c>
      <c r="I5" s="230">
        <f t="shared" si="1"/>
        <v>0</v>
      </c>
    </row>
    <row r="6" spans="1:9" ht="14.4">
      <c r="A6" s="510"/>
      <c r="B6" s="511"/>
      <c r="C6" s="511"/>
      <c r="D6" s="511"/>
      <c r="E6" s="511"/>
      <c r="H6" s="230">
        <f t="shared" si="0"/>
        <v>0</v>
      </c>
      <c r="I6" s="230">
        <f t="shared" si="1"/>
        <v>0</v>
      </c>
    </row>
    <row r="7" spans="1:9" ht="14.4">
      <c r="A7" s="510"/>
      <c r="B7" s="511"/>
      <c r="C7" s="511"/>
      <c r="D7" s="511"/>
      <c r="E7" s="511"/>
      <c r="H7" s="230">
        <f t="shared" si="0"/>
        <v>0</v>
      </c>
      <c r="I7" s="230">
        <f t="shared" si="1"/>
        <v>0</v>
      </c>
    </row>
    <row r="8" spans="1:9" ht="14.4">
      <c r="A8" s="510"/>
      <c r="B8" s="511"/>
      <c r="C8" s="511"/>
      <c r="D8" s="511"/>
      <c r="E8" s="511"/>
      <c r="H8" s="230">
        <f t="shared" si="0"/>
        <v>0</v>
      </c>
      <c r="I8" s="230">
        <f t="shared" si="1"/>
        <v>0</v>
      </c>
    </row>
    <row r="9" spans="1:9" ht="14.4">
      <c r="A9" s="510"/>
      <c r="B9" s="511"/>
      <c r="C9" s="511"/>
      <c r="D9" s="511"/>
      <c r="E9" s="511"/>
      <c r="H9" s="230">
        <f t="shared" si="0"/>
        <v>0</v>
      </c>
      <c r="I9" s="230">
        <f t="shared" si="1"/>
        <v>0</v>
      </c>
    </row>
    <row r="10" spans="1:9">
      <c r="A10" s="256"/>
      <c r="H10" s="230">
        <f t="shared" si="0"/>
        <v>0</v>
      </c>
      <c r="I10" s="230">
        <f t="shared" si="1"/>
        <v>0</v>
      </c>
    </row>
    <row r="11" spans="1:9">
      <c r="A11" s="256"/>
      <c r="H11" s="230">
        <f t="shared" si="0"/>
        <v>0</v>
      </c>
      <c r="I11" s="230">
        <f t="shared" si="1"/>
        <v>0</v>
      </c>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sheetPr codeName="Sheet338"/>
  <dimension ref="A1:L60"/>
  <sheetViews>
    <sheetView workbookViewId="0">
      <selection activeCell="D52" sqref="D52"/>
    </sheetView>
  </sheetViews>
  <sheetFormatPr defaultRowHeight="14.4"/>
  <cols>
    <col min="1" max="1" width="38.21875" style="495" bestFit="1" customWidth="1"/>
    <col min="2" max="2" width="19" style="496" bestFit="1" customWidth="1"/>
    <col min="3" max="3" width="35.88671875" style="496" bestFit="1" customWidth="1"/>
    <col min="4" max="4" width="35.88671875" style="497" bestFit="1" customWidth="1"/>
    <col min="5" max="5" width="40.5546875" style="497" bestFit="1" customWidth="1"/>
    <col min="6" max="6" width="19.44140625" style="498" bestFit="1" customWidth="1"/>
    <col min="7" max="7" width="13" style="497" bestFit="1" customWidth="1"/>
    <col min="8" max="8" width="33.44140625" style="497" bestFit="1" customWidth="1"/>
    <col min="9" max="9" width="17.33203125" style="497" bestFit="1" customWidth="1"/>
    <col min="10" max="10" width="17.21875" style="497" bestFit="1" customWidth="1"/>
    <col min="11" max="16384" width="8.88671875" style="497"/>
  </cols>
  <sheetData>
    <row r="1" spans="1:12">
      <c r="A1" s="495" t="s">
        <v>28</v>
      </c>
      <c r="B1" s="496" t="s">
        <v>183</v>
      </c>
      <c r="C1" s="496" t="s">
        <v>2992</v>
      </c>
      <c r="D1" s="497" t="s">
        <v>95</v>
      </c>
    </row>
    <row r="2" spans="1:12">
      <c r="A2" s="499" t="s">
        <v>2964</v>
      </c>
      <c r="B2" s="500">
        <f>利润表!B40</f>
        <v>254611506.84999999</v>
      </c>
      <c r="C2" s="499"/>
    </row>
    <row r="3" spans="1:12">
      <c r="A3" s="499" t="s">
        <v>2965</v>
      </c>
      <c r="B3" s="500">
        <f>SUM(B4:B23)</f>
        <v>0</v>
      </c>
      <c r="C3" s="499"/>
    </row>
    <row r="4" spans="1:12">
      <c r="A4" s="501" t="s">
        <v>4141</v>
      </c>
      <c r="B4" s="502">
        <f>所得税项目计算!E10</f>
        <v>0</v>
      </c>
      <c r="C4" s="501" t="s">
        <v>2966</v>
      </c>
      <c r="D4" s="503" t="s">
        <v>729</v>
      </c>
      <c r="F4" s="497"/>
    </row>
    <row r="5" spans="1:12">
      <c r="A5" s="501" t="s">
        <v>4142</v>
      </c>
      <c r="B5" s="502">
        <f>所得税项目计算!E11</f>
        <v>0</v>
      </c>
      <c r="C5" s="501" t="s">
        <v>2967</v>
      </c>
      <c r="D5" s="503" t="s">
        <v>729</v>
      </c>
      <c r="F5" s="497"/>
    </row>
    <row r="6" spans="1:12">
      <c r="A6" s="501" t="s">
        <v>4143</v>
      </c>
      <c r="B6" s="502">
        <f>所得税项目计算!E12</f>
        <v>0</v>
      </c>
      <c r="C6" s="501" t="s">
        <v>3098</v>
      </c>
      <c r="D6" s="503" t="s">
        <v>729</v>
      </c>
      <c r="F6" s="497"/>
    </row>
    <row r="7" spans="1:12">
      <c r="A7" s="501" t="s">
        <v>4144</v>
      </c>
      <c r="B7" s="504">
        <f>所得税项目计算!E13</f>
        <v>0</v>
      </c>
      <c r="C7" s="501" t="s">
        <v>2968</v>
      </c>
      <c r="D7" s="503" t="s">
        <v>729</v>
      </c>
      <c r="F7" s="497"/>
    </row>
    <row r="8" spans="1:12">
      <c r="A8" s="501" t="s">
        <v>4145</v>
      </c>
      <c r="B8" s="504">
        <f>所得税项目计算!E14</f>
        <v>0</v>
      </c>
      <c r="C8" s="501" t="s">
        <v>3068</v>
      </c>
      <c r="D8" s="503" t="s">
        <v>729</v>
      </c>
      <c r="F8" s="497"/>
    </row>
    <row r="9" spans="1:12">
      <c r="A9" s="501" t="s">
        <v>4146</v>
      </c>
      <c r="B9" s="504">
        <f>所得税项目计算!E15</f>
        <v>0</v>
      </c>
      <c r="C9" s="501" t="s">
        <v>3070</v>
      </c>
      <c r="D9" s="503" t="s">
        <v>729</v>
      </c>
      <c r="F9" s="497"/>
    </row>
    <row r="10" spans="1:12">
      <c r="A10" s="501" t="s">
        <v>4147</v>
      </c>
      <c r="B10" s="502">
        <f>所得税项目计算!E16</f>
        <v>0</v>
      </c>
      <c r="C10" s="501" t="s">
        <v>2969</v>
      </c>
      <c r="D10" s="503" t="s">
        <v>729</v>
      </c>
      <c r="F10" s="497"/>
    </row>
    <row r="11" spans="1:12">
      <c r="A11" s="501" t="s">
        <v>2356</v>
      </c>
      <c r="B11" s="504">
        <f>所得税项目计算!E17</f>
        <v>0</v>
      </c>
      <c r="C11" s="501" t="s">
        <v>2970</v>
      </c>
      <c r="D11" s="503" t="s">
        <v>729</v>
      </c>
      <c r="F11" s="497"/>
    </row>
    <row r="12" spans="1:12">
      <c r="A12" s="501" t="s">
        <v>4148</v>
      </c>
      <c r="B12" s="502">
        <f>所得税项目计算!E18</f>
        <v>0</v>
      </c>
      <c r="C12" s="501" t="s">
        <v>2971</v>
      </c>
      <c r="D12" s="497" t="s">
        <v>3086</v>
      </c>
      <c r="F12" s="497"/>
    </row>
    <row r="13" spans="1:12">
      <c r="A13" s="501" t="s">
        <v>4149</v>
      </c>
      <c r="B13" s="502">
        <f>所得税项目计算!E19</f>
        <v>0</v>
      </c>
      <c r="C13" s="501" t="s">
        <v>2972</v>
      </c>
      <c r="D13" s="497" t="s">
        <v>3086</v>
      </c>
      <c r="F13" s="497"/>
      <c r="L13" s="498">
        <f>所得税项目计算!C11+所得税项目计算!C12-短期薪酬列示!C10</f>
        <v>0</v>
      </c>
    </row>
    <row r="14" spans="1:12">
      <c r="A14" s="501" t="s">
        <v>4150</v>
      </c>
      <c r="B14" s="502">
        <f>所得税项目计算!E20</f>
        <v>0</v>
      </c>
      <c r="C14" s="501" t="s">
        <v>2968</v>
      </c>
      <c r="D14" s="503" t="s">
        <v>729</v>
      </c>
      <c r="F14" s="497"/>
    </row>
    <row r="15" spans="1:12">
      <c r="A15" s="501" t="s">
        <v>4151</v>
      </c>
      <c r="B15" s="502">
        <f>所得税项目计算!E21</f>
        <v>0</v>
      </c>
      <c r="C15" s="501" t="s">
        <v>2968</v>
      </c>
      <c r="D15" s="503" t="s">
        <v>729</v>
      </c>
      <c r="F15" s="497"/>
    </row>
    <row r="16" spans="1:12">
      <c r="A16" s="501" t="s">
        <v>4152</v>
      </c>
      <c r="B16" s="502">
        <f>所得税项目计算!E22</f>
        <v>0</v>
      </c>
      <c r="C16" s="501" t="s">
        <v>2968</v>
      </c>
      <c r="D16" s="503" t="s">
        <v>729</v>
      </c>
      <c r="F16" s="497"/>
    </row>
    <row r="17" spans="1:6">
      <c r="A17" s="501" t="s">
        <v>812</v>
      </c>
      <c r="B17" s="502">
        <f>所得税项目计算!E23</f>
        <v>0</v>
      </c>
      <c r="C17" s="501" t="s">
        <v>2968</v>
      </c>
      <c r="D17" s="497" t="s">
        <v>3086</v>
      </c>
      <c r="F17" s="497"/>
    </row>
    <row r="18" spans="1:6">
      <c r="A18" s="501" t="s">
        <v>1190</v>
      </c>
      <c r="B18" s="502">
        <f>所得税项目计算!E24</f>
        <v>0</v>
      </c>
      <c r="C18" s="501" t="s">
        <v>2968</v>
      </c>
      <c r="D18" s="497" t="s">
        <v>3086</v>
      </c>
      <c r="F18" s="497"/>
    </row>
    <row r="19" spans="1:6">
      <c r="A19" s="501" t="s">
        <v>4153</v>
      </c>
      <c r="B19" s="502">
        <f>所得税项目计算!E25</f>
        <v>0</v>
      </c>
      <c r="C19" s="501" t="s">
        <v>2968</v>
      </c>
      <c r="D19" s="503" t="s">
        <v>729</v>
      </c>
      <c r="F19" s="497"/>
    </row>
    <row r="20" spans="1:6">
      <c r="A20" s="501" t="s">
        <v>4140</v>
      </c>
      <c r="B20" s="502">
        <f>所得税项目计算!E26</f>
        <v>0</v>
      </c>
      <c r="C20" s="501" t="s">
        <v>2968</v>
      </c>
      <c r="D20" s="503" t="s">
        <v>729</v>
      </c>
      <c r="F20" s="497"/>
    </row>
    <row r="21" spans="1:6">
      <c r="A21" s="501" t="s">
        <v>4154</v>
      </c>
      <c r="B21" s="502">
        <f>所得税项目计算!E27</f>
        <v>0</v>
      </c>
      <c r="C21" s="501" t="s">
        <v>2968</v>
      </c>
      <c r="D21" s="503" t="s">
        <v>729</v>
      </c>
      <c r="F21" s="497"/>
    </row>
    <row r="22" spans="1:6">
      <c r="A22" s="501" t="s">
        <v>4155</v>
      </c>
      <c r="B22" s="502">
        <f>所得税项目计算!E28</f>
        <v>0</v>
      </c>
      <c r="C22" s="501" t="s">
        <v>3102</v>
      </c>
      <c r="D22" s="503" t="s">
        <v>3086</v>
      </c>
      <c r="F22" s="497"/>
    </row>
    <row r="23" spans="1:6">
      <c r="A23" s="501" t="s">
        <v>4156</v>
      </c>
      <c r="B23" s="502">
        <f>所得税项目计算!E29</f>
        <v>0</v>
      </c>
      <c r="C23" s="501" t="s">
        <v>3082</v>
      </c>
      <c r="D23" s="497" t="s">
        <v>3086</v>
      </c>
      <c r="F23" s="497"/>
    </row>
    <row r="24" spans="1:6">
      <c r="A24" s="499" t="s">
        <v>2973</v>
      </c>
      <c r="B24" s="505">
        <f>SUM(B26:B39)</f>
        <v>0</v>
      </c>
      <c r="C24" s="499"/>
      <c r="F24" s="497"/>
    </row>
    <row r="25" spans="1:6">
      <c r="A25" s="501" t="s">
        <v>4157</v>
      </c>
      <c r="B25" s="505">
        <f>所得税项目计算!E31</f>
        <v>0</v>
      </c>
      <c r="C25" s="499"/>
      <c r="D25" s="497" t="s">
        <v>728</v>
      </c>
      <c r="F25" s="497"/>
    </row>
    <row r="26" spans="1:6">
      <c r="A26" s="501" t="s">
        <v>4158</v>
      </c>
      <c r="B26" s="502">
        <f>所得税项目计算!E32</f>
        <v>0</v>
      </c>
      <c r="C26" s="499"/>
      <c r="D26" s="497" t="s">
        <v>728</v>
      </c>
      <c r="F26" s="497"/>
    </row>
    <row r="27" spans="1:6">
      <c r="A27" s="501" t="s">
        <v>4159</v>
      </c>
      <c r="B27" s="502">
        <f>所得税项目计算!E33</f>
        <v>0</v>
      </c>
      <c r="C27" s="501" t="s">
        <v>2974</v>
      </c>
      <c r="D27" s="497" t="s">
        <v>728</v>
      </c>
      <c r="F27" s="497"/>
    </row>
    <row r="28" spans="1:6">
      <c r="A28" s="501" t="s">
        <v>4160</v>
      </c>
      <c r="B28" s="502">
        <f>所得税项目计算!E34</f>
        <v>0</v>
      </c>
      <c r="C28" s="501" t="s">
        <v>2974</v>
      </c>
      <c r="D28" s="497" t="s">
        <v>728</v>
      </c>
      <c r="F28" s="497"/>
    </row>
    <row r="29" spans="1:6">
      <c r="A29" s="501" t="s">
        <v>4161</v>
      </c>
      <c r="B29" s="502">
        <f>所得税项目计算!E35</f>
        <v>0</v>
      </c>
      <c r="C29" s="501" t="s">
        <v>2974</v>
      </c>
      <c r="D29" s="497" t="s">
        <v>3086</v>
      </c>
      <c r="F29" s="497"/>
    </row>
    <row r="30" spans="1:6">
      <c r="A30" s="501" t="s">
        <v>4162</v>
      </c>
      <c r="B30" s="502">
        <f>所得税项目计算!E36</f>
        <v>0</v>
      </c>
      <c r="C30" s="506" t="s">
        <v>2975</v>
      </c>
      <c r="F30" s="497"/>
    </row>
    <row r="31" spans="1:6">
      <c r="A31" s="501" t="s">
        <v>4163</v>
      </c>
      <c r="B31" s="502">
        <f>所得税项目计算!E37</f>
        <v>0</v>
      </c>
      <c r="C31" s="501" t="s">
        <v>2976</v>
      </c>
      <c r="D31" s="32" t="s">
        <v>2896</v>
      </c>
      <c r="F31" s="497"/>
    </row>
    <row r="32" spans="1:6">
      <c r="A32" s="501" t="s">
        <v>4164</v>
      </c>
      <c r="B32" s="502">
        <f>所得税项目计算!E38</f>
        <v>0</v>
      </c>
      <c r="C32" s="501" t="s">
        <v>2977</v>
      </c>
      <c r="F32" s="497"/>
    </row>
    <row r="33" spans="1:6">
      <c r="A33" s="501" t="s">
        <v>4165</v>
      </c>
      <c r="B33" s="502">
        <f>所得税项目计算!E39</f>
        <v>0</v>
      </c>
      <c r="C33" s="506" t="s">
        <v>2978</v>
      </c>
      <c r="F33" s="497"/>
    </row>
    <row r="34" spans="1:6">
      <c r="A34" s="501" t="s">
        <v>4166</v>
      </c>
      <c r="B34" s="502">
        <f>所得税项目计算!E40</f>
        <v>0</v>
      </c>
      <c r="C34" s="506"/>
      <c r="D34" s="497" t="s">
        <v>3086</v>
      </c>
      <c r="F34" s="497"/>
    </row>
    <row r="35" spans="1:6">
      <c r="A35" s="501" t="s">
        <v>4167</v>
      </c>
      <c r="B35" s="502">
        <f>所得税项目计算!E41</f>
        <v>0</v>
      </c>
      <c r="C35" s="507"/>
      <c r="D35" s="497" t="s">
        <v>3086</v>
      </c>
      <c r="F35" s="497"/>
    </row>
    <row r="36" spans="1:6">
      <c r="A36" s="501" t="s">
        <v>4168</v>
      </c>
      <c r="B36" s="502">
        <f>所得税项目计算!E42</f>
        <v>0</v>
      </c>
      <c r="C36" s="507"/>
      <c r="D36" s="497" t="s">
        <v>3086</v>
      </c>
      <c r="F36" s="497"/>
    </row>
    <row r="37" spans="1:6">
      <c r="A37" s="501" t="s">
        <v>4169</v>
      </c>
      <c r="B37" s="502">
        <f>所得税项目计算!E43</f>
        <v>0</v>
      </c>
      <c r="C37" s="507"/>
      <c r="D37" s="497" t="s">
        <v>3086</v>
      </c>
      <c r="F37" s="497"/>
    </row>
    <row r="38" spans="1:6">
      <c r="A38" s="501" t="s">
        <v>4170</v>
      </c>
      <c r="B38" s="502">
        <f>所得税项目计算!E44</f>
        <v>0</v>
      </c>
      <c r="C38" s="507"/>
      <c r="D38" s="497" t="s">
        <v>3086</v>
      </c>
      <c r="F38" s="497"/>
    </row>
    <row r="39" spans="1:6">
      <c r="A39" s="501" t="s">
        <v>4171</v>
      </c>
      <c r="B39" s="502">
        <f>所得税项目计算!E45</f>
        <v>0</v>
      </c>
      <c r="C39" s="507"/>
      <c r="D39" s="497" t="s">
        <v>3086</v>
      </c>
      <c r="F39" s="497"/>
    </row>
    <row r="40" spans="1:6">
      <c r="A40" s="499" t="s">
        <v>2979</v>
      </c>
      <c r="B40" s="502">
        <f>SUM(B41:B43)</f>
        <v>0</v>
      </c>
      <c r="C40" s="507"/>
      <c r="F40" s="497"/>
    </row>
    <row r="41" spans="1:6">
      <c r="A41" s="501" t="s">
        <v>2980</v>
      </c>
      <c r="B41" s="502">
        <f>所得税项目计算!B56</f>
        <v>0</v>
      </c>
      <c r="C41" s="507"/>
      <c r="F41" s="497"/>
    </row>
    <row r="42" spans="1:6">
      <c r="A42" s="501" t="s">
        <v>2981</v>
      </c>
      <c r="B42" s="502">
        <f>所得税项目计算!E54</f>
        <v>0</v>
      </c>
      <c r="C42" s="507"/>
      <c r="F42" s="497"/>
    </row>
    <row r="43" spans="1:6">
      <c r="A43" s="501" t="s">
        <v>2982</v>
      </c>
      <c r="B43" s="502">
        <f>-所得税项目计算!E60</f>
        <v>0</v>
      </c>
      <c r="C43" s="507"/>
      <c r="F43" s="497"/>
    </row>
    <row r="44" spans="1:6">
      <c r="A44" s="499" t="s">
        <v>2983</v>
      </c>
      <c r="B44" s="500">
        <f>B2+B3-B24+B40</f>
        <v>254611506.84999999</v>
      </c>
      <c r="C44" s="499"/>
      <c r="F44" s="497"/>
    </row>
    <row r="45" spans="1:6">
      <c r="A45" s="499" t="s">
        <v>2984</v>
      </c>
      <c r="B45" s="500">
        <f>IF((可抵扣亏损!C12&gt;0)*AND(当期所得税费用计算表!B44&gt;0),IF(当期所得税费用计算表!B44&gt;可抵扣亏损!C12,可抵扣亏损!C12,当期所得税费用计算表!B44),0)</f>
        <v>0</v>
      </c>
      <c r="C45" s="499"/>
      <c r="F45" s="497"/>
    </row>
    <row r="46" spans="1:6">
      <c r="A46" s="499" t="s">
        <v>2985</v>
      </c>
      <c r="B46" s="500">
        <f>B44-B45</f>
        <v>254611506.84999999</v>
      </c>
      <c r="C46" s="499"/>
      <c r="F46" s="497"/>
    </row>
    <row r="47" spans="1:6">
      <c r="A47" s="506" t="s">
        <v>2986</v>
      </c>
      <c r="B47" s="508">
        <v>0.25</v>
      </c>
      <c r="C47" s="501"/>
      <c r="F47" s="497"/>
    </row>
    <row r="48" spans="1:6">
      <c r="A48" s="499" t="s">
        <v>2987</v>
      </c>
      <c r="B48" s="500">
        <f>ROUND(B46*B47,3)</f>
        <v>63652876.713</v>
      </c>
      <c r="C48" s="499"/>
      <c r="F48" s="497"/>
    </row>
    <row r="49" spans="1:6">
      <c r="A49" s="506" t="s">
        <v>2988</v>
      </c>
      <c r="B49" s="502"/>
      <c r="C49" s="501"/>
      <c r="F49" s="497"/>
    </row>
    <row r="50" spans="1:6">
      <c r="A50" s="499" t="s">
        <v>2989</v>
      </c>
      <c r="B50" s="500">
        <f>IF((B48-B49)&lt;0,0,(B48-B49))</f>
        <v>63652876.713</v>
      </c>
      <c r="C50" s="499"/>
      <c r="F50" s="497"/>
    </row>
    <row r="51" spans="1:6">
      <c r="A51" s="501" t="s">
        <v>2990</v>
      </c>
      <c r="B51" s="509">
        <f>所得税项目计算!F3</f>
        <v>0</v>
      </c>
      <c r="C51" s="501"/>
      <c r="F51" s="497"/>
    </row>
    <row r="52" spans="1:6">
      <c r="A52" s="499" t="s">
        <v>2991</v>
      </c>
      <c r="B52" s="500">
        <f>B50-B51</f>
        <v>63652876.713</v>
      </c>
      <c r="C52" s="499"/>
      <c r="F52" s="497"/>
    </row>
    <row r="53" spans="1:6">
      <c r="F53" s="497"/>
    </row>
    <row r="54" spans="1:6">
      <c r="F54" s="497"/>
    </row>
    <row r="55" spans="1:6">
      <c r="A55" s="497"/>
      <c r="B55" s="497"/>
      <c r="C55" s="497"/>
      <c r="F55" s="497"/>
    </row>
    <row r="56" spans="1:6">
      <c r="A56" s="497"/>
      <c r="B56" s="497"/>
      <c r="C56" s="497"/>
      <c r="F56" s="497"/>
    </row>
    <row r="57" spans="1:6">
      <c r="A57" s="497"/>
      <c r="B57" s="497"/>
      <c r="C57" s="497"/>
      <c r="F57" s="497"/>
    </row>
    <row r="58" spans="1:6">
      <c r="A58" s="497"/>
      <c r="B58" s="497"/>
      <c r="C58" s="497"/>
      <c r="F58" s="497"/>
    </row>
    <row r="59" spans="1:6">
      <c r="A59" s="497"/>
      <c r="B59" s="497"/>
      <c r="C59" s="497"/>
      <c r="F59" s="497"/>
    </row>
    <row r="60" spans="1:6">
      <c r="A60" s="497"/>
      <c r="B60" s="497"/>
      <c r="C60" s="497"/>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sheetPr codeName="Sheet339"/>
  <dimension ref="A1:F60"/>
  <sheetViews>
    <sheetView workbookViewId="0">
      <selection activeCell="G7" sqref="G7"/>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5" t="s">
        <v>2962</v>
      </c>
      <c r="B1" s="435" t="s">
        <v>1595</v>
      </c>
      <c r="C1" s="436"/>
      <c r="D1" s="437"/>
      <c r="E1" s="435" t="s">
        <v>2962</v>
      </c>
      <c r="F1" s="435" t="s">
        <v>1595</v>
      </c>
    </row>
    <row r="2" spans="1:6">
      <c r="A2" s="438" t="s">
        <v>2993</v>
      </c>
      <c r="B2" s="422">
        <f>利润表!B3</f>
        <v>1557301756.55</v>
      </c>
      <c r="C2" s="423"/>
      <c r="D2" s="439"/>
      <c r="E2" s="440" t="s">
        <v>2994</v>
      </c>
      <c r="F2" s="441">
        <v>0.25</v>
      </c>
    </row>
    <row r="3" spans="1:6">
      <c r="A3" s="438" t="s">
        <v>2995</v>
      </c>
      <c r="B3" s="424">
        <f>利润表!B40</f>
        <v>254611506.84999999</v>
      </c>
      <c r="C3" s="423"/>
      <c r="D3" s="439"/>
      <c r="E3" s="440" t="s">
        <v>2990</v>
      </c>
      <c r="F3" s="491"/>
    </row>
    <row r="4" spans="1:6">
      <c r="A4" s="438" t="s">
        <v>2996</v>
      </c>
      <c r="B4" s="425">
        <f>短期薪酬列示!C2</f>
        <v>0</v>
      </c>
      <c r="C4" s="423"/>
      <c r="D4" s="439"/>
      <c r="E4" s="442"/>
      <c r="F4" s="442"/>
    </row>
    <row r="5" spans="1:6">
      <c r="A5" s="438" t="s">
        <v>3073</v>
      </c>
      <c r="B5" s="492"/>
      <c r="C5" s="423"/>
      <c r="D5" s="439"/>
      <c r="E5" s="486"/>
      <c r="F5" s="486"/>
    </row>
    <row r="6" spans="1:6">
      <c r="A6" s="438" t="s">
        <v>3074</v>
      </c>
      <c r="B6" s="492"/>
      <c r="C6" s="423"/>
      <c r="D6" s="439"/>
      <c r="E6" s="486"/>
      <c r="F6" s="486"/>
    </row>
    <row r="7" spans="1:6">
      <c r="A7" s="438" t="s">
        <v>3084</v>
      </c>
      <c r="B7" s="492"/>
      <c r="C7" s="423"/>
      <c r="D7" s="439"/>
      <c r="E7" s="486"/>
      <c r="F7" s="486"/>
    </row>
    <row r="8" spans="1:6" ht="14.4" thickBot="1">
      <c r="A8" s="443"/>
      <c r="B8" s="443"/>
      <c r="C8" s="443"/>
      <c r="D8" s="443"/>
      <c r="E8" s="443"/>
      <c r="F8" s="443"/>
    </row>
    <row r="9" spans="1:6">
      <c r="A9" s="444" t="s">
        <v>2997</v>
      </c>
      <c r="B9" s="445" t="s">
        <v>2963</v>
      </c>
      <c r="C9" s="445" t="s">
        <v>2998</v>
      </c>
      <c r="D9" s="445" t="s">
        <v>2999</v>
      </c>
      <c r="E9" s="445" t="s">
        <v>3000</v>
      </c>
      <c r="F9" s="476" t="s">
        <v>3001</v>
      </c>
    </row>
    <row r="10" spans="1:6">
      <c r="A10" s="446" t="s">
        <v>3002</v>
      </c>
      <c r="B10" s="440" t="s">
        <v>3003</v>
      </c>
      <c r="C10" s="426">
        <f>短期薪酬列示!C3</f>
        <v>0</v>
      </c>
      <c r="D10" s="427">
        <f>ROUND($B$4*14%,2)</f>
        <v>0</v>
      </c>
      <c r="E10" s="427">
        <f t="shared" ref="E10:E27" si="0">IF(C10&gt;D10,C10-D10,0)</f>
        <v>0</v>
      </c>
      <c r="F10" s="474"/>
    </row>
    <row r="11" spans="1:6">
      <c r="A11" s="446" t="s">
        <v>3004</v>
      </c>
      <c r="B11" s="440" t="s">
        <v>3005</v>
      </c>
      <c r="C11" s="434"/>
      <c r="D11" s="427">
        <f>ROUND(B4*2%,2)</f>
        <v>0</v>
      </c>
      <c r="E11" s="427">
        <f t="shared" si="0"/>
        <v>0</v>
      </c>
      <c r="F11" s="477" t="s">
        <v>3006</v>
      </c>
    </row>
    <row r="12" spans="1:6">
      <c r="A12" s="446" t="s">
        <v>3007</v>
      </c>
      <c r="B12" s="440" t="s">
        <v>3085</v>
      </c>
      <c r="C12" s="434"/>
      <c r="D12" s="427">
        <f>IF(ROUND(B4*8%,2)&gt;B7,B7,ROUND(B4*8%,2))</f>
        <v>0</v>
      </c>
      <c r="E12" s="427">
        <f t="shared" si="0"/>
        <v>0</v>
      </c>
      <c r="F12" s="478" t="s">
        <v>3083</v>
      </c>
    </row>
    <row r="13" spans="1:6">
      <c r="A13" s="446" t="s">
        <v>3008</v>
      </c>
      <c r="B13" s="440" t="s">
        <v>2968</v>
      </c>
      <c r="C13" s="458"/>
      <c r="D13" s="427">
        <v>0</v>
      </c>
      <c r="E13" s="427">
        <f t="shared" si="0"/>
        <v>0</v>
      </c>
      <c r="F13" s="474"/>
    </row>
    <row r="14" spans="1:6" ht="24">
      <c r="A14" s="446" t="s">
        <v>3066</v>
      </c>
      <c r="B14" s="440" t="s">
        <v>3069</v>
      </c>
      <c r="C14" s="458"/>
      <c r="D14" s="427">
        <f>B5*5%</f>
        <v>0</v>
      </c>
      <c r="E14" s="427">
        <f t="shared" si="0"/>
        <v>0</v>
      </c>
      <c r="F14" s="485" t="s">
        <v>3072</v>
      </c>
    </row>
    <row r="15" spans="1:6" ht="24">
      <c r="A15" s="446" t="s">
        <v>3067</v>
      </c>
      <c r="B15" s="440" t="s">
        <v>3071</v>
      </c>
      <c r="C15" s="458"/>
      <c r="D15" s="427">
        <f>B6*5%</f>
        <v>0</v>
      </c>
      <c r="E15" s="427">
        <f t="shared" si="0"/>
        <v>0</v>
      </c>
      <c r="F15" s="485" t="s">
        <v>3072</v>
      </c>
    </row>
    <row r="16" spans="1:6">
      <c r="A16" s="446" t="s">
        <v>3009</v>
      </c>
      <c r="B16" s="440" t="s">
        <v>3010</v>
      </c>
      <c r="C16" s="459"/>
      <c r="D16" s="427"/>
      <c r="E16" s="427">
        <f t="shared" si="0"/>
        <v>0</v>
      </c>
      <c r="F16" s="477" t="s">
        <v>3011</v>
      </c>
    </row>
    <row r="17" spans="1:6">
      <c r="A17" s="446" t="s">
        <v>3012</v>
      </c>
      <c r="B17" s="440" t="s">
        <v>3013</v>
      </c>
      <c r="C17" s="460"/>
      <c r="D17" s="427">
        <f>MIN(ROUND(B2*0.5%,2),ROUND(C17*60%,2))</f>
        <v>0</v>
      </c>
      <c r="E17" s="427">
        <f t="shared" si="0"/>
        <v>0</v>
      </c>
      <c r="F17" s="474"/>
    </row>
    <row r="18" spans="1:6">
      <c r="A18" s="446" t="s">
        <v>3014</v>
      </c>
      <c r="B18" s="440" t="s">
        <v>3015</v>
      </c>
      <c r="C18" s="458"/>
      <c r="D18" s="427">
        <f>ROUND(B2*15%,2)</f>
        <v>233595263.47999999</v>
      </c>
      <c r="E18" s="427">
        <f t="shared" si="0"/>
        <v>0</v>
      </c>
      <c r="F18" s="477" t="s">
        <v>3016</v>
      </c>
    </row>
    <row r="19" spans="1:6">
      <c r="A19" s="446" t="s">
        <v>3017</v>
      </c>
      <c r="B19" s="440" t="s">
        <v>3018</v>
      </c>
      <c r="C19" s="458"/>
      <c r="D19" s="427">
        <f>ROUND(B3*12%,2)</f>
        <v>30553380.82</v>
      </c>
      <c r="E19" s="427">
        <f t="shared" si="0"/>
        <v>0</v>
      </c>
      <c r="F19" s="477" t="s">
        <v>3019</v>
      </c>
    </row>
    <row r="20" spans="1:6">
      <c r="A20" s="446" t="s">
        <v>3020</v>
      </c>
      <c r="B20" s="440" t="s">
        <v>2968</v>
      </c>
      <c r="C20" s="458"/>
      <c r="D20" s="427">
        <v>0</v>
      </c>
      <c r="E20" s="427">
        <f t="shared" si="0"/>
        <v>0</v>
      </c>
      <c r="F20" s="477" t="s">
        <v>3021</v>
      </c>
    </row>
    <row r="21" spans="1:6">
      <c r="A21" s="446" t="s">
        <v>3022</v>
      </c>
      <c r="B21" s="440" t="s">
        <v>2968</v>
      </c>
      <c r="C21" s="458"/>
      <c r="D21" s="427">
        <v>0</v>
      </c>
      <c r="E21" s="427">
        <f t="shared" si="0"/>
        <v>0</v>
      </c>
      <c r="F21" s="474"/>
    </row>
    <row r="22" spans="1:6">
      <c r="A22" s="446" t="s">
        <v>3023</v>
      </c>
      <c r="B22" s="440" t="s">
        <v>2968</v>
      </c>
      <c r="C22" s="458"/>
      <c r="D22" s="427">
        <v>0</v>
      </c>
      <c r="E22" s="427">
        <f t="shared" si="0"/>
        <v>0</v>
      </c>
      <c r="F22" s="477" t="s">
        <v>3024</v>
      </c>
    </row>
    <row r="23" spans="1:6">
      <c r="A23" s="446" t="s">
        <v>3025</v>
      </c>
      <c r="B23" s="440" t="s">
        <v>2968</v>
      </c>
      <c r="C23" s="461">
        <f>利润表!B34</f>
        <v>-20045068.129999999</v>
      </c>
      <c r="D23" s="427">
        <v>0</v>
      </c>
      <c r="E23" s="427">
        <f t="shared" si="0"/>
        <v>0</v>
      </c>
      <c r="F23" s="479"/>
    </row>
    <row r="24" spans="1:6">
      <c r="A24" s="446" t="s">
        <v>1189</v>
      </c>
      <c r="B24" s="440" t="s">
        <v>2968</v>
      </c>
      <c r="C24" s="461">
        <f>利润表!B33</f>
        <v>0</v>
      </c>
      <c r="D24" s="427">
        <v>0</v>
      </c>
      <c r="E24" s="427">
        <f t="shared" si="0"/>
        <v>0</v>
      </c>
      <c r="F24" s="479"/>
    </row>
    <row r="25" spans="1:6">
      <c r="A25" s="446" t="s">
        <v>3075</v>
      </c>
      <c r="B25" s="440" t="s">
        <v>2968</v>
      </c>
      <c r="C25" s="458"/>
      <c r="D25" s="427">
        <v>0</v>
      </c>
      <c r="E25" s="427">
        <f t="shared" si="0"/>
        <v>0</v>
      </c>
      <c r="F25" s="474"/>
    </row>
    <row r="26" spans="1:6">
      <c r="A26" s="446" t="s">
        <v>4140</v>
      </c>
      <c r="B26" s="440" t="s">
        <v>2968</v>
      </c>
      <c r="C26" s="458"/>
      <c r="D26" s="427">
        <v>0</v>
      </c>
      <c r="E26" s="427">
        <f t="shared" si="0"/>
        <v>0</v>
      </c>
      <c r="F26" s="474"/>
    </row>
    <row r="27" spans="1:6">
      <c r="A27" s="446" t="s">
        <v>3078</v>
      </c>
      <c r="B27" s="440" t="s">
        <v>3079</v>
      </c>
      <c r="C27" s="458"/>
      <c r="D27" s="430">
        <v>0</v>
      </c>
      <c r="E27" s="430">
        <f t="shared" si="0"/>
        <v>0</v>
      </c>
      <c r="F27" s="474"/>
    </row>
    <row r="28" spans="1:6" ht="24">
      <c r="A28" s="447" t="s">
        <v>3104</v>
      </c>
      <c r="B28" s="448" t="s">
        <v>3079</v>
      </c>
      <c r="C28" s="513"/>
      <c r="D28" s="430"/>
      <c r="E28" s="430">
        <f>C28</f>
        <v>0</v>
      </c>
      <c r="F28" s="522" t="s">
        <v>3101</v>
      </c>
    </row>
    <row r="29" spans="1:6" ht="14.4" thickBot="1">
      <c r="A29" s="447" t="s">
        <v>3080</v>
      </c>
      <c r="B29" s="448" t="s">
        <v>3082</v>
      </c>
      <c r="C29" s="462"/>
      <c r="D29" s="430">
        <v>0</v>
      </c>
      <c r="E29" s="430">
        <f>C29</f>
        <v>0</v>
      </c>
      <c r="F29" s="480" t="s">
        <v>3081</v>
      </c>
    </row>
    <row r="30" spans="1:6" ht="14.4" thickTop="1">
      <c r="A30" s="449" t="s">
        <v>3026</v>
      </c>
      <c r="B30" s="450" t="s">
        <v>2963</v>
      </c>
      <c r="C30" s="450" t="s">
        <v>2998</v>
      </c>
      <c r="D30" s="450" t="s">
        <v>2963</v>
      </c>
      <c r="E30" s="450" t="s">
        <v>3027</v>
      </c>
      <c r="F30" s="481" t="s">
        <v>3001</v>
      </c>
    </row>
    <row r="31" spans="1:6">
      <c r="A31" s="488" t="s">
        <v>3076</v>
      </c>
      <c r="B31" s="489" t="s">
        <v>3077</v>
      </c>
      <c r="C31" s="490"/>
      <c r="D31" s="427">
        <v>0</v>
      </c>
      <c r="E31" s="427">
        <f>C31</f>
        <v>0</v>
      </c>
      <c r="F31" s="487"/>
    </row>
    <row r="32" spans="1:6">
      <c r="A32" s="440" t="s">
        <v>3065</v>
      </c>
      <c r="B32" s="440" t="s">
        <v>2974</v>
      </c>
      <c r="C32" s="463"/>
      <c r="D32" s="427">
        <f>C32</f>
        <v>0</v>
      </c>
      <c r="E32" s="427">
        <f>C32</f>
        <v>0</v>
      </c>
      <c r="F32" s="482"/>
    </row>
    <row r="33" spans="1:6">
      <c r="A33" s="446" t="s">
        <v>3028</v>
      </c>
      <c r="B33" s="440" t="s">
        <v>2974</v>
      </c>
      <c r="C33" s="458"/>
      <c r="D33" s="427">
        <f>C33</f>
        <v>0</v>
      </c>
      <c r="E33" s="427">
        <f>C33</f>
        <v>0</v>
      </c>
      <c r="F33" s="474"/>
    </row>
    <row r="34" spans="1:6">
      <c r="A34" s="452" t="s">
        <v>3051</v>
      </c>
      <c r="B34" s="453" t="s">
        <v>2974</v>
      </c>
      <c r="C34" s="429">
        <f>_xlfn.IFNA(VLOOKUP(所得税项目计算!A34,投资收益!A:B,2,0),0)</f>
        <v>0</v>
      </c>
      <c r="D34" s="431">
        <f>C34</f>
        <v>0</v>
      </c>
      <c r="E34" s="431">
        <f>C34</f>
        <v>0</v>
      </c>
      <c r="F34" s="479"/>
    </row>
    <row r="35" spans="1:6">
      <c r="A35" s="446" t="s">
        <v>2594</v>
      </c>
      <c r="B35" s="440" t="s">
        <v>2974</v>
      </c>
      <c r="C35" s="428">
        <f>利润表!B32</f>
        <v>0</v>
      </c>
      <c r="D35" s="427">
        <f>C35</f>
        <v>0</v>
      </c>
      <c r="E35" s="427">
        <f>C35</f>
        <v>0</v>
      </c>
      <c r="F35" s="474"/>
    </row>
    <row r="36" spans="1:6">
      <c r="A36" s="446" t="s">
        <v>3029</v>
      </c>
      <c r="B36" s="442" t="s">
        <v>3030</v>
      </c>
      <c r="C36" s="458"/>
      <c r="D36" s="427"/>
      <c r="E36" s="427">
        <f>IF(C36&lt;D36,C36,(C36-D36)/2)</f>
        <v>0</v>
      </c>
      <c r="F36" s="477"/>
    </row>
    <row r="37" spans="1:6">
      <c r="A37" s="446" t="s">
        <v>3031</v>
      </c>
      <c r="B37" s="440" t="s">
        <v>3032</v>
      </c>
      <c r="C37" s="459"/>
      <c r="D37" s="427">
        <f>ROUND(C37*50%,2)</f>
        <v>0</v>
      </c>
      <c r="E37" s="427">
        <f>D37</f>
        <v>0</v>
      </c>
      <c r="F37" s="483">
        <v>1</v>
      </c>
    </row>
    <row r="38" spans="1:6">
      <c r="A38" s="446" t="s">
        <v>3033</v>
      </c>
      <c r="B38" s="440" t="s">
        <v>3034</v>
      </c>
      <c r="C38" s="458"/>
      <c r="D38" s="427">
        <f>ROUND(C38*100%,2)</f>
        <v>0</v>
      </c>
      <c r="E38" s="427">
        <f>D38</f>
        <v>0</v>
      </c>
      <c r="F38" s="477" t="s">
        <v>3035</v>
      </c>
    </row>
    <row r="39" spans="1:6">
      <c r="A39" s="446" t="s">
        <v>3036</v>
      </c>
      <c r="B39" s="440" t="s">
        <v>3037</v>
      </c>
      <c r="C39" s="458"/>
      <c r="D39" s="427">
        <f>ROUND(C39*70%,2)</f>
        <v>0</v>
      </c>
      <c r="E39" s="427">
        <f>D39</f>
        <v>0</v>
      </c>
      <c r="F39" s="477" t="s">
        <v>3038</v>
      </c>
    </row>
    <row r="40" spans="1:6">
      <c r="A40" s="446" t="s">
        <v>3064</v>
      </c>
      <c r="B40" s="440"/>
      <c r="C40" s="458"/>
      <c r="D40" s="427">
        <f>C40</f>
        <v>0</v>
      </c>
      <c r="E40" s="427">
        <f>D40</f>
        <v>0</v>
      </c>
      <c r="F40" s="477"/>
    </row>
    <row r="41" spans="1:6">
      <c r="A41" s="446" t="s">
        <v>3039</v>
      </c>
      <c r="B41" s="442"/>
      <c r="C41" s="458"/>
      <c r="D41" s="427">
        <f>IF(E18&gt;0,0,D18-C18)</f>
        <v>233595263.47999999</v>
      </c>
      <c r="E41" s="427">
        <f>IF(C41&lt;D41,C41,D41)</f>
        <v>0</v>
      </c>
      <c r="F41" s="474"/>
    </row>
    <row r="42" spans="1:6">
      <c r="A42" s="446" t="s">
        <v>3040</v>
      </c>
      <c r="B42" s="442"/>
      <c r="C42" s="458"/>
      <c r="D42" s="427">
        <f>IF(E12&gt;0,0,D12-C12)</f>
        <v>0</v>
      </c>
      <c r="E42" s="427">
        <f>IF(C42&lt;D42,C42,D42)</f>
        <v>0</v>
      </c>
      <c r="F42" s="474"/>
    </row>
    <row r="43" spans="1:6">
      <c r="A43" s="447" t="s">
        <v>3087</v>
      </c>
      <c r="B43" s="512"/>
      <c r="C43" s="513"/>
      <c r="D43" s="430">
        <f>IF(E19&lt;0,D19-C19,0)</f>
        <v>0</v>
      </c>
      <c r="E43" s="430">
        <f>D43</f>
        <v>0</v>
      </c>
      <c r="F43" s="480" t="s">
        <v>3088</v>
      </c>
    </row>
    <row r="44" spans="1:6">
      <c r="A44" s="438" t="s">
        <v>3099</v>
      </c>
      <c r="B44" s="442"/>
      <c r="C44" s="458"/>
      <c r="D44" s="427"/>
      <c r="E44" s="427">
        <f>C44</f>
        <v>0</v>
      </c>
      <c r="F44" s="475" t="s">
        <v>3100</v>
      </c>
    </row>
    <row r="45" spans="1:6">
      <c r="A45" s="438" t="s">
        <v>3103</v>
      </c>
      <c r="B45" s="442"/>
      <c r="C45" s="458"/>
      <c r="D45" s="427"/>
      <c r="E45" s="427">
        <f>C45</f>
        <v>0</v>
      </c>
      <c r="F45" s="475"/>
    </row>
    <row r="46" spans="1:6">
      <c r="A46" s="438"/>
      <c r="B46" s="442"/>
      <c r="C46" s="458"/>
      <c r="D46" s="427"/>
      <c r="E46" s="427"/>
      <c r="F46" s="475"/>
    </row>
    <row r="47" spans="1:6" ht="14.4" thickBot="1">
      <c r="A47" s="516"/>
      <c r="B47" s="517"/>
      <c r="C47" s="518"/>
      <c r="D47" s="519"/>
      <c r="E47" s="519"/>
      <c r="F47" s="520"/>
    </row>
    <row r="48" spans="1:6">
      <c r="A48" s="514" t="s">
        <v>3041</v>
      </c>
      <c r="B48" s="451"/>
      <c r="C48" s="451"/>
      <c r="D48" s="451"/>
      <c r="E48" s="451"/>
      <c r="F48" s="515"/>
    </row>
    <row r="49" spans="1:6">
      <c r="A49" s="464" t="s">
        <v>3042</v>
      </c>
      <c r="B49" s="455"/>
      <c r="C49" s="455"/>
      <c r="D49" s="454" t="s">
        <v>3043</v>
      </c>
      <c r="E49" s="455"/>
      <c r="F49" s="465"/>
    </row>
    <row r="50" spans="1:6">
      <c r="A50" s="464" t="s">
        <v>3057</v>
      </c>
      <c r="B50" s="493"/>
      <c r="C50" s="455"/>
      <c r="D50" s="454" t="s">
        <v>3059</v>
      </c>
      <c r="E50" s="493"/>
      <c r="F50" s="484" t="s">
        <v>3062</v>
      </c>
    </row>
    <row r="51" spans="1:6">
      <c r="A51" s="466" t="s">
        <v>3052</v>
      </c>
      <c r="B51" s="493"/>
      <c r="C51" s="456"/>
      <c r="D51" s="454" t="s">
        <v>3044</v>
      </c>
      <c r="E51" s="457">
        <v>0.15</v>
      </c>
      <c r="F51" s="465"/>
    </row>
    <row r="52" spans="1:6">
      <c r="A52" s="464" t="s">
        <v>3053</v>
      </c>
      <c r="B52" s="456">
        <f>ROUND(IF(B50&gt;B51,B50-B51,0),2)</f>
        <v>0</v>
      </c>
      <c r="C52" s="456"/>
      <c r="D52" s="454" t="s">
        <v>3045</v>
      </c>
      <c r="E52" s="456">
        <f>E50*E51</f>
        <v>0</v>
      </c>
      <c r="F52" s="465"/>
    </row>
    <row r="53" spans="1:6">
      <c r="A53" s="464" t="s">
        <v>3058</v>
      </c>
      <c r="B53" s="494"/>
      <c r="C53" s="456"/>
      <c r="D53" s="454" t="s">
        <v>3060</v>
      </c>
      <c r="E53" s="493"/>
      <c r="F53" s="465"/>
    </row>
    <row r="54" spans="1:6">
      <c r="A54" s="466" t="s">
        <v>3054</v>
      </c>
      <c r="B54" s="494"/>
      <c r="C54" s="455"/>
      <c r="D54" s="454" t="s">
        <v>3046</v>
      </c>
      <c r="E54" s="456">
        <f>E52-E53</f>
        <v>0</v>
      </c>
      <c r="F54" s="465"/>
    </row>
    <row r="55" spans="1:6">
      <c r="A55" s="464" t="s">
        <v>3055</v>
      </c>
      <c r="B55" s="432">
        <f>ROUND(IF(B53&gt;B54,B53-B54,0),2)</f>
        <v>0</v>
      </c>
      <c r="C55" s="455"/>
      <c r="D55" s="455"/>
      <c r="E55" s="455"/>
      <c r="F55" s="465"/>
    </row>
    <row r="56" spans="1:6">
      <c r="A56" s="464" t="s">
        <v>3056</v>
      </c>
      <c r="B56" s="432">
        <f>B55-B52</f>
        <v>0</v>
      </c>
      <c r="C56" s="455"/>
      <c r="D56" s="454" t="s">
        <v>3047</v>
      </c>
      <c r="E56" s="494"/>
      <c r="F56" s="484" t="s">
        <v>3061</v>
      </c>
    </row>
    <row r="57" spans="1:6">
      <c r="A57" s="464"/>
      <c r="B57" s="456"/>
      <c r="C57" s="455"/>
      <c r="D57" s="454" t="s">
        <v>3044</v>
      </c>
      <c r="E57" s="433">
        <f>E51</f>
        <v>0.15</v>
      </c>
      <c r="F57" s="465"/>
    </row>
    <row r="58" spans="1:6">
      <c r="A58" s="467"/>
      <c r="B58" s="455"/>
      <c r="C58" s="455"/>
      <c r="D58" s="454" t="s">
        <v>3048</v>
      </c>
      <c r="E58" s="432">
        <f>E56*E57</f>
        <v>0</v>
      </c>
      <c r="F58" s="465"/>
    </row>
    <row r="59" spans="1:6">
      <c r="A59" s="467"/>
      <c r="B59" s="432"/>
      <c r="C59" s="455"/>
      <c r="D59" s="454" t="s">
        <v>3063</v>
      </c>
      <c r="E59" s="494"/>
      <c r="F59" s="465"/>
    </row>
    <row r="60" spans="1:6" ht="14.4" thickBot="1">
      <c r="A60" s="468"/>
      <c r="B60" s="469"/>
      <c r="C60" s="470"/>
      <c r="D60" s="471" t="s">
        <v>3049</v>
      </c>
      <c r="E60" s="472">
        <f>E58-E59</f>
        <v>0</v>
      </c>
      <c r="F60" s="473"/>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codeName="Sheet34">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6" t="s">
        <v>54</v>
      </c>
      <c r="C1" s="20" t="s">
        <v>29</v>
      </c>
      <c r="D1" s="20" t="s">
        <v>30</v>
      </c>
      <c r="E1" s="86" t="s">
        <v>55</v>
      </c>
    </row>
    <row r="2" spans="1:5" ht="14.4">
      <c r="A2" s="60" t="s">
        <v>31</v>
      </c>
      <c r="B2" s="42"/>
      <c r="C2" s="42"/>
      <c r="D2" s="42"/>
      <c r="E2" s="42"/>
    </row>
    <row r="3" spans="1:5" ht="14.4">
      <c r="A3" s="87" t="s">
        <v>6</v>
      </c>
      <c r="B3" s="82"/>
      <c r="C3" s="50"/>
      <c r="D3" s="50"/>
      <c r="E3" s="50"/>
    </row>
    <row r="4" spans="1:5" ht="14.4">
      <c r="A4" s="61" t="s">
        <v>32</v>
      </c>
      <c r="B4" s="82"/>
      <c r="C4" s="82"/>
      <c r="D4" s="82"/>
      <c r="E4" s="82"/>
    </row>
    <row r="5" spans="1:5" ht="14.4">
      <c r="A5" s="61" t="s">
        <v>33</v>
      </c>
      <c r="B5" s="82"/>
      <c r="C5" s="82"/>
      <c r="D5" s="82"/>
      <c r="E5" s="82"/>
    </row>
    <row r="6" spans="1:5">
      <c r="A6" s="55" t="s">
        <v>13</v>
      </c>
      <c r="B6" s="82"/>
      <c r="C6" s="82"/>
      <c r="D6" s="82"/>
      <c r="E6" s="82"/>
    </row>
    <row r="7" spans="1:5" ht="14.4">
      <c r="A7" s="61" t="s">
        <v>34</v>
      </c>
      <c r="B7" s="82"/>
      <c r="C7" s="82"/>
      <c r="D7" s="82"/>
      <c r="E7" s="82"/>
    </row>
    <row r="8" spans="1:5">
      <c r="A8" s="55"/>
      <c r="B8" s="82"/>
      <c r="C8" s="82"/>
      <c r="D8" s="82"/>
      <c r="E8" s="82"/>
    </row>
    <row r="9" spans="1:5" ht="14.4">
      <c r="A9" s="87" t="s">
        <v>9</v>
      </c>
      <c r="B9" s="82"/>
      <c r="C9" s="82"/>
      <c r="D9" s="82"/>
      <c r="E9" s="82"/>
    </row>
    <row r="10" spans="1:5" ht="14.4">
      <c r="A10" s="61" t="s">
        <v>35</v>
      </c>
      <c r="B10" s="82"/>
      <c r="C10" s="82"/>
      <c r="D10" s="82"/>
      <c r="E10" s="82"/>
    </row>
    <row r="11" spans="1:5" ht="14.4">
      <c r="A11" s="61" t="s">
        <v>32</v>
      </c>
      <c r="B11" s="82"/>
      <c r="C11" s="82"/>
      <c r="D11" s="82"/>
      <c r="E11" s="82"/>
    </row>
    <row r="12" spans="1:5" ht="14.4">
      <c r="A12" s="61" t="s">
        <v>33</v>
      </c>
      <c r="B12" s="82"/>
      <c r="C12" s="82"/>
      <c r="D12" s="82"/>
      <c r="E12" s="82"/>
    </row>
    <row r="13" spans="1:5">
      <c r="A13" s="55" t="s">
        <v>13</v>
      </c>
      <c r="B13" s="82"/>
      <c r="C13" s="82"/>
      <c r="D13" s="82"/>
      <c r="E13" s="82"/>
    </row>
    <row r="14" spans="1:5" ht="14.4">
      <c r="A14" s="61" t="s">
        <v>34</v>
      </c>
      <c r="B14" s="82"/>
      <c r="C14" s="82"/>
      <c r="D14" s="82"/>
      <c r="E14" s="82"/>
    </row>
    <row r="15" spans="1:5">
      <c r="A15" s="55"/>
      <c r="B15" s="82"/>
      <c r="C15" s="82"/>
      <c r="D15" s="82"/>
      <c r="E15" s="82"/>
    </row>
    <row r="16" spans="1:5" ht="14.4">
      <c r="A16" s="87" t="s">
        <v>10</v>
      </c>
      <c r="B16" s="82"/>
      <c r="C16" s="82"/>
      <c r="D16" s="82"/>
      <c r="E16" s="82"/>
    </row>
    <row r="17" spans="1:5" ht="14.4">
      <c r="A17" s="61" t="s">
        <v>33</v>
      </c>
      <c r="B17" s="82"/>
      <c r="C17" s="82"/>
      <c r="D17" s="82"/>
      <c r="E17" s="82"/>
    </row>
    <row r="18" spans="1:5">
      <c r="A18" s="55" t="s">
        <v>13</v>
      </c>
      <c r="B18" s="82"/>
      <c r="C18" s="82"/>
      <c r="D18" s="82"/>
      <c r="E18" s="82"/>
    </row>
    <row r="19" spans="1:5" ht="14.4">
      <c r="A19" s="61" t="s">
        <v>34</v>
      </c>
      <c r="B19" s="82"/>
      <c r="C19" s="82"/>
      <c r="D19" s="82"/>
      <c r="E19" s="82"/>
    </row>
    <row r="20" spans="1:5">
      <c r="A20" s="55"/>
      <c r="B20" s="82"/>
      <c r="C20" s="82"/>
      <c r="D20" s="82"/>
      <c r="E20" s="82"/>
    </row>
    <row r="21" spans="1:5" ht="14.4">
      <c r="A21" s="87" t="s">
        <v>36</v>
      </c>
      <c r="B21" s="82"/>
      <c r="C21" s="82"/>
      <c r="D21" s="82"/>
      <c r="E21" s="82"/>
    </row>
    <row r="22" spans="1:5" ht="14.4">
      <c r="A22" s="61" t="s">
        <v>37</v>
      </c>
      <c r="B22" s="82"/>
      <c r="C22" s="82"/>
      <c r="D22" s="82"/>
      <c r="E22" s="82"/>
    </row>
    <row r="23" spans="1:5">
      <c r="A23" s="55" t="s">
        <v>13</v>
      </c>
      <c r="B23" s="82"/>
      <c r="C23" s="82"/>
      <c r="D23" s="82"/>
      <c r="E23" s="82"/>
    </row>
    <row r="24" spans="1:5" ht="14.4">
      <c r="A24" s="61" t="s">
        <v>34</v>
      </c>
      <c r="B24" s="82"/>
      <c r="C24" s="82"/>
      <c r="D24" s="82"/>
      <c r="E24" s="85"/>
    </row>
    <row r="25" spans="1:5">
      <c r="A25" s="55"/>
      <c r="B25" s="82"/>
      <c r="C25" s="82"/>
      <c r="D25" s="82"/>
      <c r="E25" s="82"/>
    </row>
    <row r="26" spans="1:5" ht="14.4">
      <c r="A26" s="87" t="s">
        <v>12</v>
      </c>
      <c r="B26" s="85"/>
      <c r="C26" s="82"/>
      <c r="D26" s="82"/>
      <c r="E26" s="82"/>
    </row>
    <row r="27" spans="1:5" ht="14.4">
      <c r="A27" s="61" t="s">
        <v>39</v>
      </c>
      <c r="B27" s="82"/>
      <c r="C27" s="82"/>
      <c r="D27" s="82"/>
      <c r="E27" s="82"/>
    </row>
    <row r="28" spans="1:5" ht="14.4">
      <c r="A28" s="61" t="s">
        <v>33</v>
      </c>
      <c r="B28" s="82"/>
      <c r="C28" s="82"/>
      <c r="D28" s="82"/>
      <c r="E28" s="82"/>
    </row>
    <row r="29" spans="1:5">
      <c r="A29" s="55" t="s">
        <v>13</v>
      </c>
      <c r="B29" s="82"/>
      <c r="C29" s="82"/>
      <c r="D29" s="82"/>
      <c r="E29" s="82"/>
    </row>
    <row r="30" spans="1:5" ht="14.4">
      <c r="A30" s="61" t="s">
        <v>34</v>
      </c>
      <c r="B30" s="82"/>
      <c r="C30" s="82"/>
      <c r="D30" s="82"/>
      <c r="E30" s="82"/>
    </row>
    <row r="31" spans="1:5">
      <c r="A31" s="55"/>
      <c r="B31" s="82"/>
      <c r="C31" s="82"/>
      <c r="D31" s="82"/>
      <c r="E31" s="82"/>
    </row>
    <row r="32" spans="1:5" ht="14.4">
      <c r="A32" s="87" t="s">
        <v>20</v>
      </c>
      <c r="B32" s="82"/>
      <c r="C32" s="82"/>
      <c r="D32" s="82"/>
      <c r="E32" s="82"/>
    </row>
    <row r="33" spans="1:5" ht="14.4">
      <c r="A33" s="61" t="s">
        <v>33</v>
      </c>
      <c r="B33" s="82"/>
      <c r="C33" s="82"/>
      <c r="D33" s="82"/>
      <c r="E33" s="82"/>
    </row>
    <row r="34" spans="1:5">
      <c r="A34" s="55" t="s">
        <v>13</v>
      </c>
      <c r="B34" s="82"/>
      <c r="C34" s="82"/>
      <c r="D34" s="82"/>
      <c r="E34" s="82"/>
    </row>
    <row r="35" spans="1:5" ht="14.4">
      <c r="A35" s="61" t="s">
        <v>34</v>
      </c>
      <c r="B35" s="82"/>
      <c r="C35" s="82"/>
      <c r="D35" s="82"/>
      <c r="E35" s="82"/>
    </row>
    <row r="36" spans="1:5">
      <c r="A36" s="55"/>
      <c r="B36" s="82"/>
      <c r="C36" s="82"/>
      <c r="D36" s="82"/>
      <c r="E36" s="82"/>
    </row>
    <row r="37" spans="1:5" ht="14.4">
      <c r="A37" s="60" t="s">
        <v>40</v>
      </c>
      <c r="B37" s="50"/>
      <c r="C37" s="50"/>
      <c r="D37" s="50"/>
      <c r="E37" s="50"/>
    </row>
    <row r="38" spans="1:5" ht="14.4">
      <c r="A38" s="87" t="s">
        <v>41</v>
      </c>
      <c r="B38" s="82"/>
      <c r="C38" s="50"/>
      <c r="D38" s="50"/>
      <c r="E38" s="50"/>
    </row>
    <row r="39" spans="1:5" ht="14.4">
      <c r="A39" s="61" t="s">
        <v>42</v>
      </c>
      <c r="B39" s="50"/>
      <c r="C39" s="82"/>
      <c r="D39" s="50"/>
      <c r="E39" s="50"/>
    </row>
    <row r="40" spans="1:5">
      <c r="A40" s="55" t="s">
        <v>13</v>
      </c>
      <c r="B40" s="50"/>
      <c r="C40" s="82"/>
      <c r="D40" s="50"/>
      <c r="E40" s="50"/>
    </row>
    <row r="41" spans="1:5" ht="14.4">
      <c r="A41" s="61" t="s">
        <v>74</v>
      </c>
      <c r="B41" s="50"/>
      <c r="C41" s="50"/>
      <c r="D41" s="50"/>
      <c r="E41" s="85"/>
    </row>
    <row r="42" spans="1:5">
      <c r="A42" s="55"/>
      <c r="B42" s="50"/>
      <c r="C42" s="50"/>
      <c r="D42" s="50"/>
      <c r="E42" s="82"/>
    </row>
    <row r="43" spans="1:5" ht="14.4">
      <c r="A43" s="87" t="s">
        <v>5</v>
      </c>
      <c r="B43" s="85"/>
      <c r="C43" s="50"/>
      <c r="D43" s="50"/>
      <c r="E43" s="82"/>
    </row>
    <row r="44" spans="1:5" ht="14.4">
      <c r="A44" s="61" t="s">
        <v>43</v>
      </c>
      <c r="B44" s="50"/>
      <c r="C44" s="82"/>
      <c r="D44" s="50"/>
      <c r="E44" s="82"/>
    </row>
    <row r="45" spans="1:5">
      <c r="A45" s="55" t="s">
        <v>13</v>
      </c>
      <c r="B45" s="50"/>
      <c r="C45" s="82"/>
      <c r="D45" s="50"/>
      <c r="E45" s="82"/>
    </row>
    <row r="46" spans="1:5" ht="14.4">
      <c r="A46" s="61" t="s">
        <v>34</v>
      </c>
      <c r="B46" s="50"/>
      <c r="C46" s="50"/>
      <c r="D46" s="50"/>
      <c r="E46" s="82"/>
    </row>
    <row r="47" spans="1:5">
      <c r="A47" s="55"/>
      <c r="B47" s="50"/>
      <c r="C47" s="50"/>
      <c r="D47" s="50"/>
      <c r="E47" s="82"/>
    </row>
    <row r="48" spans="1:5" ht="14.4">
      <c r="A48" s="87" t="s">
        <v>44</v>
      </c>
      <c r="B48" s="85"/>
      <c r="C48" s="50"/>
      <c r="D48" s="50"/>
      <c r="E48" s="82"/>
    </row>
    <row r="49" spans="1:5" ht="14.4">
      <c r="A49" s="61" t="s">
        <v>45</v>
      </c>
      <c r="B49" s="50"/>
      <c r="C49" s="82"/>
      <c r="D49" s="50"/>
      <c r="E49" s="82"/>
    </row>
    <row r="50" spans="1:5">
      <c r="A50" s="55" t="s">
        <v>13</v>
      </c>
      <c r="B50" s="50"/>
      <c r="C50" s="50"/>
      <c r="D50" s="50"/>
      <c r="E50" s="82"/>
    </row>
    <row r="51" spans="1:5" ht="14.4">
      <c r="A51" s="61" t="s">
        <v>34</v>
      </c>
      <c r="B51" s="50"/>
      <c r="C51" s="50"/>
      <c r="D51" s="50"/>
      <c r="E51" s="82"/>
    </row>
    <row r="52" spans="1:5">
      <c r="A52" s="55"/>
      <c r="B52" s="50"/>
      <c r="C52" s="50"/>
      <c r="D52" s="50"/>
      <c r="E52" s="82"/>
    </row>
    <row r="53" spans="1:5" ht="14.4">
      <c r="A53" s="60" t="s">
        <v>46</v>
      </c>
      <c r="B53" s="50"/>
      <c r="C53" s="50"/>
      <c r="D53" s="50"/>
      <c r="E53" s="82"/>
    </row>
    <row r="54" spans="1:5" ht="14.4">
      <c r="A54" s="87" t="s">
        <v>47</v>
      </c>
      <c r="B54" s="82"/>
      <c r="C54" s="50"/>
      <c r="D54" s="50"/>
      <c r="E54" s="82"/>
    </row>
    <row r="55" spans="1:5" ht="14.4">
      <c r="A55" s="61" t="s">
        <v>48</v>
      </c>
      <c r="B55" s="50"/>
      <c r="C55" s="82"/>
      <c r="D55" s="50"/>
      <c r="E55" s="82"/>
    </row>
    <row r="56" spans="1:5" ht="14.4">
      <c r="A56" s="61" t="s">
        <v>49</v>
      </c>
      <c r="B56" s="50"/>
      <c r="C56" s="82"/>
      <c r="D56" s="50"/>
      <c r="E56" s="82"/>
    </row>
    <row r="57" spans="1:5" ht="14.4">
      <c r="A57" s="61" t="s">
        <v>50</v>
      </c>
      <c r="B57" s="50"/>
      <c r="C57" s="82"/>
      <c r="D57" s="50"/>
      <c r="E57" s="82"/>
    </row>
    <row r="58" spans="1:5">
      <c r="A58" s="55" t="s">
        <v>13</v>
      </c>
      <c r="B58" s="50"/>
      <c r="C58" s="82"/>
      <c r="D58" s="50"/>
      <c r="E58" s="82"/>
    </row>
    <row r="59" spans="1:5" ht="14.4">
      <c r="A59" s="61" t="s">
        <v>34</v>
      </c>
      <c r="B59" s="50"/>
      <c r="C59" s="50"/>
      <c r="D59" s="50"/>
      <c r="E59" s="85"/>
    </row>
    <row r="60" spans="1:5">
      <c r="A60" s="55"/>
      <c r="B60" s="50"/>
      <c r="C60" s="50"/>
      <c r="D60" s="50"/>
      <c r="E60" s="82"/>
    </row>
    <row r="61" spans="1:5" ht="14.4">
      <c r="A61" s="87" t="s">
        <v>16</v>
      </c>
      <c r="B61" s="85"/>
      <c r="C61" s="50"/>
      <c r="D61" s="50"/>
      <c r="E61" s="82"/>
    </row>
    <row r="62" spans="1:5" ht="14.4">
      <c r="A62" s="61" t="s">
        <v>45</v>
      </c>
      <c r="B62" s="50"/>
      <c r="C62" s="82"/>
      <c r="D62" s="50"/>
      <c r="E62" s="82"/>
    </row>
    <row r="63" spans="1:5" ht="14.4">
      <c r="A63" s="61" t="s">
        <v>51</v>
      </c>
      <c r="B63" s="50"/>
      <c r="C63" s="82"/>
      <c r="D63" s="82"/>
      <c r="E63" s="82"/>
    </row>
    <row r="64" spans="1:5" ht="14.4">
      <c r="A64" s="61" t="s">
        <v>33</v>
      </c>
      <c r="B64" s="50"/>
      <c r="C64" s="82"/>
      <c r="D64" s="82"/>
      <c r="E64" s="82"/>
    </row>
    <row r="65" spans="1:5">
      <c r="A65" s="55" t="s">
        <v>13</v>
      </c>
      <c r="B65" s="50"/>
      <c r="C65" s="82"/>
      <c r="D65" s="50"/>
      <c r="E65" s="82"/>
    </row>
    <row r="66" spans="1:5" ht="14.4">
      <c r="A66" s="61" t="s">
        <v>34</v>
      </c>
      <c r="B66" s="50"/>
      <c r="C66" s="50"/>
      <c r="D66" s="50"/>
      <c r="E66" s="82"/>
    </row>
    <row r="67" spans="1:5">
      <c r="A67" s="55"/>
      <c r="B67" s="50"/>
      <c r="C67" s="50"/>
      <c r="D67" s="50"/>
      <c r="E67" s="82"/>
    </row>
    <row r="68" spans="1:5" ht="14.4">
      <c r="A68" s="87" t="s">
        <v>19</v>
      </c>
      <c r="B68" s="85"/>
      <c r="C68" s="50"/>
      <c r="D68" s="50"/>
      <c r="E68" s="82"/>
    </row>
    <row r="69" spans="1:5" ht="14.4">
      <c r="A69" s="61" t="s">
        <v>45</v>
      </c>
      <c r="B69" s="50"/>
      <c r="C69" s="82"/>
      <c r="D69" s="50"/>
      <c r="E69" s="82"/>
    </row>
    <row r="70" spans="1:5" ht="14.4">
      <c r="A70" s="61" t="s">
        <v>51</v>
      </c>
      <c r="B70" s="50"/>
      <c r="C70" s="50"/>
      <c r="D70" s="82"/>
      <c r="E70" s="82"/>
    </row>
    <row r="71" spans="1:5">
      <c r="A71" s="55" t="s">
        <v>13</v>
      </c>
      <c r="B71" s="50"/>
      <c r="C71" s="50"/>
      <c r="D71" s="82"/>
      <c r="E71" s="82"/>
    </row>
    <row r="72" spans="1:5" ht="14.4">
      <c r="A72" s="61" t="s">
        <v>34</v>
      </c>
      <c r="B72" s="50"/>
      <c r="C72" s="50"/>
      <c r="D72" s="50"/>
      <c r="E72" s="82"/>
    </row>
    <row r="73" spans="1:5">
      <c r="A73" s="55"/>
      <c r="B73" s="50"/>
      <c r="C73" s="50"/>
      <c r="D73" s="50"/>
      <c r="E73" s="82"/>
    </row>
    <row r="74" spans="1:5" ht="14.4">
      <c r="A74" s="87" t="s">
        <v>7</v>
      </c>
      <c r="B74" s="85"/>
      <c r="C74" s="50"/>
      <c r="D74" s="50"/>
      <c r="E74" s="82"/>
    </row>
    <row r="75" spans="1:5" ht="14.4">
      <c r="A75" s="61" t="s">
        <v>52</v>
      </c>
      <c r="B75" s="50"/>
      <c r="C75" s="82"/>
      <c r="D75" s="50"/>
      <c r="E75" s="82"/>
    </row>
    <row r="76" spans="1:5" ht="14.4">
      <c r="A76" s="61" t="s">
        <v>53</v>
      </c>
      <c r="B76" s="50"/>
      <c r="C76" s="82"/>
      <c r="D76" s="50"/>
      <c r="E76" s="82"/>
    </row>
    <row r="77" spans="1:5" ht="14.4">
      <c r="A77" s="61" t="s">
        <v>51</v>
      </c>
      <c r="B77" s="50"/>
      <c r="C77" s="82"/>
      <c r="D77" s="82"/>
      <c r="E77" s="82"/>
    </row>
    <row r="78" spans="1:5" ht="14.4">
      <c r="A78" s="61" t="s">
        <v>33</v>
      </c>
      <c r="B78" s="50"/>
      <c r="C78" s="82"/>
      <c r="D78" s="82"/>
      <c r="E78" s="82"/>
    </row>
    <row r="79" spans="1:5">
      <c r="A79" s="55" t="s">
        <v>13</v>
      </c>
      <c r="B79" s="50"/>
      <c r="C79" s="50"/>
      <c r="D79" s="50"/>
      <c r="E79" s="82"/>
    </row>
    <row r="80" spans="1:5" ht="14.4">
      <c r="A80" s="61" t="s">
        <v>34</v>
      </c>
      <c r="B80" s="50"/>
      <c r="C80" s="50"/>
      <c r="D80" s="50"/>
      <c r="E80" s="82"/>
    </row>
    <row r="81" spans="1:5">
      <c r="A81" s="55"/>
      <c r="B81" s="50"/>
      <c r="C81" s="50"/>
      <c r="D81" s="50"/>
      <c r="E81" s="82"/>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codeName="Sheet340">
    <tabColor rgb="FFFFC000"/>
  </sheetPr>
  <dimension ref="A1:D11"/>
  <sheetViews>
    <sheetView workbookViewId="0">
      <selection activeCell="G14" sqref="G14"/>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4" t="s">
        <v>609</v>
      </c>
      <c r="C1" s="154" t="s">
        <v>666</v>
      </c>
    </row>
    <row r="2" spans="1:4" ht="14.4">
      <c r="A2" s="379" t="s">
        <v>2884</v>
      </c>
      <c r="B2" s="268">
        <f>ROUND(财务费用分类表!B4,2)</f>
        <v>0</v>
      </c>
      <c r="C2" s="268">
        <f>ROUND(财务费用分类表!C4,2)</f>
        <v>0</v>
      </c>
    </row>
    <row r="3" spans="1:4" ht="14.4">
      <c r="A3" s="379" t="s">
        <v>626</v>
      </c>
      <c r="B3" s="268">
        <f>ROUND(政府补助校验!B9,2)</f>
        <v>74328000</v>
      </c>
      <c r="C3" s="268"/>
    </row>
    <row r="4" spans="1:4" ht="14.4">
      <c r="A4" s="379" t="s">
        <v>2885</v>
      </c>
      <c r="B4" s="268"/>
      <c r="C4" s="268"/>
    </row>
    <row r="5" spans="1:4" ht="14.4">
      <c r="A5" s="379"/>
      <c r="B5" s="268"/>
      <c r="C5" s="268"/>
    </row>
    <row r="6" spans="1:4" ht="14.4">
      <c r="A6" s="379"/>
      <c r="B6" s="268"/>
      <c r="C6" s="268"/>
    </row>
    <row r="7" spans="1:4" ht="14.4">
      <c r="A7" s="379"/>
      <c r="B7" s="268"/>
      <c r="C7" s="268"/>
    </row>
    <row r="8" spans="1:4" ht="14.4">
      <c r="A8" s="379"/>
      <c r="B8" s="268"/>
      <c r="C8" s="268"/>
    </row>
    <row r="9" spans="1:4" ht="14.4">
      <c r="A9" s="379"/>
      <c r="B9" s="268"/>
      <c r="C9" s="268"/>
    </row>
    <row r="10" spans="1:4" ht="14.4">
      <c r="A10" s="379"/>
      <c r="B10" s="268"/>
      <c r="C10" s="268"/>
    </row>
    <row r="11" spans="1:4" ht="14.4">
      <c r="A11" s="31" t="s">
        <v>204</v>
      </c>
      <c r="B11" s="69">
        <f>ROUND(SUM(B2:B10),2)</f>
        <v>74328000</v>
      </c>
      <c r="C11" s="69">
        <f>ROUND(SUM(C2:C10),2)</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codeName="Sheet341">
    <tabColor rgb="FFFFC000"/>
  </sheetPr>
  <dimension ref="A1:C11"/>
  <sheetViews>
    <sheetView workbookViewId="0">
      <selection activeCell="K16" sqref="K16"/>
    </sheetView>
  </sheetViews>
  <sheetFormatPr defaultRowHeight="13.8"/>
  <cols>
    <col min="1" max="16384" width="8.88671875" style="18"/>
  </cols>
  <sheetData>
    <row r="1" spans="1:3" ht="28.8">
      <c r="A1" s="31" t="s">
        <v>28</v>
      </c>
      <c r="B1" s="20" t="s">
        <v>609</v>
      </c>
      <c r="C1" s="20" t="s">
        <v>666</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79"/>
      <c r="B9" s="281"/>
      <c r="C9" s="281"/>
    </row>
    <row r="10" spans="1:3" ht="14.4">
      <c r="A10" s="379"/>
      <c r="B10" s="281"/>
      <c r="C10" s="281"/>
    </row>
    <row r="11" spans="1:3" ht="14.4">
      <c r="A11" s="31" t="s">
        <v>204</v>
      </c>
      <c r="B11" s="21">
        <f>ROUND(SUM(B2:B10),2)</f>
        <v>0</v>
      </c>
      <c r="C11" s="21">
        <f>ROUND(SUM(C2:C10),2)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codeName="Sheet342">
    <tabColor rgb="FFFFC000"/>
  </sheetPr>
  <dimension ref="A1:C9"/>
  <sheetViews>
    <sheetView workbookViewId="0">
      <selection activeCell="J15" sqref="J15"/>
    </sheetView>
  </sheetViews>
  <sheetFormatPr defaultRowHeight="13.8"/>
  <cols>
    <col min="1" max="16384" width="8.88671875" style="18"/>
  </cols>
  <sheetData>
    <row r="1" spans="1:3" ht="28.8">
      <c r="A1" s="31" t="s">
        <v>28</v>
      </c>
      <c r="B1" s="20" t="s">
        <v>609</v>
      </c>
      <c r="C1" s="20" t="s">
        <v>666</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codeName="Sheet343">
    <tabColor rgb="FFFFC000"/>
  </sheetPr>
  <dimension ref="A1:C9"/>
  <sheetViews>
    <sheetView workbookViewId="0">
      <selection activeCell="I16" sqref="I16"/>
    </sheetView>
  </sheetViews>
  <sheetFormatPr defaultRowHeight="13.8"/>
  <cols>
    <col min="1" max="16384" width="8.88671875" style="18"/>
  </cols>
  <sheetData>
    <row r="1" spans="1:3" ht="28.8">
      <c r="A1" s="31" t="s">
        <v>28</v>
      </c>
      <c r="B1" s="20" t="s">
        <v>609</v>
      </c>
      <c r="C1" s="20" t="s">
        <v>666</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1" t="s">
        <v>204</v>
      </c>
      <c r="B9" s="21">
        <f>ROUND(SUM(B2:B8),2)</f>
        <v>0</v>
      </c>
      <c r="C9" s="21">
        <f>ROUND(SUM(C2:C8),2)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codeName="Sheet344">
    <tabColor rgb="FFFFC000"/>
  </sheetPr>
  <dimension ref="A1:C8"/>
  <sheetViews>
    <sheetView workbookViewId="0">
      <selection activeCell="B8" sqref="B8:C8"/>
    </sheetView>
  </sheetViews>
  <sheetFormatPr defaultRowHeight="13.8"/>
  <cols>
    <col min="1" max="16384" width="8.88671875" style="18"/>
  </cols>
  <sheetData>
    <row r="1" spans="1:3" ht="28.8">
      <c r="A1" s="31" t="s">
        <v>28</v>
      </c>
      <c r="B1" s="20" t="s">
        <v>609</v>
      </c>
      <c r="C1" s="20" t="s">
        <v>666</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1" t="s">
        <v>204</v>
      </c>
      <c r="B8" s="21">
        <f>ROUND(SUM(B2:B7),2)</f>
        <v>0</v>
      </c>
      <c r="C8" s="21">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codeName="Sheet345">
    <tabColor rgb="FFFFC000"/>
  </sheetPr>
  <dimension ref="A1:D9"/>
  <sheetViews>
    <sheetView workbookViewId="0">
      <selection activeCell="M24" sqref="M24"/>
    </sheetView>
  </sheetViews>
  <sheetFormatPr defaultRowHeight="13.8"/>
  <cols>
    <col min="1" max="16384" width="8.88671875" style="18"/>
  </cols>
  <sheetData>
    <row r="1" spans="1:4" ht="28.8">
      <c r="A1" s="31" t="s">
        <v>28</v>
      </c>
      <c r="B1" s="20" t="s">
        <v>609</v>
      </c>
      <c r="C1" s="20" t="s">
        <v>666</v>
      </c>
    </row>
    <row r="2" spans="1:4" ht="14.4">
      <c r="A2" s="379"/>
      <c r="B2" s="281"/>
      <c r="C2" s="281"/>
    </row>
    <row r="3" spans="1:4" ht="14.4">
      <c r="A3" s="379"/>
      <c r="B3" s="281"/>
      <c r="C3" s="281"/>
    </row>
    <row r="4" spans="1:4" ht="14.4">
      <c r="A4" s="379"/>
      <c r="B4" s="281"/>
      <c r="C4" s="281"/>
    </row>
    <row r="5" spans="1:4" ht="14.4">
      <c r="A5" s="379"/>
      <c r="B5" s="281"/>
      <c r="C5" s="281"/>
    </row>
    <row r="6" spans="1:4" ht="14.4">
      <c r="A6" s="379"/>
      <c r="B6" s="281"/>
      <c r="C6" s="281"/>
    </row>
    <row r="7" spans="1:4" ht="14.4">
      <c r="A7" s="379"/>
      <c r="B7" s="281"/>
      <c r="C7" s="281"/>
    </row>
    <row r="8" spans="1:4" ht="14.4">
      <c r="A8" s="379"/>
      <c r="B8" s="281"/>
      <c r="C8" s="281"/>
    </row>
    <row r="9" spans="1:4" ht="14.4">
      <c r="A9" s="31" t="s">
        <v>204</v>
      </c>
      <c r="B9" s="21">
        <f>ROUND(SUM(B2:B8),2)</f>
        <v>0</v>
      </c>
      <c r="C9" s="21">
        <f>ROUND(SUM(C2:C8),2)</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codeName="Sheet346">
    <tabColor rgb="FFFFC000"/>
  </sheetPr>
  <dimension ref="A1:C32"/>
  <sheetViews>
    <sheetView workbookViewId="0">
      <selection activeCell="E29" sqref="E29"/>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5463</v>
      </c>
      <c r="B1" s="233" t="s">
        <v>5464</v>
      </c>
      <c r="C1" s="233" t="s">
        <v>5465</v>
      </c>
    </row>
    <row r="2" spans="1:3">
      <c r="A2" s="23" t="s">
        <v>732</v>
      </c>
      <c r="B2" s="234">
        <f>ROUND(利润表!B42,2)</f>
        <v>246130378.22999999</v>
      </c>
      <c r="C2" s="234">
        <f>ROUND(利润表!C42,2)</f>
        <v>286220514.49000001</v>
      </c>
    </row>
    <row r="3" spans="1:3">
      <c r="A3" s="23" t="s">
        <v>1667</v>
      </c>
      <c r="B3" s="234">
        <f>ROUND(-利润表!B34,2)</f>
        <v>20045068.129999999</v>
      </c>
      <c r="C3" s="234">
        <f>ROUND(-利润表!C34,2)</f>
        <v>-20045068.129999999</v>
      </c>
    </row>
    <row r="4" spans="1:3">
      <c r="A4" s="23" t="s">
        <v>1668</v>
      </c>
      <c r="B4" s="234">
        <f>ROUND(-利润表!B33,2)</f>
        <v>0</v>
      </c>
      <c r="C4" s="234">
        <f>ROUND(-利润表!C33,2)</f>
        <v>0</v>
      </c>
    </row>
    <row r="5" spans="1:3">
      <c r="A5" s="23" t="s">
        <v>1671</v>
      </c>
      <c r="B5" s="234">
        <f>ROUND(固定资产情况!F16,2)</f>
        <v>0</v>
      </c>
      <c r="C5" s="312"/>
    </row>
    <row r="6" spans="1:3">
      <c r="A6" s="23" t="s">
        <v>1672</v>
      </c>
      <c r="B6" s="234">
        <f>ROUND(使用权资产!E15,2)</f>
        <v>0</v>
      </c>
      <c r="C6" s="312"/>
    </row>
    <row r="7" spans="1:3">
      <c r="A7" s="23" t="s">
        <v>1674</v>
      </c>
      <c r="B7" s="234">
        <f>ROUND(生产性生物资产!F15,2)</f>
        <v>0</v>
      </c>
      <c r="C7" s="312"/>
    </row>
    <row r="8" spans="1:3">
      <c r="A8" s="23" t="s">
        <v>1673</v>
      </c>
      <c r="B8" s="234">
        <f>ROUND(采用成本计量模式的投资性房地产上市公司!D16,2)</f>
        <v>0</v>
      </c>
      <c r="C8" s="312"/>
    </row>
    <row r="9" spans="1:3">
      <c r="A9" s="23" t="s">
        <v>733</v>
      </c>
      <c r="B9" s="234">
        <f>ROUND(无形资产!F17,2)</f>
        <v>0</v>
      </c>
      <c r="C9" s="312"/>
    </row>
    <row r="10" spans="1:3">
      <c r="A10" s="23" t="s">
        <v>734</v>
      </c>
      <c r="B10" s="234">
        <f>ROUND(长期待摊费用!D10,2)</f>
        <v>0</v>
      </c>
      <c r="C10" s="312"/>
    </row>
    <row r="11" spans="1:3">
      <c r="A11" s="23" t="s">
        <v>1669</v>
      </c>
      <c r="B11" s="234">
        <f>ROUND(-利润表!B35,2)</f>
        <v>-3131735.07</v>
      </c>
      <c r="C11" s="234">
        <f>ROUND(-利润表!C35,2)</f>
        <v>-3131735.07</v>
      </c>
    </row>
    <row r="12" spans="1:3">
      <c r="A12" s="23" t="s">
        <v>1670</v>
      </c>
      <c r="B12" s="234">
        <f>ROUND(_xlfn.IFNA(-VLOOKUP("非流动资产毁损报废利得",营业外收入!A:B,2,0)+VLOOKUP("非流动资产毁损报废损失",营业外支出!A:B,2,0),0),2)</f>
        <v>0</v>
      </c>
      <c r="C12" s="312"/>
    </row>
    <row r="13" spans="1:3">
      <c r="A13" s="23" t="s">
        <v>735</v>
      </c>
      <c r="B13" s="234">
        <f>ROUND(-利润表!B32,2)</f>
        <v>0</v>
      </c>
      <c r="C13" s="312"/>
    </row>
    <row r="14" spans="1:3">
      <c r="A14" s="23" t="s">
        <v>736</v>
      </c>
      <c r="B14" s="234">
        <f>ROUND(SUM(-财务费用分类表!B2,-财务费用分类表!B3,财务费用分类表!B7,财务费用分类表!B8,财务费用分类表!B9,财务费用!B8)-财务费用!B3,2)</f>
        <v>0</v>
      </c>
      <c r="C14" s="312"/>
    </row>
    <row r="15" spans="1:3">
      <c r="A15" s="23" t="s">
        <v>737</v>
      </c>
      <c r="B15" s="234">
        <f>ROUND(-利润表!B27,2)</f>
        <v>-246513625.72</v>
      </c>
      <c r="C15" s="312"/>
    </row>
    <row r="16" spans="1:3">
      <c r="A16" s="23" t="s">
        <v>738</v>
      </c>
      <c r="B16" s="234">
        <f>ROUND(资产表!C50-资产表!B50,2)</f>
        <v>0</v>
      </c>
      <c r="C16" s="312"/>
    </row>
    <row r="17" spans="1:3">
      <c r="A17" s="23" t="s">
        <v>739</v>
      </c>
      <c r="B17" s="234">
        <f>ROUND(负债表!B42-负债表!C42,2)</f>
        <v>0</v>
      </c>
      <c r="C17" s="312"/>
    </row>
    <row r="18" spans="1:3">
      <c r="A18" s="23" t="s">
        <v>740</v>
      </c>
      <c r="B18" s="355">
        <f>ROUND(存货成本倒闸表!B32,2)</f>
        <v>0</v>
      </c>
      <c r="C18" s="312"/>
    </row>
    <row r="19" spans="1:3">
      <c r="A19" s="23" t="s">
        <v>741</v>
      </c>
      <c r="B19" s="355">
        <f>ROUND(现金流补充资料计算!C2,2)</f>
        <v>0</v>
      </c>
      <c r="C19" s="312"/>
    </row>
    <row r="20" spans="1:3">
      <c r="A20" s="23" t="s">
        <v>742</v>
      </c>
      <c r="B20" s="355">
        <f>ROUND(现金流补充资料计算!C34,2)</f>
        <v>0</v>
      </c>
      <c r="C20" s="312"/>
    </row>
    <row r="21" spans="1:3">
      <c r="A21" s="23" t="s">
        <v>202</v>
      </c>
      <c r="B21" s="355">
        <f>ROUND(现金流补充资料计算!C77,2)</f>
        <v>0</v>
      </c>
      <c r="C21" s="312"/>
    </row>
    <row r="22" spans="1:3">
      <c r="A22" s="23" t="s">
        <v>743</v>
      </c>
      <c r="B22" s="234">
        <f>ROUND(SUM(B2:B21),2)</f>
        <v>16530085.57</v>
      </c>
      <c r="C22" s="234">
        <f>ROUND(SUM(C2:C21),2)</f>
        <v>263043711.28999999</v>
      </c>
    </row>
    <row r="23" spans="1:3">
      <c r="A23" s="625"/>
      <c r="B23" s="355"/>
      <c r="C23" s="355"/>
    </row>
    <row r="24" spans="1:3">
      <c r="A24" s="625"/>
      <c r="B24" s="355"/>
      <c r="C24" s="355"/>
    </row>
    <row r="25" spans="1:3">
      <c r="A25" s="625"/>
      <c r="B25" s="355"/>
      <c r="C25" s="355"/>
    </row>
    <row r="26" spans="1:3">
      <c r="A26" s="625"/>
      <c r="B26" s="355"/>
      <c r="C26" s="355"/>
    </row>
    <row r="27" spans="1:3">
      <c r="A27" s="625"/>
      <c r="B27" s="355"/>
      <c r="C27" s="355"/>
    </row>
    <row r="28" spans="1:3">
      <c r="A28" s="625"/>
      <c r="B28" s="355"/>
      <c r="C28" s="355"/>
    </row>
    <row r="29" spans="1:3">
      <c r="A29" s="625"/>
      <c r="B29" s="355"/>
      <c r="C29" s="355"/>
    </row>
    <row r="30" spans="1:3">
      <c r="A30" s="625"/>
      <c r="B30" s="355"/>
      <c r="C30" s="355"/>
    </row>
    <row r="31" spans="1:3">
      <c r="A31" s="625"/>
      <c r="B31" s="355"/>
      <c r="C31" s="355"/>
    </row>
    <row r="32" spans="1:3">
      <c r="A32" s="625"/>
      <c r="B32" s="355"/>
      <c r="C32" s="355"/>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56B5-C95C-48A9-99F1-41F923AA6C2A}">
  <sheetPr codeName="Sheet347">
    <tabColor rgb="FFFFC000"/>
  </sheetPr>
  <dimension ref="A1:C5"/>
  <sheetViews>
    <sheetView workbookViewId="0">
      <selection activeCell="B5" sqref="B5:C5"/>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3" t="s">
        <v>609</v>
      </c>
      <c r="C1" s="233" t="s">
        <v>666</v>
      </c>
    </row>
    <row r="2" spans="1:3">
      <c r="A2" s="23" t="s">
        <v>744</v>
      </c>
      <c r="B2" s="234"/>
      <c r="C2" s="234"/>
    </row>
    <row r="3" spans="1:3">
      <c r="A3" s="23" t="s">
        <v>745</v>
      </c>
      <c r="B3" s="234"/>
      <c r="C3" s="234"/>
    </row>
    <row r="4" spans="1:3">
      <c r="A4" s="23" t="s">
        <v>746</v>
      </c>
      <c r="B4" s="234"/>
      <c r="C4" s="234"/>
    </row>
    <row r="5" spans="1:3">
      <c r="A5" s="625" t="s">
        <v>282</v>
      </c>
      <c r="B5" s="1">
        <f>ROUND(SUM(B2:B4),2)</f>
        <v>0</v>
      </c>
      <c r="C5" s="1">
        <f>ROUND(SUM(C2:C4),2)</f>
        <v>0</v>
      </c>
    </row>
  </sheetData>
  <phoneticPr fontId="1"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B28-0AB6-47A3-8BBD-F19AB46235FE}">
  <sheetPr codeName="Sheet348">
    <tabColor rgb="FFFFC000"/>
  </sheetPr>
  <dimension ref="A1:C6"/>
  <sheetViews>
    <sheetView workbookViewId="0">
      <selection activeCell="B16" sqref="B16"/>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3" t="s">
        <v>609</v>
      </c>
      <c r="C1" s="233" t="s">
        <v>666</v>
      </c>
    </row>
    <row r="2" spans="1:3">
      <c r="A2" s="23" t="s">
        <v>747</v>
      </c>
      <c r="B2" s="234" t="e">
        <f>现金流量表!B60</f>
        <v>#N/A</v>
      </c>
      <c r="C2" s="234">
        <f>ROUND(现金流量表!C60,2)</f>
        <v>0</v>
      </c>
    </row>
    <row r="3" spans="1:3">
      <c r="A3" s="23" t="s">
        <v>748</v>
      </c>
      <c r="B3" s="234">
        <f>ROUND(现金流量表!C60,2)</f>
        <v>0</v>
      </c>
      <c r="C3" s="312"/>
    </row>
    <row r="4" spans="1:3">
      <c r="A4" s="23" t="s">
        <v>749</v>
      </c>
      <c r="B4" s="234"/>
      <c r="C4" s="234"/>
    </row>
    <row r="5" spans="1:3">
      <c r="A5" s="23" t="s">
        <v>750</v>
      </c>
      <c r="B5" s="234"/>
      <c r="C5" s="234"/>
    </row>
    <row r="6" spans="1:3">
      <c r="A6" s="23" t="s">
        <v>751</v>
      </c>
      <c r="B6" s="234" t="e">
        <f>B2-B3</f>
        <v>#N/A</v>
      </c>
      <c r="C6" s="234">
        <f>ROUND(C2-C3,2)</f>
        <v>0</v>
      </c>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sheetPr codeName="Sheet349"/>
  <dimension ref="A1:H100"/>
  <sheetViews>
    <sheetView workbookViewId="0">
      <pane xSplit="1" ySplit="1" topLeftCell="B44" activePane="bottomRight" state="frozen"/>
      <selection activeCell="D22" sqref="D22"/>
      <selection pane="topRight" activeCell="D22" sqref="D22"/>
      <selection pane="bottomLeft" activeCell="D22" sqref="D22"/>
      <selection pane="bottomRight" activeCell="E63" sqref="E63"/>
    </sheetView>
  </sheetViews>
  <sheetFormatPr defaultRowHeight="13.8"/>
  <cols>
    <col min="1" max="1" width="44.21875" style="257" customWidth="1"/>
    <col min="2" max="2" width="45.5546875" style="257" customWidth="1"/>
    <col min="3" max="6" width="8.88671875" style="257"/>
    <col min="7" max="7" width="13.33203125" style="257" bestFit="1" customWidth="1"/>
    <col min="8" max="16384" width="8.88671875" style="257"/>
  </cols>
  <sheetData>
    <row r="1" spans="1:4">
      <c r="A1" s="358" t="s">
        <v>2591</v>
      </c>
      <c r="B1" s="356" t="s">
        <v>2592</v>
      </c>
      <c r="C1" s="356" t="s">
        <v>2593</v>
      </c>
      <c r="D1" s="348"/>
    </row>
    <row r="2" spans="1:4">
      <c r="A2" s="358" t="s">
        <v>2598</v>
      </c>
      <c r="B2" s="356"/>
      <c r="C2" s="357">
        <f>SUM(C3:C33)</f>
        <v>0</v>
      </c>
      <c r="D2" s="349"/>
    </row>
    <row r="3" spans="1:4">
      <c r="A3" s="353" t="s">
        <v>2599</v>
      </c>
      <c r="B3" s="348" t="s">
        <v>2600</v>
      </c>
      <c r="C3" s="350">
        <f>上期TB!H15-本期TB!H15</f>
        <v>0</v>
      </c>
      <c r="D3" s="351"/>
    </row>
    <row r="4" spans="1:4">
      <c r="A4" s="353"/>
      <c r="B4" s="348" t="s">
        <v>2601</v>
      </c>
      <c r="C4" s="350"/>
      <c r="D4" s="351"/>
    </row>
    <row r="5" spans="1:4">
      <c r="A5" s="353"/>
      <c r="B5" s="348" t="s">
        <v>2602</v>
      </c>
      <c r="C5" s="350"/>
      <c r="D5" s="351"/>
    </row>
    <row r="6" spans="1:4">
      <c r="A6" s="353"/>
      <c r="B6" s="348" t="s">
        <v>2603</v>
      </c>
      <c r="C6" s="350"/>
      <c r="D6" s="351"/>
    </row>
    <row r="7" spans="1:4">
      <c r="A7" s="353" t="s">
        <v>2604</v>
      </c>
      <c r="B7" s="348" t="s">
        <v>2605</v>
      </c>
      <c r="C7" s="350">
        <f>上期TB!H12-本期TB!H12</f>
        <v>0</v>
      </c>
      <c r="D7" s="351"/>
    </row>
    <row r="8" spans="1:4">
      <c r="A8" s="353"/>
      <c r="B8" s="348" t="s">
        <v>2606</v>
      </c>
      <c r="C8" s="350"/>
      <c r="D8" s="351"/>
    </row>
    <row r="9" spans="1:4">
      <c r="A9" s="353"/>
      <c r="B9" s="348" t="s">
        <v>2607</v>
      </c>
      <c r="C9" s="350"/>
      <c r="D9" s="351"/>
    </row>
    <row r="10" spans="1:4">
      <c r="A10" s="353"/>
      <c r="B10" s="348" t="s">
        <v>2608</v>
      </c>
      <c r="C10" s="350"/>
      <c r="D10" s="351"/>
    </row>
    <row r="11" spans="1:4">
      <c r="A11" s="353" t="s">
        <v>2609</v>
      </c>
      <c r="B11" s="348" t="s">
        <v>2610</v>
      </c>
      <c r="C11" s="350">
        <f>上期TB!H19-本期TB!H19</f>
        <v>0</v>
      </c>
      <c r="D11" s="351"/>
    </row>
    <row r="12" spans="1:4">
      <c r="A12" s="353" t="s">
        <v>2611</v>
      </c>
      <c r="B12" s="348" t="s">
        <v>2612</v>
      </c>
      <c r="C12" s="350"/>
      <c r="D12" s="351"/>
    </row>
    <row r="13" spans="1:4">
      <c r="A13" s="353" t="s">
        <v>2613</v>
      </c>
      <c r="B13" s="348" t="s">
        <v>2614</v>
      </c>
      <c r="C13" s="350">
        <f>上期TB!H29-本期TB!H29</f>
        <v>0</v>
      </c>
      <c r="D13" s="351"/>
    </row>
    <row r="14" spans="1:4">
      <c r="A14" s="353"/>
      <c r="B14" s="348" t="s">
        <v>2615</v>
      </c>
      <c r="C14" s="350"/>
      <c r="D14" s="351"/>
    </row>
    <row r="15" spans="1:4">
      <c r="A15" s="353"/>
      <c r="B15" s="348" t="s">
        <v>2616</v>
      </c>
      <c r="C15" s="350"/>
      <c r="D15" s="351"/>
    </row>
    <row r="16" spans="1:4">
      <c r="A16" s="353"/>
      <c r="B16" s="348" t="s">
        <v>2617</v>
      </c>
      <c r="C16" s="350"/>
      <c r="D16" s="351"/>
    </row>
    <row r="17" spans="1:4">
      <c r="A17" s="353"/>
      <c r="B17" s="348" t="s">
        <v>2618</v>
      </c>
      <c r="C17" s="350"/>
      <c r="D17" s="351"/>
    </row>
    <row r="18" spans="1:4">
      <c r="A18" s="353"/>
      <c r="B18" s="348" t="s">
        <v>2619</v>
      </c>
      <c r="C18" s="350"/>
      <c r="D18" s="351"/>
    </row>
    <row r="19" spans="1:4">
      <c r="A19" s="353"/>
      <c r="B19" s="348" t="s">
        <v>2620</v>
      </c>
      <c r="C19" s="350"/>
      <c r="D19" s="351"/>
    </row>
    <row r="20" spans="1:4">
      <c r="A20" s="353"/>
      <c r="B20" s="348" t="s">
        <v>2621</v>
      </c>
      <c r="C20" s="350"/>
      <c r="D20" s="351"/>
    </row>
    <row r="21" spans="1:4">
      <c r="A21" s="353" t="s">
        <v>2622</v>
      </c>
      <c r="B21" s="348" t="s">
        <v>2623</v>
      </c>
      <c r="C21" s="350">
        <f>上期TB!H68-本期TB!H68</f>
        <v>0</v>
      </c>
      <c r="D21" s="351"/>
    </row>
    <row r="22" spans="1:4">
      <c r="A22" s="353"/>
      <c r="B22" s="348" t="s">
        <v>2624</v>
      </c>
      <c r="C22" s="350"/>
      <c r="D22" s="351"/>
    </row>
    <row r="23" spans="1:4">
      <c r="A23" s="353"/>
      <c r="B23" s="348" t="s">
        <v>2625</v>
      </c>
      <c r="C23" s="350"/>
      <c r="D23" s="351"/>
    </row>
    <row r="24" spans="1:4">
      <c r="A24" s="353"/>
      <c r="B24" s="348" t="s">
        <v>2626</v>
      </c>
      <c r="C24" s="350"/>
      <c r="D24" s="351"/>
    </row>
    <row r="25" spans="1:4">
      <c r="A25" s="353"/>
      <c r="B25" s="348" t="s">
        <v>2627</v>
      </c>
      <c r="C25" s="350"/>
      <c r="D25" s="351"/>
    </row>
    <row r="26" spans="1:4">
      <c r="A26" s="353" t="s">
        <v>2628</v>
      </c>
      <c r="B26" s="348" t="s">
        <v>2629</v>
      </c>
      <c r="C26" s="350"/>
      <c r="D26" s="351"/>
    </row>
    <row r="27" spans="1:4">
      <c r="A27" s="353" t="s">
        <v>2630</v>
      </c>
      <c r="B27" s="348" t="s">
        <v>2631</v>
      </c>
      <c r="C27" s="350"/>
      <c r="D27" s="351"/>
    </row>
    <row r="28" spans="1:4">
      <c r="A28" s="353" t="s">
        <v>2632</v>
      </c>
      <c r="B28" s="348" t="s">
        <v>2633</v>
      </c>
      <c r="C28" s="350"/>
      <c r="D28" s="351"/>
    </row>
    <row r="29" spans="1:4" ht="21.6">
      <c r="A29" s="353" t="s">
        <v>2634</v>
      </c>
      <c r="B29" s="348" t="s">
        <v>2635</v>
      </c>
      <c r="C29" s="350"/>
      <c r="D29" s="351"/>
    </row>
    <row r="30" spans="1:4" ht="21.6">
      <c r="A30" s="353" t="s">
        <v>2636</v>
      </c>
      <c r="B30" s="348" t="s">
        <v>2637</v>
      </c>
      <c r="C30" s="350"/>
      <c r="D30" s="351"/>
    </row>
    <row r="31" spans="1:4">
      <c r="A31" s="353" t="s">
        <v>2638</v>
      </c>
      <c r="B31" s="348" t="s">
        <v>2639</v>
      </c>
      <c r="C31" s="630">
        <f>资产表!C25-资产表!B25</f>
        <v>0</v>
      </c>
      <c r="D31" s="351"/>
    </row>
    <row r="32" spans="1:4">
      <c r="A32" s="353" t="s">
        <v>2640</v>
      </c>
      <c r="B32" s="348" t="s">
        <v>2641</v>
      </c>
      <c r="C32" s="630">
        <f>受限制的货币资金!C9-受限制的货币资金!B9</f>
        <v>0</v>
      </c>
      <c r="D32" s="351"/>
    </row>
    <row r="33" spans="1:4">
      <c r="A33" s="353" t="s">
        <v>2642</v>
      </c>
      <c r="B33" s="348" t="s">
        <v>2643</v>
      </c>
      <c r="C33" s="350"/>
      <c r="D33" s="351"/>
    </row>
    <row r="34" spans="1:4">
      <c r="A34" s="358" t="s">
        <v>2644</v>
      </c>
      <c r="B34" s="356"/>
      <c r="C34" s="357">
        <f>SUM(C35:C76)</f>
        <v>0</v>
      </c>
      <c r="D34" s="349"/>
    </row>
    <row r="35" spans="1:4">
      <c r="A35" s="353" t="s">
        <v>2645</v>
      </c>
      <c r="B35" s="348" t="s">
        <v>2646</v>
      </c>
      <c r="C35" s="350">
        <f>负债表!B10-负债表!C10</f>
        <v>0</v>
      </c>
      <c r="D35" s="351"/>
    </row>
    <row r="36" spans="1:4">
      <c r="A36" s="353"/>
      <c r="B36" s="348" t="s">
        <v>2647</v>
      </c>
      <c r="C36" s="350"/>
      <c r="D36" s="351"/>
    </row>
    <row r="37" spans="1:4">
      <c r="A37" s="353"/>
      <c r="B37" s="348" t="s">
        <v>2648</v>
      </c>
      <c r="C37" s="350"/>
      <c r="D37" s="351"/>
    </row>
    <row r="38" spans="1:4">
      <c r="A38" s="353" t="s">
        <v>2649</v>
      </c>
      <c r="B38" s="348" t="s">
        <v>785</v>
      </c>
      <c r="C38" s="350">
        <f>负债表!B9-负债表!C9</f>
        <v>0</v>
      </c>
      <c r="D38" s="351"/>
    </row>
    <row r="39" spans="1:4">
      <c r="A39" s="353"/>
      <c r="B39" s="348" t="s">
        <v>2647</v>
      </c>
      <c r="C39" s="350"/>
      <c r="D39" s="351"/>
    </row>
    <row r="40" spans="1:4">
      <c r="A40" s="353"/>
      <c r="B40" s="348" t="s">
        <v>2650</v>
      </c>
      <c r="C40" s="350"/>
      <c r="D40" s="351"/>
    </row>
    <row r="41" spans="1:4">
      <c r="A41" s="353"/>
      <c r="B41" s="348" t="s">
        <v>2651</v>
      </c>
      <c r="C41" s="350"/>
      <c r="D41" s="351"/>
    </row>
    <row r="42" spans="1:4">
      <c r="A42" s="353"/>
      <c r="B42" s="348" t="s">
        <v>2652</v>
      </c>
      <c r="C42" s="350"/>
      <c r="D42" s="351"/>
    </row>
    <row r="43" spans="1:4">
      <c r="A43" s="353" t="s">
        <v>2653</v>
      </c>
      <c r="B43" s="348" t="s">
        <v>2654</v>
      </c>
      <c r="C43" s="350">
        <f>负债表!B11-负债表!C11</f>
        <v>0</v>
      </c>
      <c r="D43" s="351"/>
    </row>
    <row r="44" spans="1:4">
      <c r="A44" s="353" t="s">
        <v>2655</v>
      </c>
      <c r="B44" s="348" t="s">
        <v>2656</v>
      </c>
      <c r="C44" s="350">
        <f>负债表!B21-负债表!C21</f>
        <v>0</v>
      </c>
      <c r="D44" s="351"/>
    </row>
    <row r="45" spans="1:4">
      <c r="A45" s="353"/>
      <c r="B45" s="348" t="s">
        <v>2657</v>
      </c>
      <c r="C45" s="350"/>
      <c r="D45" s="351"/>
    </row>
    <row r="46" spans="1:4">
      <c r="A46" s="353"/>
      <c r="B46" s="348" t="s">
        <v>2658</v>
      </c>
      <c r="C46" s="350"/>
      <c r="D46" s="351"/>
    </row>
    <row r="47" spans="1:4">
      <c r="A47" s="353"/>
      <c r="B47" s="348" t="s">
        <v>2659</v>
      </c>
      <c r="C47" s="350"/>
      <c r="D47" s="351"/>
    </row>
    <row r="48" spans="1:4">
      <c r="A48" s="353"/>
      <c r="B48" s="348" t="s">
        <v>2660</v>
      </c>
      <c r="C48" s="350"/>
      <c r="D48" s="351"/>
    </row>
    <row r="49" spans="1:4">
      <c r="A49" s="353" t="s">
        <v>2661</v>
      </c>
      <c r="B49" s="348" t="s">
        <v>2662</v>
      </c>
      <c r="C49" s="350">
        <f>负债表!B17-负债表!C17</f>
        <v>0</v>
      </c>
      <c r="D49" s="351"/>
    </row>
    <row r="50" spans="1:4">
      <c r="A50" s="353"/>
      <c r="B50" s="348" t="s">
        <v>2663</v>
      </c>
      <c r="C50" s="350"/>
      <c r="D50" s="351"/>
    </row>
    <row r="51" spans="1:4">
      <c r="A51" s="353"/>
      <c r="B51" s="348" t="s">
        <v>2664</v>
      </c>
      <c r="C51" s="350"/>
      <c r="D51" s="351"/>
    </row>
    <row r="52" spans="1:4">
      <c r="A52" s="353"/>
      <c r="B52" s="348" t="s">
        <v>2665</v>
      </c>
      <c r="C52" s="350"/>
      <c r="D52" s="351"/>
    </row>
    <row r="53" spans="1:4">
      <c r="A53" s="353" t="s">
        <v>2666</v>
      </c>
      <c r="B53" s="348" t="s">
        <v>2667</v>
      </c>
      <c r="C53" s="352">
        <f>负债表!B23-负债表!C23</f>
        <v>0</v>
      </c>
      <c r="D53" s="351"/>
    </row>
    <row r="54" spans="1:4">
      <c r="A54" s="353"/>
      <c r="B54" s="348" t="s">
        <v>2668</v>
      </c>
      <c r="C54" s="352"/>
      <c r="D54" s="351"/>
    </row>
    <row r="55" spans="1:4">
      <c r="A55" s="353"/>
      <c r="B55" s="348" t="s">
        <v>2669</v>
      </c>
      <c r="C55" s="352"/>
      <c r="D55" s="351"/>
    </row>
    <row r="56" spans="1:4">
      <c r="A56" s="353"/>
      <c r="B56" s="348" t="s">
        <v>2670</v>
      </c>
      <c r="C56" s="352"/>
      <c r="D56" s="351"/>
    </row>
    <row r="57" spans="1:4">
      <c r="A57" s="353"/>
      <c r="B57" s="348" t="s">
        <v>2671</v>
      </c>
      <c r="C57" s="352"/>
      <c r="D57" s="351"/>
    </row>
    <row r="58" spans="1:4">
      <c r="A58" s="353"/>
      <c r="B58" s="348" t="s">
        <v>2672</v>
      </c>
      <c r="C58" s="352"/>
      <c r="D58" s="351"/>
    </row>
    <row r="59" spans="1:4">
      <c r="A59" s="353"/>
      <c r="B59" s="348" t="s">
        <v>2673</v>
      </c>
      <c r="C59" s="352"/>
      <c r="D59" s="351"/>
    </row>
    <row r="60" spans="1:4">
      <c r="A60" s="353"/>
      <c r="B60" s="348" t="s">
        <v>2674</v>
      </c>
      <c r="C60" s="352"/>
      <c r="D60" s="351"/>
    </row>
    <row r="61" spans="1:4">
      <c r="A61" s="353" t="s">
        <v>2675</v>
      </c>
      <c r="B61" s="348" t="s">
        <v>602</v>
      </c>
      <c r="C61" s="352"/>
      <c r="D61" s="351"/>
    </row>
    <row r="62" spans="1:4">
      <c r="A62" s="353" t="s">
        <v>2676</v>
      </c>
      <c r="B62" s="348" t="s">
        <v>2677</v>
      </c>
      <c r="C62" s="352">
        <f>负债表!B29-负债表!C29</f>
        <v>0</v>
      </c>
      <c r="D62" s="351"/>
    </row>
    <row r="63" spans="1:4">
      <c r="A63" s="353"/>
      <c r="B63" s="348" t="s">
        <v>2678</v>
      </c>
      <c r="C63" s="352"/>
      <c r="D63" s="351"/>
    </row>
    <row r="64" spans="1:4">
      <c r="A64" s="353"/>
      <c r="B64" s="348" t="s">
        <v>2679</v>
      </c>
      <c r="C64" s="352"/>
      <c r="D64" s="351"/>
    </row>
    <row r="65" spans="1:4">
      <c r="A65" s="353" t="s">
        <v>2680</v>
      </c>
      <c r="B65" s="348" t="s">
        <v>2681</v>
      </c>
      <c r="C65" s="352">
        <f>负债表!B41-负债表!C41</f>
        <v>0</v>
      </c>
      <c r="D65" s="351"/>
    </row>
    <row r="66" spans="1:4">
      <c r="A66" s="353"/>
      <c r="B66" s="348" t="s">
        <v>2682</v>
      </c>
      <c r="C66" s="352"/>
      <c r="D66" s="351"/>
    </row>
    <row r="67" spans="1:4">
      <c r="A67" s="353"/>
      <c r="B67" s="348" t="s">
        <v>2683</v>
      </c>
      <c r="C67" s="352"/>
      <c r="D67" s="351"/>
    </row>
    <row r="68" spans="1:4">
      <c r="A68" s="353"/>
      <c r="B68" s="348" t="s">
        <v>2684</v>
      </c>
      <c r="C68" s="352"/>
      <c r="D68" s="351"/>
    </row>
    <row r="69" spans="1:4">
      <c r="A69" s="353" t="s">
        <v>2685</v>
      </c>
      <c r="B69" s="348" t="s">
        <v>2686</v>
      </c>
      <c r="C69" s="352"/>
      <c r="D69" s="351"/>
    </row>
    <row r="70" spans="1:4">
      <c r="A70" s="353" t="s">
        <v>1107</v>
      </c>
      <c r="B70" s="348" t="s">
        <v>2687</v>
      </c>
      <c r="C70" s="352">
        <f>负债表!B40-负债表!C40</f>
        <v>0</v>
      </c>
      <c r="D70" s="351"/>
    </row>
    <row r="71" spans="1:4">
      <c r="A71" s="353"/>
      <c r="B71" s="348" t="s">
        <v>2688</v>
      </c>
      <c r="C71" s="352"/>
      <c r="D71" s="351"/>
    </row>
    <row r="72" spans="1:4">
      <c r="A72" s="353"/>
      <c r="B72" s="348" t="s">
        <v>2689</v>
      </c>
      <c r="C72" s="352"/>
      <c r="D72" s="351"/>
    </row>
    <row r="73" spans="1:4">
      <c r="A73" s="353" t="s">
        <v>2690</v>
      </c>
      <c r="B73" s="348" t="s">
        <v>2691</v>
      </c>
      <c r="C73" s="352">
        <f>负债表!B39-负债表!C39</f>
        <v>0</v>
      </c>
      <c r="D73" s="351"/>
    </row>
    <row r="74" spans="1:4">
      <c r="A74" s="353" t="s">
        <v>2692</v>
      </c>
      <c r="B74" s="348" t="s">
        <v>2693</v>
      </c>
      <c r="C74" s="352"/>
      <c r="D74" s="351"/>
    </row>
    <row r="75" spans="1:4">
      <c r="A75" s="353" t="s">
        <v>2694</v>
      </c>
      <c r="B75" s="348" t="s">
        <v>2695</v>
      </c>
      <c r="C75" s="352"/>
      <c r="D75" s="351"/>
    </row>
    <row r="76" spans="1:4">
      <c r="A76" s="353"/>
      <c r="B76" s="348"/>
      <c r="C76" s="350"/>
      <c r="D76" s="351"/>
    </row>
    <row r="77" spans="1:4" ht="21.6">
      <c r="A77" s="358" t="s">
        <v>2696</v>
      </c>
      <c r="B77" s="356"/>
      <c r="C77" s="357">
        <f>SUM(C78:C99)</f>
        <v>0</v>
      </c>
      <c r="D77" s="349"/>
    </row>
    <row r="78" spans="1:4">
      <c r="A78" s="353" t="s">
        <v>2697</v>
      </c>
      <c r="B78" s="348" t="s">
        <v>2698</v>
      </c>
      <c r="C78" s="352"/>
      <c r="D78" s="351"/>
    </row>
    <row r="79" spans="1:4">
      <c r="A79" s="353" t="s">
        <v>2699</v>
      </c>
      <c r="B79" s="348" t="s">
        <v>2700</v>
      </c>
      <c r="C79" s="352"/>
      <c r="D79" s="351"/>
    </row>
    <row r="80" spans="1:4">
      <c r="A80" s="353" t="s">
        <v>2701</v>
      </c>
      <c r="B80" s="348" t="s">
        <v>2702</v>
      </c>
      <c r="C80" s="352"/>
      <c r="D80" s="351"/>
    </row>
    <row r="81" spans="1:8">
      <c r="A81" s="353" t="s">
        <v>2703</v>
      </c>
      <c r="B81" s="348" t="s">
        <v>2704</v>
      </c>
      <c r="C81" s="352"/>
      <c r="D81" s="351"/>
    </row>
    <row r="82" spans="1:8">
      <c r="A82" s="353" t="s">
        <v>2705</v>
      </c>
      <c r="B82" s="348" t="s">
        <v>1027</v>
      </c>
      <c r="C82" s="352"/>
      <c r="D82" s="351"/>
    </row>
    <row r="83" spans="1:8">
      <c r="A83" s="353" t="s">
        <v>2706</v>
      </c>
      <c r="B83" s="348" t="s">
        <v>2707</v>
      </c>
      <c r="C83" s="352"/>
      <c r="D83" s="351"/>
    </row>
    <row r="84" spans="1:8">
      <c r="A84" s="353"/>
      <c r="B84" s="348" t="s">
        <v>2708</v>
      </c>
      <c r="C84" s="352"/>
      <c r="D84" s="351"/>
    </row>
    <row r="85" spans="1:8">
      <c r="A85" s="353"/>
      <c r="B85" s="348" t="s">
        <v>2709</v>
      </c>
      <c r="C85" s="352"/>
      <c r="D85" s="351"/>
    </row>
    <row r="86" spans="1:8">
      <c r="A86" s="353"/>
      <c r="B86" s="348" t="s">
        <v>2710</v>
      </c>
      <c r="C86" s="352"/>
      <c r="D86" s="351"/>
    </row>
    <row r="87" spans="1:8">
      <c r="A87" s="353" t="s">
        <v>2711</v>
      </c>
      <c r="B87" s="348" t="s">
        <v>2712</v>
      </c>
      <c r="C87" s="352"/>
      <c r="D87" s="351"/>
    </row>
    <row r="88" spans="1:8">
      <c r="A88" s="353" t="s">
        <v>2713</v>
      </c>
      <c r="B88" s="348" t="s">
        <v>2714</v>
      </c>
      <c r="C88" s="352"/>
      <c r="D88" s="351"/>
      <c r="G88" s="260"/>
      <c r="H88" s="390"/>
    </row>
    <row r="89" spans="1:8">
      <c r="A89" s="353" t="s">
        <v>2715</v>
      </c>
      <c r="B89" s="348" t="s">
        <v>2716</v>
      </c>
      <c r="C89" s="352"/>
      <c r="D89" s="351"/>
      <c r="G89" s="260"/>
    </row>
    <row r="90" spans="1:8">
      <c r="A90" s="353" t="s">
        <v>2717</v>
      </c>
      <c r="B90" s="348" t="s">
        <v>2718</v>
      </c>
      <c r="C90" s="352">
        <f>处置资产校验!B40</f>
        <v>0</v>
      </c>
      <c r="D90" s="351"/>
      <c r="G90" s="260"/>
    </row>
    <row r="91" spans="1:8">
      <c r="A91" s="353"/>
      <c r="B91" s="348" t="s">
        <v>2719</v>
      </c>
      <c r="C91" s="352"/>
      <c r="D91" s="351"/>
      <c r="G91" s="260"/>
    </row>
    <row r="92" spans="1:8">
      <c r="A92" s="353" t="s">
        <v>2720</v>
      </c>
      <c r="B92" s="348" t="s">
        <v>2721</v>
      </c>
      <c r="C92" s="352">
        <f>处置资产校验!B41</f>
        <v>0</v>
      </c>
      <c r="D92" s="351"/>
      <c r="G92" s="260"/>
    </row>
    <row r="93" spans="1:8">
      <c r="A93" s="353"/>
      <c r="B93" s="348" t="s">
        <v>2722</v>
      </c>
      <c r="C93" s="352"/>
      <c r="D93" s="351"/>
    </row>
    <row r="94" spans="1:8">
      <c r="A94" s="353" t="s">
        <v>2723</v>
      </c>
      <c r="B94" s="348"/>
      <c r="C94" s="350"/>
      <c r="D94" s="351"/>
    </row>
    <row r="95" spans="1:8" ht="21.6">
      <c r="A95" s="353" t="s">
        <v>2724</v>
      </c>
      <c r="B95" s="348" t="s">
        <v>2725</v>
      </c>
      <c r="C95" s="352"/>
      <c r="D95" s="351"/>
    </row>
    <row r="96" spans="1:8">
      <c r="A96" s="353"/>
      <c r="B96" s="348" t="s">
        <v>2726</v>
      </c>
      <c r="C96" s="352"/>
      <c r="D96" s="351"/>
    </row>
    <row r="97" spans="1:4">
      <c r="A97" s="353"/>
      <c r="B97" s="348" t="s">
        <v>2727</v>
      </c>
      <c r="C97" s="352"/>
      <c r="D97" s="351"/>
    </row>
    <row r="98" spans="1:4">
      <c r="A98" s="353" t="s">
        <v>2728</v>
      </c>
      <c r="B98" s="348" t="s">
        <v>2729</v>
      </c>
      <c r="C98" s="352"/>
      <c r="D98" s="351"/>
    </row>
    <row r="99" spans="1:4">
      <c r="A99" s="353"/>
      <c r="B99" s="348" t="s">
        <v>2730</v>
      </c>
      <c r="C99" s="352"/>
      <c r="D99" s="351"/>
    </row>
    <row r="100" spans="1:4">
      <c r="A100" s="353"/>
      <c r="B100" s="348"/>
      <c r="C100" s="350"/>
      <c r="D100" s="351"/>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codeName="Sheet35">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60" t="s">
        <v>31</v>
      </c>
      <c r="B2" s="54"/>
      <c r="C2" s="54"/>
      <c r="D2" s="54"/>
      <c r="E2" s="54"/>
    </row>
    <row r="3" spans="1:5" ht="14.4">
      <c r="A3" s="61" t="s">
        <v>57</v>
      </c>
      <c r="B3" s="82"/>
      <c r="C3" s="82"/>
      <c r="D3" s="82"/>
      <c r="E3" s="82"/>
    </row>
    <row r="4" spans="1:5" ht="14.4">
      <c r="A4" s="61" t="s">
        <v>58</v>
      </c>
      <c r="B4" s="82"/>
      <c r="C4" s="82"/>
      <c r="D4" s="82"/>
      <c r="E4" s="82"/>
    </row>
    <row r="5" spans="1:5" ht="14.4">
      <c r="A5" s="61" t="s">
        <v>59</v>
      </c>
      <c r="B5" s="82"/>
      <c r="C5" s="50"/>
      <c r="D5" s="82"/>
      <c r="E5" s="82"/>
    </row>
    <row r="6" spans="1:5" ht="14.4">
      <c r="A6" s="61" t="s">
        <v>60</v>
      </c>
      <c r="B6" s="82"/>
      <c r="C6" s="82"/>
      <c r="D6" s="82"/>
      <c r="E6" s="85"/>
    </row>
    <row r="7" spans="1:5" ht="14.4">
      <c r="A7" s="61" t="s">
        <v>61</v>
      </c>
      <c r="B7" s="85"/>
      <c r="C7" s="82"/>
      <c r="D7" s="82"/>
      <c r="E7" s="82"/>
    </row>
    <row r="8" spans="1:5" ht="14.4">
      <c r="A8" s="61" t="s">
        <v>62</v>
      </c>
      <c r="B8" s="82"/>
      <c r="C8" s="50"/>
      <c r="D8" s="82"/>
      <c r="E8" s="82"/>
    </row>
    <row r="9" spans="1:5">
      <c r="A9" s="42" t="s">
        <v>13</v>
      </c>
      <c r="B9" s="50"/>
      <c r="C9" s="50"/>
      <c r="D9" s="50"/>
      <c r="E9" s="50"/>
    </row>
    <row r="10" spans="1:5">
      <c r="A10" s="42"/>
      <c r="B10" s="50"/>
      <c r="C10" s="50"/>
      <c r="D10" s="50"/>
      <c r="E10" s="50"/>
    </row>
    <row r="11" spans="1:5" ht="28.8">
      <c r="A11" s="60" t="s">
        <v>63</v>
      </c>
      <c r="B11" s="50"/>
      <c r="C11" s="50"/>
      <c r="D11" s="50"/>
      <c r="E11" s="50"/>
    </row>
    <row r="12" spans="1:5" ht="14.4">
      <c r="A12" s="61" t="s">
        <v>64</v>
      </c>
      <c r="B12" s="85"/>
      <c r="C12" s="82"/>
      <c r="D12" s="82"/>
      <c r="E12" s="82"/>
    </row>
    <row r="13" spans="1:5">
      <c r="A13" s="42" t="s">
        <v>13</v>
      </c>
      <c r="B13" s="50"/>
      <c r="C13" s="50"/>
      <c r="D13" s="50"/>
      <c r="E13" s="50"/>
    </row>
    <row r="14" spans="1:5">
      <c r="A14" s="42"/>
      <c r="B14" s="50"/>
      <c r="C14" s="50"/>
      <c r="D14" s="50"/>
      <c r="E14" s="50"/>
    </row>
    <row r="15" spans="1:5" ht="14.4">
      <c r="A15" s="60" t="s">
        <v>65</v>
      </c>
      <c r="B15" s="50"/>
      <c r="C15" s="50"/>
      <c r="D15" s="50"/>
      <c r="E15" s="50"/>
    </row>
    <row r="16" spans="1:5" ht="14.4">
      <c r="A16" s="61" t="s">
        <v>66</v>
      </c>
      <c r="B16" s="50"/>
      <c r="C16" s="82"/>
      <c r="D16" s="82"/>
      <c r="E16" s="82"/>
    </row>
    <row r="17" spans="1:5">
      <c r="A17" s="55" t="s">
        <v>13</v>
      </c>
      <c r="B17" s="82"/>
      <c r="C17" s="82"/>
      <c r="D17" s="82"/>
      <c r="E17" s="82"/>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codeName="Sheet350">
    <tabColor rgb="FFFFC000"/>
  </sheetPr>
  <dimension ref="A1:B11"/>
  <sheetViews>
    <sheetView workbookViewId="0">
      <selection activeCell="B11" sqref="B11"/>
    </sheetView>
  </sheetViews>
  <sheetFormatPr defaultRowHeight="13.8"/>
  <cols>
    <col min="1" max="1" width="52.5546875" style="18" customWidth="1"/>
    <col min="2" max="16384" width="8.88671875" style="18"/>
  </cols>
  <sheetData>
    <row r="1" spans="1:2">
      <c r="A1" s="27" t="s">
        <v>28</v>
      </c>
      <c r="B1" s="24" t="s">
        <v>4233</v>
      </c>
    </row>
    <row r="2" spans="1:2">
      <c r="A2" s="26" t="s">
        <v>752</v>
      </c>
      <c r="B2" s="234"/>
    </row>
    <row r="3" spans="1:2">
      <c r="A3" s="28" t="s">
        <v>753</v>
      </c>
      <c r="B3" s="234"/>
    </row>
    <row r="4" spans="1:2">
      <c r="A4" s="26" t="s">
        <v>755</v>
      </c>
      <c r="B4" s="234"/>
    </row>
    <row r="5" spans="1:2">
      <c r="A5" s="26" t="s">
        <v>754</v>
      </c>
      <c r="B5" s="234"/>
    </row>
    <row r="6" spans="1:2">
      <c r="A6" s="29" t="s">
        <v>753</v>
      </c>
      <c r="B6" s="234"/>
    </row>
    <row r="7" spans="1:2">
      <c r="A7" s="30" t="s">
        <v>755</v>
      </c>
      <c r="B7" s="234"/>
    </row>
    <row r="8" spans="1:2">
      <c r="A8" s="26" t="s">
        <v>756</v>
      </c>
      <c r="B8" s="234"/>
    </row>
    <row r="9" spans="1:2">
      <c r="A9" s="28" t="s">
        <v>753</v>
      </c>
      <c r="B9" s="234"/>
    </row>
    <row r="10" spans="1:2">
      <c r="A10" s="30" t="s">
        <v>755</v>
      </c>
      <c r="B10" s="234"/>
    </row>
    <row r="11" spans="1:2">
      <c r="A11" s="26" t="s">
        <v>757</v>
      </c>
      <c r="B11" s="234">
        <f>ROUND(B2-B5+B8,2)</f>
        <v>0</v>
      </c>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codeName="Sheet351">
    <tabColor rgb="FFFFC000"/>
  </sheetPr>
  <dimension ref="A1:B11"/>
  <sheetViews>
    <sheetView workbookViewId="0">
      <selection activeCell="B20" sqref="B20"/>
    </sheetView>
  </sheetViews>
  <sheetFormatPr defaultRowHeight="13.8"/>
  <cols>
    <col min="1" max="1" width="72.109375" style="18" customWidth="1"/>
    <col min="2" max="2" width="8.88671875" style="1"/>
    <col min="3" max="16384" width="8.88671875" style="18"/>
  </cols>
  <sheetData>
    <row r="1" spans="1:2">
      <c r="A1" s="27" t="s">
        <v>28</v>
      </c>
      <c r="B1" s="233" t="s">
        <v>609</v>
      </c>
    </row>
    <row r="2" spans="1:2">
      <c r="A2" s="26" t="s">
        <v>758</v>
      </c>
      <c r="B2" s="312"/>
    </row>
    <row r="3" spans="1:2">
      <c r="A3" s="28" t="s">
        <v>753</v>
      </c>
      <c r="B3" s="312"/>
    </row>
    <row r="4" spans="1:2">
      <c r="A4" s="26" t="s">
        <v>755</v>
      </c>
      <c r="B4" s="312"/>
    </row>
    <row r="5" spans="1:2">
      <c r="A5" s="26" t="s">
        <v>759</v>
      </c>
      <c r="B5" s="312"/>
    </row>
    <row r="6" spans="1:2">
      <c r="A6" s="29" t="s">
        <v>753</v>
      </c>
      <c r="B6" s="312"/>
    </row>
    <row r="7" spans="1:2">
      <c r="A7" s="30" t="s">
        <v>755</v>
      </c>
      <c r="B7" s="312"/>
    </row>
    <row r="8" spans="1:2">
      <c r="A8" s="23" t="s">
        <v>760</v>
      </c>
      <c r="B8" s="312"/>
    </row>
    <row r="9" spans="1:2">
      <c r="A9" s="28" t="s">
        <v>753</v>
      </c>
      <c r="B9" s="312"/>
    </row>
    <row r="10" spans="1:2">
      <c r="A10" s="30" t="s">
        <v>755</v>
      </c>
      <c r="B10" s="312"/>
    </row>
    <row r="11" spans="1:2">
      <c r="A11" s="26" t="s">
        <v>761</v>
      </c>
      <c r="B11" s="234">
        <f>ROUND(B2-B5+B8,2)</f>
        <v>0</v>
      </c>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codeName="Sheet352">
    <tabColor rgb="FFFFC000"/>
  </sheetPr>
  <dimension ref="A1:C12"/>
  <sheetViews>
    <sheetView workbookViewId="0">
      <selection activeCell="G23" sqref="G23"/>
    </sheetView>
  </sheetViews>
  <sheetFormatPr defaultRowHeight="13.8"/>
  <cols>
    <col min="1" max="1" width="47.6640625" style="18" customWidth="1"/>
    <col min="2" max="3" width="16.109375" style="1" bestFit="1" customWidth="1"/>
    <col min="4" max="16384" width="8.88671875" style="18"/>
  </cols>
  <sheetData>
    <row r="1" spans="1:3">
      <c r="A1" s="23" t="s">
        <v>28</v>
      </c>
      <c r="B1" s="233" t="s">
        <v>203</v>
      </c>
      <c r="C1" s="233" t="s">
        <v>285</v>
      </c>
    </row>
    <row r="2" spans="1:3">
      <c r="A2" s="23" t="s">
        <v>4237</v>
      </c>
      <c r="B2" s="234" t="e">
        <f>现金流量表!B60</f>
        <v>#N/A</v>
      </c>
      <c r="C2" s="234">
        <f>ROUND(现金流量表!C60,2)</f>
        <v>0</v>
      </c>
    </row>
    <row r="3" spans="1:3">
      <c r="A3" s="23" t="s">
        <v>762</v>
      </c>
      <c r="B3" s="234">
        <f>ROUND(本期TB!H4-受限货币资金情况!B2,2)</f>
        <v>0</v>
      </c>
      <c r="C3" s="234">
        <f>ROUND(上期TB!H4-受限货币资金情况!C2,2)</f>
        <v>0</v>
      </c>
    </row>
    <row r="4" spans="1:3">
      <c r="A4" s="23" t="s">
        <v>4135</v>
      </c>
      <c r="B4" s="234">
        <f>ROUND(本期TB!H5-受限货币资金情况!B3,2)</f>
        <v>761094784.53999996</v>
      </c>
      <c r="C4" s="234">
        <f>ROUND(上期TB!H5-受限货币资金情况!C3,2)</f>
        <v>761094784.53999996</v>
      </c>
    </row>
    <row r="5" spans="1:3">
      <c r="A5" s="23" t="s">
        <v>4136</v>
      </c>
      <c r="B5" s="234">
        <f>ROUND(本期TB!H6-受限货币资金情况!B4,2)</f>
        <v>59756235.130000003</v>
      </c>
      <c r="C5" s="234">
        <f>ROUND(上期TB!H6-受限货币资金情况!C4,2)</f>
        <v>59756235.130000003</v>
      </c>
    </row>
    <row r="6" spans="1:3">
      <c r="A6" s="23" t="s">
        <v>4137</v>
      </c>
      <c r="B6" s="312"/>
      <c r="C6" s="312"/>
    </row>
    <row r="7" spans="1:3">
      <c r="A7" s="23" t="s">
        <v>4138</v>
      </c>
      <c r="B7" s="312"/>
      <c r="C7" s="312"/>
    </row>
    <row r="8" spans="1:3">
      <c r="A8" s="23" t="s">
        <v>4139</v>
      </c>
      <c r="B8" s="312"/>
      <c r="C8" s="312"/>
    </row>
    <row r="9" spans="1:3">
      <c r="A9" s="23" t="s">
        <v>4235</v>
      </c>
      <c r="B9" s="312"/>
      <c r="C9" s="312"/>
    </row>
    <row r="10" spans="1:3">
      <c r="A10" s="23" t="s">
        <v>763</v>
      </c>
      <c r="B10" s="312"/>
      <c r="C10" s="312"/>
    </row>
    <row r="11" spans="1:3">
      <c r="A11" s="23" t="s">
        <v>4236</v>
      </c>
      <c r="B11" s="234" t="e">
        <f>B9+B2</f>
        <v>#N/A</v>
      </c>
      <c r="C11" s="234">
        <f>ROUND(C9+C2,2)</f>
        <v>0</v>
      </c>
    </row>
    <row r="12" spans="1:3">
      <c r="A12" s="23" t="s">
        <v>764</v>
      </c>
      <c r="B12" s="323"/>
      <c r="C12" s="323"/>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codeName="Sheet353">
    <tabColor rgb="FFFFC000"/>
  </sheetPr>
  <dimension ref="A1:C11"/>
  <sheetViews>
    <sheetView workbookViewId="0">
      <selection activeCell="H19" sqref="H19"/>
    </sheetView>
  </sheetViews>
  <sheetFormatPr defaultRowHeight="13.8"/>
  <cols>
    <col min="1" max="1" width="18.33203125" style="18" customWidth="1"/>
    <col min="2" max="2" width="14.5546875" style="1" customWidth="1"/>
    <col min="3" max="16384" width="8.88671875" style="18"/>
  </cols>
  <sheetData>
    <row r="1" spans="1:3" ht="14.4">
      <c r="A1" s="19" t="s">
        <v>28</v>
      </c>
      <c r="B1" s="154" t="s">
        <v>4213</v>
      </c>
      <c r="C1" s="20" t="s">
        <v>765</v>
      </c>
    </row>
    <row r="2" spans="1:3" ht="14.4">
      <c r="A2" s="269" t="s">
        <v>0</v>
      </c>
      <c r="B2" s="295">
        <f>ROUND(受限货币资金情况!B5,2)</f>
        <v>0</v>
      </c>
      <c r="C2" s="269"/>
    </row>
    <row r="3" spans="1:3" ht="14.4">
      <c r="A3" s="269" t="s">
        <v>5</v>
      </c>
      <c r="B3" s="375"/>
      <c r="C3" s="376"/>
    </row>
    <row r="4" spans="1:3" ht="14.4">
      <c r="A4" s="269" t="s">
        <v>6</v>
      </c>
      <c r="B4" s="375"/>
      <c r="C4" s="343"/>
    </row>
    <row r="5" spans="1:3" ht="14.4">
      <c r="A5" s="269" t="s">
        <v>9</v>
      </c>
      <c r="B5" s="268"/>
      <c r="C5" s="269"/>
    </row>
    <row r="6" spans="1:3" ht="14.4">
      <c r="A6" s="269" t="s">
        <v>78</v>
      </c>
      <c r="B6" s="268"/>
      <c r="C6" s="269"/>
    </row>
    <row r="7" spans="1:3" ht="14.4">
      <c r="A7" s="269" t="s">
        <v>89</v>
      </c>
      <c r="B7" s="268"/>
      <c r="C7" s="269"/>
    </row>
    <row r="8" spans="1:3" ht="14.4">
      <c r="A8" s="269" t="s">
        <v>455</v>
      </c>
      <c r="B8" s="268"/>
      <c r="C8" s="269"/>
    </row>
    <row r="9" spans="1:3" ht="14.4">
      <c r="A9" s="269" t="s">
        <v>90</v>
      </c>
      <c r="B9" s="268"/>
      <c r="C9" s="269"/>
    </row>
    <row r="10" spans="1:3" ht="14.4">
      <c r="A10" s="269" t="s">
        <v>13</v>
      </c>
      <c r="B10" s="268"/>
      <c r="C10" s="269"/>
    </row>
    <row r="11" spans="1:3" ht="14.4">
      <c r="A11" s="19" t="s">
        <v>204</v>
      </c>
      <c r="B11" s="295">
        <f>ROUND(SUM(B2:B10),2)</f>
        <v>0</v>
      </c>
      <c r="C11" s="296"/>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codeName="Sheet354">
    <tabColor rgb="FFFFFF00"/>
  </sheetPr>
  <dimension ref="A1:E21"/>
  <sheetViews>
    <sheetView workbookViewId="0">
      <selection activeCell="H15" sqref="H15"/>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4559</v>
      </c>
      <c r="C1" s="20" t="s">
        <v>4238</v>
      </c>
      <c r="D1" s="20" t="s">
        <v>766</v>
      </c>
      <c r="E1" s="154" t="s">
        <v>767</v>
      </c>
    </row>
    <row r="2" spans="1:5" ht="14.4">
      <c r="A2" s="269" t="s">
        <v>0</v>
      </c>
      <c r="B2" s="269" t="s">
        <v>4560</v>
      </c>
      <c r="C2" s="281"/>
      <c r="D2" s="281"/>
      <c r="E2" s="268">
        <f>ROUND(C2*D2,2)</f>
        <v>0</v>
      </c>
    </row>
    <row r="3" spans="1:5" ht="14.4">
      <c r="A3" s="269" t="s">
        <v>0</v>
      </c>
      <c r="B3" s="269" t="s">
        <v>2024</v>
      </c>
      <c r="C3" s="281"/>
      <c r="D3" s="281"/>
      <c r="E3" s="268">
        <f>ROUND(C3*D3,2)</f>
        <v>0</v>
      </c>
    </row>
    <row r="4" spans="1:5" ht="14.4">
      <c r="A4" s="269" t="s">
        <v>0</v>
      </c>
      <c r="B4" s="269" t="s">
        <v>4134</v>
      </c>
      <c r="C4" s="281"/>
      <c r="D4" s="281"/>
      <c r="E4" s="268">
        <f>ROUND(C4*D4,2)</f>
        <v>0</v>
      </c>
    </row>
    <row r="5" spans="1:5" ht="14.4">
      <c r="A5" s="269" t="s">
        <v>0</v>
      </c>
      <c r="B5" s="269" t="s">
        <v>13</v>
      </c>
      <c r="C5" s="281"/>
      <c r="D5" s="281"/>
      <c r="E5" s="268">
        <f>ROUND(C5*D5,2)</f>
        <v>0</v>
      </c>
    </row>
    <row r="6" spans="1:5" ht="14.4">
      <c r="A6" s="269" t="s">
        <v>9</v>
      </c>
      <c r="B6" s="269" t="s">
        <v>4560</v>
      </c>
      <c r="C6" s="281"/>
      <c r="D6" s="281"/>
      <c r="E6" s="268">
        <f>ROUND(C6*D6,2)</f>
        <v>0</v>
      </c>
    </row>
    <row r="7" spans="1:5" ht="14.4">
      <c r="A7" s="269" t="s">
        <v>9</v>
      </c>
      <c r="B7" s="269" t="s">
        <v>2024</v>
      </c>
      <c r="C7" s="281"/>
      <c r="D7" s="281"/>
      <c r="E7" s="268">
        <f>ROUND(C7*D7,2)</f>
        <v>0</v>
      </c>
    </row>
    <row r="8" spans="1:5" ht="14.4">
      <c r="A8" s="269" t="s">
        <v>9</v>
      </c>
      <c r="B8" s="269" t="s">
        <v>4134</v>
      </c>
      <c r="C8" s="281"/>
      <c r="D8" s="281"/>
      <c r="E8" s="268">
        <f>ROUND(C8*D8,2)</f>
        <v>0</v>
      </c>
    </row>
    <row r="9" spans="1:5" ht="14.4">
      <c r="A9" s="269" t="s">
        <v>9</v>
      </c>
      <c r="B9" s="269" t="s">
        <v>13</v>
      </c>
      <c r="C9" s="281"/>
      <c r="D9" s="281"/>
      <c r="E9" s="268">
        <f>ROUND(C9*D9,2)</f>
        <v>0</v>
      </c>
    </row>
    <row r="10" spans="1:5" ht="14.4">
      <c r="A10" s="269" t="s">
        <v>768</v>
      </c>
      <c r="B10" s="269" t="s">
        <v>4560</v>
      </c>
      <c r="C10" s="281"/>
      <c r="D10" s="281"/>
      <c r="E10" s="268">
        <f>ROUND(C10*D10,2)</f>
        <v>0</v>
      </c>
    </row>
    <row r="11" spans="1:5" ht="14.4">
      <c r="A11" s="269" t="s">
        <v>768</v>
      </c>
      <c r="B11" s="269" t="s">
        <v>2024</v>
      </c>
      <c r="C11" s="281"/>
      <c r="D11" s="281"/>
      <c r="E11" s="268">
        <f>ROUND(C11*D11,2)</f>
        <v>0</v>
      </c>
    </row>
    <row r="12" spans="1:5" ht="14.4">
      <c r="A12" s="269" t="s">
        <v>768</v>
      </c>
      <c r="B12" s="269" t="s">
        <v>4134</v>
      </c>
      <c r="C12" s="281"/>
      <c r="D12" s="281"/>
      <c r="E12" s="268">
        <f>ROUND(C12*D12,2)</f>
        <v>0</v>
      </c>
    </row>
    <row r="13" spans="1:5" ht="14.4">
      <c r="A13" s="269" t="s">
        <v>768</v>
      </c>
      <c r="B13" s="269" t="s">
        <v>13</v>
      </c>
      <c r="C13" s="281"/>
      <c r="D13" s="281"/>
      <c r="E13" s="268">
        <f>ROUND(C13*D13,2)</f>
        <v>0</v>
      </c>
    </row>
    <row r="14" spans="1:5" ht="14.4">
      <c r="A14" s="269" t="s">
        <v>93</v>
      </c>
      <c r="B14" s="269" t="s">
        <v>4560</v>
      </c>
      <c r="C14" s="281"/>
      <c r="D14" s="281"/>
      <c r="E14" s="268">
        <f>ROUND(C14*D14,2)</f>
        <v>0</v>
      </c>
    </row>
    <row r="15" spans="1:5" ht="14.4">
      <c r="A15" s="269" t="s">
        <v>93</v>
      </c>
      <c r="B15" s="269" t="s">
        <v>2024</v>
      </c>
      <c r="C15" s="281"/>
      <c r="D15" s="281"/>
      <c r="E15" s="268">
        <f>ROUND(C15*D15,2)</f>
        <v>0</v>
      </c>
    </row>
    <row r="16" spans="1:5" ht="14.4">
      <c r="A16" s="269" t="s">
        <v>93</v>
      </c>
      <c r="B16" s="269" t="s">
        <v>4134</v>
      </c>
      <c r="C16" s="281"/>
      <c r="D16" s="281"/>
      <c r="E16" s="268">
        <f>ROUND(C16*D16,2)</f>
        <v>0</v>
      </c>
    </row>
    <row r="17" spans="1:5" ht="14.4">
      <c r="A17" s="269" t="s">
        <v>93</v>
      </c>
      <c r="B17" s="269" t="s">
        <v>13</v>
      </c>
      <c r="C17" s="281"/>
      <c r="D17" s="281"/>
      <c r="E17" s="268">
        <f>ROUND(C17*D17,2)</f>
        <v>0</v>
      </c>
    </row>
    <row r="18" spans="1:5" ht="14.4">
      <c r="A18" s="269" t="s">
        <v>769</v>
      </c>
      <c r="B18" s="269" t="s">
        <v>4560</v>
      </c>
      <c r="C18" s="281"/>
      <c r="D18" s="281"/>
      <c r="E18" s="268">
        <f>ROUND(C18*D18,2)</f>
        <v>0</v>
      </c>
    </row>
    <row r="19" spans="1:5" ht="14.4">
      <c r="A19" s="269" t="s">
        <v>769</v>
      </c>
      <c r="B19" s="269" t="s">
        <v>2024</v>
      </c>
      <c r="C19" s="281"/>
      <c r="D19" s="281"/>
      <c r="E19" s="268">
        <f>ROUND(C19*D19,2)</f>
        <v>0</v>
      </c>
    </row>
    <row r="20" spans="1:5" ht="14.4">
      <c r="A20" s="269" t="s">
        <v>769</v>
      </c>
      <c r="B20" s="269" t="s">
        <v>4134</v>
      </c>
      <c r="C20" s="281"/>
      <c r="D20" s="281"/>
      <c r="E20" s="268">
        <f>ROUND(C20*D20,2)</f>
        <v>0</v>
      </c>
    </row>
    <row r="21" spans="1:5" ht="14.4">
      <c r="A21" s="269"/>
    </row>
  </sheetData>
  <phoneticPr fontId="1" type="noConversion"/>
  <pageMargins left="0.7" right="0.7" top="0.75" bottom="0.75" header="0.3" footer="0.3"/>
  <pageSetup paperSize="9" orientation="portrait" verticalDpi="0" r:id="rId1"/>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codeName="Sheet355">
    <tabColor rgb="FFFFC000"/>
  </sheetPr>
  <dimension ref="A1:B6"/>
  <sheetViews>
    <sheetView workbookViewId="0">
      <selection activeCell="F29" sqref="F29"/>
    </sheetView>
  </sheetViews>
  <sheetFormatPr defaultRowHeight="13.8"/>
  <cols>
    <col min="1" max="1" width="64.33203125" bestFit="1" customWidth="1"/>
  </cols>
  <sheetData>
    <row r="1" spans="1:2">
      <c r="A1" t="s">
        <v>28</v>
      </c>
      <c r="B1" t="s">
        <v>1874</v>
      </c>
    </row>
    <row r="2" spans="1:2">
      <c r="A2" t="s">
        <v>1679</v>
      </c>
      <c r="B2" s="256"/>
    </row>
    <row r="3" spans="1:2">
      <c r="A3" t="s">
        <v>1680</v>
      </c>
      <c r="B3" s="256"/>
    </row>
    <row r="4" spans="1:2">
      <c r="A4" t="s">
        <v>1681</v>
      </c>
      <c r="B4" s="256"/>
    </row>
    <row r="5" spans="1:2">
      <c r="A5" t="s">
        <v>1682</v>
      </c>
      <c r="B5" s="256"/>
    </row>
    <row r="6" spans="1:2">
      <c r="A6" t="s">
        <v>1683</v>
      </c>
      <c r="B6" s="256"/>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codeName="Sheet356">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1874</v>
      </c>
    </row>
    <row r="2" spans="1:2">
      <c r="A2" t="s">
        <v>1684</v>
      </c>
      <c r="B2" s="256"/>
    </row>
    <row r="3" spans="1:2">
      <c r="A3" t="s">
        <v>1685</v>
      </c>
      <c r="B3" s="256"/>
    </row>
    <row r="4" spans="1:2">
      <c r="A4" t="s">
        <v>1686</v>
      </c>
      <c r="B4" s="256"/>
    </row>
    <row r="5" spans="1:2">
      <c r="A5" t="s">
        <v>1687</v>
      </c>
      <c r="B5" s="256"/>
    </row>
    <row r="6" spans="1:2">
      <c r="A6" t="s">
        <v>1688</v>
      </c>
      <c r="B6" s="256"/>
    </row>
  </sheetData>
  <phoneticPr fontId="1"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codeName="Sheet357">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60" t="s">
        <v>28</v>
      </c>
      <c r="B1" t="s">
        <v>1874</v>
      </c>
    </row>
    <row r="2" spans="1:2">
      <c r="A2" t="s">
        <v>1689</v>
      </c>
      <c r="B2" s="256"/>
    </row>
    <row r="3" spans="1:2">
      <c r="A3" t="s">
        <v>1690</v>
      </c>
      <c r="B3" s="256"/>
    </row>
    <row r="4" spans="1:2">
      <c r="A4" t="s">
        <v>1691</v>
      </c>
      <c r="B4" s="256"/>
    </row>
  </sheetData>
  <phoneticPr fontId="1"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sheetPr codeName="Sheet358"/>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4705</v>
      </c>
      <c r="B1" t="s">
        <v>4706</v>
      </c>
      <c r="C1" t="s">
        <v>2384</v>
      </c>
      <c r="D1" t="s">
        <v>1708</v>
      </c>
      <c r="E1" t="s">
        <v>1710</v>
      </c>
      <c r="F1" t="s">
        <v>4707</v>
      </c>
      <c r="G1" t="s">
        <v>4708</v>
      </c>
      <c r="H1" t="s">
        <v>4709</v>
      </c>
      <c r="I1" t="s">
        <v>4710</v>
      </c>
      <c r="J1" t="s">
        <v>4711</v>
      </c>
      <c r="K1" t="s">
        <v>4712</v>
      </c>
    </row>
    <row r="2" spans="1:11">
      <c r="C2" s="277"/>
      <c r="I2" s="277"/>
      <c r="J2" s="277"/>
      <c r="K2" s="277"/>
    </row>
    <row r="3" spans="1:11">
      <c r="C3" s="277"/>
      <c r="I3" s="277"/>
      <c r="J3" s="277"/>
      <c r="K3" s="277"/>
    </row>
    <row r="4" spans="1:11">
      <c r="C4" s="277"/>
      <c r="I4" s="277"/>
      <c r="J4" s="277"/>
      <c r="K4" s="277"/>
    </row>
    <row r="5" spans="1:11">
      <c r="C5" s="277"/>
      <c r="I5" s="277"/>
      <c r="J5" s="277"/>
      <c r="K5" s="277"/>
    </row>
    <row r="6" spans="1:11">
      <c r="C6" s="277"/>
      <c r="I6" s="277"/>
      <c r="J6" s="277"/>
      <c r="K6" s="277"/>
    </row>
    <row r="7" spans="1:11">
      <c r="C7" s="277"/>
      <c r="I7" s="277"/>
      <c r="J7" s="277"/>
      <c r="K7" s="277"/>
    </row>
    <row r="8" spans="1:11">
      <c r="C8" s="277"/>
      <c r="I8" s="277"/>
      <c r="J8" s="277"/>
      <c r="K8" s="277"/>
    </row>
    <row r="9" spans="1:11">
      <c r="C9" s="277"/>
      <c r="I9" s="277"/>
      <c r="J9" s="277"/>
      <c r="K9" s="277"/>
    </row>
    <row r="10" spans="1:11">
      <c r="C10" s="277"/>
      <c r="I10" s="277"/>
      <c r="J10" s="277"/>
      <c r="K10" s="277"/>
    </row>
    <row r="11" spans="1:11">
      <c r="C11" s="277"/>
      <c r="I11" s="277"/>
      <c r="J11" s="277"/>
      <c r="K11" s="277"/>
    </row>
    <row r="12" spans="1:11">
      <c r="C12" s="277"/>
      <c r="I12" s="277"/>
      <c r="J12" s="277"/>
      <c r="K12" s="277"/>
    </row>
    <row r="13" spans="1:11">
      <c r="C13" s="277"/>
      <c r="I13" s="277"/>
      <c r="J13" s="277"/>
      <c r="K13" s="277"/>
    </row>
    <row r="14" spans="1:11">
      <c r="C14" s="277"/>
      <c r="I14" s="277"/>
      <c r="J14" s="277"/>
      <c r="K14" s="277"/>
    </row>
    <row r="15" spans="1:11">
      <c r="C15" s="277"/>
      <c r="I15" s="277"/>
      <c r="J15" s="277"/>
      <c r="K15" s="277"/>
    </row>
    <row r="16" spans="1:11">
      <c r="C16" s="277"/>
      <c r="I16" s="277"/>
      <c r="J16" s="277"/>
      <c r="K16" s="277"/>
    </row>
    <row r="17" spans="3:11">
      <c r="C17" s="277"/>
      <c r="I17" s="277"/>
      <c r="J17" s="277"/>
      <c r="K17" s="277"/>
    </row>
    <row r="18" spans="3:11">
      <c r="C18" s="277"/>
      <c r="I18" s="277"/>
      <c r="J18" s="277"/>
      <c r="K18"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sheetPr codeName="Sheet359"/>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2016</v>
      </c>
      <c r="C1" t="s">
        <v>95</v>
      </c>
      <c r="D1" t="s">
        <v>4713</v>
      </c>
      <c r="E1" t="s">
        <v>4714</v>
      </c>
      <c r="F1" t="s">
        <v>4715</v>
      </c>
      <c r="G1" t="s">
        <v>4708</v>
      </c>
      <c r="H1" t="s">
        <v>4716</v>
      </c>
      <c r="I1" t="s">
        <v>4717</v>
      </c>
      <c r="J1" t="s">
        <v>603</v>
      </c>
    </row>
    <row r="2" spans="1:10">
      <c r="A2" t="str">
        <f>IF(B2&lt;&gt;"",基础信息!$B$1,"")</f>
        <v/>
      </c>
      <c r="B2" s="277"/>
    </row>
    <row r="3" spans="1:10">
      <c r="A3" t="str">
        <f>IF(B3&lt;&gt;"",基础信息!$B$1,"")</f>
        <v/>
      </c>
      <c r="B3" s="277"/>
    </row>
    <row r="4" spans="1:10">
      <c r="A4" t="str">
        <f>IF(B4&lt;&gt;"",基础信息!$B$1,"")</f>
        <v/>
      </c>
      <c r="B4" s="277"/>
    </row>
    <row r="5" spans="1:10">
      <c r="A5" t="str">
        <f>IF(B5&lt;&gt;"",基础信息!$B$1,"")</f>
        <v/>
      </c>
      <c r="B5" s="277"/>
    </row>
    <row r="6" spans="1:10">
      <c r="A6" t="str">
        <f>IF(B6&lt;&gt;"",基础信息!$B$1,"")</f>
        <v/>
      </c>
      <c r="B6" s="277"/>
    </row>
    <row r="7" spans="1:10">
      <c r="A7" t="str">
        <f>IF(B7&lt;&gt;"",基础信息!$B$1,"")</f>
        <v/>
      </c>
      <c r="B7" s="277"/>
    </row>
    <row r="8" spans="1:10">
      <c r="A8" t="str">
        <f>IF(B8&lt;&gt;"",基础信息!$B$1,"")</f>
        <v/>
      </c>
      <c r="B8" s="277"/>
    </row>
    <row r="9" spans="1:10">
      <c r="A9" t="str">
        <f>IF(B9&lt;&gt;"",基础信息!$B$1,"")</f>
        <v/>
      </c>
      <c r="B9" s="277"/>
    </row>
    <row r="10" spans="1:10">
      <c r="A10" t="str">
        <f>IF(B10&lt;&gt;"",基础信息!$B$1,"")</f>
        <v/>
      </c>
      <c r="B10" s="277"/>
    </row>
    <row r="11" spans="1:10">
      <c r="A11" t="str">
        <f>IF(B11&lt;&gt;"",基础信息!$B$1,"")</f>
        <v/>
      </c>
      <c r="B11" s="277"/>
    </row>
    <row r="12" spans="1:10">
      <c r="A12" t="str">
        <f>IF(B12&lt;&gt;"",基础信息!$B$1,"")</f>
        <v/>
      </c>
      <c r="B12" s="277"/>
    </row>
    <row r="13" spans="1:10">
      <c r="A13" t="str">
        <f>IF(B13&lt;&gt;"",基础信息!$B$1,"")</f>
        <v/>
      </c>
      <c r="B13" s="277"/>
    </row>
    <row r="14" spans="1:10">
      <c r="A14" t="str">
        <f>IF(B14&lt;&gt;"",基础信息!$B$1,"")</f>
        <v/>
      </c>
      <c r="B14" s="277"/>
    </row>
    <row r="15" spans="1:10">
      <c r="A15" t="str">
        <f>IF(B15&lt;&gt;"",基础信息!$B$1,"")</f>
        <v/>
      </c>
      <c r="B15" s="277"/>
    </row>
    <row r="16" spans="1:10">
      <c r="A16" t="str">
        <f>IF(B16&lt;&gt;"",基础信息!$B$1,"")</f>
        <v/>
      </c>
      <c r="B16" s="277"/>
    </row>
    <row r="17" spans="1:2">
      <c r="A17" t="str">
        <f>IF(B17&lt;&gt;"",基础信息!$B$1,"")</f>
        <v/>
      </c>
      <c r="B17" s="277"/>
    </row>
    <row r="18" spans="1:2">
      <c r="A18" t="str">
        <f>IF(B18&lt;&gt;"",基础信息!$B$1,"")</f>
        <v/>
      </c>
      <c r="B18" s="277"/>
    </row>
    <row r="19" spans="1:2">
      <c r="A19" t="str">
        <f>IF(B19&lt;&gt;"",基础信息!$B$1,"")</f>
        <v/>
      </c>
      <c r="B19" s="277"/>
    </row>
    <row r="20" spans="1:2">
      <c r="A20" t="str">
        <f>IF(B20&lt;&gt;"",基础信息!$B$1,"")</f>
        <v/>
      </c>
      <c r="B20" s="277"/>
    </row>
    <row r="21" spans="1:2">
      <c r="A21" t="str">
        <f>IF(B21&lt;&gt;"",基础信息!$B$1,"")</f>
        <v/>
      </c>
      <c r="B21"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codeName="Sheet36">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4" t="s">
        <v>76</v>
      </c>
      <c r="B2" s="82"/>
      <c r="C2" s="82"/>
      <c r="D2" s="82"/>
    </row>
    <row r="3" spans="1:4" ht="28.8">
      <c r="A3" s="55" t="s">
        <v>67</v>
      </c>
      <c r="B3" s="82"/>
      <c r="C3" s="82"/>
      <c r="D3" s="82"/>
    </row>
    <row r="4" spans="1:4" ht="14.4">
      <c r="A4" s="55" t="s">
        <v>68</v>
      </c>
      <c r="B4" s="82"/>
      <c r="C4" s="82"/>
      <c r="D4" s="82"/>
    </row>
    <row r="5" spans="1:4">
      <c r="A5" s="55" t="s">
        <v>13</v>
      </c>
      <c r="B5" s="82"/>
      <c r="C5" s="82"/>
      <c r="D5" s="82"/>
    </row>
    <row r="6" spans="1:4" ht="14.4">
      <c r="A6" s="84" t="s">
        <v>75</v>
      </c>
      <c r="B6" s="82"/>
      <c r="C6" s="82"/>
      <c r="D6" s="82"/>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codeName="Sheet360">
    <tabColor rgb="FFFF0000"/>
  </sheetPr>
  <dimension ref="A1:F10"/>
  <sheetViews>
    <sheetView workbookViewId="0">
      <selection activeCell="H29" sqref="H29"/>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1692</v>
      </c>
      <c r="B1" t="s">
        <v>113</v>
      </c>
      <c r="C1" t="s">
        <v>115</v>
      </c>
      <c r="D1" t="s">
        <v>1693</v>
      </c>
      <c r="E1" t="s">
        <v>1694</v>
      </c>
      <c r="F1" t="s">
        <v>1695</v>
      </c>
    </row>
    <row r="2" spans="1:6">
      <c r="A2" s="256"/>
      <c r="B2" s="256"/>
      <c r="C2" s="256"/>
      <c r="D2" s="256"/>
      <c r="E2" s="256"/>
      <c r="F2" s="256"/>
    </row>
    <row r="3" spans="1:6">
      <c r="A3" s="256"/>
      <c r="B3" s="256"/>
      <c r="C3" s="256"/>
      <c r="D3" s="256"/>
      <c r="E3" s="256"/>
      <c r="F3" s="256"/>
    </row>
    <row r="4" spans="1:6">
      <c r="A4" s="256"/>
      <c r="B4" s="256"/>
      <c r="C4" s="256"/>
      <c r="D4" s="256"/>
      <c r="E4" s="256"/>
      <c r="F4" s="256"/>
    </row>
    <row r="5" spans="1:6">
      <c r="A5" s="256"/>
      <c r="B5" s="256"/>
      <c r="C5" s="256"/>
      <c r="D5" s="256"/>
      <c r="E5" s="256"/>
      <c r="F5" s="256"/>
    </row>
    <row r="6" spans="1:6">
      <c r="A6" s="256"/>
      <c r="B6" s="256"/>
      <c r="C6" s="256"/>
      <c r="D6" s="256"/>
      <c r="E6" s="256"/>
      <c r="F6" s="256"/>
    </row>
    <row r="7" spans="1:6">
      <c r="A7" s="256"/>
      <c r="B7" s="256"/>
      <c r="C7" s="256"/>
      <c r="D7" s="256"/>
      <c r="E7" s="256"/>
      <c r="F7" s="256"/>
    </row>
    <row r="8" spans="1:6">
      <c r="A8" s="256"/>
      <c r="B8" s="256"/>
      <c r="C8" s="256"/>
      <c r="D8" s="256"/>
      <c r="E8" s="256"/>
      <c r="F8" s="256"/>
    </row>
    <row r="9" spans="1:6">
      <c r="A9" s="256"/>
      <c r="B9" s="256"/>
      <c r="C9" s="256"/>
      <c r="D9" s="256"/>
      <c r="E9" s="256"/>
      <c r="F9" s="256"/>
    </row>
    <row r="10" spans="1:6">
      <c r="A10" s="256"/>
      <c r="B10" s="256"/>
      <c r="C10" s="256"/>
      <c r="D10" s="256"/>
      <c r="E10" s="256"/>
      <c r="F10" s="256"/>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codeName="Sheet361">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1696</v>
      </c>
      <c r="B1" t="s">
        <v>1697</v>
      </c>
    </row>
    <row r="2" spans="1:2">
      <c r="A2" s="260"/>
      <c r="B2" s="260"/>
    </row>
    <row r="3" spans="1:2">
      <c r="A3" s="260"/>
      <c r="B3" s="260"/>
    </row>
    <row r="4" spans="1:2">
      <c r="A4" s="260"/>
      <c r="B4" s="260"/>
    </row>
    <row r="5" spans="1:2">
      <c r="A5" s="260"/>
      <c r="B5" s="260"/>
    </row>
    <row r="6" spans="1:2">
      <c r="A6" s="260"/>
      <c r="B6" s="260"/>
    </row>
    <row r="7" spans="1:2">
      <c r="A7" s="260"/>
      <c r="B7" s="260"/>
    </row>
    <row r="8" spans="1:2">
      <c r="A8" s="260"/>
      <c r="B8" s="260"/>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codeName="Sheet362">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1698</v>
      </c>
      <c r="B1" t="s">
        <v>1699</v>
      </c>
      <c r="C1" t="s">
        <v>4233</v>
      </c>
      <c r="D1" t="s">
        <v>4234</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codeName="Sheet363">
    <tabColor rgb="FFFFC000"/>
  </sheetPr>
  <dimension ref="A1:D10"/>
  <sheetViews>
    <sheetView workbookViewId="0">
      <selection sqref="A1: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1698</v>
      </c>
      <c r="B1" t="s">
        <v>1699</v>
      </c>
      <c r="C1" t="s">
        <v>609</v>
      </c>
      <c r="D1" t="s">
        <v>666</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row r="10" spans="1:4">
      <c r="A10" s="256"/>
      <c r="B10" s="256"/>
      <c r="C10" s="256"/>
      <c r="D10" s="256"/>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codeName="Sheet364">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1700</v>
      </c>
      <c r="B1" t="s">
        <v>1701</v>
      </c>
      <c r="C1" t="s">
        <v>609</v>
      </c>
      <c r="D1" t="s">
        <v>666</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codeName="Sheet365">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7"/>
  </cols>
  <sheetData>
    <row r="1" spans="1:4">
      <c r="A1" t="s">
        <v>1702</v>
      </c>
      <c r="B1" t="s">
        <v>1701</v>
      </c>
      <c r="C1" t="s">
        <v>609</v>
      </c>
      <c r="D1" t="s">
        <v>666</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codeName="Sheet366">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1702</v>
      </c>
      <c r="B1" t="s">
        <v>1701</v>
      </c>
      <c r="C1" t="s">
        <v>609</v>
      </c>
      <c r="D1" t="s">
        <v>666</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codeName="Sheet367">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1703</v>
      </c>
      <c r="B1" s="32" t="s">
        <v>4250</v>
      </c>
      <c r="C1" s="20" t="s">
        <v>1708</v>
      </c>
      <c r="D1" s="20" t="s">
        <v>1710</v>
      </c>
      <c r="E1" s="32" t="s">
        <v>1706</v>
      </c>
    </row>
    <row r="2" spans="1:5" ht="14.4">
      <c r="A2" s="308"/>
      <c r="B2" s="308"/>
      <c r="C2" s="270"/>
      <c r="D2" s="270"/>
      <c r="E2" s="308" t="s">
        <v>1711</v>
      </c>
    </row>
    <row r="3" spans="1:5" ht="14.4">
      <c r="A3" s="269"/>
      <c r="B3" s="281"/>
      <c r="C3" s="282"/>
      <c r="D3" s="282"/>
      <c r="E3" s="282"/>
    </row>
    <row r="4" spans="1:5" ht="14.4">
      <c r="A4" s="269"/>
      <c r="B4" s="281"/>
      <c r="C4" s="282"/>
      <c r="D4" s="282"/>
      <c r="E4" s="282"/>
    </row>
    <row r="5" spans="1:5">
      <c r="A5" s="256"/>
      <c r="B5" s="256"/>
      <c r="C5" s="256"/>
      <c r="D5" s="256"/>
      <c r="E5" s="256"/>
    </row>
    <row r="6" spans="1:5">
      <c r="A6" s="256"/>
      <c r="B6" s="256"/>
      <c r="C6" s="256"/>
      <c r="D6" s="256"/>
      <c r="E6" s="256"/>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codeName="Sheet368">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1712</v>
      </c>
      <c r="B1" t="s">
        <v>1704</v>
      </c>
      <c r="C1" t="s">
        <v>1707</v>
      </c>
      <c r="D1" t="s">
        <v>1709</v>
      </c>
      <c r="E1" t="s">
        <v>1706</v>
      </c>
    </row>
    <row r="2" spans="1:5">
      <c r="A2" s="256"/>
      <c r="B2" s="256"/>
      <c r="C2" s="256"/>
      <c r="D2" s="256"/>
      <c r="E2" s="256"/>
    </row>
    <row r="3" spans="1:5">
      <c r="A3" s="256"/>
      <c r="B3" s="256"/>
      <c r="C3" s="256"/>
      <c r="D3" s="256"/>
      <c r="E3" s="256"/>
    </row>
    <row r="4" spans="1:5">
      <c r="A4" s="256"/>
      <c r="B4" s="256"/>
      <c r="C4" s="256"/>
      <c r="D4" s="256"/>
      <c r="E4" s="256"/>
    </row>
    <row r="5" spans="1:5">
      <c r="A5" s="256"/>
      <c r="B5" s="256"/>
      <c r="C5" s="256"/>
      <c r="D5" s="256"/>
      <c r="E5" s="256"/>
    </row>
    <row r="6" spans="1:5">
      <c r="A6" s="256"/>
      <c r="B6" s="256"/>
      <c r="C6" s="256"/>
      <c r="D6" s="256"/>
      <c r="E6" s="256"/>
    </row>
    <row r="7" spans="1:5">
      <c r="A7" s="256"/>
      <c r="B7" s="256"/>
      <c r="C7" s="256"/>
      <c r="D7" s="256"/>
      <c r="E7" s="256"/>
    </row>
    <row r="8" spans="1:5">
      <c r="A8" s="256"/>
      <c r="B8" s="256"/>
      <c r="C8" s="256"/>
      <c r="D8" s="256"/>
      <c r="E8" s="256"/>
    </row>
    <row r="9" spans="1:5">
      <c r="A9" s="256"/>
      <c r="B9" s="256"/>
      <c r="C9" s="256"/>
      <c r="D9" s="256"/>
      <c r="E9" s="256"/>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codeName="Sheet369">
    <tabColor rgb="FFFFC000"/>
  </sheetPr>
  <dimension ref="A1:E7"/>
  <sheetViews>
    <sheetView workbookViewId="0">
      <selection activeCell="L27" sqref="L27"/>
    </sheetView>
  </sheetViews>
  <sheetFormatPr defaultRowHeight="13.8"/>
  <sheetData>
    <row r="1" spans="1:5">
      <c r="A1" t="s">
        <v>1698</v>
      </c>
      <c r="B1" t="s">
        <v>1713</v>
      </c>
      <c r="C1" t="s">
        <v>1705</v>
      </c>
      <c r="D1" t="s">
        <v>404</v>
      </c>
      <c r="E1" t="s">
        <v>1874</v>
      </c>
    </row>
    <row r="2" spans="1:5">
      <c r="A2" s="256" t="s">
        <v>1714</v>
      </c>
      <c r="B2" s="256"/>
      <c r="C2" s="256"/>
      <c r="D2" s="256"/>
      <c r="E2" s="256"/>
    </row>
    <row r="3" spans="1:5">
      <c r="A3" s="256"/>
      <c r="B3" s="256"/>
      <c r="C3" s="256"/>
      <c r="D3" s="256"/>
      <c r="E3" s="256"/>
    </row>
    <row r="4" spans="1:5">
      <c r="A4" s="256"/>
      <c r="B4" s="256"/>
      <c r="C4" s="256"/>
      <c r="D4" s="256"/>
      <c r="E4" s="256"/>
    </row>
    <row r="5" spans="1:5">
      <c r="A5" s="256" t="s">
        <v>1715</v>
      </c>
      <c r="B5" s="256"/>
      <c r="C5" s="256"/>
      <c r="D5" s="256"/>
      <c r="E5" s="256"/>
    </row>
    <row r="6" spans="1:5">
      <c r="A6" s="256"/>
      <c r="B6" s="256"/>
      <c r="C6" s="256"/>
      <c r="D6" s="256"/>
      <c r="E6" s="256"/>
    </row>
    <row r="7" spans="1:5">
      <c r="A7" s="256"/>
      <c r="B7" s="256"/>
      <c r="C7" s="256"/>
      <c r="D7" s="256"/>
      <c r="E7" s="256"/>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codeName="Sheet37">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9</v>
      </c>
      <c r="B2" s="50"/>
      <c r="C2" s="50"/>
    </row>
    <row r="3" spans="1:3" ht="14.4">
      <c r="A3" s="61" t="s">
        <v>77</v>
      </c>
      <c r="B3" s="50"/>
      <c r="C3" s="50"/>
    </row>
    <row r="4" spans="1:3" ht="14.4">
      <c r="A4" s="61" t="s">
        <v>78</v>
      </c>
      <c r="B4" s="82"/>
      <c r="C4" s="82"/>
    </row>
    <row r="5" spans="1:3" ht="14.4">
      <c r="A5" s="61" t="s">
        <v>79</v>
      </c>
      <c r="B5" s="82"/>
      <c r="C5" s="82"/>
    </row>
    <row r="6" spans="1:3" ht="14.4">
      <c r="A6" s="61" t="s">
        <v>80</v>
      </c>
      <c r="B6" s="82"/>
      <c r="C6" s="82"/>
    </row>
    <row r="7" spans="1:3" ht="14.4">
      <c r="A7" s="61" t="s">
        <v>81</v>
      </c>
      <c r="B7" s="82"/>
      <c r="C7" s="82"/>
    </row>
    <row r="8" spans="1:3" ht="14.4">
      <c r="A8" s="61" t="s">
        <v>82</v>
      </c>
      <c r="B8" s="82"/>
      <c r="C8" s="82"/>
    </row>
    <row r="9" spans="1:3" ht="14.4">
      <c r="A9" s="61" t="s">
        <v>83</v>
      </c>
      <c r="B9" s="82"/>
      <c r="C9" s="82"/>
    </row>
    <row r="10" spans="1:3" ht="14.4">
      <c r="A10" s="61" t="s">
        <v>84</v>
      </c>
      <c r="B10" s="82"/>
      <c r="C10" s="82"/>
    </row>
    <row r="11" spans="1:3">
      <c r="A11" s="55" t="s">
        <v>13</v>
      </c>
      <c r="B11" s="82"/>
      <c r="C11" s="82"/>
    </row>
    <row r="12" spans="1:3" ht="14.4">
      <c r="A12" s="61" t="s">
        <v>72</v>
      </c>
      <c r="B12" s="82"/>
      <c r="C12" s="82"/>
    </row>
    <row r="13" spans="1:3" ht="14.4">
      <c r="A13" s="61" t="s">
        <v>70</v>
      </c>
      <c r="B13" s="82"/>
      <c r="C13" s="82"/>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codeName="Sheet370">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4233</v>
      </c>
      <c r="C1" t="s">
        <v>4234</v>
      </c>
    </row>
    <row r="2" spans="1:3">
      <c r="A2" s="256" t="s">
        <v>1716</v>
      </c>
      <c r="B2" s="256"/>
      <c r="C2" s="256"/>
    </row>
  </sheetData>
  <phoneticPr fontId="1"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F354-367D-4BFF-B821-41D78EDA5C6A}">
  <sheetPr codeName="Sheet371">
    <tabColor rgb="FFFFC000"/>
  </sheetPr>
  <dimension ref="A1:D10"/>
  <sheetViews>
    <sheetView workbookViewId="0">
      <selection activeCell="H22" sqref="H22"/>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1698</v>
      </c>
      <c r="B1" t="s">
        <v>1699</v>
      </c>
      <c r="C1" t="s">
        <v>609</v>
      </c>
      <c r="D1" t="s">
        <v>666</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row r="10" spans="1:4">
      <c r="A10" s="256"/>
      <c r="B10" s="256"/>
      <c r="C10" s="256"/>
      <c r="D10" s="256"/>
    </row>
  </sheetData>
  <phoneticPr fontId="1" type="noConversion"/>
  <pageMargins left="0.7" right="0.7" top="0.75" bottom="0.75" header="0.3" footer="0.3"/>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codeName="Sheet372">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1717</v>
      </c>
      <c r="B1" t="s">
        <v>1722</v>
      </c>
      <c r="C1" t="s">
        <v>214</v>
      </c>
      <c r="D1" t="s">
        <v>215</v>
      </c>
      <c r="E1" t="s">
        <v>218</v>
      </c>
      <c r="F1" t="s">
        <v>220</v>
      </c>
    </row>
    <row r="2" spans="1:6">
      <c r="A2" s="256"/>
      <c r="B2" s="256"/>
      <c r="C2" s="256"/>
      <c r="D2" s="256"/>
      <c r="E2" s="256"/>
      <c r="F2" s="256"/>
    </row>
    <row r="3" spans="1:6">
      <c r="A3" s="256" t="s">
        <v>9</v>
      </c>
      <c r="B3" s="256"/>
      <c r="C3" s="256"/>
      <c r="D3" s="256"/>
      <c r="E3" s="256"/>
      <c r="F3" s="256"/>
    </row>
    <row r="4" spans="1:6">
      <c r="A4" s="256"/>
      <c r="B4" s="256"/>
      <c r="C4" s="256"/>
      <c r="D4" s="256"/>
      <c r="E4" s="256"/>
      <c r="F4" s="256"/>
    </row>
    <row r="5" spans="1:6">
      <c r="A5" s="256" t="s">
        <v>578</v>
      </c>
      <c r="B5" s="256"/>
      <c r="C5" s="256"/>
      <c r="D5" s="256"/>
      <c r="E5" s="256"/>
      <c r="F5" s="256"/>
    </row>
    <row r="6" spans="1:6">
      <c r="A6" s="256" t="s">
        <v>88</v>
      </c>
      <c r="B6" s="256"/>
      <c r="C6" s="256"/>
      <c r="D6" s="256"/>
      <c r="E6" s="256"/>
      <c r="F6" s="256"/>
    </row>
    <row r="7" spans="1:6">
      <c r="A7" s="256"/>
      <c r="B7" s="256"/>
      <c r="C7" s="256"/>
      <c r="D7" s="256"/>
      <c r="E7" s="256"/>
      <c r="F7" s="256"/>
    </row>
    <row r="8" spans="1:6">
      <c r="A8" s="256" t="s">
        <v>578</v>
      </c>
      <c r="B8" s="256"/>
      <c r="C8" s="256"/>
      <c r="D8" s="256"/>
      <c r="E8" s="256"/>
      <c r="F8" s="256"/>
    </row>
    <row r="9" spans="1:6">
      <c r="A9" s="256" t="s">
        <v>10</v>
      </c>
      <c r="B9" s="256"/>
      <c r="C9" s="256"/>
      <c r="D9" s="256"/>
      <c r="E9" s="256"/>
      <c r="F9" s="256"/>
    </row>
    <row r="10" spans="1:6">
      <c r="A10" s="256"/>
      <c r="B10" s="256"/>
      <c r="C10" s="256"/>
      <c r="D10" s="256"/>
      <c r="E10" s="256"/>
      <c r="F10" s="256"/>
    </row>
    <row r="11" spans="1:6">
      <c r="A11" s="256" t="s">
        <v>578</v>
      </c>
      <c r="B11" s="256"/>
      <c r="C11" s="256"/>
      <c r="D11" s="256"/>
      <c r="E11" s="256"/>
      <c r="F11" s="256"/>
    </row>
    <row r="12" spans="1:6">
      <c r="A12" s="256"/>
      <c r="B12" s="256"/>
      <c r="C12" s="256"/>
      <c r="D12" s="256"/>
      <c r="E12" s="256"/>
      <c r="F12" s="256"/>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codeName="Sheet373">
    <tabColor rgb="FFFFC000"/>
  </sheetPr>
  <dimension ref="A1:E13"/>
  <sheetViews>
    <sheetView workbookViewId="0">
      <selection activeCell="G28" sqref="G28"/>
    </sheetView>
  </sheetViews>
  <sheetFormatPr defaultRowHeight="13.8"/>
  <cols>
    <col min="1" max="1" width="11.6640625" bestFit="1" customWidth="1"/>
    <col min="2" max="2" width="11.6640625" customWidth="1"/>
    <col min="3" max="6" width="13.88671875" bestFit="1" customWidth="1"/>
  </cols>
  <sheetData>
    <row r="1" spans="1:5" ht="14.4">
      <c r="A1" s="19" t="s">
        <v>1717</v>
      </c>
      <c r="B1" s="19" t="s">
        <v>1722</v>
      </c>
      <c r="C1" s="20" t="s">
        <v>203</v>
      </c>
      <c r="D1" s="20" t="s">
        <v>285</v>
      </c>
      <c r="E1" s="20"/>
    </row>
    <row r="2" spans="1:5" ht="14.4">
      <c r="A2" s="269" t="s">
        <v>1718</v>
      </c>
      <c r="B2" s="269"/>
      <c r="C2" s="282"/>
      <c r="D2" s="281"/>
      <c r="E2" s="21"/>
    </row>
    <row r="3" spans="1:5" ht="14.4">
      <c r="A3" s="269"/>
      <c r="B3" s="269"/>
      <c r="C3" s="282"/>
      <c r="D3" s="281"/>
      <c r="E3" s="21"/>
    </row>
    <row r="4" spans="1:5" ht="14.4">
      <c r="A4" s="256" t="s">
        <v>578</v>
      </c>
      <c r="B4" s="256"/>
      <c r="C4" s="282"/>
      <c r="D4" s="281"/>
      <c r="E4" s="21"/>
    </row>
    <row r="5" spans="1:5" ht="14.4">
      <c r="A5" s="269" t="s">
        <v>1719</v>
      </c>
      <c r="B5" s="269"/>
      <c r="C5" s="282"/>
      <c r="D5" s="281"/>
      <c r="E5" s="21"/>
    </row>
    <row r="6" spans="1:5" ht="14.4">
      <c r="A6" s="269"/>
      <c r="B6" s="269"/>
      <c r="C6" s="282"/>
      <c r="D6" s="281"/>
      <c r="E6" s="21"/>
    </row>
    <row r="7" spans="1:5" ht="14.4">
      <c r="A7" s="256" t="s">
        <v>578</v>
      </c>
      <c r="B7" s="256"/>
      <c r="C7" s="282"/>
      <c r="D7" s="281"/>
      <c r="E7" s="21"/>
    </row>
    <row r="8" spans="1:5" ht="14.4">
      <c r="A8" s="269" t="s">
        <v>1720</v>
      </c>
      <c r="B8" s="269"/>
      <c r="C8" s="282"/>
      <c r="D8" s="281"/>
      <c r="E8" s="21"/>
    </row>
    <row r="9" spans="1:5" ht="14.4">
      <c r="A9" s="269"/>
      <c r="B9" s="269"/>
      <c r="C9" s="282"/>
      <c r="D9" s="281"/>
      <c r="E9" s="21"/>
    </row>
    <row r="10" spans="1:5" ht="14.4">
      <c r="A10" s="256" t="s">
        <v>578</v>
      </c>
      <c r="B10" s="256"/>
      <c r="C10" s="282"/>
      <c r="D10" s="281"/>
      <c r="E10" s="21"/>
    </row>
    <row r="11" spans="1:5">
      <c r="A11" s="256" t="s">
        <v>1721</v>
      </c>
      <c r="B11" s="256"/>
      <c r="C11" s="256"/>
      <c r="D11" s="256"/>
    </row>
    <row r="12" spans="1:5">
      <c r="A12" s="256"/>
      <c r="B12" s="256"/>
      <c r="C12" s="256"/>
      <c r="D12" s="256"/>
    </row>
    <row r="13" spans="1:5">
      <c r="A13" s="256" t="s">
        <v>578</v>
      </c>
      <c r="B13" s="256"/>
      <c r="C13" s="256"/>
      <c r="D13" s="256"/>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codeName="Sheet374">
    <tabColor rgb="FFFFC000"/>
  </sheetPr>
  <dimension ref="A1:D8"/>
  <sheetViews>
    <sheetView workbookViewId="0">
      <selection activeCell="L28" activeCellId="1" sqref="K31 L28"/>
    </sheetView>
  </sheetViews>
  <sheetFormatPr defaultRowHeight="13.8"/>
  <sheetData>
    <row r="1" spans="1:4">
      <c r="A1" t="s">
        <v>1845</v>
      </c>
      <c r="B1" t="s">
        <v>125</v>
      </c>
      <c r="C1" t="s">
        <v>199</v>
      </c>
      <c r="D1" t="s">
        <v>200</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codeName="Sheet375">
    <tabColor rgb="FFFF0000"/>
  </sheetPr>
  <dimension ref="A1:I5"/>
  <sheetViews>
    <sheetView workbookViewId="0">
      <selection activeCell="I10" sqref="I10"/>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1723</v>
      </c>
      <c r="B1" t="s">
        <v>1724</v>
      </c>
      <c r="C1" t="s">
        <v>5649</v>
      </c>
      <c r="D1" t="s">
        <v>4246</v>
      </c>
      <c r="E1" t="s">
        <v>1725</v>
      </c>
      <c r="F1" t="s">
        <v>171</v>
      </c>
      <c r="G1" t="s">
        <v>1726</v>
      </c>
      <c r="H1" t="s">
        <v>1727</v>
      </c>
      <c r="I1" t="s">
        <v>4247</v>
      </c>
    </row>
    <row r="2" spans="1:9">
      <c r="A2" s="256"/>
      <c r="B2" s="256"/>
      <c r="C2" s="256"/>
      <c r="D2" s="256"/>
      <c r="E2" s="256"/>
      <c r="F2" s="256"/>
      <c r="G2" s="256"/>
      <c r="H2" s="256"/>
      <c r="I2" s="256"/>
    </row>
    <row r="3" spans="1:9">
      <c r="A3" s="256"/>
      <c r="B3" s="256"/>
      <c r="C3" s="256"/>
      <c r="D3" s="256"/>
      <c r="E3" s="256"/>
      <c r="F3" s="256"/>
      <c r="G3" s="256"/>
      <c r="H3" s="256"/>
      <c r="I3" s="256"/>
    </row>
    <row r="4" spans="1:9">
      <c r="A4" s="256"/>
      <c r="B4" s="256"/>
      <c r="C4" s="256"/>
      <c r="D4" s="256"/>
      <c r="E4" s="256"/>
      <c r="F4" s="256"/>
      <c r="G4" s="256"/>
      <c r="H4" s="256"/>
      <c r="I4" s="256"/>
    </row>
    <row r="5" spans="1:9">
      <c r="A5" s="256"/>
      <c r="B5" s="256"/>
      <c r="C5" s="256"/>
      <c r="D5" s="256"/>
      <c r="E5" s="256"/>
      <c r="F5" s="256"/>
      <c r="G5" s="256"/>
      <c r="H5" s="256"/>
      <c r="I5" s="256"/>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codeName="Sheet376">
    <tabColor rgb="FFFFC000"/>
  </sheetPr>
  <dimension ref="A1:C12"/>
  <sheetViews>
    <sheetView workbookViewId="0">
      <selection activeCell="B27" sqref="B27"/>
    </sheetView>
  </sheetViews>
  <sheetFormatPr defaultRowHeight="13.8"/>
  <cols>
    <col min="1" max="1" width="58.88671875" bestFit="1" customWidth="1"/>
    <col min="2" max="3" width="8" bestFit="1" customWidth="1"/>
  </cols>
  <sheetData>
    <row r="1" spans="1:3" ht="14.4">
      <c r="A1" s="235" t="s">
        <v>28</v>
      </c>
      <c r="B1" s="236" t="s">
        <v>186</v>
      </c>
      <c r="C1" s="236" t="s">
        <v>186</v>
      </c>
    </row>
    <row r="2" spans="1:3" ht="14.4">
      <c r="A2" s="51" t="s">
        <v>1728</v>
      </c>
      <c r="B2" s="374"/>
      <c r="C2" s="374"/>
    </row>
    <row r="3" spans="1:3" ht="14.4">
      <c r="A3" s="51" t="s">
        <v>187</v>
      </c>
      <c r="B3" s="374"/>
      <c r="C3" s="374"/>
    </row>
    <row r="4" spans="1:3" ht="14.4">
      <c r="A4" s="51" t="s">
        <v>188</v>
      </c>
      <c r="B4" s="374"/>
      <c r="C4" s="374"/>
    </row>
    <row r="5" spans="1:3" ht="14.4">
      <c r="A5" s="51" t="s">
        <v>1729</v>
      </c>
      <c r="B5" s="374"/>
      <c r="C5" s="374"/>
    </row>
    <row r="6" spans="1:3" ht="14.4">
      <c r="A6" s="51" t="s">
        <v>1730</v>
      </c>
      <c r="B6" s="374"/>
      <c r="C6" s="374"/>
    </row>
    <row r="7" spans="1:3" ht="14.4">
      <c r="A7" s="51" t="s">
        <v>1731</v>
      </c>
      <c r="B7" s="374"/>
      <c r="C7" s="374"/>
    </row>
    <row r="8" spans="1:3" ht="14.4">
      <c r="A8" s="51" t="s">
        <v>1732</v>
      </c>
      <c r="B8" s="374"/>
      <c r="C8" s="374"/>
    </row>
    <row r="9" spans="1:3" ht="14.4">
      <c r="A9" s="51" t="s">
        <v>1733</v>
      </c>
      <c r="B9" s="374"/>
      <c r="C9" s="374"/>
    </row>
    <row r="10" spans="1:3" ht="14.4">
      <c r="A10" s="51" t="s">
        <v>1734</v>
      </c>
      <c r="B10" s="374"/>
      <c r="C10" s="374"/>
    </row>
    <row r="11" spans="1:3" ht="14.4">
      <c r="A11" s="51" t="s">
        <v>1735</v>
      </c>
      <c r="B11" s="374"/>
      <c r="C11" s="374"/>
    </row>
    <row r="12" spans="1:3" ht="14.4">
      <c r="A12" s="51" t="s">
        <v>1736</v>
      </c>
      <c r="B12" s="374"/>
      <c r="C12" s="374"/>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codeName="Sheet377">
    <tabColor rgb="FFFFC000"/>
  </sheetPr>
  <dimension ref="A1:G48"/>
  <sheetViews>
    <sheetView workbookViewId="0">
      <selection activeCell="J20" sqref="J20"/>
    </sheetView>
  </sheetViews>
  <sheetFormatPr defaultRowHeight="13.8"/>
  <cols>
    <col min="1" max="1" width="32.6640625" customWidth="1"/>
    <col min="2" max="7" width="9.5546875" bestFit="1" customWidth="1"/>
  </cols>
  <sheetData>
    <row r="1" spans="1:7" ht="43.2">
      <c r="A1" s="32" t="s">
        <v>4777</v>
      </c>
      <c r="B1" s="20" t="s">
        <v>1742</v>
      </c>
      <c r="C1" s="20" t="s">
        <v>1743</v>
      </c>
      <c r="D1" s="20" t="s">
        <v>1742</v>
      </c>
      <c r="E1" s="20" t="s">
        <v>1743</v>
      </c>
      <c r="F1" s="20" t="s">
        <v>1742</v>
      </c>
      <c r="G1" s="20" t="s">
        <v>1743</v>
      </c>
    </row>
    <row r="2" spans="1:7" ht="14.4">
      <c r="A2" s="32" t="s">
        <v>1737</v>
      </c>
      <c r="B2" s="281"/>
      <c r="C2" s="281"/>
      <c r="D2" s="281"/>
      <c r="E2" s="281"/>
      <c r="F2" s="281"/>
      <c r="G2" s="281"/>
    </row>
    <row r="3" spans="1:7" ht="14.4">
      <c r="A3" s="32" t="s">
        <v>0</v>
      </c>
      <c r="B3" s="281"/>
      <c r="C3" s="281"/>
      <c r="D3" s="281"/>
      <c r="E3" s="281"/>
      <c r="F3" s="281"/>
      <c r="G3" s="281"/>
    </row>
    <row r="4" spans="1:7" ht="14.4">
      <c r="A4" s="32" t="s">
        <v>2832</v>
      </c>
      <c r="B4" s="281"/>
      <c r="C4" s="281"/>
      <c r="D4" s="281"/>
      <c r="E4" s="281"/>
      <c r="F4" s="281"/>
      <c r="G4" s="281"/>
    </row>
    <row r="5" spans="1:7" ht="14.4">
      <c r="A5" s="32" t="s">
        <v>78</v>
      </c>
      <c r="B5" s="281"/>
      <c r="C5" s="281"/>
      <c r="D5" s="281"/>
      <c r="E5" s="281"/>
      <c r="F5" s="281"/>
      <c r="G5" s="281"/>
    </row>
    <row r="6" spans="1:7" ht="14.4">
      <c r="A6" s="32" t="s">
        <v>89</v>
      </c>
      <c r="B6" s="281"/>
      <c r="C6" s="281"/>
      <c r="D6" s="281"/>
      <c r="E6" s="281"/>
      <c r="F6" s="281"/>
      <c r="G6" s="281"/>
    </row>
    <row r="7" spans="1:7" ht="14.4">
      <c r="A7" s="32" t="s">
        <v>90</v>
      </c>
      <c r="B7" s="281"/>
      <c r="C7" s="281"/>
      <c r="D7" s="281"/>
      <c r="E7" s="281"/>
      <c r="F7" s="281"/>
      <c r="G7" s="281"/>
    </row>
    <row r="8" spans="1:7" ht="14.4">
      <c r="A8" s="32" t="s">
        <v>13</v>
      </c>
      <c r="B8" s="281"/>
      <c r="C8" s="281"/>
      <c r="D8" s="281"/>
      <c r="E8" s="281"/>
      <c r="F8" s="281"/>
      <c r="G8" s="281"/>
    </row>
    <row r="9" spans="1:7" ht="14.4">
      <c r="A9" s="32" t="s">
        <v>1738</v>
      </c>
      <c r="B9" s="281"/>
      <c r="C9" s="281"/>
      <c r="D9" s="281"/>
      <c r="E9" s="281"/>
      <c r="F9" s="281"/>
      <c r="G9" s="281"/>
    </row>
    <row r="10" spans="1:7" ht="14.4">
      <c r="A10" s="32" t="s">
        <v>2834</v>
      </c>
      <c r="B10" s="281"/>
      <c r="C10" s="281"/>
      <c r="D10" s="281"/>
      <c r="E10" s="281"/>
      <c r="F10" s="281"/>
      <c r="G10" s="281"/>
    </row>
    <row r="11" spans="1:7" ht="14.4">
      <c r="A11" s="32" t="s">
        <v>2835</v>
      </c>
      <c r="B11" s="281"/>
      <c r="C11" s="281"/>
      <c r="D11" s="281"/>
      <c r="E11" s="281"/>
      <c r="F11" s="281"/>
      <c r="G11" s="281"/>
    </row>
    <row r="12" spans="1:7" ht="14.4">
      <c r="A12" s="32" t="s">
        <v>790</v>
      </c>
      <c r="B12" s="281"/>
      <c r="C12" s="281"/>
      <c r="D12" s="281"/>
      <c r="E12" s="281"/>
      <c r="F12" s="281"/>
      <c r="G12" s="281"/>
    </row>
    <row r="13" spans="1:7" ht="14.4">
      <c r="A13" s="32" t="s">
        <v>13</v>
      </c>
      <c r="B13" s="281"/>
      <c r="C13" s="281"/>
      <c r="D13" s="281"/>
      <c r="E13" s="281"/>
      <c r="F13" s="281"/>
      <c r="G13" s="281"/>
    </row>
    <row r="14" spans="1:7" ht="14.4">
      <c r="A14" s="32" t="s">
        <v>1739</v>
      </c>
      <c r="B14" s="281"/>
      <c r="C14" s="281"/>
      <c r="D14" s="281"/>
      <c r="E14" s="281"/>
      <c r="F14" s="281"/>
      <c r="G14" s="281"/>
    </row>
    <row r="15" spans="1:7" ht="14.4">
      <c r="A15" s="32" t="s">
        <v>1740</v>
      </c>
      <c r="B15" s="281"/>
      <c r="C15" s="281"/>
      <c r="D15" s="281"/>
      <c r="E15" s="281"/>
      <c r="F15" s="281"/>
      <c r="G15" s="281"/>
    </row>
    <row r="16" spans="1:7" ht="14.4">
      <c r="A16" s="32" t="s">
        <v>1741</v>
      </c>
      <c r="B16" s="281"/>
      <c r="C16" s="281"/>
      <c r="D16" s="281"/>
      <c r="E16" s="281"/>
      <c r="F16" s="281"/>
      <c r="G16" s="281"/>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codeName="Sheet378">
    <tabColor rgb="FFFFC000"/>
  </sheetPr>
  <dimension ref="A1:I6"/>
  <sheetViews>
    <sheetView workbookViewId="0">
      <selection activeCell="G1" sqref="G1"/>
    </sheetView>
  </sheetViews>
  <sheetFormatPr defaultRowHeight="13.8"/>
  <sheetData>
    <row r="1" spans="1:9" ht="72">
      <c r="A1" s="20" t="s">
        <v>1744</v>
      </c>
      <c r="B1" s="20" t="s">
        <v>1745</v>
      </c>
      <c r="C1" s="20" t="s">
        <v>1746</v>
      </c>
      <c r="D1" s="20" t="s">
        <v>164</v>
      </c>
      <c r="E1" s="20" t="s">
        <v>1747</v>
      </c>
      <c r="F1" s="20" t="s">
        <v>5650</v>
      </c>
      <c r="G1" s="20" t="s">
        <v>5651</v>
      </c>
      <c r="H1" s="20" t="s">
        <v>1748</v>
      </c>
      <c r="I1" s="20" t="s">
        <v>1749</v>
      </c>
    </row>
    <row r="2" spans="1:9">
      <c r="A2" s="304"/>
      <c r="B2" s="283"/>
      <c r="C2" s="283"/>
      <c r="D2" s="283"/>
      <c r="E2" s="283"/>
      <c r="F2" s="283"/>
      <c r="G2" s="283"/>
      <c r="H2" s="283"/>
      <c r="I2" s="283"/>
    </row>
    <row r="3" spans="1:9">
      <c r="A3" s="304"/>
      <c r="B3" s="283"/>
      <c r="C3" s="283"/>
      <c r="D3" s="283"/>
      <c r="E3" s="283"/>
      <c r="F3" s="283"/>
      <c r="G3" s="283"/>
      <c r="H3" s="283"/>
      <c r="I3" s="283"/>
    </row>
    <row r="4" spans="1:9">
      <c r="A4" s="256"/>
      <c r="B4" s="256"/>
      <c r="C4" s="256"/>
      <c r="D4" s="256"/>
      <c r="E4" s="256"/>
      <c r="F4" s="256"/>
      <c r="G4" s="256"/>
      <c r="H4" s="256"/>
      <c r="I4" s="256"/>
    </row>
    <row r="5" spans="1:9">
      <c r="A5" s="256"/>
      <c r="B5" s="256"/>
      <c r="C5" s="256"/>
      <c r="D5" s="256"/>
      <c r="E5" s="256"/>
      <c r="F5" s="256"/>
      <c r="G5" s="256"/>
      <c r="H5" s="256"/>
      <c r="I5" s="256"/>
    </row>
    <row r="6" spans="1:9">
      <c r="A6" s="256"/>
      <c r="B6" s="256"/>
      <c r="C6" s="256"/>
      <c r="D6" s="256"/>
      <c r="E6" s="256"/>
      <c r="F6" s="256"/>
      <c r="G6" s="256"/>
      <c r="H6" s="256"/>
      <c r="I6" s="256"/>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codeName="Sheet379">
    <tabColor rgb="FFFFC000"/>
  </sheetPr>
  <dimension ref="A1:D7"/>
  <sheetViews>
    <sheetView workbookViewId="0">
      <selection activeCell="F23" sqref="F23"/>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755</v>
      </c>
      <c r="C1" t="s">
        <v>755</v>
      </c>
      <c r="D1" t="s">
        <v>13</v>
      </c>
    </row>
    <row r="2" spans="1:4">
      <c r="A2" t="s">
        <v>1728</v>
      </c>
      <c r="B2" s="256"/>
      <c r="C2" s="256"/>
      <c r="D2" s="256"/>
    </row>
    <row r="3" spans="1:4">
      <c r="A3" t="s">
        <v>4126</v>
      </c>
      <c r="B3" s="256"/>
      <c r="C3" s="256"/>
      <c r="D3" s="256"/>
    </row>
    <row r="4" spans="1:4">
      <c r="A4" t="s">
        <v>4130</v>
      </c>
      <c r="B4" s="256"/>
      <c r="C4" s="256"/>
      <c r="D4" s="256"/>
    </row>
    <row r="5" spans="1:4">
      <c r="A5" t="s">
        <v>4131</v>
      </c>
      <c r="B5" s="256"/>
      <c r="C5" s="256"/>
      <c r="D5" s="256"/>
    </row>
    <row r="6" spans="1:4">
      <c r="A6" t="s">
        <v>4132</v>
      </c>
      <c r="B6" s="256"/>
      <c r="C6" s="256"/>
      <c r="D6" s="256"/>
    </row>
    <row r="7" spans="1:4">
      <c r="A7" t="s">
        <v>4133</v>
      </c>
      <c r="B7" s="256"/>
      <c r="C7" s="256"/>
      <c r="D7" s="256"/>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codeName="Sheet38">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4027</v>
      </c>
      <c r="C1" s="32" t="s">
        <v>4617</v>
      </c>
      <c r="D1" s="22"/>
    </row>
    <row r="2" spans="1:4" ht="14.4">
      <c r="A2" s="61" t="s">
        <v>9</v>
      </c>
      <c r="B2" s="50"/>
      <c r="C2" s="81"/>
      <c r="D2" s="22"/>
    </row>
    <row r="3" spans="1:4" ht="14.4">
      <c r="A3" s="61" t="s">
        <v>77</v>
      </c>
      <c r="B3" s="50"/>
      <c r="C3" s="81"/>
      <c r="D3" s="22"/>
    </row>
    <row r="4" spans="1:4" ht="14.4">
      <c r="A4" s="61" t="s">
        <v>78</v>
      </c>
      <c r="B4" s="82"/>
      <c r="C4" s="83"/>
      <c r="D4" s="22"/>
    </row>
    <row r="5" spans="1:4" ht="14.4">
      <c r="A5" s="61" t="s">
        <v>79</v>
      </c>
      <c r="B5" s="82"/>
      <c r="C5" s="83"/>
      <c r="D5" s="22"/>
    </row>
    <row r="6" spans="1:4" ht="14.4">
      <c r="A6" s="61" t="s">
        <v>80</v>
      </c>
      <c r="B6" s="82"/>
      <c r="C6" s="83"/>
      <c r="D6" s="22"/>
    </row>
    <row r="7" spans="1:4" ht="14.4">
      <c r="A7" s="61" t="s">
        <v>81</v>
      </c>
      <c r="B7" s="82"/>
      <c r="C7" s="83"/>
      <c r="D7" s="22"/>
    </row>
    <row r="8" spans="1:4" ht="14.4">
      <c r="A8" s="61" t="s">
        <v>82</v>
      </c>
      <c r="B8" s="82"/>
      <c r="C8" s="83"/>
      <c r="D8" s="22"/>
    </row>
    <row r="9" spans="1:4" ht="14.4">
      <c r="A9" s="61" t="s">
        <v>83</v>
      </c>
      <c r="B9" s="82"/>
      <c r="C9" s="83"/>
      <c r="D9" s="22"/>
    </row>
    <row r="10" spans="1:4" ht="14.4">
      <c r="A10" s="61" t="s">
        <v>84</v>
      </c>
      <c r="B10" s="82"/>
      <c r="C10" s="83"/>
      <c r="D10" s="22"/>
    </row>
    <row r="11" spans="1:4">
      <c r="A11" s="55" t="s">
        <v>13</v>
      </c>
      <c r="B11" s="82"/>
      <c r="C11" s="83"/>
      <c r="D11" s="22"/>
    </row>
    <row r="12" spans="1:4" ht="14.4">
      <c r="A12" s="61" t="s">
        <v>72</v>
      </c>
      <c r="B12" s="82"/>
      <c r="C12" s="83"/>
      <c r="D12" s="22"/>
    </row>
    <row r="13" spans="1:4" ht="14.4">
      <c r="A13" s="61" t="s">
        <v>70</v>
      </c>
      <c r="B13" s="82"/>
      <c r="C13" s="83"/>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codeName="Sheet380">
    <tabColor rgb="FFFFC000"/>
  </sheetPr>
  <dimension ref="A1:G15"/>
  <sheetViews>
    <sheetView workbookViewId="0">
      <selection activeCell="G21" sqref="G21"/>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72" t="s">
        <v>28</v>
      </c>
      <c r="B1" s="373" t="s">
        <v>2836</v>
      </c>
      <c r="C1" s="373" t="s">
        <v>2837</v>
      </c>
      <c r="D1" s="373" t="s">
        <v>2836</v>
      </c>
      <c r="E1" s="373" t="s">
        <v>2837</v>
      </c>
      <c r="F1" s="81"/>
      <c r="G1" s="81"/>
    </row>
    <row r="2" spans="1:7" ht="14.4">
      <c r="A2" s="44" t="s">
        <v>270</v>
      </c>
      <c r="B2" s="54"/>
      <c r="C2" s="54"/>
      <c r="D2" s="54"/>
      <c r="E2" s="54"/>
      <c r="F2" s="54"/>
      <c r="G2" s="54"/>
    </row>
    <row r="3" spans="1:7" ht="14.4">
      <c r="A3" s="44" t="s">
        <v>0</v>
      </c>
      <c r="B3" s="42"/>
      <c r="C3" s="42"/>
      <c r="D3" s="42"/>
      <c r="E3" s="42"/>
      <c r="F3" s="42"/>
      <c r="G3" s="42"/>
    </row>
    <row r="4" spans="1:7" ht="14.4">
      <c r="A4" s="44" t="s">
        <v>2832</v>
      </c>
      <c r="B4" s="42"/>
      <c r="C4" s="42"/>
      <c r="D4" s="42"/>
      <c r="E4" s="42"/>
      <c r="F4" s="42"/>
      <c r="G4" s="42"/>
    </row>
    <row r="5" spans="1:7" ht="14.4">
      <c r="A5" s="44" t="s">
        <v>78</v>
      </c>
      <c r="B5" s="42"/>
      <c r="C5" s="42"/>
      <c r="D5" s="42"/>
      <c r="E5" s="42"/>
      <c r="F5" s="42"/>
      <c r="G5" s="42"/>
    </row>
    <row r="6" spans="1:7" ht="14.4">
      <c r="A6" s="44" t="s">
        <v>89</v>
      </c>
      <c r="B6" s="42"/>
      <c r="C6" s="42"/>
      <c r="D6" s="42"/>
      <c r="E6" s="42"/>
      <c r="F6" s="42"/>
      <c r="G6" s="42"/>
    </row>
    <row r="7" spans="1:7" ht="14.4">
      <c r="A7" s="44" t="s">
        <v>90</v>
      </c>
      <c r="B7" s="42"/>
      <c r="C7" s="42"/>
      <c r="D7" s="42"/>
      <c r="E7" s="42"/>
      <c r="F7" s="42"/>
      <c r="G7" s="42"/>
    </row>
    <row r="8" spans="1:7">
      <c r="A8" s="46" t="s">
        <v>2833</v>
      </c>
      <c r="B8" s="42"/>
      <c r="C8" s="42"/>
      <c r="D8" s="42"/>
      <c r="E8" s="42"/>
      <c r="F8" s="42"/>
      <c r="G8" s="42"/>
    </row>
    <row r="9" spans="1:7" ht="14.4">
      <c r="A9" s="44" t="s">
        <v>272</v>
      </c>
      <c r="B9" s="42"/>
      <c r="C9" s="42"/>
      <c r="D9" s="42"/>
      <c r="E9" s="42"/>
      <c r="F9" s="42"/>
      <c r="G9" s="42"/>
    </row>
    <row r="10" spans="1:7" ht="14.4">
      <c r="A10" s="44" t="s">
        <v>2834</v>
      </c>
      <c r="B10" s="42"/>
      <c r="C10" s="42"/>
      <c r="D10" s="42"/>
      <c r="E10" s="42"/>
      <c r="F10" s="42"/>
      <c r="G10" s="42"/>
    </row>
    <row r="11" spans="1:7" ht="14.4">
      <c r="A11" s="44" t="s">
        <v>2835</v>
      </c>
      <c r="B11" s="42"/>
      <c r="C11" s="42"/>
      <c r="D11" s="42"/>
      <c r="E11" s="42"/>
      <c r="F11" s="42"/>
      <c r="G11" s="42"/>
    </row>
    <row r="12" spans="1:7">
      <c r="A12" s="46" t="s">
        <v>13</v>
      </c>
      <c r="B12" s="42"/>
      <c r="C12" s="42"/>
      <c r="D12" s="42"/>
      <c r="E12" s="42"/>
      <c r="F12" s="42"/>
      <c r="G12" s="42"/>
    </row>
    <row r="13" spans="1:7" ht="14.4">
      <c r="A13" s="44" t="s">
        <v>1739</v>
      </c>
      <c r="B13" s="42"/>
      <c r="C13" s="42"/>
      <c r="D13" s="42"/>
      <c r="E13" s="42"/>
      <c r="F13" s="42"/>
      <c r="G13" s="42"/>
    </row>
    <row r="14" spans="1:7" ht="14.4">
      <c r="A14" s="44" t="s">
        <v>1740</v>
      </c>
      <c r="B14" s="42"/>
      <c r="C14" s="42"/>
      <c r="D14" s="42"/>
      <c r="E14" s="42"/>
      <c r="F14" s="42"/>
      <c r="G14" s="42"/>
    </row>
    <row r="15" spans="1:7" ht="14.4">
      <c r="A15" s="44" t="s">
        <v>1741</v>
      </c>
      <c r="B15" s="42"/>
      <c r="C15" s="42"/>
      <c r="D15" s="42"/>
      <c r="E15" s="42"/>
      <c r="F15" s="42"/>
      <c r="G15" s="42"/>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codeName="Sheet381">
    <tabColor rgb="FFFFC000"/>
  </sheetPr>
  <dimension ref="A1:N7"/>
  <sheetViews>
    <sheetView workbookViewId="0">
      <selection activeCell="L6" sqref="L6"/>
    </sheetView>
  </sheetViews>
  <sheetFormatPr defaultRowHeight="13.8"/>
  <cols>
    <col min="1" max="14" width="8.88671875" style="237"/>
  </cols>
  <sheetData>
    <row r="1" spans="1:13" ht="110.4">
      <c r="A1" s="237" t="s">
        <v>1750</v>
      </c>
      <c r="B1" s="237" t="s">
        <v>1751</v>
      </c>
      <c r="C1" s="237" t="s">
        <v>1752</v>
      </c>
      <c r="D1" s="237" t="s">
        <v>1753</v>
      </c>
      <c r="E1" s="237" t="s">
        <v>1754</v>
      </c>
      <c r="F1" s="237" t="s">
        <v>1755</v>
      </c>
      <c r="G1" s="237" t="s">
        <v>1756</v>
      </c>
      <c r="H1" s="237" t="s">
        <v>1757</v>
      </c>
      <c r="I1" s="237" t="s">
        <v>5652</v>
      </c>
      <c r="J1" s="237" t="s">
        <v>1758</v>
      </c>
      <c r="K1" s="237" t="s">
        <v>1759</v>
      </c>
      <c r="L1" s="237" t="s">
        <v>1760</v>
      </c>
      <c r="M1" s="237" t="s">
        <v>1761</v>
      </c>
    </row>
    <row r="2" spans="1:13">
      <c r="A2" s="371"/>
      <c r="B2" s="371"/>
      <c r="C2" s="371"/>
      <c r="D2" s="371"/>
      <c r="E2" s="371"/>
      <c r="F2" s="371"/>
      <c r="G2" s="371"/>
      <c r="H2" s="371"/>
      <c r="I2" s="371"/>
      <c r="J2" s="371"/>
      <c r="K2" s="371"/>
      <c r="L2" s="371"/>
      <c r="M2" s="371"/>
    </row>
    <row r="3" spans="1:13">
      <c r="A3" s="371"/>
      <c r="B3" s="371"/>
      <c r="C3" s="371"/>
      <c r="D3" s="371"/>
      <c r="E3" s="371"/>
      <c r="F3" s="371"/>
      <c r="G3" s="371"/>
      <c r="H3" s="371"/>
      <c r="I3" s="371"/>
      <c r="J3" s="371"/>
      <c r="K3" s="371"/>
      <c r="L3" s="371"/>
      <c r="M3" s="371"/>
    </row>
    <row r="4" spans="1:13">
      <c r="A4" s="371"/>
      <c r="B4" s="371"/>
      <c r="C4" s="371"/>
      <c r="D4" s="371"/>
      <c r="E4" s="371"/>
      <c r="F4" s="371"/>
      <c r="G4" s="371"/>
      <c r="H4" s="371"/>
      <c r="I4" s="371"/>
      <c r="J4" s="371"/>
      <c r="K4" s="371"/>
      <c r="L4" s="371"/>
      <c r="M4" s="371"/>
    </row>
    <row r="5" spans="1:13">
      <c r="A5" s="371"/>
      <c r="B5" s="371"/>
      <c r="C5" s="371"/>
      <c r="D5" s="371"/>
      <c r="E5" s="371"/>
      <c r="F5" s="371"/>
      <c r="G5" s="371"/>
      <c r="H5" s="371"/>
      <c r="I5" s="371"/>
      <c r="J5" s="371"/>
      <c r="K5" s="371"/>
      <c r="L5" s="371"/>
      <c r="M5" s="371"/>
    </row>
    <row r="6" spans="1:13">
      <c r="A6" s="371"/>
      <c r="B6" s="371"/>
      <c r="C6" s="371"/>
      <c r="D6" s="371"/>
      <c r="E6" s="371"/>
      <c r="F6" s="371"/>
      <c r="G6" s="371"/>
      <c r="H6" s="371"/>
      <c r="I6" s="371"/>
      <c r="J6" s="371"/>
      <c r="K6" s="371"/>
      <c r="L6" s="371"/>
      <c r="M6" s="371"/>
    </row>
    <row r="7" spans="1:13">
      <c r="A7" s="371"/>
      <c r="B7" s="371"/>
      <c r="C7" s="371"/>
      <c r="D7" s="371"/>
      <c r="E7" s="371"/>
      <c r="F7" s="371"/>
      <c r="G7" s="371"/>
      <c r="H7" s="371"/>
      <c r="I7" s="371"/>
      <c r="J7" s="371"/>
      <c r="K7" s="371"/>
      <c r="L7" s="371"/>
      <c r="M7" s="371"/>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codeName="Sheet382">
    <tabColor rgb="FFFFC000"/>
  </sheetPr>
  <dimension ref="A1:O5"/>
  <sheetViews>
    <sheetView workbookViewId="0">
      <selection activeCell="J1" sqref="J1"/>
    </sheetView>
  </sheetViews>
  <sheetFormatPr defaultRowHeight="13.8"/>
  <sheetData>
    <row r="1" spans="1:15" ht="172.8">
      <c r="A1" s="20" t="s">
        <v>1750</v>
      </c>
      <c r="B1" s="20" t="s">
        <v>1762</v>
      </c>
      <c r="C1" s="20" t="s">
        <v>1751</v>
      </c>
      <c r="D1" s="20" t="s">
        <v>1752</v>
      </c>
      <c r="E1" s="20" t="s">
        <v>1753</v>
      </c>
      <c r="F1" s="20" t="s">
        <v>1763</v>
      </c>
      <c r="G1" s="20" t="s">
        <v>1754</v>
      </c>
      <c r="H1" s="20" t="s">
        <v>1755</v>
      </c>
      <c r="I1" s="20" t="s">
        <v>1757</v>
      </c>
      <c r="J1" s="20" t="s">
        <v>5652</v>
      </c>
      <c r="K1" s="20" t="s">
        <v>1758</v>
      </c>
      <c r="L1" s="20" t="s">
        <v>1759</v>
      </c>
      <c r="M1" s="20" t="s">
        <v>1760</v>
      </c>
      <c r="N1" s="20" t="s">
        <v>1761</v>
      </c>
      <c r="O1" s="20" t="s">
        <v>1764</v>
      </c>
    </row>
    <row r="2" spans="1:15">
      <c r="A2" s="304"/>
      <c r="B2" s="283"/>
      <c r="C2" s="283"/>
      <c r="D2" s="283"/>
      <c r="E2" s="283"/>
      <c r="F2" s="283"/>
      <c r="G2" s="283"/>
      <c r="H2" s="283"/>
      <c r="I2" s="283"/>
      <c r="J2" s="283"/>
      <c r="K2" s="283"/>
      <c r="L2" s="283"/>
      <c r="M2" s="283"/>
      <c r="N2" s="283"/>
      <c r="O2" s="283"/>
    </row>
    <row r="3" spans="1:15">
      <c r="A3" s="304"/>
      <c r="B3" s="283"/>
      <c r="C3" s="283"/>
      <c r="D3" s="283"/>
      <c r="E3" s="283"/>
      <c r="F3" s="283"/>
      <c r="G3" s="283"/>
      <c r="H3" s="283"/>
      <c r="I3" s="283"/>
      <c r="J3" s="283"/>
      <c r="K3" s="283"/>
      <c r="L3" s="283"/>
      <c r="M3" s="283"/>
      <c r="N3" s="283"/>
      <c r="O3" s="283"/>
    </row>
    <row r="4" spans="1:15">
      <c r="A4" s="256"/>
      <c r="B4" s="256"/>
      <c r="C4" s="256"/>
      <c r="D4" s="256"/>
      <c r="E4" s="256"/>
      <c r="F4" s="256"/>
      <c r="G4" s="256"/>
      <c r="H4" s="256"/>
      <c r="I4" s="256"/>
      <c r="J4" s="256"/>
      <c r="K4" s="256"/>
      <c r="L4" s="256"/>
      <c r="M4" s="256"/>
      <c r="N4" s="256"/>
      <c r="O4" s="256"/>
    </row>
    <row r="5" spans="1:15">
      <c r="A5" s="256"/>
      <c r="B5" s="256"/>
      <c r="C5" s="256"/>
      <c r="D5" s="256"/>
      <c r="E5" s="256"/>
      <c r="F5" s="256"/>
      <c r="G5" s="256"/>
      <c r="H5" s="256"/>
      <c r="I5" s="256"/>
      <c r="J5" s="256"/>
      <c r="K5" s="256"/>
      <c r="L5" s="256"/>
      <c r="M5" s="256"/>
      <c r="N5" s="256"/>
      <c r="O5" s="256"/>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codeName="Sheet383">
    <tabColor rgb="FFFFC000"/>
  </sheetPr>
  <dimension ref="A1:N5"/>
  <sheetViews>
    <sheetView workbookViewId="0">
      <selection activeCell="J1" sqref="J1"/>
    </sheetView>
  </sheetViews>
  <sheetFormatPr defaultRowHeight="13.8"/>
  <sheetData>
    <row r="1" spans="1:14" ht="129.6">
      <c r="A1" s="20" t="s">
        <v>1750</v>
      </c>
      <c r="B1" s="20" t="s">
        <v>1762</v>
      </c>
      <c r="C1" s="20" t="s">
        <v>1751</v>
      </c>
      <c r="D1" s="20" t="s">
        <v>1752</v>
      </c>
      <c r="E1" s="20" t="s">
        <v>1753</v>
      </c>
      <c r="F1" s="20" t="s">
        <v>1763</v>
      </c>
      <c r="G1" s="20" t="s">
        <v>1754</v>
      </c>
      <c r="H1" s="20" t="s">
        <v>1755</v>
      </c>
      <c r="I1" s="20" t="s">
        <v>1757</v>
      </c>
      <c r="J1" s="20" t="s">
        <v>5652</v>
      </c>
      <c r="K1" s="20" t="s">
        <v>1758</v>
      </c>
      <c r="L1" s="20" t="s">
        <v>1759</v>
      </c>
      <c r="M1" s="20" t="s">
        <v>1760</v>
      </c>
      <c r="N1" s="20" t="s">
        <v>1761</v>
      </c>
    </row>
    <row r="2" spans="1:14">
      <c r="A2" s="304"/>
      <c r="B2" s="283"/>
      <c r="C2" s="283"/>
      <c r="D2" s="283"/>
      <c r="E2" s="283"/>
      <c r="F2" s="283"/>
      <c r="G2" s="283"/>
      <c r="H2" s="283"/>
      <c r="I2" s="283"/>
      <c r="J2" s="283"/>
      <c r="K2" s="283"/>
      <c r="L2" s="283"/>
      <c r="M2" s="283"/>
      <c r="N2" s="283"/>
    </row>
    <row r="3" spans="1:14">
      <c r="A3" s="304"/>
      <c r="B3" s="283"/>
      <c r="C3" s="283"/>
      <c r="D3" s="283"/>
      <c r="E3" s="283"/>
      <c r="F3" s="283"/>
      <c r="G3" s="283"/>
      <c r="H3" s="283"/>
      <c r="I3" s="283"/>
      <c r="J3" s="283"/>
      <c r="K3" s="283"/>
      <c r="L3" s="283"/>
      <c r="M3" s="283"/>
      <c r="N3" s="283"/>
    </row>
    <row r="4" spans="1:14">
      <c r="A4" s="256"/>
      <c r="B4" s="256"/>
      <c r="C4" s="256"/>
      <c r="D4" s="256"/>
      <c r="E4" s="256"/>
      <c r="F4" s="256"/>
      <c r="G4" s="256"/>
      <c r="H4" s="256"/>
      <c r="I4" s="256"/>
      <c r="J4" s="256"/>
      <c r="K4" s="256"/>
      <c r="L4" s="256"/>
      <c r="M4" s="256"/>
      <c r="N4" s="256"/>
    </row>
    <row r="5" spans="1:14">
      <c r="A5" s="256"/>
      <c r="B5" s="256"/>
      <c r="C5" s="256"/>
      <c r="D5" s="256"/>
      <c r="E5" s="256"/>
      <c r="F5" s="256"/>
      <c r="G5" s="256"/>
      <c r="H5" s="256"/>
      <c r="I5" s="256"/>
      <c r="J5" s="256"/>
      <c r="K5" s="256"/>
      <c r="L5" s="256"/>
      <c r="M5" s="256"/>
      <c r="N5" s="256"/>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codeName="Sheet384">
    <tabColor rgb="FFFFC000"/>
  </sheetPr>
  <dimension ref="A1:E5"/>
  <sheetViews>
    <sheetView workbookViewId="0">
      <selection activeCell="M26" sqref="M26"/>
    </sheetView>
  </sheetViews>
  <sheetFormatPr defaultRowHeight="13.8"/>
  <sheetData>
    <row r="1" spans="1:5" ht="28.8">
      <c r="A1" s="19" t="s">
        <v>170</v>
      </c>
      <c r="B1" s="20" t="s">
        <v>1725</v>
      </c>
      <c r="C1" s="20" t="s">
        <v>1724</v>
      </c>
      <c r="D1" s="20" t="s">
        <v>4248</v>
      </c>
      <c r="E1" s="20" t="s">
        <v>1765</v>
      </c>
    </row>
    <row r="2" spans="1:5" ht="14.4">
      <c r="A2" s="269"/>
      <c r="B2" s="269" t="s">
        <v>1767</v>
      </c>
      <c r="C2" s="269"/>
      <c r="D2" s="269"/>
      <c r="E2" s="269"/>
    </row>
    <row r="3" spans="1:5" ht="14.4">
      <c r="A3" s="269"/>
      <c r="B3" s="269"/>
      <c r="C3" s="269"/>
      <c r="D3" s="269"/>
      <c r="E3" s="269"/>
    </row>
    <row r="4" spans="1:5">
      <c r="A4" s="256"/>
      <c r="B4" s="256"/>
      <c r="C4" s="256"/>
      <c r="D4" s="256"/>
      <c r="E4" s="256"/>
    </row>
    <row r="5" spans="1:5">
      <c r="A5" s="256"/>
      <c r="B5" s="256"/>
      <c r="C5" s="256"/>
      <c r="D5" s="256"/>
      <c r="E5" s="256"/>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codeName="Sheet385">
    <tabColor rgb="FFFFC000"/>
  </sheetPr>
  <dimension ref="A1:E7"/>
  <sheetViews>
    <sheetView workbookViewId="0">
      <selection activeCell="J16" sqref="J16"/>
    </sheetView>
  </sheetViews>
  <sheetFormatPr defaultRowHeight="13.8"/>
  <sheetData>
    <row r="1" spans="1:5" ht="43.2">
      <c r="A1" s="32" t="s">
        <v>170</v>
      </c>
      <c r="B1" s="32" t="s">
        <v>1753</v>
      </c>
      <c r="C1" s="32" t="s">
        <v>1762</v>
      </c>
      <c r="D1" s="32" t="s">
        <v>4249</v>
      </c>
      <c r="E1" s="20" t="s">
        <v>1766</v>
      </c>
    </row>
    <row r="2" spans="1:5" ht="14.4">
      <c r="A2" s="308"/>
      <c r="B2" s="308"/>
      <c r="C2" s="308"/>
      <c r="D2" s="308"/>
      <c r="E2" s="270"/>
    </row>
    <row r="3" spans="1:5" ht="14.4">
      <c r="A3" s="269"/>
      <c r="B3" s="269"/>
      <c r="C3" s="269"/>
      <c r="D3" s="269"/>
      <c r="E3" s="269"/>
    </row>
    <row r="4" spans="1:5" ht="14.4">
      <c r="A4" s="269"/>
      <c r="B4" s="269"/>
      <c r="C4" s="269"/>
      <c r="D4" s="269"/>
      <c r="E4" s="269"/>
    </row>
    <row r="5" spans="1:5">
      <c r="A5" s="256"/>
      <c r="B5" s="256"/>
      <c r="C5" s="256"/>
      <c r="D5" s="256"/>
      <c r="E5" s="256"/>
    </row>
    <row r="6" spans="1:5">
      <c r="A6" s="256"/>
      <c r="B6" s="256"/>
      <c r="C6" s="256"/>
      <c r="D6" s="256"/>
      <c r="E6" s="256"/>
    </row>
    <row r="7" spans="1:5">
      <c r="A7" s="256"/>
      <c r="B7" s="256"/>
      <c r="C7" s="256"/>
      <c r="D7" s="256"/>
      <c r="E7" s="256"/>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codeName="Sheet386">
    <tabColor rgb="FFFF0000"/>
  </sheetPr>
  <dimension ref="A1:G5"/>
  <sheetViews>
    <sheetView workbookViewId="0">
      <selection activeCell="L26" sqref="L2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1750</v>
      </c>
      <c r="B1" t="s">
        <v>114</v>
      </c>
      <c r="C1" t="s">
        <v>113</v>
      </c>
      <c r="D1" t="s">
        <v>115</v>
      </c>
      <c r="E1" t="s">
        <v>1769</v>
      </c>
      <c r="F1" t="s">
        <v>1770</v>
      </c>
      <c r="G1" t="s">
        <v>1768</v>
      </c>
    </row>
    <row r="2" spans="1:7">
      <c r="A2" s="256"/>
      <c r="B2" s="256"/>
      <c r="C2" s="256"/>
      <c r="D2" s="256"/>
      <c r="E2" s="256"/>
      <c r="F2" s="256"/>
      <c r="G2" s="256"/>
    </row>
    <row r="3" spans="1:7">
      <c r="A3" s="256"/>
      <c r="B3" s="256"/>
      <c r="C3" s="256"/>
      <c r="D3" s="256"/>
      <c r="E3" s="256"/>
      <c r="F3" s="256"/>
      <c r="G3" s="256"/>
    </row>
    <row r="4" spans="1:7">
      <c r="A4" s="256"/>
      <c r="B4" s="256"/>
      <c r="C4" s="256"/>
      <c r="D4" s="256"/>
      <c r="E4" s="256"/>
      <c r="F4" s="256"/>
      <c r="G4" s="256"/>
    </row>
    <row r="5" spans="1:7">
      <c r="A5" s="256"/>
      <c r="B5" s="256"/>
      <c r="C5" s="256"/>
      <c r="D5" s="256"/>
      <c r="E5" s="256"/>
      <c r="F5" s="256"/>
      <c r="G5" s="256"/>
    </row>
  </sheetData>
  <phoneticPr fontId="1" type="noConversion"/>
  <pageMargins left="0.7" right="0.7" top="0.75" bottom="0.75" header="0.3" footer="0.3"/>
  <pageSetup paperSize="9" orientation="portrait" verticalDpi="0" r:id="rId1"/>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codeName="Sheet387">
    <tabColor rgb="FFFFC000"/>
  </sheetPr>
  <dimension ref="A1:E8"/>
  <sheetViews>
    <sheetView workbookViewId="0">
      <selection activeCell="L27" sqref="L27"/>
    </sheetView>
  </sheetViews>
  <sheetFormatPr defaultRowHeight="13.8"/>
  <sheetData>
    <row r="1" spans="1:5" ht="43.2">
      <c r="A1" s="20" t="s">
        <v>1750</v>
      </c>
      <c r="B1" s="20" t="s">
        <v>1771</v>
      </c>
      <c r="C1" s="20" t="s">
        <v>1772</v>
      </c>
      <c r="D1" s="20" t="s">
        <v>1773</v>
      </c>
      <c r="E1" s="20" t="s">
        <v>1774</v>
      </c>
    </row>
    <row r="2" spans="1:5">
      <c r="A2" s="304"/>
      <c r="B2" s="283"/>
      <c r="C2" s="283"/>
      <c r="D2" s="283"/>
      <c r="E2" s="283"/>
    </row>
    <row r="3" spans="1:5" ht="14.4">
      <c r="A3" s="308"/>
      <c r="B3" s="308"/>
      <c r="C3" s="281"/>
      <c r="D3" s="281"/>
      <c r="E3" s="281"/>
    </row>
    <row r="4" spans="1:5">
      <c r="A4" s="256"/>
      <c r="B4" s="256"/>
      <c r="C4" s="256"/>
      <c r="D4" s="256"/>
      <c r="E4" s="256"/>
    </row>
    <row r="5" spans="1:5">
      <c r="A5" s="256"/>
      <c r="B5" s="256"/>
      <c r="C5" s="256"/>
      <c r="D5" s="256"/>
      <c r="E5" s="256"/>
    </row>
    <row r="6" spans="1:5">
      <c r="A6" s="256"/>
      <c r="B6" s="256"/>
      <c r="C6" s="256"/>
      <c r="D6" s="256"/>
      <c r="E6" s="256"/>
    </row>
    <row r="7" spans="1:5">
      <c r="A7" s="256"/>
      <c r="B7" s="256"/>
      <c r="C7" s="256"/>
      <c r="D7" s="256"/>
      <c r="E7" s="256"/>
    </row>
    <row r="8" spans="1:5">
      <c r="A8" s="256"/>
      <c r="B8" s="256"/>
      <c r="C8" s="256"/>
      <c r="D8" s="256"/>
      <c r="E8" s="256"/>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codeName="Sheet388">
    <tabColor rgb="FFFFC000"/>
  </sheetPr>
  <dimension ref="A1:G8"/>
  <sheetViews>
    <sheetView workbookViewId="0">
      <selection activeCell="G27" sqref="G27"/>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7"/>
      <c r="B2" s="139"/>
      <c r="C2" s="139"/>
      <c r="D2" s="139"/>
      <c r="E2" s="139"/>
      <c r="F2" s="139"/>
      <c r="G2" s="139"/>
    </row>
    <row r="3" spans="1:7">
      <c r="A3" s="247"/>
      <c r="B3" s="139"/>
      <c r="C3" s="139"/>
      <c r="D3" s="139"/>
      <c r="E3" s="139"/>
      <c r="F3" s="139"/>
      <c r="G3" s="139"/>
    </row>
    <row r="4" spans="1:7">
      <c r="A4" s="247"/>
      <c r="B4" s="139"/>
      <c r="C4" s="139"/>
      <c r="D4" s="139"/>
      <c r="E4" s="139"/>
      <c r="F4" s="139"/>
      <c r="G4" s="139"/>
    </row>
    <row r="5" spans="1:7">
      <c r="A5" s="247"/>
      <c r="B5" s="139"/>
      <c r="C5" s="139"/>
      <c r="D5" s="139"/>
      <c r="E5" s="139"/>
      <c r="F5" s="139"/>
      <c r="G5" s="139"/>
    </row>
    <row r="6" spans="1:7">
      <c r="A6" s="247"/>
      <c r="B6" s="139"/>
      <c r="C6" s="139"/>
      <c r="D6" s="139"/>
      <c r="E6" s="139"/>
      <c r="F6" s="139"/>
      <c r="G6" s="139"/>
    </row>
    <row r="7" spans="1:7">
      <c r="A7" s="247"/>
      <c r="B7" s="139"/>
      <c r="C7" s="139"/>
      <c r="D7" s="139"/>
      <c r="E7" s="139"/>
      <c r="F7" s="139"/>
      <c r="G7" s="139"/>
    </row>
    <row r="8" spans="1:7">
      <c r="A8" s="247"/>
      <c r="B8" s="139"/>
      <c r="C8" s="139"/>
      <c r="D8" s="139"/>
      <c r="E8" s="139"/>
      <c r="F8" s="139"/>
      <c r="G8" s="139"/>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codeName="Sheet389">
    <tabColor rgb="FFFFC000"/>
  </sheetPr>
  <dimension ref="A1:G7"/>
  <sheetViews>
    <sheetView workbookViewId="0">
      <selection activeCell="H26" sqref="H2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7"/>
      <c r="B2" s="285"/>
      <c r="C2" s="285"/>
      <c r="D2" s="285"/>
      <c r="E2" s="285"/>
      <c r="F2" s="285"/>
      <c r="G2" s="285"/>
    </row>
    <row r="3" spans="1:7">
      <c r="A3" s="247"/>
      <c r="B3" s="285"/>
      <c r="C3" s="285"/>
      <c r="D3" s="285"/>
      <c r="E3" s="285"/>
      <c r="F3" s="285"/>
      <c r="G3" s="285"/>
    </row>
    <row r="4" spans="1:7">
      <c r="A4" s="247"/>
      <c r="B4" s="285"/>
      <c r="C4" s="285"/>
      <c r="D4" s="285"/>
      <c r="E4" s="247"/>
      <c r="F4" s="247"/>
      <c r="G4" s="247"/>
    </row>
    <row r="5" spans="1:7">
      <c r="A5" s="247"/>
      <c r="B5" s="285"/>
      <c r="C5" s="285"/>
      <c r="D5" s="285"/>
      <c r="E5" s="285"/>
      <c r="F5" s="247"/>
      <c r="G5" s="285"/>
    </row>
    <row r="6" spans="1:7">
      <c r="A6" s="247"/>
      <c r="B6" s="247"/>
      <c r="C6" s="247"/>
      <c r="D6" s="247"/>
      <c r="E6" s="247"/>
      <c r="F6" s="247"/>
      <c r="G6" s="247"/>
    </row>
    <row r="7" spans="1:7">
      <c r="A7" s="247"/>
      <c r="B7" s="247"/>
      <c r="C7" s="247"/>
      <c r="D7" s="247"/>
      <c r="E7" s="247"/>
      <c r="F7" s="247"/>
      <c r="G7" s="247"/>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codeName="Sheet39">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4027</v>
      </c>
      <c r="C1" s="32" t="s">
        <v>4617</v>
      </c>
    </row>
    <row r="2" spans="1:3" ht="14.4">
      <c r="A2" s="61" t="s">
        <v>86</v>
      </c>
      <c r="B2" s="50"/>
      <c r="C2" s="81"/>
    </row>
    <row r="3" spans="1:3" ht="14.4">
      <c r="A3" s="61" t="s">
        <v>87</v>
      </c>
      <c r="B3" s="50"/>
      <c r="C3" s="81"/>
    </row>
    <row r="4" spans="1:3" ht="14.4">
      <c r="A4" s="61"/>
      <c r="B4" s="82"/>
      <c r="C4" s="83"/>
    </row>
    <row r="5" spans="1:3" ht="14.4">
      <c r="A5" s="61"/>
      <c r="B5" s="82"/>
      <c r="C5" s="83"/>
    </row>
    <row r="6" spans="1:3" ht="14.4">
      <c r="A6" s="61"/>
      <c r="B6" s="82"/>
      <c r="C6" s="83"/>
    </row>
    <row r="7" spans="1:3" ht="14.4">
      <c r="A7" s="61"/>
      <c r="B7" s="82"/>
      <c r="C7" s="83"/>
    </row>
    <row r="8" spans="1:3" ht="14.4">
      <c r="A8" s="61"/>
      <c r="B8" s="82"/>
      <c r="C8" s="83"/>
    </row>
    <row r="9" spans="1:3" ht="14.4">
      <c r="A9" s="61"/>
      <c r="B9" s="82"/>
      <c r="C9" s="83"/>
    </row>
    <row r="10" spans="1:3" ht="14.4">
      <c r="A10" s="61"/>
      <c r="B10" s="82"/>
      <c r="C10" s="83"/>
    </row>
    <row r="11" spans="1:3">
      <c r="A11" s="55"/>
      <c r="B11" s="82"/>
      <c r="C11" s="83"/>
    </row>
    <row r="12" spans="1:3" ht="14.4">
      <c r="A12" s="61"/>
      <c r="B12" s="82"/>
      <c r="C12" s="83"/>
    </row>
    <row r="13" spans="1:3" ht="14.4">
      <c r="A13" s="61"/>
      <c r="B13" s="82"/>
      <c r="C13" s="83"/>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codeName="Sheet390">
    <tabColor rgb="FFFFC000"/>
  </sheetPr>
  <dimension ref="A1:E15"/>
  <sheetViews>
    <sheetView workbookViewId="0">
      <selection activeCell="F26" activeCellId="1" sqref="E14 F2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7"/>
      <c r="B2" s="285"/>
      <c r="C2" s="285"/>
      <c r="D2" s="285"/>
      <c r="E2" s="285"/>
    </row>
    <row r="3" spans="1:5">
      <c r="A3" s="247"/>
      <c r="B3" s="247"/>
      <c r="C3" s="285"/>
      <c r="D3" s="285"/>
      <c r="E3" s="285"/>
    </row>
    <row r="4" spans="1:5">
      <c r="A4" s="247"/>
      <c r="B4" s="247"/>
      <c r="C4" s="285"/>
      <c r="D4" s="285"/>
      <c r="E4" s="285"/>
    </row>
    <row r="5" spans="1:5">
      <c r="A5" s="247"/>
      <c r="B5" s="247"/>
      <c r="C5" s="285"/>
      <c r="D5" s="285"/>
      <c r="E5" s="285"/>
    </row>
    <row r="6" spans="1:5">
      <c r="A6" s="247"/>
      <c r="B6" s="247"/>
      <c r="C6" s="247"/>
      <c r="D6" s="247"/>
      <c r="E6" s="247"/>
    </row>
    <row r="7" spans="1:5">
      <c r="B7" s="63"/>
    </row>
    <row r="8" spans="1:5">
      <c r="B8" s="63"/>
      <c r="C8" s="63"/>
      <c r="D8" s="63"/>
      <c r="E8" s="63"/>
    </row>
    <row r="9" spans="1:5">
      <c r="B9" s="63"/>
      <c r="C9" s="63"/>
      <c r="D9" s="63"/>
      <c r="E9" s="63"/>
    </row>
    <row r="10" spans="1:5">
      <c r="B10" s="63"/>
      <c r="C10" s="63"/>
      <c r="D10" s="63"/>
      <c r="E10" s="63"/>
    </row>
    <row r="12" spans="1:5">
      <c r="B12" s="63"/>
      <c r="C12" s="63"/>
      <c r="D12" s="63"/>
      <c r="E12" s="63"/>
    </row>
    <row r="13" spans="1:5">
      <c r="C13" s="63"/>
      <c r="D13" s="63"/>
      <c r="E13" s="63"/>
    </row>
    <row r="14" spans="1:5">
      <c r="C14" s="63"/>
      <c r="D14" s="63"/>
      <c r="E14" s="63"/>
    </row>
    <row r="15" spans="1:5">
      <c r="C15" s="63"/>
      <c r="D15" s="63"/>
      <c r="E15" s="63"/>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codeName="Sheet391">
    <tabColor rgb="FFFFC000"/>
  </sheetPr>
  <dimension ref="A1:E16"/>
  <sheetViews>
    <sheetView workbookViewId="0">
      <selection activeCell="H30" sqref="H30"/>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7"/>
      <c r="B2" s="285"/>
      <c r="C2" s="285"/>
      <c r="D2" s="285"/>
      <c r="E2" s="285"/>
    </row>
    <row r="3" spans="1:5">
      <c r="A3" s="247"/>
      <c r="B3" s="247"/>
      <c r="C3" s="285"/>
      <c r="D3" s="285"/>
      <c r="E3" s="285"/>
    </row>
    <row r="4" spans="1:5">
      <c r="A4" s="247"/>
      <c r="B4" s="247"/>
      <c r="C4" s="285"/>
      <c r="D4" s="285"/>
      <c r="E4" s="285"/>
    </row>
    <row r="5" spans="1:5">
      <c r="A5" s="247"/>
      <c r="B5" s="247"/>
      <c r="C5" s="285"/>
      <c r="D5" s="285"/>
      <c r="E5" s="285"/>
    </row>
    <row r="6" spans="1:5">
      <c r="A6" s="247"/>
      <c r="B6" s="247"/>
      <c r="C6" s="247"/>
      <c r="D6" s="247"/>
      <c r="E6" s="247"/>
    </row>
    <row r="7" spans="1:5">
      <c r="B7" s="63"/>
    </row>
    <row r="8" spans="1:5">
      <c r="B8" s="63"/>
      <c r="C8" s="63"/>
      <c r="D8" s="63"/>
      <c r="E8" s="63"/>
    </row>
    <row r="9" spans="1:5">
      <c r="B9" s="63"/>
      <c r="C9" s="63"/>
      <c r="D9" s="63"/>
      <c r="E9" s="63"/>
    </row>
    <row r="10" spans="1:5">
      <c r="B10" s="63"/>
      <c r="C10" s="63"/>
      <c r="D10" s="63"/>
      <c r="E10" s="63"/>
    </row>
    <row r="13" spans="1:5">
      <c r="B13" s="63"/>
      <c r="C13" s="63"/>
      <c r="D13" s="63"/>
      <c r="E13" s="63"/>
    </row>
    <row r="14" spans="1:5">
      <c r="C14" s="63"/>
      <c r="D14" s="63"/>
      <c r="E14" s="63"/>
    </row>
    <row r="15" spans="1:5">
      <c r="C15" s="63"/>
      <c r="D15" s="63"/>
      <c r="E15" s="63"/>
    </row>
    <row r="16" spans="1:5">
      <c r="C16" s="63"/>
      <c r="D16" s="63"/>
      <c r="E16" s="63"/>
    </row>
  </sheetData>
  <phoneticPr fontId="1" type="noConversion"/>
  <pageMargins left="0.7" right="0.7" top="0.75" bottom="0.75" header="0.3" footer="0.3"/>
  <pageSetup paperSize="9" orientation="portrait" verticalDpi="0" r:id="rId1"/>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codeName="Sheet392">
    <tabColor rgb="FFFFC000"/>
  </sheetPr>
  <dimension ref="A1:D9"/>
  <sheetViews>
    <sheetView workbookViewId="0">
      <selection activeCell="K26" sqref="K26"/>
    </sheetView>
  </sheetViews>
  <sheetFormatPr defaultRowHeight="13.8"/>
  <sheetData>
    <row r="1" spans="1:4" ht="28.8">
      <c r="A1" s="19" t="s">
        <v>1750</v>
      </c>
      <c r="B1" s="20" t="s">
        <v>1775</v>
      </c>
      <c r="C1" s="20" t="s">
        <v>4244</v>
      </c>
      <c r="D1" s="20" t="s">
        <v>4245</v>
      </c>
    </row>
    <row r="2" spans="1:4" ht="14.4">
      <c r="A2" s="308"/>
      <c r="B2" s="308"/>
      <c r="C2" s="308"/>
      <c r="D2" s="308"/>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codeName="Sheet393">
    <tabColor rgb="FFFFC000"/>
  </sheetPr>
  <dimension ref="A1:D11"/>
  <sheetViews>
    <sheetView workbookViewId="0">
      <selection activeCell="I23" sqref="I23"/>
    </sheetView>
  </sheetViews>
  <sheetFormatPr defaultRowHeight="13.8"/>
  <cols>
    <col min="1" max="1" width="40.6640625" customWidth="1"/>
  </cols>
  <sheetData>
    <row r="1" spans="1:4" ht="14.4">
      <c r="A1" s="31" t="s">
        <v>28</v>
      </c>
      <c r="B1" s="20" t="s">
        <v>755</v>
      </c>
      <c r="C1" s="20" t="s">
        <v>755</v>
      </c>
      <c r="D1" s="20" t="s">
        <v>13</v>
      </c>
    </row>
    <row r="2" spans="1:4" ht="14.4">
      <c r="A2" s="32" t="s">
        <v>1776</v>
      </c>
      <c r="B2" s="281"/>
      <c r="C2" s="281"/>
      <c r="D2" s="281"/>
    </row>
    <row r="3" spans="1:4" ht="14.4">
      <c r="A3" s="32" t="s">
        <v>4126</v>
      </c>
      <c r="B3" s="281"/>
      <c r="C3" s="281"/>
      <c r="D3" s="281"/>
    </row>
    <row r="4" spans="1:4" ht="14.4">
      <c r="A4" s="32" t="s">
        <v>4127</v>
      </c>
      <c r="B4" s="281"/>
      <c r="C4" s="281"/>
      <c r="D4" s="281"/>
    </row>
    <row r="5" spans="1:4" ht="14.4">
      <c r="A5" s="36" t="s">
        <v>13</v>
      </c>
      <c r="B5" s="281"/>
      <c r="C5" s="281"/>
      <c r="D5" s="281"/>
    </row>
    <row r="6" spans="1:4" ht="14.4">
      <c r="A6" s="32" t="s">
        <v>1777</v>
      </c>
      <c r="B6" s="281"/>
      <c r="C6" s="281"/>
      <c r="D6" s="281"/>
    </row>
    <row r="7" spans="1:4" ht="28.8">
      <c r="A7" s="32" t="s">
        <v>1778</v>
      </c>
      <c r="B7" s="281"/>
      <c r="C7" s="281"/>
      <c r="D7" s="281"/>
    </row>
    <row r="8" spans="1:4" ht="14.4">
      <c r="A8" s="32" t="s">
        <v>189</v>
      </c>
      <c r="B8" s="281"/>
      <c r="C8" s="281"/>
      <c r="D8" s="281"/>
    </row>
    <row r="9" spans="1:4" ht="14.4">
      <c r="A9" s="32" t="s">
        <v>190</v>
      </c>
      <c r="B9" s="281"/>
      <c r="C9" s="281"/>
      <c r="D9" s="281"/>
    </row>
    <row r="10" spans="1:4" ht="14.4">
      <c r="A10" s="32" t="s">
        <v>4128</v>
      </c>
      <c r="B10" s="281"/>
      <c r="C10" s="281"/>
      <c r="D10" s="281"/>
    </row>
    <row r="11" spans="1:4" ht="14.4">
      <c r="A11" s="32" t="s">
        <v>4129</v>
      </c>
      <c r="B11" s="281"/>
      <c r="C11" s="281"/>
      <c r="D11" s="281"/>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codeName="Sheet394">
    <tabColor rgb="FFFFC000"/>
  </sheetPr>
  <dimension ref="A1:G12"/>
  <sheetViews>
    <sheetView workbookViewId="0">
      <selection activeCell="N5" sqref="N5"/>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446</v>
      </c>
      <c r="B1" s="32" t="s">
        <v>114</v>
      </c>
      <c r="C1" s="32" t="s">
        <v>113</v>
      </c>
      <c r="D1" s="32" t="s">
        <v>115</v>
      </c>
      <c r="E1" s="40" t="s">
        <v>1779</v>
      </c>
      <c r="F1" s="40" t="s">
        <v>1780</v>
      </c>
      <c r="G1" s="32" t="s">
        <v>1781</v>
      </c>
    </row>
    <row r="2" spans="1:7" ht="14.4">
      <c r="A2" s="308"/>
      <c r="B2" s="308"/>
      <c r="C2" s="308"/>
      <c r="D2" s="308"/>
      <c r="E2" s="270"/>
      <c r="F2" s="270"/>
      <c r="G2" s="308"/>
    </row>
    <row r="3" spans="1:7">
      <c r="A3" s="304"/>
      <c r="B3" s="283"/>
      <c r="C3" s="283"/>
      <c r="D3" s="283"/>
      <c r="E3" s="283"/>
      <c r="F3" s="283"/>
      <c r="G3" s="283"/>
    </row>
    <row r="4" spans="1:7">
      <c r="A4" s="304"/>
      <c r="B4" s="283"/>
      <c r="C4" s="283"/>
      <c r="D4" s="283"/>
      <c r="E4" s="283"/>
      <c r="F4" s="283"/>
      <c r="G4" s="283"/>
    </row>
    <row r="5" spans="1:7">
      <c r="A5" s="304"/>
      <c r="B5" s="283"/>
      <c r="C5" s="283"/>
      <c r="D5" s="283"/>
      <c r="E5" s="283"/>
      <c r="F5" s="283"/>
      <c r="G5" s="283"/>
    </row>
    <row r="6" spans="1:7">
      <c r="A6" s="256"/>
      <c r="B6" s="256"/>
      <c r="C6" s="256"/>
      <c r="D6" s="256"/>
      <c r="E6" s="256"/>
      <c r="F6" s="256"/>
      <c r="G6" s="256"/>
    </row>
    <row r="7" spans="1:7">
      <c r="A7" s="256"/>
      <c r="B7" s="256"/>
      <c r="C7" s="256"/>
      <c r="D7" s="256"/>
      <c r="E7" s="256"/>
      <c r="F7" s="256"/>
      <c r="G7" s="256"/>
    </row>
    <row r="8" spans="1:7">
      <c r="A8" s="256"/>
      <c r="B8" s="256"/>
      <c r="C8" s="256"/>
      <c r="D8" s="256"/>
      <c r="E8" s="256"/>
      <c r="F8" s="256"/>
      <c r="G8" s="256"/>
    </row>
    <row r="9" spans="1:7">
      <c r="A9" s="256"/>
      <c r="B9" s="256"/>
      <c r="C9" s="256"/>
      <c r="D9" s="256"/>
      <c r="E9" s="256"/>
      <c r="F9" s="256"/>
      <c r="G9" s="256"/>
    </row>
    <row r="10" spans="1:7">
      <c r="A10" s="256"/>
      <c r="B10" s="256"/>
      <c r="C10" s="256"/>
      <c r="D10" s="256"/>
      <c r="E10" s="256"/>
      <c r="F10" s="256"/>
      <c r="G10" s="256"/>
    </row>
    <row r="11" spans="1:7">
      <c r="A11" s="256"/>
      <c r="B11" s="256"/>
      <c r="C11" s="256"/>
      <c r="D11" s="256"/>
      <c r="E11" s="256"/>
      <c r="F11" s="256"/>
      <c r="G11" s="256"/>
    </row>
    <row r="12" spans="1:7">
      <c r="A12" s="256"/>
      <c r="B12" s="256"/>
      <c r="C12" s="256"/>
      <c r="D12" s="256"/>
      <c r="E12" s="256"/>
      <c r="F12" s="256"/>
      <c r="G12" s="256"/>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codeName="Sheet395">
    <tabColor rgb="FFFFC000"/>
  </sheetPr>
  <dimension ref="A1:D31"/>
  <sheetViews>
    <sheetView workbookViewId="0">
      <selection activeCell="H22" sqref="H22"/>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440</v>
      </c>
      <c r="C1" s="20" t="s">
        <v>441</v>
      </c>
      <c r="D1" s="20" t="s">
        <v>443</v>
      </c>
    </row>
    <row r="2" spans="1:4" ht="15.6">
      <c r="A2" s="33" t="s">
        <v>1782</v>
      </c>
      <c r="B2" s="315"/>
      <c r="C2" s="315"/>
      <c r="D2" s="315"/>
    </row>
    <row r="3" spans="1:4" ht="15.6">
      <c r="A3" s="33" t="s">
        <v>1783</v>
      </c>
      <c r="B3" s="315"/>
      <c r="C3" s="315"/>
      <c r="D3" s="315"/>
    </row>
    <row r="4" spans="1:4" ht="15.6">
      <c r="A4" s="33" t="s">
        <v>1784</v>
      </c>
      <c r="B4" s="315"/>
      <c r="C4" s="315"/>
      <c r="D4" s="315"/>
    </row>
    <row r="5" spans="1:4" ht="15.6">
      <c r="A5" s="33" t="s">
        <v>1785</v>
      </c>
      <c r="B5" s="315"/>
      <c r="C5" s="315"/>
      <c r="D5" s="315"/>
    </row>
    <row r="6" spans="1:4" ht="15.6">
      <c r="A6" s="33"/>
      <c r="B6" s="315"/>
      <c r="C6" s="315"/>
      <c r="D6" s="315"/>
    </row>
    <row r="7" spans="1:4" ht="15.6">
      <c r="A7" s="33" t="s">
        <v>1786</v>
      </c>
      <c r="B7" s="315"/>
      <c r="C7" s="315"/>
      <c r="D7" s="315"/>
    </row>
    <row r="8" spans="1:4" ht="15.6">
      <c r="A8" s="33" t="s">
        <v>1787</v>
      </c>
      <c r="B8" s="315"/>
      <c r="C8" s="315"/>
      <c r="D8" s="315"/>
    </row>
    <row r="9" spans="1:4" ht="15.6">
      <c r="A9" s="33" t="s">
        <v>1788</v>
      </c>
      <c r="B9" s="315"/>
      <c r="C9" s="315"/>
      <c r="D9" s="315"/>
    </row>
    <row r="10" spans="1:4" ht="15.6">
      <c r="A10" s="33"/>
      <c r="B10" s="315"/>
      <c r="C10" s="315"/>
      <c r="D10" s="315"/>
    </row>
    <row r="11" spans="1:4" ht="15.6">
      <c r="A11" s="33" t="s">
        <v>1133</v>
      </c>
      <c r="B11" s="315"/>
      <c r="C11" s="315"/>
      <c r="D11" s="315"/>
    </row>
    <row r="12" spans="1:4" ht="15.6">
      <c r="A12" s="33" t="s">
        <v>1789</v>
      </c>
      <c r="B12" s="315"/>
      <c r="C12" s="315"/>
      <c r="D12" s="315"/>
    </row>
    <row r="13" spans="1:4" ht="15.6">
      <c r="A13" s="33"/>
      <c r="B13" s="315"/>
      <c r="C13" s="315"/>
      <c r="D13" s="315"/>
    </row>
    <row r="14" spans="1:4" ht="15.6">
      <c r="A14" s="33" t="s">
        <v>1790</v>
      </c>
      <c r="B14" s="315"/>
      <c r="C14" s="315"/>
      <c r="D14" s="315"/>
    </row>
    <row r="15" spans="1:4" ht="15.6">
      <c r="A15" s="33" t="s">
        <v>1791</v>
      </c>
      <c r="B15" s="315"/>
      <c r="C15" s="315"/>
      <c r="D15" s="315"/>
    </row>
    <row r="16" spans="1:4" ht="15.6">
      <c r="A16" s="238" t="s">
        <v>1797</v>
      </c>
      <c r="B16" s="315"/>
      <c r="C16" s="315"/>
      <c r="D16" s="315"/>
    </row>
    <row r="17" spans="1:4" ht="15.6">
      <c r="A17" s="238" t="s">
        <v>1798</v>
      </c>
      <c r="B17" s="315"/>
      <c r="C17" s="315"/>
      <c r="D17" s="315"/>
    </row>
    <row r="18" spans="1:4" ht="15.6">
      <c r="A18" s="238" t="s">
        <v>1799</v>
      </c>
      <c r="B18" s="315"/>
      <c r="C18" s="315"/>
      <c r="D18" s="315"/>
    </row>
    <row r="19" spans="1:4" ht="15.6">
      <c r="A19" s="33" t="s">
        <v>1792</v>
      </c>
      <c r="B19" s="315"/>
      <c r="C19" s="315"/>
      <c r="D19" s="315"/>
    </row>
    <row r="20" spans="1:4" ht="15.6">
      <c r="A20" s="33"/>
      <c r="B20" s="315"/>
      <c r="C20" s="315"/>
      <c r="D20" s="315"/>
    </row>
    <row r="21" spans="1:4">
      <c r="A21" s="18" t="s">
        <v>1793</v>
      </c>
      <c r="B21" s="247"/>
      <c r="C21" s="247"/>
      <c r="D21" s="247"/>
    </row>
    <row r="22" spans="1:4">
      <c r="B22" s="247"/>
      <c r="C22" s="247"/>
      <c r="D22" s="247"/>
    </row>
    <row r="23" spans="1:4">
      <c r="A23" s="18" t="s">
        <v>1138</v>
      </c>
      <c r="B23" s="247"/>
      <c r="C23" s="247"/>
      <c r="D23" s="247"/>
    </row>
    <row r="24" spans="1:4">
      <c r="A24" s="18" t="s">
        <v>811</v>
      </c>
      <c r="B24" s="247"/>
      <c r="C24" s="247"/>
      <c r="D24" s="247"/>
    </row>
    <row r="25" spans="1:4">
      <c r="A25" s="18" t="s">
        <v>731</v>
      </c>
      <c r="B25" s="247"/>
      <c r="C25" s="247"/>
      <c r="D25" s="247"/>
    </row>
    <row r="26" spans="1:4">
      <c r="A26" s="18" t="s">
        <v>732</v>
      </c>
      <c r="B26" s="247"/>
      <c r="C26" s="247"/>
      <c r="D26" s="247"/>
    </row>
    <row r="27" spans="1:4">
      <c r="A27" s="18" t="s">
        <v>1794</v>
      </c>
      <c r="B27" s="247"/>
      <c r="C27" s="247"/>
      <c r="D27" s="247"/>
    </row>
    <row r="28" spans="1:4">
      <c r="A28" s="18" t="s">
        <v>793</v>
      </c>
      <c r="B28" s="247"/>
      <c r="C28" s="247"/>
      <c r="D28" s="247"/>
    </row>
    <row r="29" spans="1:4">
      <c r="A29" s="18" t="s">
        <v>1795</v>
      </c>
      <c r="B29" s="247"/>
      <c r="C29" s="247"/>
      <c r="D29" s="247"/>
    </row>
    <row r="30" spans="1:4">
      <c r="B30" s="247"/>
      <c r="C30" s="247"/>
      <c r="D30" s="247"/>
    </row>
    <row r="31" spans="1:4">
      <c r="A31" s="18" t="s">
        <v>1796</v>
      </c>
      <c r="B31" s="247"/>
      <c r="C31" s="247"/>
      <c r="D31" s="247"/>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codeName="Sheet396">
    <tabColor rgb="FFFFC000"/>
  </sheetPr>
  <dimension ref="A1:D31"/>
  <sheetViews>
    <sheetView workbookViewId="0">
      <selection activeCell="E36" sqref="E36"/>
    </sheetView>
  </sheetViews>
  <sheetFormatPr defaultRowHeight="13.8"/>
  <cols>
    <col min="1" max="1" width="62.109375" style="18" customWidth="1"/>
    <col min="2" max="16384" width="8.88671875" style="18"/>
  </cols>
  <sheetData>
    <row r="1" spans="1:4" ht="14.4">
      <c r="A1" s="32" t="s">
        <v>28</v>
      </c>
      <c r="B1" s="20" t="s">
        <v>440</v>
      </c>
      <c r="C1" s="20" t="s">
        <v>441</v>
      </c>
      <c r="D1" s="20" t="s">
        <v>443</v>
      </c>
    </row>
    <row r="2" spans="1:4" ht="15.6">
      <c r="A2" s="33" t="s">
        <v>1782</v>
      </c>
      <c r="B2" s="315"/>
      <c r="C2" s="315"/>
      <c r="D2" s="315"/>
    </row>
    <row r="3" spans="1:4" ht="15.6">
      <c r="A3" s="33" t="s">
        <v>1783</v>
      </c>
      <c r="B3" s="315"/>
      <c r="C3" s="315"/>
      <c r="D3" s="315"/>
    </row>
    <row r="4" spans="1:4" ht="15.6">
      <c r="A4" s="33" t="s">
        <v>1784</v>
      </c>
      <c r="B4" s="315"/>
      <c r="C4" s="315"/>
      <c r="D4" s="315"/>
    </row>
    <row r="5" spans="1:4" ht="15.6">
      <c r="A5" s="33" t="s">
        <v>1785</v>
      </c>
      <c r="B5" s="315"/>
      <c r="C5" s="315"/>
      <c r="D5" s="315"/>
    </row>
    <row r="6" spans="1:4" ht="15.6">
      <c r="A6" s="33"/>
      <c r="B6" s="315"/>
      <c r="C6" s="315"/>
      <c r="D6" s="315"/>
    </row>
    <row r="7" spans="1:4" ht="15.6">
      <c r="A7" s="33" t="s">
        <v>1786</v>
      </c>
      <c r="B7" s="315"/>
      <c r="C7" s="315"/>
      <c r="D7" s="315"/>
    </row>
    <row r="8" spans="1:4" ht="15.6">
      <c r="A8" s="33" t="s">
        <v>1787</v>
      </c>
      <c r="B8" s="315"/>
      <c r="C8" s="315"/>
      <c r="D8" s="315"/>
    </row>
    <row r="9" spans="1:4" ht="15.6">
      <c r="A9" s="33" t="s">
        <v>1788</v>
      </c>
      <c r="B9" s="315"/>
      <c r="C9" s="315"/>
      <c r="D9" s="315"/>
    </row>
    <row r="10" spans="1:4" ht="15.6">
      <c r="A10" s="33"/>
      <c r="B10" s="315"/>
      <c r="C10" s="315"/>
      <c r="D10" s="315"/>
    </row>
    <row r="11" spans="1:4" ht="15.6">
      <c r="A11" s="33" t="s">
        <v>1133</v>
      </c>
      <c r="B11" s="315"/>
      <c r="C11" s="315"/>
      <c r="D11" s="315"/>
    </row>
    <row r="12" spans="1:4" ht="15.6">
      <c r="A12" s="33" t="s">
        <v>1789</v>
      </c>
      <c r="B12" s="315"/>
      <c r="C12" s="315"/>
      <c r="D12" s="315"/>
    </row>
    <row r="13" spans="1:4" ht="15.6">
      <c r="A13" s="33"/>
      <c r="B13" s="315"/>
      <c r="C13" s="315"/>
      <c r="D13" s="315"/>
    </row>
    <row r="14" spans="1:4" ht="15.6">
      <c r="A14" s="33" t="s">
        <v>1790</v>
      </c>
      <c r="B14" s="315"/>
      <c r="C14" s="315"/>
      <c r="D14" s="315"/>
    </row>
    <row r="15" spans="1:4" ht="15.6">
      <c r="A15" s="33" t="s">
        <v>1791</v>
      </c>
      <c r="B15" s="315"/>
      <c r="C15" s="315"/>
      <c r="D15" s="315"/>
    </row>
    <row r="16" spans="1:4" ht="15.6">
      <c r="A16" s="238" t="s">
        <v>1797</v>
      </c>
      <c r="B16" s="315"/>
      <c r="C16" s="315"/>
      <c r="D16" s="315"/>
    </row>
    <row r="17" spans="1:4" ht="15.6">
      <c r="A17" s="238" t="s">
        <v>1798</v>
      </c>
      <c r="B17" s="315"/>
      <c r="C17" s="315"/>
      <c r="D17" s="315"/>
    </row>
    <row r="18" spans="1:4" ht="15.6">
      <c r="A18" s="238" t="s">
        <v>1799</v>
      </c>
      <c r="B18" s="315"/>
      <c r="C18" s="315"/>
      <c r="D18" s="315"/>
    </row>
    <row r="19" spans="1:4" ht="15.6">
      <c r="A19" s="33" t="s">
        <v>1792</v>
      </c>
      <c r="B19" s="315"/>
      <c r="C19" s="315"/>
      <c r="D19" s="315"/>
    </row>
    <row r="20" spans="1:4" ht="14.4">
      <c r="A20" s="33"/>
      <c r="B20" s="247"/>
      <c r="C20" s="247"/>
      <c r="D20" s="247"/>
    </row>
    <row r="21" spans="1:4">
      <c r="A21" s="18" t="s">
        <v>1793</v>
      </c>
      <c r="B21" s="247"/>
      <c r="C21" s="247"/>
      <c r="D21" s="247"/>
    </row>
    <row r="22" spans="1:4">
      <c r="B22" s="247"/>
      <c r="C22" s="247"/>
      <c r="D22" s="247"/>
    </row>
    <row r="23" spans="1:4">
      <c r="A23" s="18" t="s">
        <v>1138</v>
      </c>
      <c r="B23" s="247"/>
      <c r="C23" s="247"/>
      <c r="D23" s="247"/>
    </row>
    <row r="24" spans="1:4">
      <c r="A24" s="18" t="s">
        <v>811</v>
      </c>
      <c r="B24" s="247"/>
      <c r="C24" s="247"/>
      <c r="D24" s="247"/>
    </row>
    <row r="25" spans="1:4">
      <c r="A25" s="18" t="s">
        <v>731</v>
      </c>
      <c r="B25" s="247"/>
      <c r="C25" s="247"/>
      <c r="D25" s="247"/>
    </row>
    <row r="26" spans="1:4">
      <c r="A26" s="18" t="s">
        <v>732</v>
      </c>
      <c r="B26" s="247"/>
      <c r="C26" s="247"/>
      <c r="D26" s="247"/>
    </row>
    <row r="27" spans="1:4">
      <c r="A27" s="18" t="s">
        <v>1794</v>
      </c>
      <c r="B27" s="247"/>
      <c r="C27" s="247"/>
      <c r="D27" s="247"/>
    </row>
    <row r="28" spans="1:4">
      <c r="A28" s="18" t="s">
        <v>793</v>
      </c>
      <c r="B28" s="247"/>
      <c r="C28" s="247"/>
      <c r="D28" s="247"/>
    </row>
    <row r="29" spans="1:4">
      <c r="A29" s="18" t="s">
        <v>1795</v>
      </c>
      <c r="B29" s="247"/>
      <c r="C29" s="247"/>
      <c r="D29" s="247"/>
    </row>
    <row r="30" spans="1:4">
      <c r="B30" s="247"/>
      <c r="C30" s="247"/>
      <c r="D30" s="247"/>
    </row>
    <row r="31" spans="1:4">
      <c r="A31" s="18" t="s">
        <v>1796</v>
      </c>
      <c r="B31" s="247"/>
      <c r="C31" s="247"/>
      <c r="D31" s="247"/>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codeName="Sheet397">
    <tabColor rgb="FFFFC000"/>
  </sheetPr>
  <dimension ref="A1:C28"/>
  <sheetViews>
    <sheetView workbookViewId="0">
      <selection activeCell="I27" sqref="I27"/>
    </sheetView>
  </sheetViews>
  <sheetFormatPr defaultRowHeight="13.8"/>
  <cols>
    <col min="1" max="1" width="35.88671875" style="18" bestFit="1" customWidth="1"/>
    <col min="2" max="16384" width="8.88671875" style="18"/>
  </cols>
  <sheetData>
    <row r="1" spans="1:3" ht="14.4">
      <c r="A1" s="32" t="s">
        <v>28</v>
      </c>
      <c r="B1" s="20" t="s">
        <v>440</v>
      </c>
      <c r="C1" s="20" t="s">
        <v>441</v>
      </c>
    </row>
    <row r="2" spans="1:3" ht="15.6">
      <c r="A2" s="44" t="s">
        <v>1782</v>
      </c>
      <c r="B2" s="315"/>
      <c r="C2" s="315"/>
    </row>
    <row r="3" spans="1:3" ht="15.6">
      <c r="A3" s="44" t="s">
        <v>1784</v>
      </c>
      <c r="B3" s="315"/>
      <c r="C3" s="315"/>
    </row>
    <row r="4" spans="1:3" ht="15.6">
      <c r="A4" s="44" t="s">
        <v>1785</v>
      </c>
      <c r="B4" s="315"/>
      <c r="C4" s="315"/>
    </row>
    <row r="5" spans="1:3" ht="15.6">
      <c r="A5" s="46"/>
      <c r="B5" s="315"/>
      <c r="C5" s="315"/>
    </row>
    <row r="6" spans="1:3" ht="15.6">
      <c r="A6" s="44" t="s">
        <v>1786</v>
      </c>
      <c r="B6" s="315"/>
      <c r="C6" s="315"/>
    </row>
    <row r="7" spans="1:3" ht="15.6">
      <c r="A7" s="44" t="s">
        <v>1787</v>
      </c>
      <c r="B7" s="315"/>
      <c r="C7" s="315"/>
    </row>
    <row r="8" spans="1:3" ht="15.6">
      <c r="A8" s="44" t="s">
        <v>1788</v>
      </c>
      <c r="B8" s="315"/>
      <c r="C8" s="315"/>
    </row>
    <row r="9" spans="1:3" ht="15.6">
      <c r="A9" s="46"/>
      <c r="B9" s="315"/>
      <c r="C9" s="315"/>
    </row>
    <row r="10" spans="1:3" ht="15.6">
      <c r="A10" s="44" t="s">
        <v>1133</v>
      </c>
      <c r="B10" s="315"/>
      <c r="C10" s="315"/>
    </row>
    <row r="11" spans="1:3" ht="15.6">
      <c r="A11" s="44" t="s">
        <v>1789</v>
      </c>
      <c r="B11" s="315"/>
      <c r="C11" s="315"/>
    </row>
    <row r="12" spans="1:3" ht="15.6">
      <c r="A12" s="46"/>
      <c r="B12" s="315"/>
      <c r="C12" s="315"/>
    </row>
    <row r="13" spans="1:3" ht="15.6">
      <c r="A13" s="44" t="s">
        <v>1790</v>
      </c>
      <c r="B13" s="315"/>
      <c r="C13" s="315"/>
    </row>
    <row r="14" spans="1:3" ht="15.6">
      <c r="A14" s="44" t="s">
        <v>1791</v>
      </c>
      <c r="B14" s="315"/>
      <c r="C14" s="315"/>
    </row>
    <row r="15" spans="1:3" ht="15.6">
      <c r="A15" s="44" t="s">
        <v>1800</v>
      </c>
      <c r="B15" s="315"/>
      <c r="C15" s="315"/>
    </row>
    <row r="16" spans="1:3" ht="15.6">
      <c r="A16" s="44" t="s">
        <v>1801</v>
      </c>
      <c r="B16" s="315"/>
      <c r="C16" s="315"/>
    </row>
    <row r="17" spans="1:3" ht="15.6">
      <c r="A17" s="44" t="s">
        <v>1733</v>
      </c>
      <c r="B17" s="315"/>
      <c r="C17" s="315"/>
    </row>
    <row r="18" spans="1:3" ht="14.4">
      <c r="A18" s="44" t="s">
        <v>1802</v>
      </c>
      <c r="B18" s="247"/>
      <c r="C18" s="247"/>
    </row>
    <row r="19" spans="1:3">
      <c r="A19" s="46"/>
      <c r="B19" s="247"/>
      <c r="C19" s="247"/>
    </row>
    <row r="20" spans="1:3" ht="28.8">
      <c r="A20" s="44" t="s">
        <v>1803</v>
      </c>
      <c r="B20" s="247"/>
      <c r="C20" s="247"/>
    </row>
    <row r="21" spans="1:3">
      <c r="A21" s="46"/>
      <c r="B21" s="247"/>
      <c r="C21" s="247"/>
    </row>
    <row r="22" spans="1:3" ht="14.4">
      <c r="A22" s="44" t="s">
        <v>1138</v>
      </c>
      <c r="B22" s="247"/>
      <c r="C22" s="247"/>
    </row>
    <row r="23" spans="1:3" ht="14.4">
      <c r="A23" s="44" t="s">
        <v>732</v>
      </c>
      <c r="B23" s="247"/>
      <c r="C23" s="247"/>
    </row>
    <row r="24" spans="1:3" ht="14.4">
      <c r="A24" s="44" t="s">
        <v>1794</v>
      </c>
      <c r="B24" s="247"/>
      <c r="C24" s="247"/>
    </row>
    <row r="25" spans="1:3" ht="14.4">
      <c r="A25" s="44" t="s">
        <v>793</v>
      </c>
      <c r="B25" s="247"/>
      <c r="C25" s="247"/>
    </row>
    <row r="26" spans="1:3" ht="14.4">
      <c r="A26" s="44" t="s">
        <v>1795</v>
      </c>
      <c r="B26" s="247"/>
      <c r="C26" s="247"/>
    </row>
    <row r="27" spans="1:3">
      <c r="A27" s="46"/>
      <c r="B27" s="247"/>
      <c r="C27" s="247"/>
    </row>
    <row r="28" spans="1:3" ht="14.4">
      <c r="A28" s="44" t="s">
        <v>1804</v>
      </c>
      <c r="B28" s="247"/>
      <c r="C28" s="247"/>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codeName="Sheet398">
    <tabColor rgb="FFFFFF00"/>
  </sheetPr>
  <dimension ref="A1:C28"/>
  <sheetViews>
    <sheetView workbookViewId="0">
      <selection activeCell="H36" sqref="H3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440</v>
      </c>
      <c r="C1" s="20" t="s">
        <v>441</v>
      </c>
    </row>
    <row r="2" spans="1:3" ht="15.6">
      <c r="A2" s="44" t="s">
        <v>1782</v>
      </c>
      <c r="B2" s="315"/>
      <c r="C2" s="315"/>
    </row>
    <row r="3" spans="1:3" ht="15.6">
      <c r="A3" s="44" t="s">
        <v>1784</v>
      </c>
      <c r="B3" s="315"/>
      <c r="C3" s="315"/>
    </row>
    <row r="4" spans="1:3" ht="15.6">
      <c r="A4" s="44" t="s">
        <v>1785</v>
      </c>
      <c r="B4" s="315"/>
      <c r="C4" s="315"/>
    </row>
    <row r="5" spans="1:3" ht="15.6">
      <c r="A5" s="46"/>
      <c r="B5" s="315"/>
      <c r="C5" s="315"/>
    </row>
    <row r="6" spans="1:3" ht="15.6">
      <c r="A6" s="44" t="s">
        <v>1786</v>
      </c>
      <c r="B6" s="315"/>
      <c r="C6" s="315"/>
    </row>
    <row r="7" spans="1:3" ht="15.6">
      <c r="A7" s="44" t="s">
        <v>1787</v>
      </c>
      <c r="B7" s="315"/>
      <c r="C7" s="315"/>
    </row>
    <row r="8" spans="1:3" ht="15.6">
      <c r="A8" s="44" t="s">
        <v>1788</v>
      </c>
      <c r="B8" s="315"/>
      <c r="C8" s="315"/>
    </row>
    <row r="9" spans="1:3" ht="15.6">
      <c r="A9" s="46"/>
      <c r="B9" s="315"/>
      <c r="C9" s="315"/>
    </row>
    <row r="10" spans="1:3" ht="15.6">
      <c r="A10" s="44" t="s">
        <v>1133</v>
      </c>
      <c r="B10" s="315"/>
      <c r="C10" s="315"/>
    </row>
    <row r="11" spans="1:3" ht="15.6">
      <c r="A11" s="44" t="s">
        <v>1789</v>
      </c>
      <c r="B11" s="315"/>
      <c r="C11" s="315"/>
    </row>
    <row r="12" spans="1:3" ht="15.6">
      <c r="A12" s="46"/>
      <c r="B12" s="315"/>
      <c r="C12" s="315"/>
    </row>
    <row r="13" spans="1:3" ht="15.6">
      <c r="A13" s="44" t="s">
        <v>1790</v>
      </c>
      <c r="B13" s="315"/>
      <c r="C13" s="315"/>
    </row>
    <row r="14" spans="1:3" ht="15.6">
      <c r="A14" s="44" t="s">
        <v>1791</v>
      </c>
      <c r="B14" s="315"/>
      <c r="C14" s="315"/>
    </row>
    <row r="15" spans="1:3" ht="15.6">
      <c r="A15" s="44" t="s">
        <v>1800</v>
      </c>
      <c r="B15" s="315"/>
      <c r="C15" s="315"/>
    </row>
    <row r="16" spans="1:3" ht="15.6">
      <c r="A16" s="44" t="s">
        <v>1801</v>
      </c>
      <c r="B16" s="315"/>
      <c r="C16" s="315"/>
    </row>
    <row r="17" spans="1:3" ht="15.6">
      <c r="A17" s="44" t="s">
        <v>1733</v>
      </c>
      <c r="B17" s="315"/>
      <c r="C17" s="315"/>
    </row>
    <row r="18" spans="1:3" ht="14.4">
      <c r="A18" s="44" t="s">
        <v>1802</v>
      </c>
      <c r="B18" s="247"/>
      <c r="C18" s="247"/>
    </row>
    <row r="19" spans="1:3">
      <c r="A19" s="46"/>
      <c r="B19" s="247"/>
      <c r="C19" s="247"/>
    </row>
    <row r="20" spans="1:3" ht="28.8">
      <c r="A20" s="44" t="s">
        <v>1803</v>
      </c>
      <c r="B20" s="247"/>
      <c r="C20" s="247"/>
    </row>
    <row r="21" spans="1:3">
      <c r="A21" s="46"/>
      <c r="B21" s="247"/>
      <c r="C21" s="247"/>
    </row>
    <row r="22" spans="1:3" ht="14.4">
      <c r="A22" s="44" t="s">
        <v>1138</v>
      </c>
      <c r="B22" s="247"/>
      <c r="C22" s="247"/>
    </row>
    <row r="23" spans="1:3" ht="14.4">
      <c r="A23" s="44" t="s">
        <v>732</v>
      </c>
      <c r="B23" s="247"/>
      <c r="C23" s="247"/>
    </row>
    <row r="24" spans="1:3" ht="14.4">
      <c r="A24" s="44" t="s">
        <v>1794</v>
      </c>
      <c r="B24" s="247"/>
      <c r="C24" s="247"/>
    </row>
    <row r="25" spans="1:3" ht="14.4">
      <c r="A25" s="44" t="s">
        <v>793</v>
      </c>
      <c r="B25" s="247"/>
      <c r="C25" s="247"/>
    </row>
    <row r="26" spans="1:3" ht="14.4">
      <c r="A26" s="44" t="s">
        <v>1795</v>
      </c>
      <c r="B26" s="247"/>
      <c r="C26" s="247"/>
    </row>
    <row r="27" spans="1:3">
      <c r="A27" s="46"/>
      <c r="B27" s="247"/>
      <c r="C27" s="247"/>
    </row>
    <row r="28" spans="1:3" ht="14.4">
      <c r="A28" s="44" t="s">
        <v>1804</v>
      </c>
      <c r="B28" s="247"/>
      <c r="C28" s="247"/>
    </row>
  </sheetData>
  <phoneticPr fontId="1"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codeName="Sheet399">
    <tabColor rgb="FFFFFF00"/>
  </sheetPr>
  <dimension ref="A1:C14"/>
  <sheetViews>
    <sheetView workbookViewId="0">
      <selection activeCell="H28" sqref="H28"/>
    </sheetView>
  </sheetViews>
  <sheetFormatPr defaultRowHeight="13.8"/>
  <cols>
    <col min="1" max="1" width="46.6640625" style="18" customWidth="1"/>
    <col min="2" max="16384" width="8.88671875" style="18"/>
  </cols>
  <sheetData>
    <row r="1" spans="1:3" ht="14.4">
      <c r="A1" s="20" t="s">
        <v>28</v>
      </c>
      <c r="B1" s="20" t="s">
        <v>444</v>
      </c>
      <c r="C1" s="20" t="s">
        <v>445</v>
      </c>
    </row>
    <row r="2" spans="1:3" ht="15.6">
      <c r="A2" s="44" t="s">
        <v>1805</v>
      </c>
      <c r="B2" s="56" t="s">
        <v>239</v>
      </c>
      <c r="C2" s="56" t="s">
        <v>239</v>
      </c>
    </row>
    <row r="3" spans="1:3" ht="15.6">
      <c r="A3" s="44" t="s">
        <v>1806</v>
      </c>
      <c r="B3" s="339"/>
      <c r="C3" s="339"/>
    </row>
    <row r="4" spans="1:3" ht="15.6">
      <c r="A4" s="44" t="s">
        <v>1807</v>
      </c>
      <c r="B4" s="339"/>
      <c r="C4" s="339"/>
    </row>
    <row r="5" spans="1:3" ht="15.6">
      <c r="A5" s="44" t="s">
        <v>1809</v>
      </c>
      <c r="B5" s="339"/>
      <c r="C5" s="339"/>
    </row>
    <row r="6" spans="1:3" ht="15.6">
      <c r="A6" s="44" t="s">
        <v>1810</v>
      </c>
      <c r="B6" s="339"/>
      <c r="C6" s="339"/>
    </row>
    <row r="7" spans="1:3" ht="15.6">
      <c r="A7" s="44" t="s">
        <v>1811</v>
      </c>
      <c r="B7" s="339"/>
      <c r="C7" s="339"/>
    </row>
    <row r="8" spans="1:3">
      <c r="A8" s="46"/>
    </row>
    <row r="9" spans="1:3" ht="15.6">
      <c r="A9" s="44" t="s">
        <v>1808</v>
      </c>
      <c r="B9" s="56" t="s">
        <v>239</v>
      </c>
      <c r="C9" s="56" t="s">
        <v>239</v>
      </c>
    </row>
    <row r="10" spans="1:3" ht="15.6">
      <c r="A10" s="44" t="s">
        <v>1806</v>
      </c>
      <c r="B10" s="339"/>
      <c r="C10" s="339"/>
    </row>
    <row r="11" spans="1:3" ht="15.6">
      <c r="A11" s="44" t="s">
        <v>1807</v>
      </c>
      <c r="B11" s="339"/>
      <c r="C11" s="339"/>
    </row>
    <row r="12" spans="1:3" ht="15.6">
      <c r="A12" s="44" t="s">
        <v>1809</v>
      </c>
      <c r="B12" s="339"/>
      <c r="C12" s="339"/>
    </row>
    <row r="13" spans="1:3" ht="15.6">
      <c r="A13" s="44" t="s">
        <v>1810</v>
      </c>
      <c r="B13" s="339"/>
      <c r="C13" s="339"/>
    </row>
    <row r="14" spans="1:3" ht="14.4">
      <c r="A14" s="44" t="s">
        <v>1811</v>
      </c>
      <c r="B14" s="247"/>
      <c r="C14" s="24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sheetPr codeName="Sheet4"/>
  <dimension ref="A1:L260"/>
  <sheetViews>
    <sheetView view="pageBreakPreview" topLeftCell="A238" zoomScale="85" zoomScaleNormal="100" zoomScaleSheetLayoutView="85" workbookViewId="0">
      <selection activeCell="H82" sqref="H82"/>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2" t="s">
        <v>827</v>
      </c>
      <c r="B1" s="109" t="s">
        <v>828</v>
      </c>
      <c r="C1" s="62" t="s">
        <v>829</v>
      </c>
      <c r="D1" s="62" t="s">
        <v>830</v>
      </c>
      <c r="E1" s="62" t="s">
        <v>831</v>
      </c>
      <c r="F1" s="62" t="s">
        <v>832</v>
      </c>
      <c r="G1" s="62" t="s">
        <v>826</v>
      </c>
      <c r="H1" s="62" t="s">
        <v>833</v>
      </c>
    </row>
    <row r="2" spans="1:12">
      <c r="A2" s="110" t="s">
        <v>834</v>
      </c>
      <c r="B2" s="110"/>
      <c r="C2" s="111"/>
      <c r="D2" s="111"/>
      <c r="E2" s="111"/>
      <c r="I2" s="1" t="s">
        <v>835</v>
      </c>
      <c r="J2" s="1" t="s">
        <v>836</v>
      </c>
      <c r="K2" s="1" t="s">
        <v>837</v>
      </c>
      <c r="L2" s="1" t="s">
        <v>838</v>
      </c>
    </row>
    <row r="3" spans="1:12">
      <c r="A3" s="112" t="s">
        <v>839</v>
      </c>
      <c r="B3" s="112"/>
      <c r="C3" s="111"/>
      <c r="D3" s="111"/>
      <c r="E3" s="111">
        <f>SUM(E4:E6)</f>
        <v>820851019.66999996</v>
      </c>
      <c r="F3" s="111">
        <f t="shared" ref="F3:G3" si="0">SUM(C4:C6)</f>
        <v>0</v>
      </c>
      <c r="G3" s="111">
        <f t="shared" si="0"/>
        <v>0</v>
      </c>
      <c r="H3" s="111">
        <f>SUM(H4:H6)</f>
        <v>820851019.66999996</v>
      </c>
    </row>
    <row r="4" spans="1:12">
      <c r="A4" s="112" t="s">
        <v>840</v>
      </c>
      <c r="B4" s="113" t="s">
        <v>841</v>
      </c>
      <c r="C4" s="111"/>
      <c r="D4" s="111"/>
      <c r="E4" s="114">
        <f>IF(K4=L4,_xlfn.IFNA(VLOOKUP(I4,科目余额表!B:M,12,0),0),-_xlfn.IFNA(VLOOKUP(I4,科目余额表!B:M,12,0),0))</f>
        <v>0</v>
      </c>
      <c r="F4" s="1">
        <f>ROUND(SUMIF(本期ETY!D:D,B4,本期ETY!F:F),2)</f>
        <v>0</v>
      </c>
      <c r="G4" s="1">
        <f>ROUND(SUMIF(本期ETY!D:D,B4,本期ETY!G:G),2)</f>
        <v>0</v>
      </c>
      <c r="H4" s="115">
        <f>ROUND(E4+F4-G4,2)</f>
        <v>0</v>
      </c>
      <c r="I4" s="1" t="s">
        <v>842</v>
      </c>
      <c r="K4" s="1" t="s">
        <v>843</v>
      </c>
      <c r="L4" s="1" t="str">
        <f>_xlfn.IFNA(VLOOKUP(I4,科目余额表!B:M,11,0),K4)</f>
        <v>借</v>
      </c>
    </row>
    <row r="5" spans="1:12">
      <c r="A5" s="112" t="s">
        <v>844</v>
      </c>
      <c r="B5" s="113" t="s">
        <v>845</v>
      </c>
      <c r="C5" s="111"/>
      <c r="D5" s="111"/>
      <c r="E5" s="114">
        <f>IF(K5=L5,_xlfn.IFNA(VLOOKUP(I5,科目余额表!B:M,12,0),0),-_xlfn.IFNA(VLOOKUP(I5,科目余额表!B:M,12,0),0))</f>
        <v>761094784.53999996</v>
      </c>
      <c r="F5" s="1">
        <f>ROUND(SUMIF(本期ETY!D:D,B5,本期ETY!F:F),2)</f>
        <v>0</v>
      </c>
      <c r="G5" s="1">
        <f>ROUND(SUMIF(本期ETY!D:D,B5,本期ETY!G:G),2)</f>
        <v>0</v>
      </c>
      <c r="H5" s="115">
        <f>ROUND(E5+F5-G5,2)</f>
        <v>761094784.53999996</v>
      </c>
      <c r="I5" s="1" t="s">
        <v>846</v>
      </c>
      <c r="K5" s="1" t="s">
        <v>843</v>
      </c>
      <c r="L5" s="1" t="str">
        <f>_xlfn.IFNA(VLOOKUP(I5,科目余额表!B:M,11,0),K5)</f>
        <v>借</v>
      </c>
    </row>
    <row r="6" spans="1:12">
      <c r="A6" s="112" t="s">
        <v>847</v>
      </c>
      <c r="B6" s="113" t="s">
        <v>193</v>
      </c>
      <c r="C6" s="111"/>
      <c r="D6" s="111"/>
      <c r="E6" s="114">
        <f>IF(K6=L6,_xlfn.IFNA(VLOOKUP(I6,科目余额表!B:M,12,0),0),-_xlfn.IFNA(VLOOKUP(I6,科目余额表!B:M,12,0),0))</f>
        <v>59756235.130000003</v>
      </c>
      <c r="F6" s="1">
        <f>ROUND(SUMIF(本期ETY!D:D,B6,本期ETY!F:F),2)</f>
        <v>0</v>
      </c>
      <c r="G6" s="1">
        <f>ROUND(SUMIF(本期ETY!D:D,B6,本期ETY!G:G),2)</f>
        <v>0</v>
      </c>
      <c r="H6" s="115">
        <f t="shared" ref="H6:H56" si="1">ROUND(E6+F6-G6,2)</f>
        <v>59756235.130000003</v>
      </c>
      <c r="I6" s="1" t="s">
        <v>848</v>
      </c>
      <c r="K6" s="1" t="s">
        <v>843</v>
      </c>
      <c r="L6" s="1" t="str">
        <f>_xlfn.IFNA(VLOOKUP(I6,科目余额表!B:M,11,0),K6)</f>
        <v>借</v>
      </c>
    </row>
    <row r="7" spans="1:12">
      <c r="A7" s="112" t="s">
        <v>849</v>
      </c>
      <c r="B7" s="113" t="s">
        <v>850</v>
      </c>
      <c r="C7" s="111"/>
      <c r="D7" s="111"/>
      <c r="E7" s="114">
        <f>IF(K7=L7,_xlfn.IFNA(VLOOKUP(I7,科目余额表!B:M,12,0),0),-_xlfn.IFNA(VLOOKUP(I7,科目余额表!B:M,12,0),0))</f>
        <v>0</v>
      </c>
      <c r="F7" s="1">
        <f>ROUND(SUMIF(本期ETY!D:D,B7,本期ETY!F:F),2)</f>
        <v>0</v>
      </c>
      <c r="G7" s="1">
        <f>ROUND(SUMIF(本期ETY!D:D,B7,本期ETY!G:G),2)</f>
        <v>0</v>
      </c>
      <c r="H7" s="115">
        <f t="shared" si="1"/>
        <v>0</v>
      </c>
      <c r="I7" s="1" t="s">
        <v>851</v>
      </c>
      <c r="K7" s="1" t="s">
        <v>843</v>
      </c>
      <c r="L7" s="1" t="str">
        <f>_xlfn.IFNA(VLOOKUP(I7,科目余额表!B:M,11,0),K7)</f>
        <v>借</v>
      </c>
    </row>
    <row r="8" spans="1:12">
      <c r="A8" s="112" t="s">
        <v>852</v>
      </c>
      <c r="B8" s="113" t="s">
        <v>853</v>
      </c>
      <c r="C8" s="111"/>
      <c r="D8" s="111"/>
      <c r="E8" s="114">
        <f>IF(K8=L8,_xlfn.IFNA(VLOOKUP(I8,科目余额表!B:M,12,0),0),-_xlfn.IFNA(VLOOKUP(I8,科目余额表!B:M,12,0),0))</f>
        <v>0</v>
      </c>
      <c r="F8" s="1">
        <f>ROUND(SUMIF(本期ETY!D:D,B8,本期ETY!F:F),2)</f>
        <v>0</v>
      </c>
      <c r="G8" s="1">
        <f>ROUND(SUMIF(本期ETY!D:D,B8,本期ETY!G:G),2)</f>
        <v>0</v>
      </c>
      <c r="H8" s="115">
        <f t="shared" si="1"/>
        <v>0</v>
      </c>
      <c r="I8" s="1" t="s">
        <v>854</v>
      </c>
      <c r="K8" s="1" t="s">
        <v>843</v>
      </c>
      <c r="L8" s="1" t="str">
        <f>_xlfn.IFNA(VLOOKUP(I8,科目余额表!B:M,11,0),K8)</f>
        <v>借</v>
      </c>
    </row>
    <row r="9" spans="1:12">
      <c r="A9" s="116" t="s">
        <v>855</v>
      </c>
      <c r="B9" s="113" t="s">
        <v>5</v>
      </c>
      <c r="C9" s="111"/>
      <c r="D9" s="117" t="s">
        <v>856</v>
      </c>
      <c r="E9" s="114">
        <f>IF(K9=L9,_xlfn.IFNA(VLOOKUP(I9,科目余额表!B:M,12,0),0),-_xlfn.IFNA(VLOOKUP(I9,科目余额表!B:M,12,0),0))</f>
        <v>0</v>
      </c>
      <c r="F9" s="1">
        <f>ROUND(SUMIF(本期ETY!D:D,B9,本期ETY!F:F),2)</f>
        <v>0</v>
      </c>
      <c r="G9" s="1">
        <f>ROUND(SUMIF(本期ETY!D:D,B9,本期ETY!G:G),2)</f>
        <v>0</v>
      </c>
      <c r="H9" s="115">
        <f t="shared" si="1"/>
        <v>0</v>
      </c>
      <c r="I9" s="1" t="s">
        <v>5</v>
      </c>
      <c r="K9" s="1" t="s">
        <v>843</v>
      </c>
      <c r="L9" s="1" t="str">
        <f>_xlfn.IFNA(VLOOKUP(I9,科目余额表!B:M,11,0),K9)</f>
        <v>借</v>
      </c>
    </row>
    <row r="10" spans="1:12">
      <c r="A10" s="116" t="s">
        <v>857</v>
      </c>
      <c r="B10" s="113" t="s">
        <v>3</v>
      </c>
      <c r="C10" s="117" t="s">
        <v>858</v>
      </c>
      <c r="D10" s="117"/>
      <c r="E10" s="114">
        <f>IF(K10=L10,_xlfn.IFNA(VLOOKUP(I10,科目余额表!B:M,12,0),0),-_xlfn.IFNA(VLOOKUP(I10,科目余额表!B:M,12,0),0))</f>
        <v>0</v>
      </c>
      <c r="F10" s="1">
        <f>ROUND(SUMIF(本期ETY!D:D,B10,本期ETY!F:F),2)</f>
        <v>0</v>
      </c>
      <c r="G10" s="1">
        <f>ROUND(SUMIF(本期ETY!D:D,B10,本期ETY!G:G),2)</f>
        <v>0</v>
      </c>
      <c r="H10" s="115">
        <f t="shared" si="1"/>
        <v>0</v>
      </c>
      <c r="I10" s="1" t="s">
        <v>3</v>
      </c>
      <c r="K10" s="1" t="s">
        <v>843</v>
      </c>
      <c r="L10" s="1" t="str">
        <f>_xlfn.IFNA(VLOOKUP(I10,科目余额表!B:M,11,0),K10)</f>
        <v>借</v>
      </c>
    </row>
    <row r="11" spans="1:12">
      <c r="A11" s="113" t="s">
        <v>859</v>
      </c>
      <c r="B11" s="113" t="s">
        <v>452</v>
      </c>
      <c r="C11" s="111"/>
      <c r="D11" s="111"/>
      <c r="E11" s="114">
        <f>IF(K11=L11,_xlfn.IFNA(VLOOKUP(I11,科目余额表!B:M,12,0),0),-_xlfn.IFNA(VLOOKUP(I11,科目余额表!B:M,12,0),0))</f>
        <v>0</v>
      </c>
      <c r="F11" s="1">
        <f>ROUND(SUMIF(本期ETY!D:D,B11,本期ETY!F:F),2)</f>
        <v>0</v>
      </c>
      <c r="G11" s="1">
        <f>ROUND(SUMIF(本期ETY!D:D,B11,本期ETY!G:G),2)</f>
        <v>0</v>
      </c>
      <c r="H11" s="115">
        <f t="shared" si="1"/>
        <v>0</v>
      </c>
      <c r="I11" s="1" t="s">
        <v>452</v>
      </c>
      <c r="K11" s="1" t="s">
        <v>843</v>
      </c>
      <c r="L11" s="1" t="str">
        <f>_xlfn.IFNA(VLOOKUP(I11,科目余额表!B:M,11,0),K11)</f>
        <v>借</v>
      </c>
    </row>
    <row r="12" spans="1:12">
      <c r="A12" s="113" t="s">
        <v>860</v>
      </c>
      <c r="B12" s="113" t="s">
        <v>861</v>
      </c>
      <c r="C12" s="111"/>
      <c r="D12" s="111"/>
      <c r="E12" s="114">
        <f>IF(K12=L12,_xlfn.IFNA(VLOOKUP(I12,科目余额表!B:M,12,0),0),-_xlfn.IFNA(VLOOKUP(I12,科目余额表!B:M,12,0),0))</f>
        <v>2000000</v>
      </c>
      <c r="F12" s="1">
        <f>ROUND(SUMIF(本期ETY!D:D,B12,本期ETY!F:F),2)</f>
        <v>0</v>
      </c>
      <c r="G12" s="1">
        <f>ROUND(SUMIF(本期ETY!D:D,B12,本期ETY!G:G),2)</f>
        <v>0</v>
      </c>
      <c r="H12" s="115">
        <f t="shared" si="1"/>
        <v>2000000</v>
      </c>
      <c r="I12" s="1" t="s">
        <v>6</v>
      </c>
      <c r="K12" s="1" t="s">
        <v>843</v>
      </c>
      <c r="L12" s="1" t="str">
        <f>_xlfn.IFNA(VLOOKUP(I12,科目余额表!B:M,11,0),K12)</f>
        <v>借</v>
      </c>
    </row>
    <row r="13" spans="1:12">
      <c r="A13" s="113" t="s">
        <v>862</v>
      </c>
      <c r="B13" s="113" t="s">
        <v>863</v>
      </c>
      <c r="C13" s="111"/>
      <c r="D13" s="111"/>
      <c r="E13" s="114">
        <f>IF(K13=L13,_xlfn.IFNA(VLOOKUP(I13,科目余额表!B:M,12,0),0),-_xlfn.IFNA(VLOOKUP(I13,科目余额表!B:M,12,0),0))</f>
        <v>0</v>
      </c>
      <c r="F13" s="1">
        <f>ROUND(SUMIF(本期ETY!D:D,B13,本期ETY!F:F),2)</f>
        <v>0</v>
      </c>
      <c r="G13" s="1">
        <f>ROUND(SUMIF(本期ETY!D:D,B13,本期ETY!G:G),2)</f>
        <v>0</v>
      </c>
      <c r="H13" s="115">
        <f>ROUND(E13-F13+G13,2)</f>
        <v>0</v>
      </c>
      <c r="I13" s="1" t="s">
        <v>864</v>
      </c>
      <c r="K13" s="1" t="s">
        <v>865</v>
      </c>
      <c r="L13" s="1" t="str">
        <f>_xlfn.IFNA(VLOOKUP(I13,科目余额表!B:M,11,0),K13)</f>
        <v>贷</v>
      </c>
    </row>
    <row r="14" spans="1:12">
      <c r="A14" s="112" t="s">
        <v>866</v>
      </c>
      <c r="B14" s="113"/>
      <c r="C14" s="111"/>
      <c r="D14" s="111"/>
      <c r="E14" s="111">
        <f>E12-E13</f>
        <v>2000000</v>
      </c>
      <c r="F14" s="111">
        <f t="shared" ref="F14:H14" si="2">F12-F13</f>
        <v>0</v>
      </c>
      <c r="G14" s="111">
        <f t="shared" si="2"/>
        <v>0</v>
      </c>
      <c r="H14" s="111">
        <f t="shared" si="2"/>
        <v>2000000</v>
      </c>
      <c r="L14" s="1">
        <f>_xlfn.IFNA(VLOOKUP(I14,科目余额表!B:M,11,0),K14)</f>
        <v>0</v>
      </c>
    </row>
    <row r="15" spans="1:12">
      <c r="A15" s="112" t="s">
        <v>867</v>
      </c>
      <c r="B15" s="113" t="s">
        <v>868</v>
      </c>
      <c r="C15" s="111"/>
      <c r="D15" s="111"/>
      <c r="E15" s="114">
        <f>IF(K15=L15,_xlfn.IFNA(VLOOKUP(I15,科目余额表!B:M,12,0),0),-_xlfn.IFNA(VLOOKUP(I15,科目余额表!B:M,12,0),0))</f>
        <v>120902358.69</v>
      </c>
      <c r="F15" s="1">
        <f>ROUND(SUMIF(本期ETY!D:D,B15,本期ETY!F:F),2)</f>
        <v>0</v>
      </c>
      <c r="G15" s="1">
        <f>ROUND(SUMIF(本期ETY!D:D,B15,本期ETY!G:G),2)</f>
        <v>0</v>
      </c>
      <c r="H15" s="115">
        <f t="shared" si="1"/>
        <v>120902358.69</v>
      </c>
      <c r="I15" s="1" t="s">
        <v>9</v>
      </c>
      <c r="K15" s="1" t="s">
        <v>843</v>
      </c>
      <c r="L15" s="1" t="str">
        <f>_xlfn.IFNA(VLOOKUP(I15,科目余额表!B:M,11,0),K15)</f>
        <v>借</v>
      </c>
    </row>
    <row r="16" spans="1:12">
      <c r="A16" s="112" t="s">
        <v>869</v>
      </c>
      <c r="B16" s="113" t="s">
        <v>870</v>
      </c>
      <c r="C16" s="111"/>
      <c r="D16" s="111"/>
      <c r="E16" s="114">
        <f>IF(K16=L16,_xlfn.IFNA(VLOOKUP(I16,科目余额表!B:M,12,0),0),-_xlfn.IFNA(VLOOKUP(I16,科目余额表!B:M,12,0),0))</f>
        <v>32762887</v>
      </c>
      <c r="F16" s="1">
        <f>ROUND(SUMIF(本期ETY!D:D,B16,本期ETY!F:F),2)</f>
        <v>0</v>
      </c>
      <c r="G16" s="1">
        <f>ROUND(SUMIF(本期ETY!D:D,B16,本期ETY!G:G),2)</f>
        <v>0</v>
      </c>
      <c r="H16" s="115">
        <f>ROUND(E16-F16+G16,2)</f>
        <v>32762887</v>
      </c>
      <c r="I16" s="1" t="s">
        <v>871</v>
      </c>
      <c r="K16" s="1" t="s">
        <v>865</v>
      </c>
      <c r="L16" s="1" t="str">
        <f>_xlfn.IFNA(VLOOKUP(I16,科目余额表!B:M,11,0),K16)</f>
        <v>贷</v>
      </c>
    </row>
    <row r="17" spans="1:12">
      <c r="A17" s="113" t="s">
        <v>872</v>
      </c>
      <c r="B17" s="113"/>
      <c r="C17" s="111"/>
      <c r="D17" s="111"/>
      <c r="E17" s="111">
        <f>E15-E16</f>
        <v>88139471.689999998</v>
      </c>
      <c r="F17" s="111">
        <f t="shared" ref="F17:H17" si="3">F15-F16</f>
        <v>0</v>
      </c>
      <c r="G17" s="111"/>
      <c r="H17" s="111">
        <f t="shared" si="3"/>
        <v>88139471.689999998</v>
      </c>
      <c r="L17" s="1">
        <f>_xlfn.IFNA(VLOOKUP(I17,科目余额表!B:M,11,0),K17)</f>
        <v>0</v>
      </c>
    </row>
    <row r="18" spans="1:12">
      <c r="A18" s="113" t="s">
        <v>873</v>
      </c>
      <c r="B18" s="113" t="s">
        <v>7</v>
      </c>
      <c r="C18" s="111"/>
      <c r="D18" s="117" t="s">
        <v>856</v>
      </c>
      <c r="E18" s="114">
        <f>IF(K18=L18,_xlfn.IFNA(VLOOKUP(I18,科目余额表!B:M,12,0),0),-_xlfn.IFNA(VLOOKUP(I18,科目余额表!B:M,12,0),0))</f>
        <v>0</v>
      </c>
      <c r="F18" s="1">
        <f>ROUND(SUMIF(本期ETY!D:D,B18,本期ETY!F:F),2)</f>
        <v>0</v>
      </c>
      <c r="G18" s="1">
        <f>ROUND(SUMIF(本期ETY!D:D,B18,本期ETY!G:G),2)</f>
        <v>0</v>
      </c>
      <c r="H18" s="115">
        <f t="shared" si="1"/>
        <v>0</v>
      </c>
      <c r="I18" s="1" t="s">
        <v>7</v>
      </c>
      <c r="K18" s="1" t="s">
        <v>843</v>
      </c>
      <c r="L18" s="1" t="str">
        <f>_xlfn.IFNA(VLOOKUP(I18,科目余额表!B:M,11,0),K18)</f>
        <v>借</v>
      </c>
    </row>
    <row r="19" spans="1:12">
      <c r="A19" s="112" t="s">
        <v>874</v>
      </c>
      <c r="B19" s="113" t="s">
        <v>875</v>
      </c>
      <c r="C19" s="111"/>
      <c r="D19" s="111"/>
      <c r="E19" s="114">
        <f>IF(K19=L19,_xlfn.IFNA(VLOOKUP(I19,科目余额表!B:M,12,0),0),-_xlfn.IFNA(VLOOKUP(I19,科目余额表!B:M,12,0),0))</f>
        <v>360794.15</v>
      </c>
      <c r="F19" s="1">
        <f>ROUND(SUMIF(本期ETY!D:D,B19,本期ETY!F:F),2)</f>
        <v>0</v>
      </c>
      <c r="G19" s="1">
        <f>ROUND(SUMIF(本期ETY!D:D,B19,本期ETY!G:G),2)</f>
        <v>0</v>
      </c>
      <c r="H19" s="115">
        <f t="shared" si="1"/>
        <v>360794.15</v>
      </c>
      <c r="I19" s="1" t="s">
        <v>876</v>
      </c>
      <c r="K19" s="1" t="s">
        <v>843</v>
      </c>
      <c r="L19" s="1" t="str">
        <f>_xlfn.IFNA(VLOOKUP(I19,科目余额表!B:M,11,0),K19)</f>
        <v>借</v>
      </c>
    </row>
    <row r="20" spans="1:12">
      <c r="A20" s="112" t="s">
        <v>877</v>
      </c>
      <c r="B20" s="113" t="s">
        <v>878</v>
      </c>
      <c r="C20" s="111"/>
      <c r="D20" s="111"/>
      <c r="E20" s="114">
        <f>IF(K20=L20,_xlfn.IFNA(VLOOKUP(I20,科目余额表!B:M,12,0),0),-_xlfn.IFNA(VLOOKUP(I20,科目余额表!B:M,12,0),0))</f>
        <v>0</v>
      </c>
      <c r="F20" s="1">
        <f>ROUND(SUMIF(本期ETY!D:D,B20,本期ETY!F:F),2)</f>
        <v>0</v>
      </c>
      <c r="G20" s="1">
        <f>ROUND(SUMIF(本期ETY!D:D,B20,本期ETY!G:G),2)</f>
        <v>0</v>
      </c>
      <c r="H20" s="115">
        <f t="shared" si="1"/>
        <v>0</v>
      </c>
      <c r="I20" s="1" t="s">
        <v>878</v>
      </c>
      <c r="K20" s="1" t="s">
        <v>843</v>
      </c>
      <c r="L20" s="1" t="str">
        <f>_xlfn.IFNA(VLOOKUP(I20,科目余额表!B:M,11,0),K20)</f>
        <v>借</v>
      </c>
    </row>
    <row r="21" spans="1:12">
      <c r="A21" s="112" t="s">
        <v>879</v>
      </c>
      <c r="B21" s="113" t="s">
        <v>880</v>
      </c>
      <c r="C21" s="111"/>
      <c r="D21" s="111"/>
      <c r="E21" s="114">
        <f>IF(K21=L21,_xlfn.IFNA(VLOOKUP(I21,科目余额表!B:M,12,0),0),-_xlfn.IFNA(VLOOKUP(I21,科目余额表!B:M,12,0),0))</f>
        <v>0</v>
      </c>
      <c r="F21" s="1">
        <f>ROUND(SUMIF(本期ETY!D:D,B21,本期ETY!F:F),2)</f>
        <v>0</v>
      </c>
      <c r="G21" s="1">
        <f>ROUND(SUMIF(本期ETY!D:D,B21,本期ETY!G:G),2)</f>
        <v>0</v>
      </c>
      <c r="H21" s="115">
        <f t="shared" si="1"/>
        <v>0</v>
      </c>
      <c r="I21" s="1" t="s">
        <v>880</v>
      </c>
      <c r="K21" s="1" t="s">
        <v>843</v>
      </c>
      <c r="L21" s="1" t="str">
        <f>_xlfn.IFNA(VLOOKUP(I21,科目余额表!B:M,11,0),K21)</f>
        <v>借</v>
      </c>
    </row>
    <row r="22" spans="1:12">
      <c r="A22" s="112" t="s">
        <v>881</v>
      </c>
      <c r="B22" s="113" t="s">
        <v>882</v>
      </c>
      <c r="C22" s="111"/>
      <c r="D22" s="111"/>
      <c r="E22" s="114">
        <f>IF(K22=L22,_xlfn.IFNA(VLOOKUP(I22,科目余额表!B:M,12,0),0),-_xlfn.IFNA(VLOOKUP(I22,科目余额表!B:M,12,0),0))</f>
        <v>0</v>
      </c>
      <c r="F22" s="1">
        <f>ROUND(SUMIF(本期ETY!D:D,B22,本期ETY!F:F),2)</f>
        <v>0</v>
      </c>
      <c r="G22" s="1">
        <f>ROUND(SUMIF(本期ETY!D:D,B22,本期ETY!G:G),2)</f>
        <v>0</v>
      </c>
      <c r="H22" s="115">
        <f t="shared" si="1"/>
        <v>0</v>
      </c>
      <c r="I22" s="1" t="s">
        <v>882</v>
      </c>
      <c r="K22" s="1" t="s">
        <v>843</v>
      </c>
      <c r="L22" s="1" t="str">
        <f>_xlfn.IFNA(VLOOKUP(I22,科目余额表!B:M,11,0),K22)</f>
        <v>借</v>
      </c>
    </row>
    <row r="23" spans="1:12">
      <c r="A23" s="112" t="s">
        <v>883</v>
      </c>
      <c r="B23" s="113" t="s">
        <v>884</v>
      </c>
      <c r="C23" s="111"/>
      <c r="D23" s="111"/>
      <c r="E23" s="114">
        <f>IF(K23=L23,_xlfn.IFNA(VLOOKUP(I23,科目余额表!B:M,12,0),0),-_xlfn.IFNA(VLOOKUP(I23,科目余额表!B:M,12,0),0))</f>
        <v>97663506.840000004</v>
      </c>
      <c r="F23" s="1">
        <f>ROUND(SUMIF(本期ETY!D:D,B23,本期ETY!F:F),2)</f>
        <v>0</v>
      </c>
      <c r="G23" s="1">
        <f>ROUND(SUMIF(本期ETY!D:D,B23,本期ETY!G:G),2)</f>
        <v>0</v>
      </c>
      <c r="H23" s="115">
        <f t="shared" si="1"/>
        <v>97663506.840000004</v>
      </c>
      <c r="I23" s="1" t="s">
        <v>302</v>
      </c>
      <c r="K23" s="1" t="s">
        <v>843</v>
      </c>
      <c r="L23" s="1" t="str">
        <f>_xlfn.IFNA(VLOOKUP(I23,科目余额表!B:M,11,0),K23)</f>
        <v>借</v>
      </c>
    </row>
    <row r="24" spans="1:12">
      <c r="A24" s="112" t="s">
        <v>885</v>
      </c>
      <c r="B24" s="113" t="s">
        <v>886</v>
      </c>
      <c r="C24" s="111"/>
      <c r="D24" s="111"/>
      <c r="E24" s="114">
        <f>IF(K24=L24,_xlfn.IFNA(VLOOKUP(I24,科目余额表!B:M,12,0),0),-_xlfn.IFNA(VLOOKUP(I24,科目余额表!B:M,12,0),0))</f>
        <v>0</v>
      </c>
      <c r="F24" s="1">
        <f>ROUND(SUMIF(本期ETY!D:D,B24,本期ETY!F:F),2)</f>
        <v>0</v>
      </c>
      <c r="G24" s="1">
        <f>ROUND(SUMIF(本期ETY!D:D,B24,本期ETY!G:G),2)</f>
        <v>0</v>
      </c>
      <c r="H24" s="115">
        <f>ROUND(E24-F24+G24,2)</f>
        <v>0</v>
      </c>
      <c r="I24" s="1" t="s">
        <v>887</v>
      </c>
      <c r="K24" s="1" t="s">
        <v>865</v>
      </c>
      <c r="L24" s="1" t="str">
        <f>_xlfn.IFNA(VLOOKUP(I24,科目余额表!B:M,11,0),K24)</f>
        <v>贷</v>
      </c>
    </row>
    <row r="25" spans="1:12">
      <c r="A25" s="112" t="s">
        <v>888</v>
      </c>
      <c r="B25" s="113"/>
      <c r="C25" s="111"/>
      <c r="D25" s="111"/>
      <c r="E25" s="111">
        <f>E23-E24</f>
        <v>97663506.840000004</v>
      </c>
      <c r="F25" s="1">
        <f>ROUND(SUMIF(本期ETY!D:D,B25,本期ETY!F:F),2)</f>
        <v>0</v>
      </c>
      <c r="G25" s="1">
        <f>ROUND(SUMIF(本期ETY!D:D,B25,本期ETY!G:G),2)</f>
        <v>0</v>
      </c>
      <c r="H25" s="115">
        <f>H23-H24</f>
        <v>97663506.840000004</v>
      </c>
      <c r="L25" s="1">
        <f>_xlfn.IFNA(VLOOKUP(I25,科目余额表!B:M,11,0),K25)</f>
        <v>0</v>
      </c>
    </row>
    <row r="26" spans="1:12">
      <c r="A26" s="403" t="s">
        <v>2934</v>
      </c>
      <c r="B26" s="113" t="s">
        <v>2447</v>
      </c>
      <c r="C26" s="111"/>
      <c r="D26" s="111"/>
      <c r="E26" s="114">
        <f>IF(K26=L26,_xlfn.IFNA(VLOOKUP(I26,科目余额表!B:M,12,0),0),-_xlfn.IFNA(VLOOKUP(I26,科目余额表!B:M,12,0),0))</f>
        <v>0</v>
      </c>
      <c r="F26" s="1">
        <f>ROUND(SUMIF(上期ETY!D:D,B26,上期ETY!F:F),2)</f>
        <v>0</v>
      </c>
      <c r="G26" s="1">
        <f>ROUND(SUMIF(上期ETY!D:D,B26,上期ETY!G:G),2)</f>
        <v>0</v>
      </c>
      <c r="H26" s="115">
        <f t="shared" ref="H26" si="4">ROUND(E26+F26-G26,2)</f>
        <v>0</v>
      </c>
      <c r="I26" s="1" t="s">
        <v>303</v>
      </c>
      <c r="K26" s="1" t="s">
        <v>843</v>
      </c>
      <c r="L26" s="1" t="str">
        <f>_xlfn.IFNA(VLOOKUP(I26,科目余额表!B:M,11,0),K26)</f>
        <v>借</v>
      </c>
    </row>
    <row r="27" spans="1:12">
      <c r="A27" s="403" t="s">
        <v>2935</v>
      </c>
      <c r="B27" s="113" t="s">
        <v>2936</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37" t="s">
        <v>2936</v>
      </c>
      <c r="K27" s="1" t="s">
        <v>865</v>
      </c>
      <c r="L27" s="1" t="str">
        <f>_xlfn.IFNA(VLOOKUP(I27,科目余额表!B:M,11,0),K27)</f>
        <v>贷</v>
      </c>
    </row>
    <row r="28" spans="1:12">
      <c r="A28" s="112" t="s">
        <v>889</v>
      </c>
      <c r="B28" s="113"/>
      <c r="C28" s="111"/>
      <c r="D28" s="111"/>
      <c r="E28" s="111">
        <f>E26-E27</f>
        <v>0</v>
      </c>
      <c r="F28" s="1">
        <f>ROUND(SUMIF(上期ETY!D:D,B28,上期ETY!F:F),2)</f>
        <v>0</v>
      </c>
      <c r="G28" s="1">
        <f>ROUND(SUMIF(上期ETY!D:D,B28,上期ETY!G:G),2)</f>
        <v>0</v>
      </c>
      <c r="H28" s="115">
        <f>H26-H27</f>
        <v>0</v>
      </c>
    </row>
    <row r="29" spans="1:12">
      <c r="A29" s="112" t="s">
        <v>890</v>
      </c>
      <c r="B29" s="113" t="s">
        <v>891</v>
      </c>
      <c r="C29" s="111"/>
      <c r="D29" s="111"/>
      <c r="E29" s="114">
        <f>IF(K29=L29,_xlfn.IFNA(VLOOKUP(I29,科目余额表!B:M,12,0),0),-_xlfn.IFNA(VLOOKUP(I29,科目余额表!B:M,12,0),0))</f>
        <v>2082719395.77</v>
      </c>
      <c r="F29" s="1">
        <f>ROUND(SUMIF(本期ETY!D:D,B29,本期ETY!F:F),2)</f>
        <v>0</v>
      </c>
      <c r="G29" s="1">
        <f>ROUND(SUMIF(本期ETY!D:D,B29,本期ETY!G:G),2)</f>
        <v>0</v>
      </c>
      <c r="H29" s="115">
        <f t="shared" si="1"/>
        <v>2082719395.77</v>
      </c>
      <c r="I29" s="1" t="s">
        <v>10</v>
      </c>
      <c r="K29" s="1" t="s">
        <v>843</v>
      </c>
      <c r="L29" s="1" t="str">
        <f>_xlfn.IFNA(VLOOKUP(I29,科目余额表!B:M,11,0),K29)</f>
        <v>借</v>
      </c>
    </row>
    <row r="30" spans="1:12">
      <c r="A30" s="112" t="s">
        <v>892</v>
      </c>
      <c r="B30" s="113" t="s">
        <v>893</v>
      </c>
      <c r="C30" s="111"/>
      <c r="D30" s="111"/>
      <c r="E30" s="114">
        <f>IF(K30=L30,_xlfn.IFNA(VLOOKUP(I30,科目余额表!B:M,12,0),0),-_xlfn.IFNA(VLOOKUP(I30,科目余额表!B:M,12,0),0))</f>
        <v>0</v>
      </c>
      <c r="F30" s="1">
        <f>ROUND(SUMIF(本期ETY!D:D,B30,本期ETY!F:F),2)</f>
        <v>0</v>
      </c>
      <c r="G30" s="1">
        <f>ROUND(SUMIF(本期ETY!D:D,B30,本期ETY!G:G),2)</f>
        <v>0</v>
      </c>
      <c r="H30" s="115">
        <f>ROUND(E30-F30+G30,2)</f>
        <v>0</v>
      </c>
      <c r="I30" s="1" t="s">
        <v>894</v>
      </c>
      <c r="K30" s="1" t="s">
        <v>865</v>
      </c>
      <c r="L30" s="1" t="str">
        <f>_xlfn.IFNA(VLOOKUP(I30,科目余额表!B:M,11,0),K30)</f>
        <v>贷</v>
      </c>
    </row>
    <row r="31" spans="1:12">
      <c r="A31" s="112" t="s">
        <v>895</v>
      </c>
      <c r="B31" s="113"/>
      <c r="C31" s="111"/>
      <c r="D31" s="111"/>
      <c r="E31" s="111">
        <f>E29-E30</f>
        <v>2082719395.77</v>
      </c>
      <c r="F31" s="1">
        <f>ROUND(SUMIF(本期ETY!D:D,B31,本期ETY!F:F),2)</f>
        <v>0</v>
      </c>
      <c r="G31" s="1">
        <f>ROUND(SUMIF(本期ETY!D:D,B31,本期ETY!G:G),2)</f>
        <v>0</v>
      </c>
      <c r="H31" s="115">
        <f>H29-H30</f>
        <v>2082719395.77</v>
      </c>
      <c r="L31" s="1">
        <f>_xlfn.IFNA(VLOOKUP(I31,科目余额表!B:M,11,0),K31)</f>
        <v>0</v>
      </c>
    </row>
    <row r="32" spans="1:12">
      <c r="A32" s="112" t="s">
        <v>896</v>
      </c>
      <c r="B32" s="113" t="s">
        <v>897</v>
      </c>
      <c r="C32" s="111"/>
      <c r="D32" s="111"/>
      <c r="E32" s="114">
        <f>IF(K32=L32,_xlfn.IFNA(VLOOKUP(I32,科目余额表!B:M,12,0),0),-_xlfn.IFNA(VLOOKUP(I32,科目余额表!B:M,12,0),0))</f>
        <v>0</v>
      </c>
      <c r="F32" s="1">
        <f>ROUND(SUMIF(本期ETY!D:D,B32,本期ETY!F:F),2)</f>
        <v>0</v>
      </c>
      <c r="G32" s="1">
        <f>ROUND(SUMIF(本期ETY!D:D,B32,本期ETY!G:G),2)</f>
        <v>0</v>
      </c>
      <c r="H32" s="115">
        <f t="shared" si="1"/>
        <v>0</v>
      </c>
      <c r="I32" s="1" t="s">
        <v>897</v>
      </c>
      <c r="K32" s="1" t="s">
        <v>843</v>
      </c>
      <c r="L32" s="1" t="str">
        <f>_xlfn.IFNA(VLOOKUP(I32,科目余额表!B:M,11,0),K32)</f>
        <v>借</v>
      </c>
    </row>
    <row r="33" spans="1:12">
      <c r="A33" s="112" t="s">
        <v>898</v>
      </c>
      <c r="B33" s="113" t="s">
        <v>899</v>
      </c>
      <c r="C33" s="111"/>
      <c r="D33" s="111"/>
      <c r="E33" s="114">
        <f>IF(K33=L33,_xlfn.IFNA(VLOOKUP(I33,科目余额表!B:M,12,0),0),-_xlfn.IFNA(VLOOKUP(I33,科目余额表!B:M,12,0),0))</f>
        <v>1004936201.12</v>
      </c>
      <c r="F33" s="1">
        <f>ROUND(SUMIF(本期ETY!D:D,B33,本期ETY!F:F),2)</f>
        <v>0</v>
      </c>
      <c r="G33" s="1">
        <f>ROUND(SUMIF(本期ETY!D:D,B33,本期ETY!G:G),2)</f>
        <v>0</v>
      </c>
      <c r="H33" s="115">
        <f t="shared" si="1"/>
        <v>1004936201.12</v>
      </c>
      <c r="I33" s="1" t="s">
        <v>799</v>
      </c>
      <c r="K33" s="1" t="s">
        <v>843</v>
      </c>
      <c r="L33" s="1" t="str">
        <f>_xlfn.IFNA(VLOOKUP(I33,科目余额表!B:M,11,0),K33)</f>
        <v>借</v>
      </c>
    </row>
    <row r="34" spans="1:12">
      <c r="A34" s="112" t="s">
        <v>900</v>
      </c>
      <c r="B34" s="113"/>
      <c r="C34" s="111"/>
      <c r="D34" s="111"/>
      <c r="E34" s="111">
        <f>SUM(E35:E48)</f>
        <v>94178028.810000002</v>
      </c>
      <c r="F34" s="111">
        <f t="shared" ref="F34:G34" si="5">SUM(F35:F47)</f>
        <v>0</v>
      </c>
      <c r="G34" s="111">
        <f t="shared" si="5"/>
        <v>0</v>
      </c>
      <c r="H34" s="111">
        <f>SUM(H35:H48)</f>
        <v>94178028.810000002</v>
      </c>
      <c r="L34" s="1">
        <f>_xlfn.IFNA(VLOOKUP(I34,科目余额表!B:M,11,0),K34)</f>
        <v>0</v>
      </c>
    </row>
    <row r="35" spans="1:12">
      <c r="A35" s="112" t="s">
        <v>901</v>
      </c>
      <c r="B35" s="113" t="s">
        <v>902</v>
      </c>
      <c r="C35" s="111"/>
      <c r="D35" s="111"/>
      <c r="E35" s="114">
        <f>IF(K35=L35,_xlfn.IFNA(VLOOKUP(I35,科目余额表!B:M,12,0),0),-_xlfn.IFNA(VLOOKUP(I35,科目余额表!B:M,12,0),0))</f>
        <v>0</v>
      </c>
      <c r="F35" s="1">
        <f>ROUND(SUMIF(本期ETY!D:D,B35,本期ETY!F:F),2)</f>
        <v>0</v>
      </c>
      <c r="G35" s="1">
        <f>ROUND(SUMIF(本期ETY!D:D,B35,本期ETY!G:G),2)</f>
        <v>0</v>
      </c>
      <c r="H35" s="115">
        <f t="shared" si="1"/>
        <v>0</v>
      </c>
      <c r="I35" s="1" t="s">
        <v>345</v>
      </c>
      <c r="K35" s="1" t="s">
        <v>843</v>
      </c>
      <c r="L35" s="1" t="str">
        <f>_xlfn.IFNA(VLOOKUP(I35,科目余额表!B:M,11,0),K35)</f>
        <v>平</v>
      </c>
    </row>
    <row r="36" spans="1:12">
      <c r="A36" s="112" t="s">
        <v>903</v>
      </c>
      <c r="B36" s="113" t="s">
        <v>904</v>
      </c>
      <c r="C36" s="111"/>
      <c r="D36" s="111"/>
      <c r="E36" s="114">
        <f>IF(K36=L36,_xlfn.IFNA(VLOOKUP(I36,科目余额表!B:M,12,0),0),-_xlfn.IFNA(VLOOKUP(I36,科目余额表!B:M,12,0),0))</f>
        <v>0</v>
      </c>
      <c r="F36" s="1">
        <f>ROUND(SUMIF(本期ETY!D:D,B36,本期ETY!F:F),2)</f>
        <v>0</v>
      </c>
      <c r="G36" s="1">
        <f>ROUND(SUMIF(本期ETY!D:D,B36,本期ETY!G:G),2)</f>
        <v>0</v>
      </c>
      <c r="H36" s="115">
        <f t="shared" si="1"/>
        <v>0</v>
      </c>
      <c r="I36" s="1" t="s">
        <v>905</v>
      </c>
      <c r="K36" s="1" t="s">
        <v>843</v>
      </c>
      <c r="L36" s="1" t="str">
        <f>_xlfn.IFNA(VLOOKUP(I36,科目余额表!B:M,11,0),K36)</f>
        <v>借</v>
      </c>
    </row>
    <row r="37" spans="1:12">
      <c r="A37" s="112" t="s">
        <v>906</v>
      </c>
      <c r="B37" s="113" t="s">
        <v>907</v>
      </c>
      <c r="C37" s="111"/>
      <c r="D37" s="111"/>
      <c r="E37" s="114">
        <f>IF(K37=L37,_xlfn.IFNA(VLOOKUP(I37,科目余额表!B:M,12,0),0),-_xlfn.IFNA(VLOOKUP(I37,科目余额表!B:M,12,0),0))</f>
        <v>0</v>
      </c>
      <c r="F37" s="1">
        <f>ROUND(SUMIF(本期ETY!D:D,B37,本期ETY!F:F),2)</f>
        <v>0</v>
      </c>
      <c r="G37" s="1">
        <f>ROUND(SUMIF(本期ETY!D:D,B37,本期ETY!G:G),2)</f>
        <v>0</v>
      </c>
      <c r="H37" s="115">
        <f t="shared" si="1"/>
        <v>0</v>
      </c>
      <c r="I37" s="1" t="s">
        <v>796</v>
      </c>
      <c r="K37" s="1" t="s">
        <v>843</v>
      </c>
      <c r="L37" s="1" t="str">
        <f>_xlfn.IFNA(VLOOKUP(I37,科目余额表!B:M,11,0),K37)</f>
        <v>借</v>
      </c>
    </row>
    <row r="38" spans="1:12">
      <c r="A38" s="112" t="s">
        <v>908</v>
      </c>
      <c r="B38" s="113" t="s">
        <v>909</v>
      </c>
      <c r="C38" s="111"/>
      <c r="D38" s="111"/>
      <c r="E38" s="114">
        <f>IF(K38=L38,_xlfn.IFNA(VLOOKUP(I38,科目余额表!B:M,12,0),0),-_xlfn.IFNA(VLOOKUP(I38,科目余额表!B:M,12,0),0))</f>
        <v>34457144.560000002</v>
      </c>
      <c r="F38" s="1">
        <f>ROUND(SUMIF(本期ETY!D:D,B38,本期ETY!F:F),2)</f>
        <v>0</v>
      </c>
      <c r="G38" s="1">
        <f>ROUND(SUMIF(本期ETY!D:D,B38,本期ETY!G:G),2)</f>
        <v>0</v>
      </c>
      <c r="H38" s="115">
        <f t="shared" si="1"/>
        <v>34457144.560000002</v>
      </c>
      <c r="I38" s="1" t="s">
        <v>356</v>
      </c>
      <c r="K38" s="1" t="s">
        <v>843</v>
      </c>
      <c r="L38" s="1" t="str">
        <f>_xlfn.IFNA(VLOOKUP(I38,科目余额表!B:M,11,0),K38)</f>
        <v>借</v>
      </c>
    </row>
    <row r="39" spans="1:12">
      <c r="A39" s="112" t="s">
        <v>910</v>
      </c>
      <c r="B39" s="113" t="s">
        <v>911</v>
      </c>
      <c r="C39" s="111"/>
      <c r="D39" s="111"/>
      <c r="E39" s="114">
        <f>IF(K39=L39,_xlfn.IFNA(VLOOKUP(I39,科目余额表!B:M,12,0),0),-_xlfn.IFNA(VLOOKUP(I39,科目余额表!B:M,12,0),0))</f>
        <v>0</v>
      </c>
      <c r="F39" s="1">
        <f>ROUND(SUMIF(本期ETY!D:D,B39,本期ETY!F:F),2)</f>
        <v>0</v>
      </c>
      <c r="G39" s="1">
        <f>ROUND(SUMIF(本期ETY!D:D,B39,本期ETY!G:G),2)</f>
        <v>0</v>
      </c>
      <c r="H39" s="115">
        <f t="shared" si="1"/>
        <v>0</v>
      </c>
      <c r="I39" s="1" t="s">
        <v>912</v>
      </c>
      <c r="K39" s="1" t="s">
        <v>843</v>
      </c>
      <c r="L39" s="1" t="str">
        <f>_xlfn.IFNA(VLOOKUP(I39,科目余额表!B:M,11,0),K39)</f>
        <v>借</v>
      </c>
    </row>
    <row r="40" spans="1:12">
      <c r="A40" s="112" t="s">
        <v>913</v>
      </c>
      <c r="B40" s="113" t="s">
        <v>914</v>
      </c>
      <c r="C40" s="111"/>
      <c r="D40" s="111"/>
      <c r="E40" s="114">
        <f>IF(K40=L40,_xlfn.IFNA(VLOOKUP(I40,科目余额表!B:M,12,0),0),-_xlfn.IFNA(VLOOKUP(I40,科目余额表!B:M,12,0),0))+_xlfn.IFNA(VLOOKUP(J40,科目余额表!B:M,12,0),0)</f>
        <v>48881090</v>
      </c>
      <c r="F40" s="1">
        <f>ROUND(SUMIF(本期ETY!D:D,B40,本期ETY!F:F),2)</f>
        <v>0</v>
      </c>
      <c r="G40" s="1">
        <f>ROUND(SUMIF(本期ETY!D:D,B40,本期ETY!G:G),2)</f>
        <v>0</v>
      </c>
      <c r="H40" s="115">
        <f t="shared" si="1"/>
        <v>48881090</v>
      </c>
      <c r="I40" s="1" t="s">
        <v>354</v>
      </c>
      <c r="J40" s="1" t="s">
        <v>915</v>
      </c>
      <c r="K40" s="1" t="s">
        <v>843</v>
      </c>
      <c r="L40" s="1" t="str">
        <f>_xlfn.IFNA(VLOOKUP(I40,科目余额表!B:M,11,0),K40)</f>
        <v>借</v>
      </c>
    </row>
    <row r="41" spans="1:12">
      <c r="A41" s="112" t="s">
        <v>916</v>
      </c>
      <c r="B41" s="113" t="s">
        <v>917</v>
      </c>
      <c r="C41" s="111"/>
      <c r="D41" s="111"/>
      <c r="E41" s="114">
        <f>IF(K41=L41,_xlfn.IFNA(VLOOKUP(I41,科目余额表!B:M,12,0),0),-_xlfn.IFNA(VLOOKUP(I41,科目余额表!B:M,12,0),0))</f>
        <v>0</v>
      </c>
      <c r="F41" s="1">
        <f>ROUND(SUMIF(本期ETY!D:D,B41,本期ETY!F:F),2)</f>
        <v>0</v>
      </c>
      <c r="G41" s="1">
        <f>ROUND(SUMIF(本期ETY!D:D,B41,本期ETY!G:G),2)</f>
        <v>0</v>
      </c>
      <c r="H41" s="115">
        <f t="shared" si="1"/>
        <v>0</v>
      </c>
      <c r="I41" s="1" t="s">
        <v>357</v>
      </c>
      <c r="K41" s="1" t="s">
        <v>843</v>
      </c>
      <c r="L41" s="1" t="str">
        <f>_xlfn.IFNA(VLOOKUP(I41,科目余额表!B:M,11,0),K41)</f>
        <v>借</v>
      </c>
    </row>
    <row r="42" spans="1:12">
      <c r="A42" s="112" t="s">
        <v>918</v>
      </c>
      <c r="B42" s="113" t="s">
        <v>919</v>
      </c>
      <c r="C42" s="111"/>
      <c r="D42" s="111"/>
      <c r="E42" s="114">
        <f>IF(K42=L42,_xlfn.IFNA(VLOOKUP(I42,科目余额表!B:M,12,0),0),-_xlfn.IFNA(VLOOKUP(I42,科目余额表!B:M,12,0),0))</f>
        <v>0</v>
      </c>
      <c r="F42" s="1">
        <f>ROUND(SUMIF(本期ETY!D:D,B42,本期ETY!F:F),2)</f>
        <v>0</v>
      </c>
      <c r="G42" s="1">
        <f>ROUND(SUMIF(本期ETY!D:D,B42,本期ETY!G:G),2)</f>
        <v>0</v>
      </c>
      <c r="H42" s="115">
        <f t="shared" si="1"/>
        <v>0</v>
      </c>
      <c r="I42" s="1" t="s">
        <v>920</v>
      </c>
      <c r="K42" s="1" t="s">
        <v>843</v>
      </c>
      <c r="L42" s="1" t="str">
        <f>_xlfn.IFNA(VLOOKUP(I42,科目余额表!B:M,11,0),K42)</f>
        <v>借</v>
      </c>
    </row>
    <row r="43" spans="1:12">
      <c r="A43" s="112" t="s">
        <v>921</v>
      </c>
      <c r="B43" s="113" t="s">
        <v>922</v>
      </c>
      <c r="C43" s="111"/>
      <c r="D43" s="111"/>
      <c r="E43" s="114">
        <f>IF(K43=L43,_xlfn.IFNA(VLOOKUP(I43,科目余额表!B:M,12,0),0),-_xlfn.IFNA(VLOOKUP(I43,科目余额表!B:M,12,0),0))</f>
        <v>10839794.25</v>
      </c>
      <c r="F43" s="1">
        <f>ROUND(SUMIF(本期ETY!D:D,B43,本期ETY!F:F),2)</f>
        <v>0</v>
      </c>
      <c r="G43" s="1">
        <f>ROUND(SUMIF(本期ETY!D:D,B43,本期ETY!G:G),2)</f>
        <v>0</v>
      </c>
      <c r="H43" s="115">
        <f t="shared" si="1"/>
        <v>10839794.25</v>
      </c>
      <c r="I43" s="1" t="s">
        <v>359</v>
      </c>
      <c r="K43" s="1" t="s">
        <v>843</v>
      </c>
      <c r="L43" s="1" t="str">
        <f>_xlfn.IFNA(VLOOKUP(I43,科目余额表!B:M,11,0),K43)</f>
        <v>借</v>
      </c>
    </row>
    <row r="44" spans="1:12">
      <c r="A44" s="112" t="s">
        <v>923</v>
      </c>
      <c r="B44" s="113" t="s">
        <v>924</v>
      </c>
      <c r="C44" s="111"/>
      <c r="D44" s="111"/>
      <c r="E44" s="114">
        <f>IF(K44=L44,_xlfn.IFNA(VLOOKUP(I44,科目余额表!B:M,12,0),0),-_xlfn.IFNA(VLOOKUP(I44,科目余额表!B:M,12,0),0))</f>
        <v>0</v>
      </c>
      <c r="F44" s="1">
        <f>ROUND(SUMIF(本期ETY!D:D,B44,本期ETY!F:F),2)</f>
        <v>0</v>
      </c>
      <c r="G44" s="1">
        <f>ROUND(SUMIF(本期ETY!D:D,B44,本期ETY!G:G),2)</f>
        <v>0</v>
      </c>
      <c r="H44" s="115">
        <f t="shared" si="1"/>
        <v>0</v>
      </c>
      <c r="I44" s="1" t="s">
        <v>347</v>
      </c>
      <c r="K44" s="1" t="s">
        <v>843</v>
      </c>
      <c r="L44" s="1" t="str">
        <f>_xlfn.IFNA(VLOOKUP(I44,科目余额表!B:M,11,0),K44)</f>
        <v>借</v>
      </c>
    </row>
    <row r="45" spans="1:12">
      <c r="A45" s="112" t="s">
        <v>925</v>
      </c>
      <c r="B45" s="113" t="s">
        <v>926</v>
      </c>
      <c r="C45" s="111"/>
      <c r="D45" s="111"/>
      <c r="E45" s="114">
        <f>IF(K45=L45,_xlfn.IFNA(VLOOKUP(I45,科目余额表!B:M,12,0),0),-_xlfn.IFNA(VLOOKUP(I45,科目余额表!B:M,12,0),0))</f>
        <v>0</v>
      </c>
      <c r="F45" s="1">
        <f>ROUND(SUMIF(本期ETY!D:D,B45,本期ETY!F:F),2)</f>
        <v>0</v>
      </c>
      <c r="G45" s="1">
        <f>ROUND(SUMIF(本期ETY!D:D,B45,本期ETY!G:G),2)</f>
        <v>0</v>
      </c>
      <c r="H45" s="115">
        <f t="shared" si="1"/>
        <v>0</v>
      </c>
      <c r="I45" s="1" t="s">
        <v>361</v>
      </c>
      <c r="K45" s="1" t="s">
        <v>843</v>
      </c>
      <c r="L45" s="1" t="str">
        <f>_xlfn.IFNA(VLOOKUP(I45,科目余额表!B:M,11,0),K45)</f>
        <v>借</v>
      </c>
    </row>
    <row r="46" spans="1:12">
      <c r="A46" s="112" t="s">
        <v>927</v>
      </c>
      <c r="B46" s="113" t="s">
        <v>928</v>
      </c>
      <c r="C46" s="111"/>
      <c r="D46" s="111"/>
      <c r="E46" s="114">
        <f>IF(K46=L46,_xlfn.IFNA(VLOOKUP(I46,科目余额表!B:M,12,0),0),-_xlfn.IFNA(VLOOKUP(I46,科目余额表!B:M,12,0),0))</f>
        <v>0</v>
      </c>
      <c r="F46" s="1">
        <f>ROUND(SUMIF(本期ETY!D:D,B46,本期ETY!F:F),2)</f>
        <v>0</v>
      </c>
      <c r="G46" s="1">
        <f>ROUND(SUMIF(本期ETY!D:D,B46,本期ETY!G:G),2)</f>
        <v>0</v>
      </c>
      <c r="H46" s="115">
        <f t="shared" si="1"/>
        <v>0</v>
      </c>
      <c r="I46" s="1" t="s">
        <v>363</v>
      </c>
      <c r="K46" s="1" t="s">
        <v>843</v>
      </c>
      <c r="L46" s="1" t="str">
        <f>_xlfn.IFNA(VLOOKUP(I46,科目余额表!B:M,11,0),K46)</f>
        <v>借</v>
      </c>
    </row>
    <row r="47" spans="1:12">
      <c r="A47" s="112" t="s">
        <v>929</v>
      </c>
      <c r="B47" s="113" t="s">
        <v>930</v>
      </c>
      <c r="C47" s="111"/>
      <c r="D47" s="111"/>
      <c r="E47" s="114">
        <f>IF(K47=L47,_xlfn.IFNA(VLOOKUP(I47,科目余额表!B:M,12,0),0),-_xlfn.IFNA(VLOOKUP(I47,科目余额表!B:M,12,0),0))</f>
        <v>0</v>
      </c>
      <c r="F47" s="1">
        <f>ROUND(SUMIF(本期ETY!D:D,B47,本期ETY!F:F),2)</f>
        <v>0</v>
      </c>
      <c r="G47" s="1">
        <f>ROUND(SUMIF(本期ETY!D:D,B47,本期ETY!G:G),2)</f>
        <v>0</v>
      </c>
      <c r="H47" s="115">
        <f t="shared" si="1"/>
        <v>0</v>
      </c>
      <c r="I47" s="1" t="s">
        <v>931</v>
      </c>
      <c r="K47" s="1" t="s">
        <v>843</v>
      </c>
      <c r="L47" s="1" t="str">
        <f>_xlfn.IFNA(VLOOKUP(I47,科目余额表!B:M,11,0),K47)</f>
        <v>借</v>
      </c>
    </row>
    <row r="48" spans="1:12">
      <c r="A48" s="112" t="s">
        <v>932</v>
      </c>
      <c r="B48" s="113" t="s">
        <v>933</v>
      </c>
      <c r="C48" s="111"/>
      <c r="D48" s="111"/>
      <c r="E48" s="114">
        <f>IF(K48=L48,_xlfn.IFNA(VLOOKUP(I48,科目余额表!B:M,12,0),0),-_xlfn.IFNA(VLOOKUP(I48,科目余额表!B:M,12,0),0))</f>
        <v>0</v>
      </c>
      <c r="F48" s="1">
        <f>ROUND(SUMIF(本期ETY!D:D,B48,本期ETY!F:F),2)</f>
        <v>0</v>
      </c>
      <c r="G48" s="1">
        <f>ROUND(SUMIF(本期ETY!D:D,B48,本期ETY!G:G),2)</f>
        <v>0</v>
      </c>
      <c r="H48" s="115">
        <f t="shared" si="1"/>
        <v>0</v>
      </c>
      <c r="I48" s="1" t="s">
        <v>934</v>
      </c>
      <c r="K48" s="1" t="s">
        <v>843</v>
      </c>
      <c r="L48" s="1" t="str">
        <f>_xlfn.IFNA(VLOOKUP(I48,科目余额表!B:M,11,0),K48)</f>
        <v>借</v>
      </c>
    </row>
    <row r="49" spans="1:12">
      <c r="A49" s="112" t="s">
        <v>935</v>
      </c>
      <c r="B49" s="113" t="s">
        <v>936</v>
      </c>
      <c r="C49" s="111"/>
      <c r="D49" s="111"/>
      <c r="E49" s="114">
        <f>IF(K49=L49,_xlfn.IFNA(VLOOKUP(I49,科目余额表!B:M,12,0),0),-_xlfn.IFNA(VLOOKUP(I49,科目余额表!B:M,12,0),0))</f>
        <v>0</v>
      </c>
      <c r="F49" s="1">
        <f>ROUND(SUMIF(本期ETY!D:D,B49,本期ETY!F:F),2)</f>
        <v>0</v>
      </c>
      <c r="G49" s="1">
        <f>ROUND(SUMIF(本期ETY!D:D,B49,本期ETY!G:G),2)</f>
        <v>0</v>
      </c>
      <c r="H49" s="115">
        <f>ROUND(E49-F49+G49,2)</f>
        <v>0</v>
      </c>
      <c r="I49" s="1" t="s">
        <v>937</v>
      </c>
      <c r="K49" s="1" t="s">
        <v>865</v>
      </c>
      <c r="L49" s="1" t="str">
        <f>_xlfn.IFNA(VLOOKUP(I49,科目余额表!B:M,11,0),K49)</f>
        <v>贷</v>
      </c>
    </row>
    <row r="50" spans="1:12">
      <c r="A50" s="112" t="s">
        <v>938</v>
      </c>
      <c r="B50" s="113" t="s">
        <v>78</v>
      </c>
      <c r="C50" s="111"/>
      <c r="D50" s="111"/>
      <c r="E50" s="111">
        <f>E34-E49</f>
        <v>94178028.810000002</v>
      </c>
      <c r="F50" s="111">
        <f t="shared" ref="F50:G50" si="6">F34-F49</f>
        <v>0</v>
      </c>
      <c r="G50" s="111">
        <f t="shared" si="6"/>
        <v>0</v>
      </c>
      <c r="H50" s="111">
        <f>H34-H49</f>
        <v>94178028.810000002</v>
      </c>
      <c r="L50" s="1">
        <f>_xlfn.IFNA(VLOOKUP(I50,科目余额表!B:M,11,0),K50)</f>
        <v>0</v>
      </c>
    </row>
    <row r="51" spans="1:12">
      <c r="A51" s="112" t="s">
        <v>939</v>
      </c>
      <c r="B51" s="113" t="s">
        <v>940</v>
      </c>
      <c r="C51" s="111"/>
      <c r="D51" s="111"/>
      <c r="E51" s="114">
        <f>IF(K51=L51,_xlfn.IFNA(VLOOKUP(I51,科目余额表!B:M,12,0),0),-_xlfn.IFNA(VLOOKUP(I51,科目余额表!B:M,12,0),0))</f>
        <v>0</v>
      </c>
      <c r="F51" s="1">
        <f>ROUND(SUMIF(本期ETY!D:D,B51,本期ETY!F:F),2)</f>
        <v>0</v>
      </c>
      <c r="G51" s="1">
        <f>ROUND(SUMIF(本期ETY!D:D,B51,本期ETY!G:G),2)</f>
        <v>0</v>
      </c>
      <c r="H51" s="115">
        <f t="shared" si="1"/>
        <v>0</v>
      </c>
      <c r="I51" s="1" t="s">
        <v>77</v>
      </c>
      <c r="K51" s="1" t="s">
        <v>843</v>
      </c>
      <c r="L51" s="1" t="str">
        <f>_xlfn.IFNA(VLOOKUP(I51,科目余额表!B:M,11,0),K51)</f>
        <v>借</v>
      </c>
    </row>
    <row r="52" spans="1:12">
      <c r="A52" s="112" t="s">
        <v>941</v>
      </c>
      <c r="B52" s="113" t="s">
        <v>942</v>
      </c>
      <c r="C52" s="111"/>
      <c r="D52" s="111"/>
      <c r="E52" s="114">
        <f>IF(K52=L52,_xlfn.IFNA(VLOOKUP(I52,科目余额表!B:M,12,0),0),-_xlfn.IFNA(VLOOKUP(I52,科目余额表!B:M,12,0),0))</f>
        <v>0</v>
      </c>
      <c r="F52" s="1">
        <f>ROUND(SUMIF(本期ETY!D:D,B52,本期ETY!F:F),2)</f>
        <v>0</v>
      </c>
      <c r="G52" s="1">
        <f>ROUND(SUMIF(本期ETY!D:D,B52,本期ETY!G:G),2)</f>
        <v>0</v>
      </c>
      <c r="H52" s="115">
        <f>ROUND(E52-F52+G52,2)</f>
        <v>0</v>
      </c>
      <c r="I52" s="1" t="s">
        <v>943</v>
      </c>
      <c r="K52" s="1" t="s">
        <v>865</v>
      </c>
      <c r="L52" s="1" t="str">
        <f>_xlfn.IFNA(VLOOKUP(I52,科目余额表!B:M,11,0),K52)</f>
        <v>贷</v>
      </c>
    </row>
    <row r="53" spans="1:12">
      <c r="A53" s="112" t="s">
        <v>944</v>
      </c>
      <c r="B53" s="113"/>
      <c r="C53" s="111"/>
      <c r="D53" s="117" t="s">
        <v>856</v>
      </c>
      <c r="E53" s="111">
        <f>E51-E52</f>
        <v>0</v>
      </c>
      <c r="F53" s="111">
        <f t="shared" ref="F53:H53" si="7">F51-F52</f>
        <v>0</v>
      </c>
      <c r="G53" s="111">
        <f t="shared" si="7"/>
        <v>0</v>
      </c>
      <c r="H53" s="111">
        <f t="shared" si="7"/>
        <v>0</v>
      </c>
      <c r="L53" s="1">
        <f>_xlfn.IFNA(VLOOKUP(I53,科目余额表!B:M,11,0),K53)</f>
        <v>0</v>
      </c>
    </row>
    <row r="54" spans="1:12">
      <c r="A54" s="113" t="s">
        <v>945</v>
      </c>
      <c r="B54" s="113" t="s">
        <v>946</v>
      </c>
      <c r="C54" s="111"/>
      <c r="D54" s="111"/>
      <c r="E54" s="114">
        <f>IF(K54=L54,_xlfn.IFNA(VLOOKUP(I54,科目余额表!B:M,12,0),0),-_xlfn.IFNA(VLOOKUP(I54,科目余额表!B:M,12,0),0))</f>
        <v>0</v>
      </c>
      <c r="F54" s="1">
        <f>ROUND(SUMIF(本期ETY!D:D,B54,本期ETY!F:F),2)</f>
        <v>0</v>
      </c>
      <c r="G54" s="1">
        <f>ROUND(SUMIF(本期ETY!D:D,B54,本期ETY!G:G),2)</f>
        <v>0</v>
      </c>
      <c r="H54" s="115">
        <f t="shared" si="1"/>
        <v>0</v>
      </c>
      <c r="I54" s="1" t="s">
        <v>946</v>
      </c>
      <c r="K54" s="1" t="s">
        <v>843</v>
      </c>
      <c r="L54" s="1" t="str">
        <f>_xlfn.IFNA(VLOOKUP(I54,科目余额表!B:M,11,0),K54)</f>
        <v>借</v>
      </c>
    </row>
    <row r="55" spans="1:12">
      <c r="A55" s="112" t="s">
        <v>947</v>
      </c>
      <c r="B55" s="113" t="s">
        <v>948</v>
      </c>
      <c r="C55" s="111"/>
      <c r="D55" s="111"/>
      <c r="E55" s="114">
        <f>IF(K55=L55,_xlfn.IFNA(VLOOKUP(I55,科目余额表!B:M,12,0),0),-_xlfn.IFNA(VLOOKUP(I55,科目余额表!B:M,12,0),0))</f>
        <v>0</v>
      </c>
      <c r="F55" s="1">
        <f>ROUND(SUMIF(本期ETY!D:D,B55,本期ETY!F:F),2)</f>
        <v>0</v>
      </c>
      <c r="G55" s="1">
        <f>ROUND(SUMIF(本期ETY!D:D,B55,本期ETY!G:G),2)</f>
        <v>0</v>
      </c>
      <c r="H55" s="115">
        <f t="shared" si="1"/>
        <v>0</v>
      </c>
      <c r="I55" s="1" t="s">
        <v>948</v>
      </c>
      <c r="K55" s="1" t="s">
        <v>843</v>
      </c>
      <c r="L55" s="1" t="str">
        <f>_xlfn.IFNA(VLOOKUP(I55,科目余额表!B:M,11,0),K55)</f>
        <v>借</v>
      </c>
    </row>
    <row r="56" spans="1:12">
      <c r="A56" s="112" t="s">
        <v>949</v>
      </c>
      <c r="B56" s="113" t="s">
        <v>79</v>
      </c>
      <c r="C56" s="111"/>
      <c r="D56" s="111"/>
      <c r="E56" s="114">
        <f>IF(K56=L56,_xlfn.IFNA(VLOOKUP(I56,科目余额表!B:M,12,0),0),-_xlfn.IFNA(VLOOKUP(I56,科目余额表!B:M,12,0),0))</f>
        <v>0</v>
      </c>
      <c r="F56" s="1">
        <f>ROUND(SUMIF(本期ETY!D:D,B56,本期ETY!F:F),2)</f>
        <v>0</v>
      </c>
      <c r="G56" s="1">
        <f>ROUND(SUMIF(本期ETY!D:D,B56,本期ETY!G:G),2)</f>
        <v>0</v>
      </c>
      <c r="H56" s="115">
        <f t="shared" si="1"/>
        <v>0</v>
      </c>
      <c r="I56" s="1" t="s">
        <v>79</v>
      </c>
      <c r="K56" s="1" t="s">
        <v>843</v>
      </c>
      <c r="L56" s="1" t="str">
        <f>_xlfn.IFNA(VLOOKUP(I56,科目余额表!B:M,11,0),K56)</f>
        <v>借</v>
      </c>
    </row>
    <row r="57" spans="1:12">
      <c r="A57" s="110" t="s">
        <v>950</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
        <f>_xlfn.IFNA(VLOOKUP(I57,科目余额表!B:M,11,0),K57)</f>
        <v>0</v>
      </c>
    </row>
    <row r="58" spans="1:12">
      <c r="A58" s="110" t="s">
        <v>951</v>
      </c>
      <c r="B58" s="113"/>
      <c r="C58" s="111"/>
      <c r="D58" s="111"/>
      <c r="E58" s="111"/>
      <c r="L58" s="1">
        <f>_xlfn.IFNA(VLOOKUP(I58,科目余额表!B:M,11,0),K58)</f>
        <v>0</v>
      </c>
    </row>
    <row r="59" spans="1:12">
      <c r="A59" s="112" t="s">
        <v>952</v>
      </c>
      <c r="B59" s="113" t="s">
        <v>953</v>
      </c>
      <c r="C59" s="111"/>
      <c r="D59" s="111"/>
      <c r="E59" s="114">
        <f>IF(K59=L59,_xlfn.IFNA(VLOOKUP(I59,科目余额表!B:M,12,0),0),-_xlfn.IFNA(VLOOKUP(I59,科目余额表!B:M,12,0),0))</f>
        <v>0</v>
      </c>
      <c r="F59" s="1">
        <f>ROUND(SUMIF(本期ETY!D:D,B59,本期ETY!F:F),2)</f>
        <v>0</v>
      </c>
      <c r="G59" s="1">
        <f>ROUND(SUMIF(本期ETY!D:D,B59,本期ETY!G:G),2)</f>
        <v>0</v>
      </c>
      <c r="H59" s="115">
        <f t="shared" ref="H59:H72" si="8">ROUND(E59+F59-G59,2)</f>
        <v>0</v>
      </c>
      <c r="I59" s="1" t="s">
        <v>953</v>
      </c>
      <c r="K59" s="1" t="s">
        <v>843</v>
      </c>
      <c r="L59" s="1" t="str">
        <f>_xlfn.IFNA(VLOOKUP(I59,科目余额表!B:M,11,0),K59)</f>
        <v>借</v>
      </c>
    </row>
    <row r="60" spans="1:12">
      <c r="A60" s="112" t="s">
        <v>954</v>
      </c>
      <c r="B60" s="113" t="s">
        <v>955</v>
      </c>
      <c r="C60" s="111"/>
      <c r="D60" s="111"/>
      <c r="E60" s="114">
        <f>IF(K60=L60,_xlfn.IFNA(VLOOKUP(I60,科目余额表!B:M,12,0),0),-_xlfn.IFNA(VLOOKUP(I60,科目余额表!B:M,12,0),0))</f>
        <v>0</v>
      </c>
      <c r="F60" s="1"/>
      <c r="G60" s="1"/>
      <c r="H60" s="115">
        <f t="shared" si="8"/>
        <v>0</v>
      </c>
      <c r="I60" s="1" t="s">
        <v>12</v>
      </c>
      <c r="K60" s="1" t="s">
        <v>843</v>
      </c>
      <c r="L60" s="1" t="str">
        <f>_xlfn.IFNA(VLOOKUP(I60,科目余额表!B:M,11,0),K60)</f>
        <v>借</v>
      </c>
    </row>
    <row r="61" spans="1:12">
      <c r="A61" s="112" t="s">
        <v>956</v>
      </c>
      <c r="B61" s="113" t="s">
        <v>957</v>
      </c>
      <c r="C61" s="111"/>
      <c r="D61" s="111"/>
      <c r="E61" s="114">
        <f>IF(K61=L61,_xlfn.IFNA(VLOOKUP(I61,科目余额表!B:M,12,0),0),-_xlfn.IFNA(VLOOKUP(I61,科目余额表!B:M,12,0),0))</f>
        <v>0</v>
      </c>
      <c r="F61" s="1"/>
      <c r="G61" s="1"/>
      <c r="H61" s="115">
        <f>ROUND(E61-F61+G61,2)</f>
        <v>0</v>
      </c>
      <c r="I61" s="1" t="s">
        <v>957</v>
      </c>
      <c r="K61" s="1" t="s">
        <v>958</v>
      </c>
      <c r="L61" s="1" t="s">
        <v>958</v>
      </c>
    </row>
    <row r="62" spans="1:12">
      <c r="A62" s="112" t="s">
        <v>959</v>
      </c>
      <c r="B62" s="113"/>
      <c r="C62" s="111"/>
      <c r="D62" s="117" t="s">
        <v>856</v>
      </c>
      <c r="E62" s="111">
        <f>E60-E61</f>
        <v>0</v>
      </c>
      <c r="F62" s="1">
        <f>ROUND(SUMIF(本期ETY!D:D,B62,本期ETY!F:F),2)</f>
        <v>0</v>
      </c>
      <c r="G62" s="1">
        <f>ROUND(SUMIF(本期ETY!D:D,B62,本期ETY!G:G),2)</f>
        <v>0</v>
      </c>
      <c r="H62" s="115">
        <f>H60-H61</f>
        <v>0</v>
      </c>
    </row>
    <row r="63" spans="1:12">
      <c r="A63" s="113" t="s">
        <v>960</v>
      </c>
      <c r="B63" s="113" t="s">
        <v>14</v>
      </c>
      <c r="C63" s="117" t="s">
        <v>858</v>
      </c>
      <c r="D63" s="117"/>
      <c r="E63" s="114">
        <f>IF(K63=L63,_xlfn.IFNA(VLOOKUP(I63,科目余额表!B:M,12,0),0),-_xlfn.IFNA(VLOOKUP(I63,科目余额表!B:M,12,0),0))</f>
        <v>987346438.25999999</v>
      </c>
      <c r="F63" s="1">
        <f>ROUND(SUMIF(本期ETY!D:D,B63,本期ETY!F:F),2)</f>
        <v>0</v>
      </c>
      <c r="G63" s="1">
        <f>ROUND(SUMIF(本期ETY!D:D,B63,本期ETY!G:G),2)</f>
        <v>0</v>
      </c>
      <c r="H63" s="115">
        <f t="shared" si="8"/>
        <v>987346438.25999999</v>
      </c>
      <c r="I63" s="1" t="s">
        <v>14</v>
      </c>
      <c r="K63" s="1" t="s">
        <v>843</v>
      </c>
      <c r="L63" s="1" t="str">
        <f>_xlfn.IFNA(VLOOKUP(I63,科目余额表!B:M,11,0),K63)</f>
        <v>借</v>
      </c>
    </row>
    <row r="64" spans="1:12" ht="13.2" customHeight="1">
      <c r="A64" s="113" t="s">
        <v>961</v>
      </c>
      <c r="B64" s="113" t="s">
        <v>962</v>
      </c>
      <c r="C64" s="117"/>
      <c r="D64" s="117"/>
      <c r="E64" s="114">
        <f>IF(K64=L64,_xlfn.IFNA(VLOOKUP(I64,科目余额表!B:M,12,0),0),-_xlfn.IFNA(VLOOKUP(I64,科目余额表!B:M,12,0),0))</f>
        <v>0</v>
      </c>
      <c r="F64" s="1">
        <f>ROUND(SUMIF(本期ETY!D:D,B64,本期ETY!F:F),2)</f>
        <v>0</v>
      </c>
      <c r="G64" s="1">
        <f>ROUND(SUMIF(本期ETY!D:D,B64,本期ETY!G:G),2)</f>
        <v>0</v>
      </c>
      <c r="H64" s="115">
        <f t="shared" si="8"/>
        <v>0</v>
      </c>
    </row>
    <row r="65" spans="1:12">
      <c r="A65" s="113" t="s">
        <v>963</v>
      </c>
      <c r="B65" s="113" t="s">
        <v>964</v>
      </c>
      <c r="C65" s="117"/>
      <c r="D65" s="117"/>
      <c r="E65" s="114">
        <f>IF(K65=L65,_xlfn.IFNA(VLOOKUP(I65,科目余额表!B:M,12,0),0),-_xlfn.IFNA(VLOOKUP(I65,科目余额表!B:M,12,0),0))</f>
        <v>0</v>
      </c>
      <c r="F65" s="1">
        <f>ROUND(SUMIF(本期ETY!D:D,B65,本期ETY!F:F),2)</f>
        <v>0</v>
      </c>
      <c r="G65" s="1">
        <f>ROUND(SUMIF(本期ETY!D:D,B65,本期ETY!G:G),2)</f>
        <v>0</v>
      </c>
      <c r="H65" s="115">
        <f>ROUND(E65-F65+G65,2)</f>
        <v>0</v>
      </c>
    </row>
    <row r="66" spans="1:12">
      <c r="A66" s="113" t="s">
        <v>965</v>
      </c>
      <c r="B66" s="113"/>
      <c r="C66" s="111"/>
      <c r="D66" s="117" t="s">
        <v>856</v>
      </c>
      <c r="E66" s="111">
        <f>E64-E65</f>
        <v>0</v>
      </c>
      <c r="F66" s="1"/>
      <c r="G66" s="1"/>
      <c r="H66" s="115">
        <f>H64-H65</f>
        <v>0</v>
      </c>
      <c r="I66" s="1" t="s">
        <v>16</v>
      </c>
      <c r="K66" s="1" t="s">
        <v>843</v>
      </c>
      <c r="L66" s="1" t="str">
        <f>_xlfn.IFNA(VLOOKUP(I66,科目余额表!B:M,11,0),K66)</f>
        <v>借</v>
      </c>
    </row>
    <row r="67" spans="1:12">
      <c r="A67" s="113" t="s">
        <v>966</v>
      </c>
      <c r="B67" s="113" t="s">
        <v>11</v>
      </c>
      <c r="C67" s="117" t="s">
        <v>858</v>
      </c>
      <c r="D67" s="117"/>
      <c r="E67" s="114">
        <f>IF(K67=L67,_xlfn.IFNA(VLOOKUP(I67,科目余额表!B:M,12,0),0),-_xlfn.IFNA(VLOOKUP(I67,科目余额表!B:M,12,0),0))</f>
        <v>0</v>
      </c>
      <c r="F67" s="1">
        <f>ROUND(SUMIF(本期ETY!D:D,B67,本期ETY!F:F),2)</f>
        <v>0</v>
      </c>
      <c r="G67" s="1">
        <f>ROUND(SUMIF(本期ETY!D:D,B67,本期ETY!G:G),2)</f>
        <v>0</v>
      </c>
      <c r="H67" s="115">
        <f t="shared" si="8"/>
        <v>0</v>
      </c>
      <c r="I67" s="1" t="s">
        <v>11</v>
      </c>
      <c r="K67" s="1" t="s">
        <v>843</v>
      </c>
      <c r="L67" s="1" t="str">
        <f>_xlfn.IFNA(VLOOKUP(I67,科目余额表!B:M,11,0),K67)</f>
        <v>借</v>
      </c>
    </row>
    <row r="68" spans="1:12">
      <c r="A68" s="113" t="s">
        <v>967</v>
      </c>
      <c r="B68" s="113" t="s">
        <v>968</v>
      </c>
      <c r="C68" s="117"/>
      <c r="D68" s="117"/>
      <c r="E68" s="114">
        <f>IF(K68=L68,_xlfn.IFNA(VLOOKUP(I68,科目余额表!B:M,12,0),0),-_xlfn.IFNA(VLOOKUP(I68,科目余额表!B:M,12,0),0))</f>
        <v>-30046177.920000002</v>
      </c>
      <c r="F68" s="1">
        <f>ROUND(SUMIF(本期ETY!D:D,B68,本期ETY!F:F),2)</f>
        <v>0</v>
      </c>
      <c r="G68" s="1">
        <f>ROUND(SUMIF(本期ETY!D:D,B68,本期ETY!G:G),2)</f>
        <v>0</v>
      </c>
      <c r="H68" s="115">
        <f t="shared" si="8"/>
        <v>-30046177.920000002</v>
      </c>
      <c r="I68" s="1" t="s">
        <v>20</v>
      </c>
      <c r="K68" s="1" t="s">
        <v>843</v>
      </c>
      <c r="L68" s="1" t="str">
        <f>_xlfn.IFNA(VLOOKUP(I68,科目余额表!B:M,11,0),K68)</f>
        <v>贷</v>
      </c>
    </row>
    <row r="69" spans="1:12">
      <c r="A69" s="113" t="s">
        <v>969</v>
      </c>
      <c r="B69" s="113" t="s">
        <v>970</v>
      </c>
      <c r="C69" s="117"/>
      <c r="D69" s="117"/>
      <c r="E69" s="114">
        <f>IF(K69=L69,_xlfn.IFNA(VLOOKUP(I69,科目余额表!B:M,12,0),0),-_xlfn.IFNA(VLOOKUP(I69,科目余额表!B:M,12,0),0))</f>
        <v>0</v>
      </c>
      <c r="F69" s="1">
        <f>ROUND(SUMIF(本期ETY!D:D,B69,本期ETY!F:F),2)</f>
        <v>0</v>
      </c>
      <c r="G69" s="1">
        <f>ROUND(SUMIF(本期ETY!D:D,B69,本期ETY!G:G),2)</f>
        <v>0</v>
      </c>
      <c r="H69" s="115">
        <f>ROUND(E69-F69+G69,2)</f>
        <v>0</v>
      </c>
      <c r="I69" s="1" t="s">
        <v>970</v>
      </c>
      <c r="K69" s="1" t="s">
        <v>958</v>
      </c>
      <c r="L69" s="1" t="s">
        <v>958</v>
      </c>
    </row>
    <row r="70" spans="1:12">
      <c r="A70" s="113" t="s">
        <v>971</v>
      </c>
      <c r="B70" s="113" t="s">
        <v>972</v>
      </c>
      <c r="C70" s="117"/>
      <c r="D70" s="117"/>
      <c r="E70" s="114">
        <f>IF(K70=L70,_xlfn.IFNA(VLOOKUP(I70,科目余额表!B:M,12,0),0),-_xlfn.IFNA(VLOOKUP(I70,科目余额表!B:M,12,0),0))</f>
        <v>0</v>
      </c>
      <c r="F70" s="1">
        <f>ROUND(SUMIF(本期ETY!D:D,B70,本期ETY!F:F),2)</f>
        <v>0</v>
      </c>
      <c r="G70" s="1">
        <f>ROUND(SUMIF(本期ETY!D:D,B70,本期ETY!G:G),2)</f>
        <v>0</v>
      </c>
      <c r="H70" s="115">
        <f>ROUND(E70-F70+G70,2)</f>
        <v>0</v>
      </c>
      <c r="I70" s="1" t="s">
        <v>972</v>
      </c>
      <c r="K70" s="1" t="s">
        <v>958</v>
      </c>
      <c r="L70" s="1" t="s">
        <v>958</v>
      </c>
    </row>
    <row r="71" spans="1:12">
      <c r="A71" s="112" t="s">
        <v>973</v>
      </c>
      <c r="B71" s="113"/>
      <c r="C71" s="111"/>
      <c r="D71" s="111"/>
      <c r="E71" s="111">
        <f>E68-E69-E70</f>
        <v>-30046177.920000002</v>
      </c>
      <c r="F71" s="1"/>
      <c r="G71" s="1"/>
      <c r="H71" s="115">
        <f>H68-H69-H70</f>
        <v>-30046177.920000002</v>
      </c>
    </row>
    <row r="72" spans="1:12">
      <c r="A72" s="112" t="s">
        <v>974</v>
      </c>
      <c r="B72" s="113" t="s">
        <v>975</v>
      </c>
      <c r="C72" s="111"/>
      <c r="D72" s="111"/>
      <c r="E72" s="114">
        <f>IF(K72=L72,_xlfn.IFNA(VLOOKUP(I72,科目余额表!B:M,12,0),0),-_xlfn.IFNA(VLOOKUP(I72,科目余额表!B:M,12,0),0))</f>
        <v>2232281356.0500002</v>
      </c>
      <c r="F72" s="1">
        <f>ROUND(SUMIF(本期ETY!D:D,B72,本期ETY!F:F),2)</f>
        <v>0</v>
      </c>
      <c r="G72" s="1">
        <f>ROUND(SUMIF(本期ETY!D:D,B72,本期ETY!G:G),2)</f>
        <v>0</v>
      </c>
      <c r="H72" s="115">
        <f t="shared" si="8"/>
        <v>2232281356.0500002</v>
      </c>
      <c r="I72" s="1" t="s">
        <v>776</v>
      </c>
      <c r="K72" s="1" t="s">
        <v>843</v>
      </c>
      <c r="L72" s="1" t="str">
        <f>_xlfn.IFNA(VLOOKUP(I72,科目余额表!B:M,11,0),K72)</f>
        <v>借</v>
      </c>
    </row>
    <row r="73" spans="1:12">
      <c r="A73" s="112" t="s">
        <v>976</v>
      </c>
      <c r="B73" s="113" t="s">
        <v>977</v>
      </c>
      <c r="C73" s="111"/>
      <c r="D73" s="111"/>
      <c r="E73" s="114">
        <f>IF(K73=L73,_xlfn.IFNA(VLOOKUP(I73,科目余额表!B:M,12,0),0),-_xlfn.IFNA(VLOOKUP(I73,科目余额表!B:M,12,0),0))</f>
        <v>0</v>
      </c>
      <c r="F73" s="1">
        <f>ROUND(SUMIF(本期ETY!D:D,B73,本期ETY!F:F),2)</f>
        <v>0</v>
      </c>
      <c r="G73" s="1">
        <f>ROUND(SUMIF(本期ETY!D:D,B73,本期ETY!G:G),2)</f>
        <v>0</v>
      </c>
      <c r="H73" s="115">
        <f>ROUND(E73-F73+G73,2)</f>
        <v>0</v>
      </c>
      <c r="I73" s="1" t="s">
        <v>777</v>
      </c>
      <c r="K73" s="1" t="s">
        <v>865</v>
      </c>
      <c r="L73" s="1" t="str">
        <f>_xlfn.IFNA(VLOOKUP(I73,科目余额表!B:M,11,0),K73)</f>
        <v>平</v>
      </c>
    </row>
    <row r="74" spans="1:12">
      <c r="A74" s="112" t="s">
        <v>978</v>
      </c>
      <c r="B74" s="113"/>
      <c r="C74" s="111"/>
      <c r="D74" s="111"/>
      <c r="E74" s="111">
        <f>E72-E73</f>
        <v>2232281356.0500002</v>
      </c>
      <c r="F74" s="111">
        <f t="shared" ref="F74:H74" si="9">F72-F73</f>
        <v>0</v>
      </c>
      <c r="G74" s="111">
        <f t="shared" si="9"/>
        <v>0</v>
      </c>
      <c r="H74" s="111">
        <f t="shared" si="9"/>
        <v>2232281356.0500002</v>
      </c>
      <c r="L74" s="1">
        <f>_xlfn.IFNA(VLOOKUP(I74,科目余额表!B:M,11,0),K74)</f>
        <v>0</v>
      </c>
    </row>
    <row r="75" spans="1:12">
      <c r="A75" s="112" t="s">
        <v>979</v>
      </c>
      <c r="B75" s="113" t="s">
        <v>19</v>
      </c>
      <c r="C75" s="111"/>
      <c r="D75" s="117" t="s">
        <v>856</v>
      </c>
      <c r="E75" s="114">
        <f>IF(K75=L75,_xlfn.IFNA(VLOOKUP(I75,科目余额表!B:M,12,0),0),-_xlfn.IFNA(VLOOKUP(I75,科目余额表!B:M,12,0),0))</f>
        <v>0</v>
      </c>
      <c r="F75" s="1">
        <f>ROUND(SUMIF(本期ETY!D:D,B75,本期ETY!F:F),2)</f>
        <v>0</v>
      </c>
      <c r="G75" s="1">
        <f>ROUND(SUMIF(本期ETY!D:D,B75,本期ETY!G:G),2)</f>
        <v>0</v>
      </c>
      <c r="H75" s="115">
        <f t="shared" ref="H75:H77" si="10">ROUND(E75+F75-G75,2)</f>
        <v>0</v>
      </c>
      <c r="I75" s="1" t="s">
        <v>19</v>
      </c>
      <c r="K75" s="1" t="s">
        <v>843</v>
      </c>
      <c r="L75" s="1" t="str">
        <f>_xlfn.IFNA(VLOOKUP(I75,科目余额表!B:M,11,0),K75)</f>
        <v>借</v>
      </c>
    </row>
    <row r="76" spans="1:12">
      <c r="A76" s="112" t="s">
        <v>980</v>
      </c>
      <c r="B76" s="113" t="s">
        <v>44</v>
      </c>
      <c r="C76" s="111"/>
      <c r="D76" s="117" t="s">
        <v>856</v>
      </c>
      <c r="E76" s="114">
        <f>IF(K76=L76,_xlfn.IFNA(VLOOKUP(I76,科目余额表!B:M,12,0),0),-_xlfn.IFNA(VLOOKUP(I76,科目余额表!B:M,12,0),0))</f>
        <v>0</v>
      </c>
      <c r="F76" s="1">
        <f>ROUND(SUMIF(本期ETY!D:D,B76,本期ETY!F:F),2)</f>
        <v>0</v>
      </c>
      <c r="G76" s="1">
        <f>ROUND(SUMIF(本期ETY!D:D,B76,本期ETY!G:G),2)</f>
        <v>0</v>
      </c>
      <c r="H76" s="115">
        <f t="shared" si="10"/>
        <v>0</v>
      </c>
      <c r="I76" s="1" t="s">
        <v>44</v>
      </c>
      <c r="K76" s="1" t="s">
        <v>843</v>
      </c>
      <c r="L76" s="1" t="str">
        <f>_xlfn.IFNA(VLOOKUP(I76,科目余额表!B:M,11,0),K76)</f>
        <v>借</v>
      </c>
    </row>
    <row r="77" spans="1:12">
      <c r="A77" s="112" t="s">
        <v>981</v>
      </c>
      <c r="B77" s="113" t="s">
        <v>982</v>
      </c>
      <c r="C77" s="111"/>
      <c r="D77" s="117"/>
      <c r="E77" s="114">
        <f>IF(K77=L77,_xlfn.IFNA(VLOOKUP(I77,科目余额表!B:M,12,0),0),-_xlfn.IFNA(VLOOKUP(I77,科目余额表!B:M,12,0),0))</f>
        <v>649965285.88999999</v>
      </c>
      <c r="F77" s="1">
        <f>ROUND(SUMIF(本期ETY!D:D,B77,本期ETY!F:F),2)</f>
        <v>0</v>
      </c>
      <c r="G77" s="1">
        <f>ROUND(SUMIF(本期ETY!D:D,B77,本期ETY!G:G),2)</f>
        <v>0</v>
      </c>
      <c r="H77" s="115">
        <f t="shared" si="10"/>
        <v>649965285.88999999</v>
      </c>
      <c r="I77" s="1" t="s">
        <v>778</v>
      </c>
      <c r="K77" s="1" t="s">
        <v>843</v>
      </c>
      <c r="L77" s="1" t="str">
        <f>_xlfn.IFNA(VLOOKUP(I77,科目余额表!B:M,11,0),K77)</f>
        <v>借</v>
      </c>
    </row>
    <row r="78" spans="1:12">
      <c r="A78" s="112" t="s">
        <v>983</v>
      </c>
      <c r="B78" s="113" t="s">
        <v>984</v>
      </c>
      <c r="C78" s="111"/>
      <c r="D78" s="117"/>
      <c r="E78" s="114">
        <f>IF(K78=L78,_xlfn.IFNA(VLOOKUP(I78,科目余额表!B:M,12,0),0),-_xlfn.IFNA(VLOOKUP(I78,科目余额表!B:M,12,0),0))</f>
        <v>0</v>
      </c>
      <c r="F78" s="1">
        <f>ROUND(SUMIF(本期ETY!D:D,B78,本期ETY!F:F),2)</f>
        <v>0</v>
      </c>
      <c r="G78" s="1">
        <f>ROUND(SUMIF(本期ETY!D:D,B78,本期ETY!G:G),2)</f>
        <v>0</v>
      </c>
      <c r="H78" s="115">
        <f>ROUND(E78-F78+G78,2)</f>
        <v>0</v>
      </c>
      <c r="I78" s="1" t="s">
        <v>985</v>
      </c>
      <c r="K78" s="1" t="s">
        <v>865</v>
      </c>
      <c r="L78" s="1" t="str">
        <f>_xlfn.IFNA(VLOOKUP(I78,科目余额表!B:M,11,0),K78)</f>
        <v>贷</v>
      </c>
    </row>
    <row r="79" spans="1:12">
      <c r="A79" s="112" t="s">
        <v>986</v>
      </c>
      <c r="B79" s="113" t="s">
        <v>987</v>
      </c>
      <c r="C79" s="111"/>
      <c r="D79" s="117"/>
      <c r="E79" s="114">
        <f>IF(K79=L79,_xlfn.IFNA(VLOOKUP(I79,科目余额表!B:M,12,0),0),-_xlfn.IFNA(VLOOKUP(I79,科目余额表!B:M,12,0),0))</f>
        <v>0</v>
      </c>
      <c r="F79" s="1">
        <f>ROUND(SUMIF(本期ETY!D:D,B79,本期ETY!F:F),2)</f>
        <v>0</v>
      </c>
      <c r="G79" s="1">
        <f>ROUND(SUMIF(本期ETY!D:D,B79,本期ETY!G:G),2)</f>
        <v>0</v>
      </c>
      <c r="H79" s="115">
        <f>ROUND(E79-F79+G79,2)</f>
        <v>0</v>
      </c>
      <c r="I79" s="1" t="s">
        <v>988</v>
      </c>
      <c r="K79" s="1" t="s">
        <v>865</v>
      </c>
      <c r="L79" s="1" t="str">
        <f>_xlfn.IFNA(VLOOKUP(I79,科目余额表!B:M,11,0),K79)</f>
        <v>贷</v>
      </c>
    </row>
    <row r="80" spans="1:12">
      <c r="A80" s="112" t="s">
        <v>989</v>
      </c>
      <c r="B80" s="113"/>
      <c r="C80" s="111"/>
      <c r="D80" s="111"/>
      <c r="E80" s="111">
        <f>E77-E78-E79</f>
        <v>649965285.88999999</v>
      </c>
      <c r="F80" s="111">
        <f t="shared" ref="F80:G80" si="11">F77-F78-F79</f>
        <v>0</v>
      </c>
      <c r="G80" s="111">
        <f t="shared" si="11"/>
        <v>0</v>
      </c>
      <c r="H80" s="111">
        <f>H77-H78-H79</f>
        <v>649965285.88999999</v>
      </c>
      <c r="L80" s="1">
        <f>_xlfn.IFNA(VLOOKUP(I80,科目余额表!B:M,11,0),K80)</f>
        <v>0</v>
      </c>
    </row>
    <row r="81" spans="1:12">
      <c r="A81" s="112" t="s">
        <v>990</v>
      </c>
      <c r="B81" s="113" t="s">
        <v>991</v>
      </c>
      <c r="C81" s="111"/>
      <c r="D81" s="111"/>
      <c r="E81" s="114">
        <f>IF(K81=L81,_xlfn.IFNA(VLOOKUP(I81,科目余额表!B:M,12,0),0),-_xlfn.IFNA(VLOOKUP(I81,科目余额表!B:M,12,0),0))</f>
        <v>4354892550.1000004</v>
      </c>
      <c r="F81" s="1">
        <f>ROUND(SUMIF(本期ETY!D:D,B81,本期ETY!F:F),2)</f>
        <v>0</v>
      </c>
      <c r="G81" s="1">
        <f>ROUND(SUMIF(本期ETY!D:D,B81,本期ETY!G:G),2)</f>
        <v>0</v>
      </c>
      <c r="H81" s="115">
        <f t="shared" ref="H81" si="12">ROUND(E81+F81-G81,2)</f>
        <v>4354892550.1000004</v>
      </c>
      <c r="I81" s="1" t="s">
        <v>89</v>
      </c>
      <c r="K81" s="1" t="s">
        <v>843</v>
      </c>
      <c r="L81" s="1" t="str">
        <f>_xlfn.IFNA(VLOOKUP(I81,科目余额表!B:M,11,0),K81)</f>
        <v>借</v>
      </c>
    </row>
    <row r="82" spans="1:12">
      <c r="A82" s="112" t="s">
        <v>992</v>
      </c>
      <c r="B82" s="113" t="s">
        <v>993</v>
      </c>
      <c r="C82" s="111"/>
      <c r="D82" s="111"/>
      <c r="E82" s="114">
        <f>IF(K82=L82,_xlfn.IFNA(VLOOKUP(I82,科目余额表!B:M,12,0),0),-_xlfn.IFNA(VLOOKUP(I82,科目余额表!B:M,12,0),0))</f>
        <v>1522351145.78</v>
      </c>
      <c r="F82" s="1">
        <f>ROUND(SUMIF(本期ETY!D:D,B82,本期ETY!F:F),2)</f>
        <v>0</v>
      </c>
      <c r="G82" s="1">
        <f>ROUND(SUMIF(本期ETY!D:D,B82,本期ETY!G:G),2)</f>
        <v>0</v>
      </c>
      <c r="H82" s="115">
        <f>ROUND(E82-F82+G82,2)</f>
        <v>1522351145.78</v>
      </c>
      <c r="I82" s="1" t="s">
        <v>469</v>
      </c>
      <c r="K82" s="1" t="s">
        <v>865</v>
      </c>
      <c r="L82" s="1" t="str">
        <f>_xlfn.IFNA(VLOOKUP(I82,科目余额表!B:M,11,0),K82)</f>
        <v>贷</v>
      </c>
    </row>
    <row r="83" spans="1:12">
      <c r="A83" s="112" t="s">
        <v>994</v>
      </c>
      <c r="B83" s="113" t="s">
        <v>995</v>
      </c>
      <c r="C83" s="111"/>
      <c r="D83" s="111"/>
      <c r="E83" s="114">
        <f>IF(K83=L83,_xlfn.IFNA(VLOOKUP(I83,科目余额表!B:M,12,0),0),-_xlfn.IFNA(VLOOKUP(I83,科目余额表!B:M,12,0),0))</f>
        <v>7094592.7199999997</v>
      </c>
      <c r="F83" s="1">
        <f>ROUND(SUMIF(本期ETY!D:D,B83,本期ETY!F:F),2)</f>
        <v>0</v>
      </c>
      <c r="G83" s="1">
        <f>ROUND(SUMIF(本期ETY!D:D,B83,本期ETY!G:G),2)</f>
        <v>0</v>
      </c>
      <c r="H83" s="115">
        <f>ROUND(E83-F83+G83,2)</f>
        <v>7094592.7199999997</v>
      </c>
      <c r="I83" s="1" t="s">
        <v>780</v>
      </c>
      <c r="K83" s="1" t="s">
        <v>865</v>
      </c>
      <c r="L83" s="1" t="str">
        <f>_xlfn.IFNA(VLOOKUP(I83,科目余额表!B:M,11,0),K83)</f>
        <v>贷</v>
      </c>
    </row>
    <row r="84" spans="1:12">
      <c r="A84" s="112" t="s">
        <v>996</v>
      </c>
      <c r="B84" s="113"/>
      <c r="C84" s="111"/>
      <c r="D84" s="111"/>
      <c r="E84" s="111">
        <f>E81-E82-E83</f>
        <v>2825446811.6000009</v>
      </c>
      <c r="F84" s="111">
        <f t="shared" ref="F84:G84" si="13">F81-F82-F83</f>
        <v>0</v>
      </c>
      <c r="G84" s="111">
        <f t="shared" si="13"/>
        <v>0</v>
      </c>
      <c r="H84" s="111">
        <f>H81-H82-H83</f>
        <v>2825446811.6000009</v>
      </c>
      <c r="L84" s="1">
        <f>_xlfn.IFNA(VLOOKUP(I84,科目余额表!B:M,11,0),K84)</f>
        <v>0</v>
      </c>
    </row>
    <row r="85" spans="1:12">
      <c r="A85" s="112" t="s">
        <v>997</v>
      </c>
      <c r="B85" s="113" t="s">
        <v>998</v>
      </c>
      <c r="C85" s="111"/>
      <c r="D85" s="111"/>
      <c r="E85" s="114">
        <f>IF(K85=L85,_xlfn.IFNA(VLOOKUP(I85,科目余额表!B:M,12,0),0),-_xlfn.IFNA(VLOOKUP(I85,科目余额表!B:M,12,0),0))</f>
        <v>0</v>
      </c>
      <c r="F85" s="1">
        <f>ROUND(SUMIF(本期ETY!D:D,B85,本期ETY!F:F),2)</f>
        <v>0</v>
      </c>
      <c r="G85" s="1">
        <f>ROUND(SUMIF(本期ETY!D:D,B85,本期ETY!G:G),2)</f>
        <v>0</v>
      </c>
      <c r="H85" s="115">
        <f t="shared" ref="H85:H92" si="14">ROUND(E85+F85-G85,2)</f>
        <v>0</v>
      </c>
      <c r="I85" s="1" t="s">
        <v>465</v>
      </c>
      <c r="K85" s="1" t="s">
        <v>843</v>
      </c>
      <c r="L85" s="1" t="str">
        <f>_xlfn.IFNA(VLOOKUP(I85,科目余额表!B:M,11,0),K85)</f>
        <v>平</v>
      </c>
    </row>
    <row r="86" spans="1:12">
      <c r="A86" s="112" t="s">
        <v>5484</v>
      </c>
      <c r="B86" s="113" t="s">
        <v>455</v>
      </c>
      <c r="C86" s="111"/>
      <c r="D86" s="111"/>
      <c r="E86" s="114">
        <f>IF(K86=L86,_xlfn.IFNA(VLOOKUP(I86,科目余额表!B:M,12,0),0),-_xlfn.IFNA(VLOOKUP(I86,科目余额表!B:M,12,0),0))</f>
        <v>148814764.12</v>
      </c>
      <c r="F86" s="1">
        <f>ROUND(SUMIF(本期ETY!D:D,B86,本期ETY!F:F),2)</f>
        <v>0</v>
      </c>
      <c r="G86" s="1">
        <f>ROUND(SUMIF(本期ETY!D:D,B86,本期ETY!G:G),2)</f>
        <v>0</v>
      </c>
      <c r="H86" s="115">
        <f t="shared" si="14"/>
        <v>148814764.12</v>
      </c>
      <c r="I86" s="1" t="s">
        <v>455</v>
      </c>
      <c r="K86" s="1" t="s">
        <v>825</v>
      </c>
      <c r="L86" s="1" t="str">
        <f>_xlfn.IFNA(VLOOKUP(I86,科目余额表!B:M,11,0),K86)</f>
        <v>借</v>
      </c>
    </row>
    <row r="87" spans="1:12">
      <c r="A87" s="112" t="s">
        <v>5485</v>
      </c>
      <c r="B87" s="113" t="s">
        <v>781</v>
      </c>
      <c r="C87" s="111"/>
      <c r="D87" s="111"/>
      <c r="E87" s="114">
        <f>IF(K87=L87,_xlfn.IFNA(VLOOKUP(I87,科目余额表!B:M,12,0),0),-_xlfn.IFNA(VLOOKUP(I87,科目余额表!B:M,12,0),0))</f>
        <v>0</v>
      </c>
      <c r="F87" s="1">
        <f>ROUND(SUMIF(本期ETY!D:D,B87,本期ETY!F:F),2)</f>
        <v>0</v>
      </c>
      <c r="G87" s="1">
        <f>ROUND(SUMIF(本期ETY!D:D,B87,本期ETY!G:G),2)</f>
        <v>0</v>
      </c>
      <c r="H87" s="115">
        <f>ROUND(E87-F87+G87,2)</f>
        <v>0</v>
      </c>
      <c r="I87" s="1" t="s">
        <v>781</v>
      </c>
      <c r="K87" s="1" t="s">
        <v>826</v>
      </c>
      <c r="L87" s="1" t="str">
        <f>_xlfn.IFNA(VLOOKUP(I87,科目余额表!B:M,11,0),K87)</f>
        <v>贷</v>
      </c>
    </row>
    <row r="88" spans="1:12">
      <c r="A88" s="112" t="s">
        <v>5486</v>
      </c>
      <c r="B88" s="113"/>
      <c r="C88" s="111"/>
      <c r="D88" s="111"/>
      <c r="E88" s="114">
        <f>E86-E87</f>
        <v>148814764.12</v>
      </c>
      <c r="F88" s="1">
        <f>ROUND(SUMIF(本期ETY!D:D,B88,本期ETY!F:F),2)</f>
        <v>0</v>
      </c>
      <c r="G88" s="1">
        <f>ROUND(SUMIF(本期ETY!D:D,B88,本期ETY!G:G),2)</f>
        <v>0</v>
      </c>
      <c r="H88" s="115">
        <f>H86-H87</f>
        <v>148814764.12</v>
      </c>
      <c r="K88" s="1" t="s">
        <v>825</v>
      </c>
      <c r="L88" s="1" t="str">
        <f>_xlfn.IFNA(VLOOKUP(I88,科目余额表!B:M,11,0),K88)</f>
        <v>借</v>
      </c>
    </row>
    <row r="89" spans="1:12">
      <c r="A89" s="112" t="s">
        <v>1000</v>
      </c>
      <c r="B89" s="113" t="s">
        <v>1001</v>
      </c>
      <c r="C89" s="111"/>
      <c r="D89" s="111"/>
      <c r="E89" s="114">
        <f>IF(K89=L89,_xlfn.IFNA(VLOOKUP(I89,科目余额表!B:M,12,0),0),-_xlfn.IFNA(VLOOKUP(I89,科目余额表!B:M,12,0),0))</f>
        <v>0</v>
      </c>
      <c r="F89" s="1">
        <f>ROUND(SUMIF(本期ETY!D:D,B89,本期ETY!F:F),2)</f>
        <v>0</v>
      </c>
      <c r="G89" s="1">
        <f>ROUND(SUMIF(本期ETY!D:D,B89,本期ETY!G:G),2)</f>
        <v>0</v>
      </c>
      <c r="H89" s="115">
        <f t="shared" si="14"/>
        <v>0</v>
      </c>
      <c r="I89" s="1" t="s">
        <v>476</v>
      </c>
      <c r="K89" s="1" t="s">
        <v>843</v>
      </c>
      <c r="L89" s="1" t="str">
        <f>_xlfn.IFNA(VLOOKUP(I89,科目余额表!B:M,11,0),K89)</f>
        <v>借</v>
      </c>
    </row>
    <row r="90" spans="1:12">
      <c r="A90" s="112" t="s">
        <v>1002</v>
      </c>
      <c r="B90" s="113" t="s">
        <v>1003</v>
      </c>
      <c r="C90" s="111"/>
      <c r="D90" s="111"/>
      <c r="E90" s="114">
        <f>IF(K90=L90,_xlfn.IFNA(VLOOKUP(I90,科目余额表!B:M,12,0),0),-_xlfn.IFNA(VLOOKUP(I90,科目余额表!B:M,12,0),0))</f>
        <v>0</v>
      </c>
      <c r="F90" s="1">
        <f>ROUND(SUMIF(本期ETY!D:D,B90,本期ETY!F:F),2)</f>
        <v>0</v>
      </c>
      <c r="G90" s="1">
        <f>ROUND(SUMIF(本期ETY!D:D,B90,本期ETY!G:G),2)</f>
        <v>0</v>
      </c>
      <c r="H90" s="115">
        <f t="shared" si="14"/>
        <v>0</v>
      </c>
      <c r="I90" s="1" t="s">
        <v>1003</v>
      </c>
      <c r="K90" s="1" t="s">
        <v>843</v>
      </c>
      <c r="L90" s="1" t="str">
        <f>_xlfn.IFNA(VLOOKUP(I90,科目余额表!B:M,11,0),K90)</f>
        <v>借</v>
      </c>
    </row>
    <row r="91" spans="1:12">
      <c r="A91" s="112" t="s">
        <v>1004</v>
      </c>
      <c r="B91" s="113" t="s">
        <v>1005</v>
      </c>
      <c r="C91" s="111"/>
      <c r="D91" s="111"/>
      <c r="E91" s="114">
        <f>IF(K91=L91,_xlfn.IFNA(VLOOKUP(I91,科目余额表!B:M,12,0),0),-_xlfn.IFNA(VLOOKUP(I91,科目余额表!B:M,12,0),0))</f>
        <v>0</v>
      </c>
      <c r="F91" s="1">
        <f>ROUND(SUMIF(本期ETY!D:D,B91,本期ETY!F:F),2)</f>
        <v>0</v>
      </c>
      <c r="G91" s="1">
        <f>ROUND(SUMIF(本期ETY!D:D,B91,本期ETY!G:G),2)</f>
        <v>0</v>
      </c>
      <c r="H91" s="115">
        <f t="shared" si="14"/>
        <v>0</v>
      </c>
      <c r="I91" s="1" t="s">
        <v>1005</v>
      </c>
      <c r="K91" s="1" t="s">
        <v>843</v>
      </c>
      <c r="L91" s="1" t="str">
        <f>_xlfn.IFNA(VLOOKUP(I91,科目余额表!B:M,11,0),K91)</f>
        <v>借</v>
      </c>
    </row>
    <row r="92" spans="1:12">
      <c r="A92" s="112" t="s">
        <v>1006</v>
      </c>
      <c r="B92" s="113" t="s">
        <v>1007</v>
      </c>
      <c r="C92" s="111"/>
      <c r="D92" s="111"/>
      <c r="E92" s="114">
        <f>IF(K92=L92,_xlfn.IFNA(VLOOKUP(I92,科目余额表!B:M,12,0),0),-_xlfn.IFNA(VLOOKUP(I92,科目余额表!B:M,12,0),0))</f>
        <v>0</v>
      </c>
      <c r="F92" s="1">
        <f>ROUND(SUMIF(本期ETY!D:D,B92,本期ETY!F:F),2)</f>
        <v>0</v>
      </c>
      <c r="G92" s="1">
        <f>ROUND(SUMIF(本期ETY!D:D,B92,本期ETY!G:G),2)</f>
        <v>0</v>
      </c>
      <c r="H92" s="115">
        <f t="shared" si="14"/>
        <v>0</v>
      </c>
      <c r="I92" s="1" t="s">
        <v>91</v>
      </c>
      <c r="K92" s="1" t="s">
        <v>843</v>
      </c>
      <c r="L92" s="1" t="str">
        <f>_xlfn.IFNA(VLOOKUP(I92,科目余额表!B:M,11,0),K92)</f>
        <v>借</v>
      </c>
    </row>
    <row r="93" spans="1:12">
      <c r="A93" s="112" t="s">
        <v>1008</v>
      </c>
      <c r="B93" s="113" t="s">
        <v>1009</v>
      </c>
      <c r="C93" s="111"/>
      <c r="D93" s="111"/>
      <c r="E93" s="114">
        <f>IF(K93=L93,_xlfn.IFNA(VLOOKUP(I93,科目余额表!B:M,12,0),0),-_xlfn.IFNA(VLOOKUP(I93,科目余额表!B:M,12,0),0))</f>
        <v>0</v>
      </c>
      <c r="F93" s="1">
        <f>ROUND(SUMIF(本期ETY!D:D,B93,本期ETY!F:F),2)</f>
        <v>0</v>
      </c>
      <c r="G93" s="1">
        <f>ROUND(SUMIF(本期ETY!D:D,B93,本期ETY!G:G),2)</f>
        <v>0</v>
      </c>
      <c r="H93" s="115">
        <f>ROUND(E93-F93+G93,2)</f>
        <v>0</v>
      </c>
      <c r="I93" s="1" t="s">
        <v>1010</v>
      </c>
      <c r="K93" s="1" t="s">
        <v>865</v>
      </c>
      <c r="L93" s="1" t="str">
        <f>_xlfn.IFNA(VLOOKUP(I93,科目余额表!B:M,11,0),K93)</f>
        <v>贷</v>
      </c>
    </row>
    <row r="94" spans="1:12">
      <c r="A94" s="112" t="s">
        <v>1011</v>
      </c>
      <c r="B94" s="113" t="s">
        <v>1012</v>
      </c>
      <c r="C94" s="111"/>
      <c r="D94" s="111"/>
      <c r="E94" s="114">
        <f>IF(K94=L94,_xlfn.IFNA(VLOOKUP(I94,科目余额表!B:M,12,0),0),-_xlfn.IFNA(VLOOKUP(I94,科目余额表!B:M,12,0),0))</f>
        <v>0</v>
      </c>
      <c r="F94" s="1">
        <f>ROUND(SUMIF(本期ETY!D:D,B94,本期ETY!F:F),2)</f>
        <v>0</v>
      </c>
      <c r="G94" s="1">
        <f>ROUND(SUMIF(本期ETY!D:D,B94,本期ETY!G:G),2)</f>
        <v>0</v>
      </c>
      <c r="H94" s="115">
        <f>ROUND(E94-F94+G94,2)</f>
        <v>0</v>
      </c>
      <c r="I94" s="1" t="s">
        <v>1013</v>
      </c>
      <c r="K94" s="1" t="s">
        <v>865</v>
      </c>
      <c r="L94" s="1" t="str">
        <f>_xlfn.IFNA(VLOOKUP(I94,科目余额表!B:M,11,0),K94)</f>
        <v>贷</v>
      </c>
    </row>
    <row r="95" spans="1:12">
      <c r="A95" s="112" t="s">
        <v>1014</v>
      </c>
      <c r="B95" s="113"/>
      <c r="C95" s="111"/>
      <c r="D95" s="117" t="s">
        <v>856</v>
      </c>
      <c r="E95" s="111">
        <f>E92-E93-E94</f>
        <v>0</v>
      </c>
      <c r="F95" s="111">
        <f t="shared" ref="F95:H95" si="15">F92-F93-F94</f>
        <v>0</v>
      </c>
      <c r="G95" s="111">
        <f t="shared" si="15"/>
        <v>0</v>
      </c>
      <c r="H95" s="111">
        <f t="shared" si="15"/>
        <v>0</v>
      </c>
      <c r="L95" s="1">
        <f>_xlfn.IFNA(VLOOKUP(I95,科目余额表!B:M,11,0),K95)</f>
        <v>0</v>
      </c>
    </row>
    <row r="96" spans="1:12">
      <c r="A96" s="112" t="s">
        <v>1015</v>
      </c>
      <c r="B96" s="113" t="s">
        <v>1016</v>
      </c>
      <c r="C96" s="111"/>
      <c r="D96" s="117"/>
      <c r="E96" s="114">
        <f>IF(K96=L96,_xlfn.IFNA(VLOOKUP(I96,科目余额表!B:M,12,0),0),-_xlfn.IFNA(VLOOKUP(I96,科目余额表!B:M,12,0),0))</f>
        <v>0</v>
      </c>
      <c r="F96" s="1">
        <f>ROUND(SUMIF(本期ETY!D:D,B96,本期ETY!F:F),2)</f>
        <v>0</v>
      </c>
      <c r="G96" s="1">
        <f>ROUND(SUMIF(本期ETY!D:D,B96,本期ETY!G:G),2)</f>
        <v>0</v>
      </c>
      <c r="H96" s="115">
        <f t="shared" ref="H96" si="16">ROUND(E96+F96-G96,2)</f>
        <v>0</v>
      </c>
      <c r="I96" s="1" t="s">
        <v>90</v>
      </c>
      <c r="K96" s="1" t="s">
        <v>843</v>
      </c>
      <c r="L96" s="1" t="str">
        <f>_xlfn.IFNA(VLOOKUP(I96,科目余额表!B:M,11,0),K96)</f>
        <v>借</v>
      </c>
    </row>
    <row r="97" spans="1:12">
      <c r="A97" s="112" t="s">
        <v>1017</v>
      </c>
      <c r="B97" s="113" t="s">
        <v>1018</v>
      </c>
      <c r="C97" s="111"/>
      <c r="D97" s="117"/>
      <c r="E97" s="114">
        <f>IF(K97=L97,_xlfn.IFNA(VLOOKUP(I97,科目余额表!B:M,12,0),0),-_xlfn.IFNA(VLOOKUP(I97,科目余额表!B:M,12,0),0))</f>
        <v>0</v>
      </c>
      <c r="F97" s="1">
        <f>ROUND(SUMIF(本期ETY!D:D,B97,本期ETY!F:F),2)</f>
        <v>0</v>
      </c>
      <c r="G97" s="1">
        <f>ROUND(SUMIF(本期ETY!D:D,B97,本期ETY!G:G),2)</f>
        <v>0</v>
      </c>
      <c r="H97" s="115">
        <f>ROUND(E97-F97+G97,2)</f>
        <v>0</v>
      </c>
      <c r="I97" s="1" t="s">
        <v>782</v>
      </c>
      <c r="K97" s="1" t="s">
        <v>865</v>
      </c>
      <c r="L97" s="1" t="str">
        <f>_xlfn.IFNA(VLOOKUP(I97,科目余额表!B:M,11,0),K97)</f>
        <v>贷</v>
      </c>
    </row>
    <row r="98" spans="1:12">
      <c r="A98" s="112" t="s">
        <v>1019</v>
      </c>
      <c r="B98" s="113" t="s">
        <v>1020</v>
      </c>
      <c r="C98" s="111"/>
      <c r="D98" s="117"/>
      <c r="E98" s="114">
        <f>IF(K98=L98,_xlfn.IFNA(VLOOKUP(I98,科目余额表!B:M,12,0),0),-_xlfn.IFNA(VLOOKUP(I98,科目余额表!B:M,12,0),0))</f>
        <v>0</v>
      </c>
      <c r="F98" s="1">
        <f>ROUND(SUMIF(本期ETY!D:D,B98,本期ETY!F:F),2)</f>
        <v>0</v>
      </c>
      <c r="G98" s="1">
        <f>ROUND(SUMIF(本期ETY!D:D,B98,本期ETY!G:G),2)</f>
        <v>0</v>
      </c>
      <c r="H98" s="115">
        <f>ROUND(E98-F98+G98,2)</f>
        <v>0</v>
      </c>
      <c r="I98" s="1" t="s">
        <v>1021</v>
      </c>
      <c r="K98" s="1" t="s">
        <v>865</v>
      </c>
      <c r="L98" s="1" t="str">
        <f>_xlfn.IFNA(VLOOKUP(I98,科目余额表!B:M,11,0),K98)</f>
        <v>贷</v>
      </c>
    </row>
    <row r="99" spans="1:12">
      <c r="A99" s="112" t="s">
        <v>1022</v>
      </c>
      <c r="B99" s="113"/>
      <c r="C99" s="111"/>
      <c r="D99" s="111"/>
      <c r="E99" s="111">
        <f>E96-E97-E98</f>
        <v>0</v>
      </c>
      <c r="F99" s="111">
        <f t="shared" ref="F99:H99" si="17">F96-F97-F98</f>
        <v>0</v>
      </c>
      <c r="G99" s="111">
        <f t="shared" si="17"/>
        <v>0</v>
      </c>
      <c r="H99" s="111">
        <f t="shared" si="17"/>
        <v>0</v>
      </c>
      <c r="L99" s="1">
        <f>_xlfn.IFNA(VLOOKUP(I99,科目余额表!B:M,11,0),K99)</f>
        <v>0</v>
      </c>
    </row>
    <row r="100" spans="1:12">
      <c r="A100" s="112" t="s">
        <v>1023</v>
      </c>
      <c r="B100" s="113" t="s">
        <v>1024</v>
      </c>
      <c r="C100" s="111"/>
      <c r="D100" s="111"/>
      <c r="E100" s="114">
        <f>IF(K100=L100,_xlfn.IFNA(VLOOKUP(I100,科目余额表!B:M,12,0),0),-_xlfn.IFNA(VLOOKUP(I100,科目余额表!B:M,12,0),0))</f>
        <v>0</v>
      </c>
      <c r="F100" s="1">
        <f>ROUND(SUMIF(本期ETY!D:D,B100,本期ETY!F:F),2)</f>
        <v>0</v>
      </c>
      <c r="G100" s="1">
        <f>ROUND(SUMIF(本期ETY!D:D,B100,本期ETY!G:G),2)</f>
        <v>0</v>
      </c>
      <c r="H100" s="115">
        <f t="shared" ref="H100:H101" si="18">ROUND(E100+F100-G100,2)</f>
        <v>0</v>
      </c>
      <c r="I100" s="1" t="s">
        <v>1024</v>
      </c>
      <c r="K100" s="1" t="s">
        <v>843</v>
      </c>
      <c r="L100" s="1" t="str">
        <f>_xlfn.IFNA(VLOOKUP(I100,科目余额表!B:M,11,0),K100)</f>
        <v>借</v>
      </c>
    </row>
    <row r="101" spans="1:12">
      <c r="A101" s="112" t="s">
        <v>1025</v>
      </c>
      <c r="B101" s="113" t="s">
        <v>1026</v>
      </c>
      <c r="C101" s="111"/>
      <c r="D101" s="111"/>
      <c r="E101" s="114">
        <f>IF(K101=L101,_xlfn.IFNA(VLOOKUP(I101,科目余额表!B:M,12,0),0),-_xlfn.IFNA(VLOOKUP(I101,科目余额表!B:M,12,0),0))</f>
        <v>0</v>
      </c>
      <c r="F101" s="1">
        <f>ROUND(SUMIF(本期ETY!D:D,B101,本期ETY!F:F),2)</f>
        <v>0</v>
      </c>
      <c r="G101" s="1">
        <f>ROUND(SUMIF(本期ETY!D:D,B101,本期ETY!G:G),2)</f>
        <v>0</v>
      </c>
      <c r="H101" s="115">
        <f t="shared" si="18"/>
        <v>0</v>
      </c>
      <c r="I101" s="1" t="s">
        <v>1027</v>
      </c>
      <c r="K101" s="1" t="s">
        <v>843</v>
      </c>
      <c r="L101" s="1" t="str">
        <f>_xlfn.IFNA(VLOOKUP(I101,科目余额表!B:M,11,0),K101)</f>
        <v>借</v>
      </c>
    </row>
    <row r="102" spans="1:12">
      <c r="A102" s="112" t="s">
        <v>1028</v>
      </c>
      <c r="B102" s="113" t="s">
        <v>1029</v>
      </c>
      <c r="C102" s="111"/>
      <c r="D102" s="111"/>
      <c r="E102" s="114">
        <f>IF(K102=L102,_xlfn.IFNA(VLOOKUP(I102,科目余额表!B:M,12,0),0),-_xlfn.IFNA(VLOOKUP(I102,科目余额表!B:M,12,0),0))</f>
        <v>0</v>
      </c>
      <c r="F102" s="1">
        <f>ROUND(SUMIF(本期ETY!D:D,B102,本期ETY!F:F),2)</f>
        <v>0</v>
      </c>
      <c r="G102" s="1">
        <f>ROUND(SUMIF(本期ETY!D:D,B102,本期ETY!G:G),2)</f>
        <v>0</v>
      </c>
      <c r="H102" s="115">
        <f>ROUND(E102-F102+G102,2)</f>
        <v>0</v>
      </c>
      <c r="I102" s="1" t="s">
        <v>1030</v>
      </c>
      <c r="K102" s="1" t="s">
        <v>865</v>
      </c>
      <c r="L102" s="1" t="str">
        <f>_xlfn.IFNA(VLOOKUP(I102,科目余额表!B:M,11,0),K102)</f>
        <v>贷</v>
      </c>
    </row>
    <row r="103" spans="1:12">
      <c r="A103" s="112" t="s">
        <v>1031</v>
      </c>
      <c r="B103" s="113"/>
      <c r="C103" s="111"/>
      <c r="D103" s="111"/>
      <c r="E103" s="111">
        <f>E101-E102</f>
        <v>0</v>
      </c>
      <c r="F103" s="111">
        <f t="shared" ref="F103:H103" si="19">F101-F102</f>
        <v>0</v>
      </c>
      <c r="G103" s="111">
        <f t="shared" si="19"/>
        <v>0</v>
      </c>
      <c r="H103" s="111">
        <f t="shared" si="19"/>
        <v>0</v>
      </c>
      <c r="L103" s="1">
        <f>_xlfn.IFNA(VLOOKUP(I103,科目余额表!B:M,11,0),K103)</f>
        <v>0</v>
      </c>
    </row>
    <row r="104" spans="1:12">
      <c r="A104" s="112" t="s">
        <v>1032</v>
      </c>
      <c r="B104" s="113" t="s">
        <v>783</v>
      </c>
      <c r="C104" s="111"/>
      <c r="D104" s="111"/>
      <c r="E104" s="114">
        <f>IF(K104=L104,_xlfn.IFNA(VLOOKUP(I104,科目余额表!B:M,12,0),0),-_xlfn.IFNA(VLOOKUP(I104,科目余额表!B:M,12,0),0))</f>
        <v>26751496.309999999</v>
      </c>
      <c r="F104" s="1">
        <f>ROUND(SUMIF(本期ETY!D:D,B104,本期ETY!F:F),2)</f>
        <v>0</v>
      </c>
      <c r="G104" s="1">
        <f>ROUND(SUMIF(本期ETY!D:D,B104,本期ETY!G:G),2)</f>
        <v>0</v>
      </c>
      <c r="H104" s="115">
        <f t="shared" ref="H104:H106" si="20">ROUND(E104+F104-G104,2)</f>
        <v>26751496.309999999</v>
      </c>
      <c r="I104" s="1" t="s">
        <v>783</v>
      </c>
      <c r="K104" s="1" t="s">
        <v>843</v>
      </c>
      <c r="L104" s="1" t="str">
        <f>_xlfn.IFNA(VLOOKUP(I104,科目余额表!B:M,11,0),K104)</f>
        <v>借</v>
      </c>
    </row>
    <row r="105" spans="1:12">
      <c r="A105" s="112" t="s">
        <v>1033</v>
      </c>
      <c r="B105" s="113" t="s">
        <v>784</v>
      </c>
      <c r="C105" s="111"/>
      <c r="D105" s="111"/>
      <c r="E105" s="114">
        <f>IF(K105=L105,_xlfn.IFNA(VLOOKUP(I105,科目余额表!B:M,12,0),0),-_xlfn.IFNA(VLOOKUP(I105,科目余额表!B:M,12,0),0))</f>
        <v>0</v>
      </c>
      <c r="F105" s="1">
        <f>ROUND(SUMIF(本期ETY!D:D,B105,本期ETY!F:F),2)</f>
        <v>0</v>
      </c>
      <c r="G105" s="1">
        <f>ROUND(SUMIF(本期ETY!D:D,B105,本期ETY!G:G),2)</f>
        <v>0</v>
      </c>
      <c r="H105" s="115">
        <f t="shared" si="20"/>
        <v>0</v>
      </c>
      <c r="I105" s="1" t="s">
        <v>784</v>
      </c>
      <c r="K105" s="1" t="s">
        <v>843</v>
      </c>
      <c r="L105" s="1" t="str">
        <f>_xlfn.IFNA(VLOOKUP(I105,科目余额表!B:M,11,0),K105)</f>
        <v>借</v>
      </c>
    </row>
    <row r="106" spans="1:12">
      <c r="A106" s="112" t="s">
        <v>1034</v>
      </c>
      <c r="B106" s="113" t="s">
        <v>80</v>
      </c>
      <c r="C106" s="111"/>
      <c r="D106" s="111"/>
      <c r="E106" s="114">
        <f>IF(K106=L106,_xlfn.IFNA(VLOOKUP(I106,科目余额表!B:M,12,0),0),-_xlfn.IFNA(VLOOKUP(I106,科目余额表!B:M,12,0),0))</f>
        <v>5764452392.1000004</v>
      </c>
      <c r="F106" s="1">
        <f>ROUND(SUMIF(本期ETY!D:D,B106,本期ETY!F:F),2)</f>
        <v>0</v>
      </c>
      <c r="G106" s="1">
        <f>ROUND(SUMIF(本期ETY!D:D,B106,本期ETY!G:G),2)</f>
        <v>0</v>
      </c>
      <c r="H106" s="115">
        <f t="shared" si="20"/>
        <v>5764452392.1000004</v>
      </c>
      <c r="I106" s="1" t="s">
        <v>1035</v>
      </c>
      <c r="K106" s="1" t="s">
        <v>843</v>
      </c>
      <c r="L106" s="1" t="str">
        <f>_xlfn.IFNA(VLOOKUP(I106,科目余额表!B:M,11,0),K106)</f>
        <v>借</v>
      </c>
    </row>
    <row r="107" spans="1:12">
      <c r="A107" s="120" t="s">
        <v>1036</v>
      </c>
      <c r="B107" s="113"/>
      <c r="C107" s="119"/>
      <c r="D107" s="119"/>
      <c r="E107" s="121">
        <f>E59+E62+E63+E66+E67+E71+E74+E75+E76+E80+E84+E88+E90+E91+E95+E99+E100+E103+E104+E105+E106+E85+E89</f>
        <v>12605012366.410002</v>
      </c>
      <c r="F107" s="111">
        <f>F59+F62+F63+F66+F67+F71+F74+F75+F76+F80+F84+F88+F90+F91+F95+F99+F100+F103+F104+F105+F106+F85+F89</f>
        <v>0</v>
      </c>
      <c r="G107" s="111">
        <f>G59+G62+G63+G66+G67+G71+G74+G75+G76+G80+G84+G88+G90+G91+G95+G99+G100+G103+G104+G105+G106+G85+G89</f>
        <v>0</v>
      </c>
      <c r="H107" s="121">
        <f>H59+H62+H63+H66+H67+H71+H74+H75+H76+H80+H84+H88+H90+H91+H95+H99+H100+H103+H104+H105+H106+H85+H89</f>
        <v>12605012366.410002</v>
      </c>
      <c r="L107" s="1">
        <f>_xlfn.IFNA(VLOOKUP(I107,科目余额表!B:M,11,0),K107)</f>
        <v>0</v>
      </c>
    </row>
    <row r="108" spans="1:12">
      <c r="A108" s="120" t="s">
        <v>1037</v>
      </c>
      <c r="B108" s="113"/>
      <c r="C108" s="111"/>
      <c r="D108" s="111"/>
      <c r="E108" s="121">
        <f>E107+E57</f>
        <v>16795860784.460001</v>
      </c>
      <c r="F108" s="111">
        <f>F107+F57</f>
        <v>0</v>
      </c>
      <c r="G108" s="111">
        <f>G107+G57</f>
        <v>0</v>
      </c>
      <c r="H108" s="121">
        <f>H107+H57</f>
        <v>16795860784.460001</v>
      </c>
      <c r="L108" s="1">
        <f>_xlfn.IFNA(VLOOKUP(I108,科目余额表!B:M,11,0),K108)</f>
        <v>0</v>
      </c>
    </row>
    <row r="109" spans="1:12">
      <c r="A109" s="122" t="s">
        <v>1038</v>
      </c>
      <c r="B109" s="113"/>
      <c r="C109" s="111"/>
      <c r="D109" s="111"/>
      <c r="E109" s="111"/>
      <c r="L109" s="1">
        <f>_xlfn.IFNA(VLOOKUP(I109,科目余额表!B:M,11,0),K109)</f>
        <v>0</v>
      </c>
    </row>
    <row r="110" spans="1:12">
      <c r="A110" s="123" t="s">
        <v>1039</v>
      </c>
      <c r="B110" s="113" t="s">
        <v>768</v>
      </c>
      <c r="C110" s="111"/>
      <c r="D110" s="111"/>
      <c r="E110" s="114">
        <f>IF(K110=L110,_xlfn.IFNA(VLOOKUP(I110,科目余额表!B:M,12,0),0),-_xlfn.IFNA(VLOOKUP(I110,科目余额表!B:M,12,0),0))</f>
        <v>674000000</v>
      </c>
      <c r="F110" s="1">
        <f>ROUND(SUMIF(本期ETY!D:D,B110,本期ETY!F:F),2)</f>
        <v>0</v>
      </c>
      <c r="G110" s="1">
        <f>ROUND(SUMIF(本期ETY!D:D,B110,本期ETY!G:G),2)</f>
        <v>0</v>
      </c>
      <c r="H110" s="115">
        <f>ROUND(E110-F110+G110,2)</f>
        <v>674000000</v>
      </c>
      <c r="I110" s="1" t="s">
        <v>768</v>
      </c>
      <c r="K110" s="1" t="s">
        <v>865</v>
      </c>
      <c r="L110" s="1" t="str">
        <f>_xlfn.IFNA(VLOOKUP(I110,科目余额表!B:M,11,0),K110)</f>
        <v>贷</v>
      </c>
    </row>
    <row r="111" spans="1:12">
      <c r="A111" s="123" t="s">
        <v>1040</v>
      </c>
      <c r="B111" s="113" t="s">
        <v>1041</v>
      </c>
      <c r="C111" s="111"/>
      <c r="D111" s="111"/>
      <c r="E111" s="114">
        <f>IF(K111=L111,_xlfn.IFNA(VLOOKUP(I111,科目余额表!B:M,12,0),0),-_xlfn.IFNA(VLOOKUP(I111,科目余额表!B:M,12,0),0))</f>
        <v>0</v>
      </c>
      <c r="F111" s="1">
        <f>ROUND(SUMIF(本期ETY!D:D,B111,本期ETY!F:F),2)</f>
        <v>0</v>
      </c>
      <c r="G111" s="1">
        <f>ROUND(SUMIF(本期ETY!D:D,B111,本期ETY!G:G),2)</f>
        <v>0</v>
      </c>
      <c r="H111" s="115">
        <f t="shared" ref="H111:H134" si="21">ROUND(E111-F111+G111,2)</f>
        <v>0</v>
      </c>
      <c r="I111" s="1" t="s">
        <v>1041</v>
      </c>
      <c r="K111" s="1" t="s">
        <v>865</v>
      </c>
      <c r="L111" s="1" t="str">
        <f>_xlfn.IFNA(VLOOKUP(I111,科目余额表!B:M,11,0),K111)</f>
        <v>贷</v>
      </c>
    </row>
    <row r="112" spans="1:12">
      <c r="A112" s="123" t="s">
        <v>1042</v>
      </c>
      <c r="B112" s="113" t="s">
        <v>1043</v>
      </c>
      <c r="C112" s="111"/>
      <c r="D112" s="111"/>
      <c r="E112" s="114">
        <f>IF(K112=L112,_xlfn.IFNA(VLOOKUP(I112,科目余额表!B:M,12,0),0),-_xlfn.IFNA(VLOOKUP(I112,科目余额表!B:M,12,0),0))</f>
        <v>0</v>
      </c>
      <c r="F112" s="1">
        <f>ROUND(SUMIF(本期ETY!D:D,B112,本期ETY!F:F),2)</f>
        <v>0</v>
      </c>
      <c r="G112" s="1">
        <f>ROUND(SUMIF(本期ETY!D:D,B112,本期ETY!G:G),2)</f>
        <v>0</v>
      </c>
      <c r="H112" s="115">
        <f t="shared" si="21"/>
        <v>0</v>
      </c>
      <c r="I112" s="1" t="s">
        <v>1043</v>
      </c>
      <c r="K112" s="1" t="s">
        <v>865</v>
      </c>
      <c r="L112" s="1" t="str">
        <f>_xlfn.IFNA(VLOOKUP(I112,科目余额表!B:M,11,0),K112)</f>
        <v>贷</v>
      </c>
    </row>
    <row r="113" spans="1:12">
      <c r="A113" s="124" t="s">
        <v>1044</v>
      </c>
      <c r="B113" s="113" t="s">
        <v>528</v>
      </c>
      <c r="C113" s="111"/>
      <c r="D113" s="117" t="s">
        <v>856</v>
      </c>
      <c r="E113" s="114">
        <f>IF(K113=L113,_xlfn.IFNA(VLOOKUP(I113,科目余额表!B:M,12,0),0),-_xlfn.IFNA(VLOOKUP(I113,科目余额表!B:M,12,0),0))</f>
        <v>0</v>
      </c>
      <c r="F113" s="1">
        <f>ROUND(SUMIF(本期ETY!D:D,B113,本期ETY!F:F),2)</f>
        <v>0</v>
      </c>
      <c r="G113" s="1">
        <f>ROUND(SUMIF(本期ETY!D:D,B113,本期ETY!G:G),2)</f>
        <v>0</v>
      </c>
      <c r="H113" s="115">
        <f t="shared" si="21"/>
        <v>0</v>
      </c>
      <c r="I113" s="1" t="s">
        <v>528</v>
      </c>
      <c r="K113" s="1" t="s">
        <v>865</v>
      </c>
      <c r="L113" s="1" t="str">
        <f>_xlfn.IFNA(VLOOKUP(I113,科目余额表!B:M,11,0),K113)</f>
        <v>贷</v>
      </c>
    </row>
    <row r="114" spans="1:12">
      <c r="A114" s="124" t="s">
        <v>1045</v>
      </c>
      <c r="B114" s="113" t="s">
        <v>1046</v>
      </c>
      <c r="C114" s="117" t="s">
        <v>858</v>
      </c>
      <c r="D114" s="117"/>
      <c r="E114" s="114">
        <f>IF(K114=L114,_xlfn.IFNA(VLOOKUP(I114,科目余额表!B:M,12,0),0),-_xlfn.IFNA(VLOOKUP(I114,科目余额表!B:M,12,0),0))</f>
        <v>0</v>
      </c>
      <c r="F114" s="1">
        <f>ROUND(SUMIF(本期ETY!D:D,B114,本期ETY!F:F),2)</f>
        <v>0</v>
      </c>
      <c r="G114" s="1">
        <f>ROUND(SUMIF(本期ETY!D:D,B114,本期ETY!G:G),2)</f>
        <v>0</v>
      </c>
      <c r="H114" s="115">
        <f t="shared" si="21"/>
        <v>0</v>
      </c>
      <c r="I114" s="1" t="s">
        <v>1046</v>
      </c>
      <c r="K114" s="1" t="s">
        <v>865</v>
      </c>
      <c r="L114" s="1" t="str">
        <f>_xlfn.IFNA(VLOOKUP(I114,科目余额表!B:M,11,0),K114)</f>
        <v>贷</v>
      </c>
    </row>
    <row r="115" spans="1:12">
      <c r="A115" s="123" t="s">
        <v>1047</v>
      </c>
      <c r="B115" s="113" t="s">
        <v>1048</v>
      </c>
      <c r="C115" s="111"/>
      <c r="D115" s="111"/>
      <c r="E115" s="114">
        <f>IF(K115=L115,_xlfn.IFNA(VLOOKUP(I115,科目余额表!B:M,12,0),0),-_xlfn.IFNA(VLOOKUP(I115,科目余额表!B:M,12,0),0))</f>
        <v>0</v>
      </c>
      <c r="F115" s="1">
        <f>ROUND(SUMIF(本期ETY!D:D,B115,本期ETY!F:F),2)</f>
        <v>0</v>
      </c>
      <c r="G115" s="1">
        <f>ROUND(SUMIF(本期ETY!D:D,B115,本期ETY!G:G),2)</f>
        <v>0</v>
      </c>
      <c r="H115" s="115">
        <f t="shared" si="21"/>
        <v>0</v>
      </c>
      <c r="I115" s="1" t="s">
        <v>1048</v>
      </c>
      <c r="K115" s="1" t="s">
        <v>865</v>
      </c>
      <c r="L115" s="1" t="str">
        <f>_xlfn.IFNA(VLOOKUP(I115,科目余额表!B:M,11,0),K115)</f>
        <v>贷</v>
      </c>
    </row>
    <row r="116" spans="1:12">
      <c r="A116" s="123" t="s">
        <v>1049</v>
      </c>
      <c r="B116" s="113" t="s">
        <v>785</v>
      </c>
      <c r="C116" s="111"/>
      <c r="D116" s="111"/>
      <c r="E116" s="114">
        <f>IF(K116=L116,_xlfn.IFNA(VLOOKUP(I116,科目余额表!B:M,12,0),0),-_xlfn.IFNA(VLOOKUP(I116,科目余额表!B:M,12,0),0))</f>
        <v>0</v>
      </c>
      <c r="F116" s="1">
        <f>ROUND(SUMIF(本期ETY!D:D,B116,本期ETY!F:F),2)</f>
        <v>0</v>
      </c>
      <c r="G116" s="1">
        <f>ROUND(SUMIF(本期ETY!D:D,B116,本期ETY!G:G),2)</f>
        <v>0</v>
      </c>
      <c r="H116" s="115">
        <f t="shared" si="21"/>
        <v>0</v>
      </c>
      <c r="I116" s="1" t="s">
        <v>785</v>
      </c>
      <c r="K116" s="1" t="s">
        <v>865</v>
      </c>
      <c r="L116" s="1" t="str">
        <f>_xlfn.IFNA(VLOOKUP(I116,科目余额表!B:M,11,0),K116)</f>
        <v>平</v>
      </c>
    </row>
    <row r="117" spans="1:12">
      <c r="A117" s="124" t="s">
        <v>1050</v>
      </c>
      <c r="B117" s="113" t="s">
        <v>1051</v>
      </c>
      <c r="C117" s="111"/>
      <c r="D117" s="111"/>
      <c r="E117" s="114">
        <f>IF(K117=L117,_xlfn.IFNA(VLOOKUP(I117,科目余额表!B:M,12,0),0),-_xlfn.IFNA(VLOOKUP(I117,科目余额表!B:M,12,0),0))</f>
        <v>148589378.94</v>
      </c>
      <c r="F117" s="1">
        <f>ROUND(SUMIF(本期ETY!D:D,B117,本期ETY!F:F),2)</f>
        <v>0</v>
      </c>
      <c r="G117" s="1">
        <f>ROUND(SUMIF(本期ETY!D:D,B117,本期ETY!G:G),2)</f>
        <v>0</v>
      </c>
      <c r="H117" s="115">
        <f t="shared" si="21"/>
        <v>148589378.94</v>
      </c>
      <c r="I117" s="1" t="s">
        <v>93</v>
      </c>
      <c r="K117" s="1" t="s">
        <v>865</v>
      </c>
      <c r="L117" s="1" t="str">
        <f>_xlfn.IFNA(VLOOKUP(I117,科目余额表!B:M,11,0),K117)</f>
        <v>贷</v>
      </c>
    </row>
    <row r="118" spans="1:12">
      <c r="A118" s="124" t="s">
        <v>1052</v>
      </c>
      <c r="B118" s="113" t="s">
        <v>1053</v>
      </c>
      <c r="C118" s="111"/>
      <c r="D118" s="111"/>
      <c r="E118" s="114">
        <f>IF(K118=L118,_xlfn.IFNA(VLOOKUP(I118,科目余额表!B:M,12,0),0),-_xlfn.IFNA(VLOOKUP(I118,科目余额表!B:M,12,0),0))</f>
        <v>568697862.54999995</v>
      </c>
      <c r="F118" s="1">
        <f>ROUND(SUMIF(本期ETY!D:D,B118,本期ETY!F:F),2)</f>
        <v>0</v>
      </c>
      <c r="G118" s="1">
        <f>ROUND(SUMIF(本期ETY!D:D,B118,本期ETY!G:G),2)</f>
        <v>0</v>
      </c>
      <c r="H118" s="115">
        <f t="shared" si="21"/>
        <v>568697862.54999995</v>
      </c>
      <c r="I118" s="1" t="s">
        <v>800</v>
      </c>
      <c r="K118" s="1" t="s">
        <v>865</v>
      </c>
      <c r="L118" s="1" t="str">
        <f>_xlfn.IFNA(VLOOKUP(I118,科目余额表!B:M,11,0),K118)</f>
        <v>贷</v>
      </c>
    </row>
    <row r="119" spans="1:12">
      <c r="A119" s="123" t="s">
        <v>1054</v>
      </c>
      <c r="B119" s="113" t="s">
        <v>1055</v>
      </c>
      <c r="C119" s="111"/>
      <c r="D119" s="111"/>
      <c r="E119" s="114">
        <f>IF(K119=L119,_xlfn.IFNA(VLOOKUP(I119,科目余额表!B:M,12,0),0),-_xlfn.IFNA(VLOOKUP(I119,科目余额表!B:M,12,0),0))</f>
        <v>22100269.77</v>
      </c>
      <c r="F119" s="1">
        <f>ROUND(SUMIF(本期ETY!D:D,B119,本期ETY!F:F),2)</f>
        <v>0</v>
      </c>
      <c r="G119" s="1">
        <f>ROUND(SUMIF(本期ETY!D:D,B119,本期ETY!G:G),2)</f>
        <v>0</v>
      </c>
      <c r="H119" s="115">
        <f t="shared" si="21"/>
        <v>22100269.77</v>
      </c>
      <c r="I119" s="1" t="s">
        <v>1056</v>
      </c>
      <c r="K119" s="1" t="s">
        <v>865</v>
      </c>
      <c r="L119" s="1" t="str">
        <f>_xlfn.IFNA(VLOOKUP(I119,科目余额表!B:M,11,0),K119)</f>
        <v>贷</v>
      </c>
    </row>
    <row r="120" spans="1:12">
      <c r="A120" s="123" t="s">
        <v>1057</v>
      </c>
      <c r="B120" s="113" t="s">
        <v>1058</v>
      </c>
      <c r="C120" s="111"/>
      <c r="D120" s="111"/>
      <c r="E120" s="114">
        <f>IF(K120=L120,_xlfn.IFNA(VLOOKUP(I120,科目余额表!B:M,12,0),0),-_xlfn.IFNA(VLOOKUP(I120,科目余额表!B:M,12,0),0))</f>
        <v>0</v>
      </c>
      <c r="F120" s="1">
        <f>ROUND(SUMIF(本期ETY!D:D,B120,本期ETY!F:F),2)</f>
        <v>0</v>
      </c>
      <c r="G120" s="1">
        <f>ROUND(SUMIF(本期ETY!D:D,B120,本期ETY!G:G),2)</f>
        <v>0</v>
      </c>
      <c r="H120" s="115">
        <f t="shared" si="21"/>
        <v>0</v>
      </c>
      <c r="I120" s="1" t="s">
        <v>1058</v>
      </c>
      <c r="K120" s="1" t="s">
        <v>865</v>
      </c>
      <c r="L120" s="1" t="str">
        <f>_xlfn.IFNA(VLOOKUP(I120,科目余额表!B:M,11,0),K120)</f>
        <v>贷</v>
      </c>
    </row>
    <row r="121" spans="1:12">
      <c r="A121" s="124" t="s">
        <v>1059</v>
      </c>
      <c r="B121" s="113" t="s">
        <v>1060</v>
      </c>
      <c r="C121" s="111"/>
      <c r="D121" s="111"/>
      <c r="E121" s="114">
        <f>IF(K121=L121,_xlfn.IFNA(VLOOKUP(I121,科目余额表!B:M,12,0),0),-_xlfn.IFNA(VLOOKUP(I121,科目余额表!B:M,12,0),0))</f>
        <v>0</v>
      </c>
      <c r="F121" s="1">
        <f>ROUND(SUMIF(本期ETY!D:D,B121,本期ETY!F:F),2)</f>
        <v>0</v>
      </c>
      <c r="G121" s="1">
        <f>ROUND(SUMIF(本期ETY!D:D,B121,本期ETY!G:G),2)</f>
        <v>0</v>
      </c>
      <c r="H121" s="115">
        <f t="shared" si="21"/>
        <v>0</v>
      </c>
      <c r="I121" s="1" t="s">
        <v>1060</v>
      </c>
      <c r="K121" s="1" t="s">
        <v>865</v>
      </c>
      <c r="L121" s="1" t="str">
        <f>_xlfn.IFNA(VLOOKUP(I121,科目余额表!B:M,11,0),K121)</f>
        <v>贷</v>
      </c>
    </row>
    <row r="122" spans="1:12">
      <c r="A122" s="123" t="s">
        <v>1061</v>
      </c>
      <c r="B122" s="113" t="s">
        <v>1062</v>
      </c>
      <c r="C122" s="111"/>
      <c r="D122" s="111"/>
      <c r="E122" s="114">
        <f>IF(K122=L122,_xlfn.IFNA(VLOOKUP(I122,科目余额表!B:M,12,0),0),-_xlfn.IFNA(VLOOKUP(I122,科目余额表!B:M,12,0),0))</f>
        <v>0</v>
      </c>
      <c r="F122" s="1">
        <f>ROUND(SUMIF(本期ETY!D:D,B122,本期ETY!F:F),2)</f>
        <v>0</v>
      </c>
      <c r="G122" s="1">
        <f>ROUND(SUMIF(本期ETY!D:D,B122,本期ETY!G:G),2)</f>
        <v>0</v>
      </c>
      <c r="H122" s="115">
        <f t="shared" si="21"/>
        <v>0</v>
      </c>
      <c r="I122" s="1" t="s">
        <v>1062</v>
      </c>
      <c r="K122" s="1" t="s">
        <v>865</v>
      </c>
      <c r="L122" s="1" t="str">
        <f>_xlfn.IFNA(VLOOKUP(I122,科目余额表!B:M,11,0),K122)</f>
        <v>贷</v>
      </c>
    </row>
    <row r="123" spans="1:12">
      <c r="A123" s="123" t="s">
        <v>1063</v>
      </c>
      <c r="B123" s="113" t="s">
        <v>1064</v>
      </c>
      <c r="C123" s="111"/>
      <c r="D123" s="111"/>
      <c r="E123" s="114">
        <f>IF(K123=L123,_xlfn.IFNA(VLOOKUP(I123,科目余额表!B:M,12,0),0),-_xlfn.IFNA(VLOOKUP(I123,科目余额表!B:M,12,0),0))</f>
        <v>0</v>
      </c>
      <c r="F123" s="1">
        <f>ROUND(SUMIF(本期ETY!D:D,B123,本期ETY!F:F),2)</f>
        <v>0</v>
      </c>
      <c r="G123" s="1">
        <f>ROUND(SUMIF(本期ETY!D:D,B123,本期ETY!G:G),2)</f>
        <v>0</v>
      </c>
      <c r="H123" s="115">
        <f t="shared" si="21"/>
        <v>0</v>
      </c>
      <c r="I123" s="1" t="s">
        <v>1064</v>
      </c>
      <c r="K123" s="1" t="s">
        <v>865</v>
      </c>
      <c r="L123" s="1" t="str">
        <f>_xlfn.IFNA(VLOOKUP(I123,科目余额表!B:M,11,0),K123)</f>
        <v>贷</v>
      </c>
    </row>
    <row r="124" spans="1:12">
      <c r="A124" s="123" t="s">
        <v>1065</v>
      </c>
      <c r="B124" s="113" t="s">
        <v>786</v>
      </c>
      <c r="C124" s="111"/>
      <c r="D124" s="111"/>
      <c r="E124" s="114">
        <f>IF(K124=L124,_xlfn.IFNA(VLOOKUP(I124,科目余额表!B:M,12,0),0),-_xlfn.IFNA(VLOOKUP(I124,科目余额表!B:M,12,0),0))</f>
        <v>13636984.890000001</v>
      </c>
      <c r="F124" s="1">
        <f>ROUND(SUMIF(本期ETY!D:D,B124,本期ETY!F:F),2)</f>
        <v>0</v>
      </c>
      <c r="G124" s="1">
        <f>ROUND(SUMIF(本期ETY!D:D,B124,本期ETY!G:G),2)</f>
        <v>0</v>
      </c>
      <c r="H124" s="115">
        <f t="shared" si="21"/>
        <v>13636984.890000001</v>
      </c>
      <c r="I124" s="1" t="s">
        <v>786</v>
      </c>
      <c r="K124" s="1" t="s">
        <v>865</v>
      </c>
      <c r="L124" s="1" t="str">
        <f>_xlfn.IFNA(VLOOKUP(I124,科目余额表!B:M,11,0),K124)</f>
        <v>贷</v>
      </c>
    </row>
    <row r="125" spans="1:12">
      <c r="A125" s="123" t="s">
        <v>1066</v>
      </c>
      <c r="B125" s="113" t="s">
        <v>787</v>
      </c>
      <c r="C125" s="111"/>
      <c r="D125" s="111"/>
      <c r="E125" s="114">
        <f>IF(K125=L125,_xlfn.IFNA(VLOOKUP(I125,科目余额表!B:M,12,0),0),-_xlfn.IFNA(VLOOKUP(I125,科目余额表!B:M,12,0),0))</f>
        <v>-13638389.939999999</v>
      </c>
      <c r="F125" s="1">
        <f>ROUND(SUMIF(本期ETY!D:D,B125,本期ETY!F:F),2)</f>
        <v>0</v>
      </c>
      <c r="G125" s="1">
        <f>ROUND(SUMIF(本期ETY!D:D,B125,本期ETY!G:G),2)</f>
        <v>0</v>
      </c>
      <c r="H125" s="115">
        <f t="shared" si="21"/>
        <v>-13638389.939999999</v>
      </c>
      <c r="I125" s="1" t="s">
        <v>787</v>
      </c>
      <c r="K125" s="1" t="s">
        <v>865</v>
      </c>
      <c r="L125" s="1" t="str">
        <f>_xlfn.IFNA(VLOOKUP(I125,科目余额表!B:M,11,0),K125)</f>
        <v>借</v>
      </c>
    </row>
    <row r="126" spans="1:12">
      <c r="A126" s="123" t="s">
        <v>1067</v>
      </c>
      <c r="B126" s="113" t="s">
        <v>1068</v>
      </c>
      <c r="C126" s="111"/>
      <c r="D126" s="111"/>
      <c r="E126" s="114">
        <f>IF(K126=L126,_xlfn.IFNA(VLOOKUP(I126,科目余额表!B:M,12,0),0),-_xlfn.IFNA(VLOOKUP(I126,科目余额表!B:M,12,0),0))</f>
        <v>98861752.329999998</v>
      </c>
      <c r="F126" s="1">
        <f>ROUND(SUMIF(本期ETY!D:D,B126,本期ETY!F:F),2)</f>
        <v>0</v>
      </c>
      <c r="G126" s="1">
        <f>ROUND(SUMIF(本期ETY!D:D,B126,本期ETY!G:G),2)</f>
        <v>0</v>
      </c>
      <c r="H126" s="115">
        <f t="shared" si="21"/>
        <v>98861752.329999998</v>
      </c>
      <c r="I126" s="1" t="s">
        <v>558</v>
      </c>
      <c r="K126" s="1" t="s">
        <v>865</v>
      </c>
      <c r="L126" s="1" t="str">
        <f>_xlfn.IFNA(VLOOKUP(I126,科目余额表!B:M,11,0),K126)</f>
        <v>贷</v>
      </c>
    </row>
    <row r="127" spans="1:12">
      <c r="A127" s="123" t="s">
        <v>1069</v>
      </c>
      <c r="B127" s="113" t="s">
        <v>1070</v>
      </c>
      <c r="C127" s="111"/>
      <c r="D127" s="111"/>
      <c r="E127" s="114">
        <f>IF(K127=L127,_xlfn.IFNA(VLOOKUP(I127,科目余额表!B:M,12,0),0),-_xlfn.IFNA(VLOOKUP(I127,科目余额表!B:M,12,0),0))</f>
        <v>0</v>
      </c>
      <c r="F127" s="1">
        <f>ROUND(SUMIF(本期ETY!D:D,B127,本期ETY!F:F),2)</f>
        <v>0</v>
      </c>
      <c r="G127" s="1">
        <f>ROUND(SUMIF(本期ETY!D:D,B127,本期ETY!G:G),2)</f>
        <v>0</v>
      </c>
      <c r="H127" s="115">
        <f t="shared" si="21"/>
        <v>0</v>
      </c>
      <c r="I127" s="1" t="s">
        <v>559</v>
      </c>
      <c r="K127" s="1" t="s">
        <v>865</v>
      </c>
      <c r="L127" s="1" t="str">
        <f>_xlfn.IFNA(VLOOKUP(I127,科目余额表!B:M,11,0),K127)</f>
        <v>贷</v>
      </c>
    </row>
    <row r="128" spans="1:12">
      <c r="A128" s="123" t="s">
        <v>1071</v>
      </c>
      <c r="B128" s="113" t="s">
        <v>560</v>
      </c>
      <c r="C128" s="111"/>
      <c r="D128" s="111"/>
      <c r="E128" s="114">
        <f>IF(K128=L128,_xlfn.IFNA(VLOOKUP(I128,科目余额表!B:M,12,0),0),-_xlfn.IFNA(VLOOKUP(I128,科目余额表!B:M,12,0),0))</f>
        <v>777699873.33000004</v>
      </c>
      <c r="F128" s="1">
        <f>ROUND(SUMIF(本期ETY!D:D,B128,本期ETY!F:F),2)</f>
        <v>0</v>
      </c>
      <c r="G128" s="1">
        <f>ROUND(SUMIF(本期ETY!D:D,B128,本期ETY!G:G),2)</f>
        <v>0</v>
      </c>
      <c r="H128" s="115">
        <f>ROUND(E128-F128+G128,2)</f>
        <v>777699873.33000004</v>
      </c>
      <c r="I128" s="1" t="s">
        <v>560</v>
      </c>
      <c r="K128" s="1" t="s">
        <v>865</v>
      </c>
      <c r="L128" s="1" t="str">
        <f>_xlfn.IFNA(VLOOKUP(I128,科目余额表!B:M,11,0),K128)</f>
        <v>贷</v>
      </c>
    </row>
    <row r="129" spans="1:12">
      <c r="A129" s="123" t="s">
        <v>1072</v>
      </c>
      <c r="B129" s="113" t="s">
        <v>1073</v>
      </c>
      <c r="C129" s="111"/>
      <c r="D129" s="111"/>
      <c r="E129" s="114">
        <f>IF(K129=L129,_xlfn.IFNA(VLOOKUP(I129,科目余额表!B:M,12,0),0),-_xlfn.IFNA(VLOOKUP(I129,科目余额表!B:M,12,0),0))</f>
        <v>0</v>
      </c>
      <c r="F129" s="1">
        <f>ROUND(SUMIF(本期ETY!D:D,B129,本期ETY!F:F),2)</f>
        <v>0</v>
      </c>
      <c r="G129" s="1">
        <f>ROUND(SUMIF(本期ETY!D:D,B129,本期ETY!G:G),2)</f>
        <v>0</v>
      </c>
      <c r="H129" s="115">
        <f t="shared" si="21"/>
        <v>0</v>
      </c>
      <c r="I129" s="1" t="s">
        <v>1073</v>
      </c>
      <c r="K129" s="1" t="s">
        <v>865</v>
      </c>
      <c r="L129" s="1" t="str">
        <f>_xlfn.IFNA(VLOOKUP(I129,科目余额表!B:M,11,0),K129)</f>
        <v>贷</v>
      </c>
    </row>
    <row r="130" spans="1:12">
      <c r="A130" s="123" t="s">
        <v>1074</v>
      </c>
      <c r="B130" s="113" t="s">
        <v>1075</v>
      </c>
      <c r="C130" s="111"/>
      <c r="D130" s="111"/>
      <c r="E130" s="114">
        <f>IF(K130=L130,_xlfn.IFNA(VLOOKUP(I130,科目余额表!B:M,12,0),0),-_xlfn.IFNA(VLOOKUP(I130,科目余额表!B:M,12,0),0))</f>
        <v>0</v>
      </c>
      <c r="F130" s="1">
        <f>ROUND(SUMIF(本期ETY!D:D,B130,本期ETY!F:F),2)</f>
        <v>0</v>
      </c>
      <c r="G130" s="1">
        <f>ROUND(SUMIF(本期ETY!D:D,B130,本期ETY!G:G),2)</f>
        <v>0</v>
      </c>
      <c r="H130" s="115">
        <f t="shared" si="21"/>
        <v>0</v>
      </c>
      <c r="I130" s="1" t="s">
        <v>1075</v>
      </c>
      <c r="K130" s="1" t="s">
        <v>865</v>
      </c>
      <c r="L130" s="1" t="str">
        <f>_xlfn.IFNA(VLOOKUP(I130,科目余额表!B:M,11,0),K130)</f>
        <v>贷</v>
      </c>
    </row>
    <row r="131" spans="1:12">
      <c r="A131" s="123" t="s">
        <v>1076</v>
      </c>
      <c r="B131" s="113" t="s">
        <v>82</v>
      </c>
      <c r="C131" s="111"/>
      <c r="D131" s="117" t="s">
        <v>856</v>
      </c>
      <c r="E131" s="114">
        <f>IF(K131=L131,_xlfn.IFNA(VLOOKUP(I131,科目余额表!B:M,12,0),0),-_xlfn.IFNA(VLOOKUP(I131,科目余额表!B:M,12,0),0))</f>
        <v>0</v>
      </c>
      <c r="F131" s="1">
        <f>ROUND(SUMIF(本期ETY!D:D,B131,本期ETY!F:F),2)</f>
        <v>0</v>
      </c>
      <c r="G131" s="1">
        <f>ROUND(SUMIF(本期ETY!D:D,B131,本期ETY!G:G),2)</f>
        <v>0</v>
      </c>
      <c r="H131" s="115">
        <f t="shared" si="21"/>
        <v>0</v>
      </c>
      <c r="I131" s="1" t="s">
        <v>82</v>
      </c>
      <c r="K131" s="1" t="s">
        <v>865</v>
      </c>
      <c r="L131" s="1" t="str">
        <f>_xlfn.IFNA(VLOOKUP(I131,科目余额表!B:M,11,0),K131)</f>
        <v>贷</v>
      </c>
    </row>
    <row r="132" spans="1:12">
      <c r="A132" s="123" t="s">
        <v>1077</v>
      </c>
      <c r="B132" s="113" t="s">
        <v>1078</v>
      </c>
      <c r="C132" s="111"/>
      <c r="D132" s="111"/>
      <c r="E132" s="114">
        <f>IF(K132=L132,_xlfn.IFNA(VLOOKUP(I132,科目余额表!B:M,12,0),0),-_xlfn.IFNA(VLOOKUP(I132,科目余额表!B:M,12,0),0))</f>
        <v>0</v>
      </c>
      <c r="F132" s="1">
        <f>ROUND(SUMIF(本期ETY!D:D,B132,本期ETY!F:F),2)</f>
        <v>0</v>
      </c>
      <c r="G132" s="1">
        <f>ROUND(SUMIF(本期ETY!D:D,B132,本期ETY!G:G),2)</f>
        <v>0</v>
      </c>
      <c r="H132" s="115">
        <f t="shared" si="21"/>
        <v>0</v>
      </c>
      <c r="I132" s="1" t="s">
        <v>1078</v>
      </c>
      <c r="K132" s="1" t="s">
        <v>865</v>
      </c>
      <c r="L132" s="1" t="str">
        <f>_xlfn.IFNA(VLOOKUP(I132,科目余额表!B:M,11,0),K132)</f>
        <v>贷</v>
      </c>
    </row>
    <row r="133" spans="1:12">
      <c r="A133" s="123" t="s">
        <v>1079</v>
      </c>
      <c r="B133" s="113" t="s">
        <v>1080</v>
      </c>
      <c r="C133" s="111"/>
      <c r="D133" s="111"/>
      <c r="E133" s="114">
        <f>IF(K133=L133,_xlfn.IFNA(VLOOKUP(I133,科目余额表!B:M,12,0),0),-_xlfn.IFNA(VLOOKUP(I133,科目余额表!B:M,12,0),0))</f>
        <v>0</v>
      </c>
      <c r="F133" s="1">
        <f>ROUND(SUMIF(本期ETY!D:D,B133,本期ETY!F:F),2)</f>
        <v>0</v>
      </c>
      <c r="G133" s="1">
        <f>ROUND(SUMIF(本期ETY!D:D,B133,本期ETY!G:G),2)</f>
        <v>0</v>
      </c>
      <c r="H133" s="115">
        <f t="shared" si="21"/>
        <v>0</v>
      </c>
      <c r="I133" s="1" t="s">
        <v>1080</v>
      </c>
      <c r="K133" s="1" t="s">
        <v>865</v>
      </c>
      <c r="L133" s="1" t="str">
        <f>_xlfn.IFNA(VLOOKUP(I133,科目余额表!B:M,11,0),K133)</f>
        <v>贷</v>
      </c>
    </row>
    <row r="134" spans="1:12">
      <c r="A134" s="123" t="s">
        <v>1081</v>
      </c>
      <c r="B134" s="113" t="s">
        <v>1082</v>
      </c>
      <c r="C134" s="111"/>
      <c r="D134" s="111"/>
      <c r="E134" s="114">
        <f>IF(K134=L134,_xlfn.IFNA(VLOOKUP(I134,科目余额表!B:M,12,0),0),-_xlfn.IFNA(VLOOKUP(I134,科目余额表!B:M,12,0),0))</f>
        <v>0</v>
      </c>
      <c r="F134" s="1">
        <f>ROUND(SUMIF(本期ETY!D:D,B134,本期ETY!F:F),2)</f>
        <v>0</v>
      </c>
      <c r="G134" s="1">
        <f>ROUND(SUMIF(本期ETY!D:D,B134,本期ETY!G:G),2)</f>
        <v>0</v>
      </c>
      <c r="H134" s="115">
        <f t="shared" si="21"/>
        <v>0</v>
      </c>
      <c r="I134" s="1" t="s">
        <v>1082</v>
      </c>
      <c r="K134" s="1" t="s">
        <v>865</v>
      </c>
      <c r="L134" s="1" t="str">
        <f>_xlfn.IFNA(VLOOKUP(I134,科目余额表!B:M,11,0),K134)</f>
        <v>贷</v>
      </c>
    </row>
    <row r="135" spans="1:12">
      <c r="A135" s="122" t="s">
        <v>1083</v>
      </c>
      <c r="B135" s="113"/>
      <c r="C135" s="119"/>
      <c r="D135" s="119"/>
      <c r="E135" s="121">
        <f>E110+E111+E112+E113+E114+E115+E116+E117+E118+E119+E120+E121+E122+E123+E124+E125+E128+E129+E130+E131+E132+E133+E134+E126+E127</f>
        <v>2289947731.8699999</v>
      </c>
      <c r="F135" s="111">
        <f t="shared" ref="F135:G135" si="22">F110+F111+F112+F113+F114+F115+F116+F117+F118+F119+F120+F121+F122+F123+F124+F125+F128+F129+F130+F131+F132+F133+F134+F126+F127</f>
        <v>0</v>
      </c>
      <c r="G135" s="111">
        <f t="shared" si="22"/>
        <v>0</v>
      </c>
      <c r="H135" s="121">
        <f>H110+H111+H112+H113+H114+H115+H116+H117+H118+H119+H120+H121+H122+H123+H124+H125+H128+H129+H130+H131+H132+H133+H134+H126+H127</f>
        <v>2289947731.8699999</v>
      </c>
      <c r="L135" s="1">
        <f>_xlfn.IFNA(VLOOKUP(I135,科目余额表!B:M,11,0),K135)</f>
        <v>0</v>
      </c>
    </row>
    <row r="136" spans="1:12">
      <c r="A136" s="122" t="s">
        <v>1084</v>
      </c>
      <c r="B136" s="113"/>
      <c r="C136" s="111"/>
      <c r="D136" s="111"/>
      <c r="E136" s="111"/>
      <c r="L136" s="1">
        <f>_xlfn.IFNA(VLOOKUP(I136,科目余额表!B:M,11,0),K136)</f>
        <v>0</v>
      </c>
    </row>
    <row r="137" spans="1:12">
      <c r="A137" s="123" t="s">
        <v>1085</v>
      </c>
      <c r="B137" s="113" t="s">
        <v>1086</v>
      </c>
      <c r="C137" s="111"/>
      <c r="D137" s="111"/>
      <c r="E137" s="111"/>
      <c r="F137" s="1">
        <f>ROUND(SUMIF(本期ETY!D:D,B137,本期ETY!F:F),2)</f>
        <v>0</v>
      </c>
      <c r="G137" s="1">
        <f>ROUND(SUMIF(本期ETY!D:D,B137,本期ETY!G:G),2)</f>
        <v>0</v>
      </c>
      <c r="H137" s="115">
        <f t="shared" ref="H137:H151" si="23">ROUND(E137-F137+G137,2)</f>
        <v>0</v>
      </c>
      <c r="I137" s="1" t="s">
        <v>1086</v>
      </c>
      <c r="K137" s="1" t="s">
        <v>865</v>
      </c>
      <c r="L137" s="1" t="str">
        <f>_xlfn.IFNA(VLOOKUP(I137,科目余额表!B:M,11,0),K137)</f>
        <v>贷</v>
      </c>
    </row>
    <row r="138" spans="1:12">
      <c r="A138" s="123" t="s">
        <v>1087</v>
      </c>
      <c r="B138" s="113" t="s">
        <v>769</v>
      </c>
      <c r="C138" s="111"/>
      <c r="D138" s="111"/>
      <c r="E138" s="114">
        <f>IF(K138=L138,_xlfn.IFNA(VLOOKUP(I138,科目余额表!B:M,12,0),0),-_xlfn.IFNA(VLOOKUP(I138,科目余额表!B:M,12,0),0))</f>
        <v>0</v>
      </c>
      <c r="F138" s="1">
        <f>ROUND(SUMIF(本期ETY!D:D,B138,本期ETY!F:F),2)</f>
        <v>0</v>
      </c>
      <c r="G138" s="1">
        <f>ROUND(SUMIF(本期ETY!D:D,B138,本期ETY!G:G),2)</f>
        <v>0</v>
      </c>
      <c r="H138" s="115">
        <f t="shared" si="23"/>
        <v>0</v>
      </c>
      <c r="I138" s="1" t="s">
        <v>769</v>
      </c>
      <c r="K138" s="1" t="s">
        <v>865</v>
      </c>
      <c r="L138" s="1" t="str">
        <f>_xlfn.IFNA(VLOOKUP(I138,科目余额表!B:M,11,0),K138)</f>
        <v>平</v>
      </c>
    </row>
    <row r="139" spans="1:12">
      <c r="A139" s="123" t="s">
        <v>1088</v>
      </c>
      <c r="B139" s="113" t="s">
        <v>789</v>
      </c>
      <c r="C139" s="111"/>
      <c r="D139" s="111"/>
      <c r="E139" s="114">
        <f>IF(K139=L139,_xlfn.IFNA(VLOOKUP(I139,科目余额表!B:M,12,0),0),-_xlfn.IFNA(VLOOKUP(I139,科目余额表!B:M,12,0),0))</f>
        <v>3483543400</v>
      </c>
      <c r="F139" s="1">
        <f>ROUND(SUMIF(本期ETY!D:D,B139,本期ETY!F:F),2)</f>
        <v>0</v>
      </c>
      <c r="G139" s="1">
        <f>ROUND(SUMIF(本期ETY!D:D,B139,本期ETY!G:G),2)</f>
        <v>0</v>
      </c>
      <c r="H139" s="115">
        <f t="shared" si="23"/>
        <v>3483543400</v>
      </c>
      <c r="I139" s="1" t="s">
        <v>789</v>
      </c>
      <c r="K139" s="1" t="s">
        <v>865</v>
      </c>
      <c r="L139" s="1" t="str">
        <f>_xlfn.IFNA(VLOOKUP(I139,科目余额表!B:M,11,0),K139)</f>
        <v>贷</v>
      </c>
    </row>
    <row r="140" spans="1:12">
      <c r="A140" s="123" t="s">
        <v>1089</v>
      </c>
      <c r="B140" s="113" t="s">
        <v>1090</v>
      </c>
      <c r="C140" s="111"/>
      <c r="D140" s="111"/>
      <c r="E140" s="111"/>
      <c r="F140" s="1">
        <f>ROUND(SUMIF(本期ETY!D:D,B140,本期ETY!F:F),2)</f>
        <v>0</v>
      </c>
      <c r="G140" s="1">
        <f>ROUND(SUMIF(本期ETY!D:D,B140,本期ETY!G:G),2)</f>
        <v>0</v>
      </c>
      <c r="H140" s="115">
        <f t="shared" si="23"/>
        <v>0</v>
      </c>
      <c r="I140" s="1" t="s">
        <v>1091</v>
      </c>
      <c r="K140" s="1" t="s">
        <v>865</v>
      </c>
      <c r="L140" s="1" t="str">
        <f>_xlfn.IFNA(VLOOKUP(I140,科目余额表!B:M,11,0),K140)</f>
        <v>贷</v>
      </c>
    </row>
    <row r="141" spans="1:12">
      <c r="A141" s="124" t="s">
        <v>1092</v>
      </c>
      <c r="B141" s="113" t="s">
        <v>1093</v>
      </c>
      <c r="C141" s="111"/>
      <c r="D141" s="111"/>
      <c r="E141" s="111"/>
      <c r="F141" s="1">
        <f>ROUND(SUMIF(本期ETY!D:D,B141,本期ETY!F:F),2)</f>
        <v>0</v>
      </c>
      <c r="G141" s="1">
        <f>ROUND(SUMIF(本期ETY!D:D,B141,本期ETY!G:G),2)</f>
        <v>0</v>
      </c>
      <c r="H141" s="115">
        <f t="shared" si="23"/>
        <v>0</v>
      </c>
      <c r="I141" s="1" t="s">
        <v>1093</v>
      </c>
      <c r="K141" s="1" t="s">
        <v>865</v>
      </c>
      <c r="L141" s="1" t="str">
        <f>_xlfn.IFNA(VLOOKUP(I141,科目余额表!B:M,11,0),K141)</f>
        <v>贷</v>
      </c>
    </row>
    <row r="142" spans="1:12">
      <c r="A142" s="124" t="s">
        <v>1094</v>
      </c>
      <c r="B142" s="113" t="s">
        <v>92</v>
      </c>
      <c r="C142" s="111"/>
      <c r="D142" s="117" t="s">
        <v>856</v>
      </c>
      <c r="E142" s="111"/>
      <c r="F142" s="1">
        <f>ROUND(SUMIF(本期ETY!D:D,B142,本期ETY!F:F),2)</f>
        <v>0</v>
      </c>
      <c r="G142" s="1">
        <f>ROUND(SUMIF(本期ETY!D:D,B142,本期ETY!G:G),2)</f>
        <v>0</v>
      </c>
      <c r="H142" s="115">
        <f t="shared" si="23"/>
        <v>0</v>
      </c>
      <c r="I142" s="1" t="s">
        <v>92</v>
      </c>
      <c r="K142" s="1" t="s">
        <v>865</v>
      </c>
      <c r="L142" s="1" t="str">
        <f>_xlfn.IFNA(VLOOKUP(I142,科目余额表!B:M,11,0),K142)</f>
        <v>贷</v>
      </c>
    </row>
    <row r="143" spans="1:12">
      <c r="A143" s="124" t="s">
        <v>1095</v>
      </c>
      <c r="B143" s="113" t="s">
        <v>1096</v>
      </c>
      <c r="C143" s="111"/>
      <c r="D143" s="117"/>
      <c r="E143" s="114">
        <f>IF(K143=L143,_xlfn.IFNA(VLOOKUP(I143,科目余额表!B:M,12,0),0),-_xlfn.IFNA(VLOOKUP(I143,科目余额表!B:M,12,0),0))</f>
        <v>515290000</v>
      </c>
      <c r="F143" s="1">
        <f>ROUND(SUMIF(本期ETY!D:D,B143,本期ETY!F:F),2)</f>
        <v>0</v>
      </c>
      <c r="G143" s="1">
        <f>ROUND(SUMIF(本期ETY!D:D,B143,本期ETY!G:G),2)</f>
        <v>0</v>
      </c>
      <c r="H143" s="115">
        <f t="shared" si="23"/>
        <v>515290000</v>
      </c>
      <c r="I143" s="1" t="s">
        <v>1096</v>
      </c>
      <c r="K143" s="1" t="s">
        <v>865</v>
      </c>
      <c r="L143" s="1" t="str">
        <f>_xlfn.IFNA(VLOOKUP(I143,科目余额表!B:M,11,0),K143)</f>
        <v>贷</v>
      </c>
    </row>
    <row r="144" spans="1:12">
      <c r="A144" s="124" t="s">
        <v>1097</v>
      </c>
      <c r="B144" s="113" t="s">
        <v>1098</v>
      </c>
      <c r="C144" s="111"/>
      <c r="D144" s="117"/>
      <c r="E144" s="114">
        <f>IF(K144=L144,_xlfn.IFNA(VLOOKUP(I144,科目余额表!B:M,12,0),0),-_xlfn.IFNA(VLOOKUP(I144,科目余额表!B:M,12,0),0))</f>
        <v>2347752966.29</v>
      </c>
      <c r="F144" s="1">
        <f>ROUND(SUMIF(本期ETY!D:D,B144,本期ETY!F:F),2)</f>
        <v>0</v>
      </c>
      <c r="G144" s="1">
        <f>ROUND(SUMIF(本期ETY!D:D,B144,本期ETY!G:G),2)</f>
        <v>0</v>
      </c>
      <c r="H144" s="115">
        <f t="shared" si="23"/>
        <v>2347752966.29</v>
      </c>
      <c r="I144" s="1" t="s">
        <v>94</v>
      </c>
      <c r="K144" s="1" t="s">
        <v>865</v>
      </c>
      <c r="L144" s="1" t="str">
        <f>_xlfn.IFNA(VLOOKUP(I144,科目余额表!B:M,11,0),K144)</f>
        <v>贷</v>
      </c>
    </row>
    <row r="145" spans="1:12">
      <c r="A145" s="124" t="s">
        <v>1099</v>
      </c>
      <c r="B145" s="113" t="s">
        <v>1100</v>
      </c>
      <c r="C145" s="111"/>
      <c r="D145" s="117"/>
      <c r="E145" s="114">
        <f>IF(K145=L145,_xlfn.IFNA(VLOOKUP(I145,科目余额表!B:M,12,0),0),-_xlfn.IFNA(VLOOKUP(I145,科目余额表!B:M,12,0),0))</f>
        <v>0</v>
      </c>
      <c r="F145" s="1">
        <f>ROUND(SUMIF(本期ETY!D:D,B145,本期ETY!F:F),2)</f>
        <v>0</v>
      </c>
      <c r="G145" s="1">
        <f>ROUND(SUMIF(本期ETY!D:D,B145,本期ETY!G:G),2)</f>
        <v>0</v>
      </c>
      <c r="H145" s="115">
        <f t="shared" ref="H145" si="24">ROUND(E145+F145-G145,2)</f>
        <v>0</v>
      </c>
      <c r="I145" s="1" t="s">
        <v>1101</v>
      </c>
      <c r="K145" s="1" t="s">
        <v>1102</v>
      </c>
      <c r="L145" s="1" t="s">
        <v>1102</v>
      </c>
    </row>
    <row r="146" spans="1:12">
      <c r="A146" s="123" t="s">
        <v>1103</v>
      </c>
      <c r="B146" s="113"/>
      <c r="C146" s="111"/>
      <c r="D146" s="111"/>
      <c r="E146" s="114">
        <f>E144-E145</f>
        <v>2347752966.29</v>
      </c>
      <c r="F146" s="1"/>
      <c r="G146" s="1"/>
      <c r="H146" s="115">
        <f>H144-H145</f>
        <v>2347752966.29</v>
      </c>
    </row>
    <row r="147" spans="1:12">
      <c r="A147" s="123" t="s">
        <v>1104</v>
      </c>
      <c r="B147" s="113" t="s">
        <v>1105</v>
      </c>
      <c r="C147" s="111"/>
      <c r="D147" s="111"/>
      <c r="E147" s="114">
        <f>IF(K147=L147,_xlfn.IFNA(VLOOKUP(I147,科目余额表!B:M,12,0),0),-_xlfn.IFNA(VLOOKUP(I147,科目余额表!B:M,12,0),0))</f>
        <v>0</v>
      </c>
      <c r="F147" s="1">
        <f>ROUND(SUMIF(本期ETY!D:D,B147,本期ETY!F:F),2)</f>
        <v>0</v>
      </c>
      <c r="G147" s="1">
        <f>ROUND(SUMIF(本期ETY!D:D,B147,本期ETY!G:G),2)</f>
        <v>0</v>
      </c>
      <c r="H147" s="115">
        <f t="shared" si="23"/>
        <v>0</v>
      </c>
      <c r="I147" s="1" t="s">
        <v>1105</v>
      </c>
      <c r="K147" s="1" t="s">
        <v>865</v>
      </c>
      <c r="L147" s="1" t="str">
        <f>_xlfn.IFNA(VLOOKUP(I147,科目余额表!B:M,11,0),K147)</f>
        <v>贷</v>
      </c>
    </row>
    <row r="148" spans="1:12">
      <c r="A148" s="123" t="s">
        <v>1106</v>
      </c>
      <c r="B148" s="113" t="s">
        <v>1107</v>
      </c>
      <c r="C148" s="111"/>
      <c r="D148" s="111"/>
      <c r="E148" s="114">
        <f>IF(K148=L148,_xlfn.IFNA(VLOOKUP(I148,科目余额表!B:M,12,0),0),-_xlfn.IFNA(VLOOKUP(I148,科目余额表!B:M,12,0),0))</f>
        <v>0</v>
      </c>
      <c r="F148" s="1">
        <f>ROUND(SUMIF(本期ETY!D:D,B148,本期ETY!F:F),2)</f>
        <v>0</v>
      </c>
      <c r="G148" s="1">
        <f>ROUND(SUMIF(本期ETY!D:D,B148,本期ETY!G:G),2)</f>
        <v>0</v>
      </c>
      <c r="H148" s="115">
        <f t="shared" si="23"/>
        <v>0</v>
      </c>
      <c r="I148" s="1" t="s">
        <v>1107</v>
      </c>
      <c r="K148" s="1" t="s">
        <v>865</v>
      </c>
      <c r="L148" s="1" t="str">
        <f>_xlfn.IFNA(VLOOKUP(I148,科目余额表!B:M,11,0),K148)</f>
        <v>贷</v>
      </c>
    </row>
    <row r="149" spans="1:12">
      <c r="A149" s="123" t="s">
        <v>1108</v>
      </c>
      <c r="B149" s="113" t="s">
        <v>788</v>
      </c>
      <c r="C149" s="111"/>
      <c r="D149" s="111"/>
      <c r="E149" s="114">
        <f>IF(K149=L149,_xlfn.IFNA(VLOOKUP(I149,科目余额表!B:M,12,0),0),-_xlfn.IFNA(VLOOKUP(I149,科目余额表!B:M,12,0),0))</f>
        <v>55530257.920000002</v>
      </c>
      <c r="F149" s="1">
        <f>ROUND(SUMIF(本期ETY!D:D,B149,本期ETY!F:F),2)</f>
        <v>0</v>
      </c>
      <c r="G149" s="1">
        <f>ROUND(SUMIF(本期ETY!D:D,B149,本期ETY!G:G),2)</f>
        <v>0</v>
      </c>
      <c r="H149" s="115">
        <f t="shared" si="23"/>
        <v>55530257.920000002</v>
      </c>
      <c r="I149" s="1" t="s">
        <v>788</v>
      </c>
      <c r="K149" s="1" t="s">
        <v>865</v>
      </c>
      <c r="L149" s="1" t="str">
        <f>_xlfn.IFNA(VLOOKUP(I149,科目余额表!B:M,11,0),K149)</f>
        <v>贷</v>
      </c>
    </row>
    <row r="150" spans="1:12">
      <c r="A150" s="123" t="s">
        <v>1109</v>
      </c>
      <c r="B150" s="113" t="s">
        <v>790</v>
      </c>
      <c r="C150" s="111"/>
      <c r="D150" s="111"/>
      <c r="E150" s="114">
        <f>IF(K150=L150,_xlfn.IFNA(VLOOKUP(I150,科目余额表!B:M,12,0),0),-_xlfn.IFNA(VLOOKUP(I150,科目余额表!B:M,12,0),0))</f>
        <v>22684266.809999999</v>
      </c>
      <c r="F150" s="1">
        <f>ROUND(SUMIF(本期ETY!D:D,B150,本期ETY!F:F),2)</f>
        <v>0</v>
      </c>
      <c r="G150" s="1">
        <f>ROUND(SUMIF(本期ETY!D:D,B150,本期ETY!G:G),2)</f>
        <v>0</v>
      </c>
      <c r="H150" s="115">
        <f t="shared" si="23"/>
        <v>22684266.809999999</v>
      </c>
      <c r="I150" s="1" t="s">
        <v>790</v>
      </c>
      <c r="K150" s="1" t="s">
        <v>865</v>
      </c>
      <c r="L150" s="1" t="str">
        <f>_xlfn.IFNA(VLOOKUP(I150,科目余额表!B:M,11,0),K150)</f>
        <v>贷</v>
      </c>
    </row>
    <row r="151" spans="1:12">
      <c r="A151" s="123" t="s">
        <v>1110</v>
      </c>
      <c r="B151" s="113" t="s">
        <v>84</v>
      </c>
      <c r="C151" s="111"/>
      <c r="D151" s="111"/>
      <c r="E151" s="114">
        <f>IF(K151=L151,_xlfn.IFNA(VLOOKUP(I151,科目余额表!B:M,12,0),0),-_xlfn.IFNA(VLOOKUP(I151,科目余额表!B:M,12,0),0))</f>
        <v>0</v>
      </c>
      <c r="F151" s="1">
        <f>ROUND(SUMIF(本期ETY!D:D,B151,本期ETY!F:F),2)</f>
        <v>0</v>
      </c>
      <c r="G151" s="1">
        <f>ROUND(SUMIF(本期ETY!D:D,B151,本期ETY!G:G),2)</f>
        <v>0</v>
      </c>
      <c r="H151" s="115">
        <f t="shared" si="23"/>
        <v>0</v>
      </c>
      <c r="I151" s="1" t="s">
        <v>84</v>
      </c>
      <c r="K151" s="1" t="s">
        <v>865</v>
      </c>
      <c r="L151" s="1" t="str">
        <f>_xlfn.IFNA(VLOOKUP(I151,科目余额表!B:M,11,0),K151)</f>
        <v>贷</v>
      </c>
    </row>
    <row r="152" spans="1:12">
      <c r="A152" s="122" t="s">
        <v>1111</v>
      </c>
      <c r="B152" s="113"/>
      <c r="C152" s="119"/>
      <c r="D152" s="119"/>
      <c r="E152" s="121">
        <f>E137+E138+E139+E142+E143+E146+E147+E148+E149+E150+E151</f>
        <v>6424800891.0200005</v>
      </c>
      <c r="F152" s="111">
        <f t="shared" ref="F152:G152" si="25">F137+F138+F139+F142+F146+F147+F148+F149+F150+F151</f>
        <v>0</v>
      </c>
      <c r="G152" s="111">
        <f t="shared" si="25"/>
        <v>0</v>
      </c>
      <c r="H152" s="121">
        <f>H137+H138+H139+H142+H143+H146+H147+H148+H149+H150+H151</f>
        <v>6424800891.0200005</v>
      </c>
      <c r="L152" s="1">
        <f>_xlfn.IFNA(VLOOKUP(I152,科目余额表!B:M,11,0),K152)</f>
        <v>0</v>
      </c>
    </row>
    <row r="153" spans="1:12">
      <c r="A153" s="122" t="s">
        <v>1112</v>
      </c>
      <c r="B153" s="113"/>
      <c r="C153" s="111"/>
      <c r="D153" s="111"/>
      <c r="E153" s="121">
        <f>E152+E135</f>
        <v>8714748622.8899994</v>
      </c>
      <c r="F153" s="111">
        <f t="shared" ref="F153:H153" si="26">F152+F135</f>
        <v>0</v>
      </c>
      <c r="G153" s="111">
        <f t="shared" si="26"/>
        <v>0</v>
      </c>
      <c r="H153" s="121">
        <f t="shared" si="26"/>
        <v>8714748622.8899994</v>
      </c>
      <c r="L153" s="1">
        <f>_xlfn.IFNA(VLOOKUP(I153,科目余额表!B:M,11,0),K153)</f>
        <v>0</v>
      </c>
    </row>
    <row r="154" spans="1:12">
      <c r="A154" s="125" t="s">
        <v>1113</v>
      </c>
      <c r="B154" s="113"/>
      <c r="C154" s="111"/>
      <c r="D154" s="111"/>
      <c r="E154" s="111"/>
      <c r="L154" s="1">
        <f>_xlfn.IFNA(VLOOKUP(I154,科目余额表!B:M,11,0),K154)</f>
        <v>0</v>
      </c>
    </row>
    <row r="155" spans="1:12">
      <c r="A155" s="123" t="s">
        <v>1114</v>
      </c>
      <c r="B155" s="113" t="s">
        <v>1115</v>
      </c>
      <c r="C155" s="111"/>
      <c r="D155" s="111"/>
      <c r="E155" s="114">
        <f>IF(K155=L155,_xlfn.IFNA(VLOOKUP(I155,科目余额表!B:M,12,0),0),-_xlfn.IFNA(VLOOKUP(I155,科目余额表!B:M,12,0),0))</f>
        <v>3020000000</v>
      </c>
      <c r="F155" s="1">
        <f>ROUND(SUMIF(本期ETY!D:D,B155,本期ETY!F:F),2)</f>
        <v>0</v>
      </c>
      <c r="G155" s="1">
        <f>ROUND(SUMIF(本期ETY!D:D,B155,本期ETY!G:G),2)</f>
        <v>0</v>
      </c>
      <c r="H155" s="115">
        <f t="shared" ref="H155:H164" si="27">ROUND(E155-F155+G155,2)</f>
        <v>3020000000</v>
      </c>
      <c r="I155" s="1" t="s">
        <v>791</v>
      </c>
      <c r="K155" s="1" t="s">
        <v>865</v>
      </c>
      <c r="L155" s="1" t="str">
        <f>_xlfn.IFNA(VLOOKUP(I155,科目余额表!B:M,11,0),K155)</f>
        <v>贷</v>
      </c>
    </row>
    <row r="156" spans="1:12">
      <c r="A156" s="123" t="s">
        <v>1116</v>
      </c>
      <c r="B156" s="113" t="s">
        <v>1117</v>
      </c>
      <c r="C156" s="111"/>
      <c r="D156" s="111"/>
      <c r="E156" s="111"/>
      <c r="F156" s="1">
        <f>ROUND(SUMIF(本期ETY!D:D,B156,本期ETY!F:F),2)</f>
        <v>0</v>
      </c>
      <c r="G156" s="1">
        <f>ROUND(SUMIF(本期ETY!D:D,B156,本期ETY!G:G),2)</f>
        <v>0</v>
      </c>
      <c r="H156" s="115">
        <f t="shared" si="27"/>
        <v>0</v>
      </c>
      <c r="I156" s="1" t="s">
        <v>1117</v>
      </c>
      <c r="K156" s="1" t="s">
        <v>865</v>
      </c>
      <c r="L156" s="1" t="str">
        <f>_xlfn.IFNA(VLOOKUP(I156,科目余额表!B:M,11,0),K156)</f>
        <v>贷</v>
      </c>
    </row>
    <row r="157" spans="1:12">
      <c r="A157" s="123" t="s">
        <v>1118</v>
      </c>
      <c r="B157" s="113"/>
      <c r="C157" s="111"/>
      <c r="D157" s="111"/>
      <c r="E157" s="111"/>
      <c r="F157" s="1">
        <f>ROUND(SUMIF(本期ETY!D:D,B157,本期ETY!F:F),2)</f>
        <v>0</v>
      </c>
      <c r="G157" s="1">
        <f>ROUND(SUMIF(本期ETY!D:D,B157,本期ETY!G:G),2)</f>
        <v>0</v>
      </c>
      <c r="H157" s="115">
        <f t="shared" si="27"/>
        <v>0</v>
      </c>
      <c r="L157" s="1">
        <f>_xlfn.IFNA(VLOOKUP(I157,科目余额表!B:M,11,0),K157)</f>
        <v>0</v>
      </c>
    </row>
    <row r="158" spans="1:12">
      <c r="A158" s="123" t="s">
        <v>1119</v>
      </c>
      <c r="B158" s="113"/>
      <c r="C158" s="111"/>
      <c r="D158" s="111"/>
      <c r="E158" s="111"/>
      <c r="F158" s="1">
        <f>ROUND(SUMIF(本期ETY!D:D,B158,本期ETY!F:F),2)</f>
        <v>0</v>
      </c>
      <c r="G158" s="1">
        <f>ROUND(SUMIF(本期ETY!D:D,B158,本期ETY!G:G),2)</f>
        <v>0</v>
      </c>
      <c r="H158" s="115">
        <f t="shared" si="27"/>
        <v>0</v>
      </c>
      <c r="L158" s="1">
        <f>_xlfn.IFNA(VLOOKUP(I158,科目余额表!B:M,11,0),K158)</f>
        <v>0</v>
      </c>
    </row>
    <row r="159" spans="1:12">
      <c r="A159" s="123" t="s">
        <v>1120</v>
      </c>
      <c r="B159" s="113" t="s">
        <v>792</v>
      </c>
      <c r="C159" s="111"/>
      <c r="D159" s="111"/>
      <c r="E159" s="114">
        <f>IF(K159=L159,_xlfn.IFNA(VLOOKUP(I159,科目余额表!B:M,12,0),0),-_xlfn.IFNA(VLOOKUP(I159,科目余额表!B:M,12,0),0))</f>
        <v>3841836934.0599999</v>
      </c>
      <c r="F159" s="1">
        <f>ROUND(SUMIF(本期ETY!D:D,B159,本期ETY!F:F),2)</f>
        <v>0</v>
      </c>
      <c r="G159" s="1">
        <f>ROUND(SUMIF(本期ETY!D:D,B159,本期ETY!G:G),2)</f>
        <v>0</v>
      </c>
      <c r="H159" s="115">
        <f t="shared" si="27"/>
        <v>3841836934.0599999</v>
      </c>
      <c r="I159" s="1" t="s">
        <v>792</v>
      </c>
      <c r="K159" s="1" t="s">
        <v>865</v>
      </c>
      <c r="L159" s="1" t="str">
        <f>_xlfn.IFNA(VLOOKUP(I159,科目余额表!B:M,11,0),K159)</f>
        <v>贷</v>
      </c>
    </row>
    <row r="160" spans="1:12">
      <c r="A160" s="123" t="s">
        <v>1121</v>
      </c>
      <c r="B160" s="113" t="s">
        <v>1122</v>
      </c>
      <c r="C160" s="111"/>
      <c r="D160" s="111"/>
      <c r="E160" s="111"/>
      <c r="F160" s="1">
        <f>ROUND(SUMIF(本期ETY!D:D,B160,本期ETY!F:F),2)</f>
        <v>0</v>
      </c>
      <c r="G160" s="1">
        <f>ROUND(SUMIF(本期ETY!D:D,B160,本期ETY!G:G),2)</f>
        <v>0</v>
      </c>
      <c r="H160" s="115">
        <f t="shared" si="27"/>
        <v>0</v>
      </c>
      <c r="I160" s="1" t="s">
        <v>1123</v>
      </c>
      <c r="K160" s="1" t="s">
        <v>865</v>
      </c>
      <c r="L160" s="1" t="str">
        <f>_xlfn.IFNA(VLOOKUP(I160,科目余额表!B:M,11,0),K160)</f>
        <v>贷</v>
      </c>
    </row>
    <row r="161" spans="1:12">
      <c r="A161" s="123" t="s">
        <v>1124</v>
      </c>
      <c r="B161" s="113" t="s">
        <v>793</v>
      </c>
      <c r="C161" s="111"/>
      <c r="D161" s="111"/>
      <c r="E161" s="114">
        <f>IF(K161=L161,_xlfn.IFNA(VLOOKUP(I161,科目余额表!B:M,12,0),0),-_xlfn.IFNA(VLOOKUP(I161,科目余额表!B:M,12,0),0))</f>
        <v>68129543.510000005</v>
      </c>
      <c r="F161" s="1">
        <f>ROUND(SUMIF(本期ETY!D:D,B161,本期ETY!F:F),2)</f>
        <v>0</v>
      </c>
      <c r="G161" s="1">
        <f>ROUND(SUMIF(本期ETY!D:D,B161,本期ETY!G:G),2)</f>
        <v>0</v>
      </c>
      <c r="H161" s="115">
        <f t="shared" si="27"/>
        <v>68129543.510000005</v>
      </c>
      <c r="I161" s="1" t="s">
        <v>793</v>
      </c>
      <c r="K161" s="1" t="s">
        <v>865</v>
      </c>
      <c r="L161" s="1" t="str">
        <f>_xlfn.IFNA(VLOOKUP(I161,科目余额表!B:M,11,0),K161)</f>
        <v>贷</v>
      </c>
    </row>
    <row r="162" spans="1:12">
      <c r="A162" s="123" t="s">
        <v>1125</v>
      </c>
      <c r="B162" s="113" t="s">
        <v>1126</v>
      </c>
      <c r="C162" s="111"/>
      <c r="D162" s="111"/>
      <c r="E162" s="111"/>
      <c r="F162" s="1">
        <f>ROUND(SUMIF(本期ETY!D:D,B162,本期ETY!F:F),2)</f>
        <v>0</v>
      </c>
      <c r="G162" s="1">
        <f>ROUND(SUMIF(本期ETY!D:D,B162,本期ETY!G:G),2)</f>
        <v>0</v>
      </c>
      <c r="H162" s="115">
        <f t="shared" si="27"/>
        <v>0</v>
      </c>
      <c r="I162" s="1" t="s">
        <v>1126</v>
      </c>
      <c r="K162" s="1" t="s">
        <v>865</v>
      </c>
      <c r="L162" s="1" t="str">
        <f>_xlfn.IFNA(VLOOKUP(I162,科目余额表!B:M,11,0),K162)</f>
        <v>贷</v>
      </c>
    </row>
    <row r="163" spans="1:12">
      <c r="A163" s="123" t="s">
        <v>1127</v>
      </c>
      <c r="B163" s="113" t="s">
        <v>70</v>
      </c>
      <c r="C163" s="111"/>
      <c r="D163" s="111"/>
      <c r="E163" s="114">
        <f>IF(K163=L163,_xlfn.IFNA(VLOOKUP(I163,科目余额表!B:M,12,0),0),-_xlfn.IFNA(VLOOKUP(I163,科目余额表!B:M,12,0),0))</f>
        <v>155546840.28999999</v>
      </c>
      <c r="F163" s="1">
        <f>ROUND(SUMIF(本期ETY!D:D,B163,本期ETY!F:F),2)</f>
        <v>0</v>
      </c>
      <c r="G163" s="1">
        <f>ROUND(SUMIF(本期ETY!D:D,B163,本期ETY!G:G),2)</f>
        <v>0</v>
      </c>
      <c r="H163" s="115">
        <f t="shared" si="27"/>
        <v>155546840.28999999</v>
      </c>
      <c r="I163" s="1" t="s">
        <v>70</v>
      </c>
      <c r="K163" s="1" t="s">
        <v>865</v>
      </c>
      <c r="L163" s="1" t="str">
        <f>_xlfn.IFNA(VLOOKUP(I163,科目余额表!B:M,11,0),K163)</f>
        <v>贷</v>
      </c>
    </row>
    <row r="164" spans="1:12">
      <c r="A164" s="123" t="s">
        <v>1128</v>
      </c>
      <c r="B164" s="113" t="s">
        <v>1129</v>
      </c>
      <c r="C164" s="111"/>
      <c r="D164" s="111"/>
      <c r="E164" s="111"/>
      <c r="F164" s="1">
        <f>ROUND(SUMIF(本期ETY!D:D,B164,本期ETY!F:F),2)</f>
        <v>0</v>
      </c>
      <c r="G164" s="1">
        <f>ROUND(SUMIF(本期ETY!D:D,B164,本期ETY!G:G),2)</f>
        <v>0</v>
      </c>
      <c r="H164" s="115">
        <f t="shared" si="27"/>
        <v>0</v>
      </c>
      <c r="I164" s="1" t="s">
        <v>1129</v>
      </c>
      <c r="K164" s="1" t="s">
        <v>865</v>
      </c>
      <c r="L164" s="1" t="str">
        <f>_xlfn.IFNA(VLOOKUP(I164,科目余额表!B:M,11,0),K164)</f>
        <v>贷</v>
      </c>
    </row>
    <row r="165" spans="1:12">
      <c r="A165" s="123" t="s">
        <v>1130</v>
      </c>
      <c r="B165" s="113" t="s">
        <v>72</v>
      </c>
      <c r="C165" s="111"/>
      <c r="D165" s="111"/>
      <c r="E165" s="111">
        <f>E255</f>
        <v>1083802662.6900003</v>
      </c>
      <c r="F165" s="1">
        <f>ROUND(SUMIF(本期ETY!D:D,B165,本期ETY!F:F),2)</f>
        <v>0</v>
      </c>
      <c r="G165" s="1">
        <f>ROUND(SUMIF(本期ETY!D:D,B165,本期ETY!G:G),2)</f>
        <v>0</v>
      </c>
      <c r="H165" s="115">
        <f>H255</f>
        <v>1083802662.6899998</v>
      </c>
      <c r="I165" s="1" t="s">
        <v>72</v>
      </c>
      <c r="K165" s="1" t="s">
        <v>865</v>
      </c>
      <c r="L165" s="1" t="str">
        <f>_xlfn.IFNA(VLOOKUP(I165,科目余额表!B:M,11,0),K165)</f>
        <v>贷</v>
      </c>
    </row>
    <row r="166" spans="1:12">
      <c r="A166" s="123" t="s">
        <v>1131</v>
      </c>
      <c r="B166" s="113"/>
      <c r="C166" s="118"/>
      <c r="D166" s="118"/>
      <c r="E166" s="118">
        <f t="shared" ref="E166:H166" si="28">IF((SUM(E155:E159,E161:E165)-E160-E157-E158)&lt;&gt;0,(SUM(E155:E159,E161:E165)-E160-E157-E158),"")</f>
        <v>8169315980.5500002</v>
      </c>
      <c r="F166" s="118" t="str">
        <f t="shared" si="28"/>
        <v/>
      </c>
      <c r="G166" s="118" t="str">
        <f t="shared" si="28"/>
        <v/>
      </c>
      <c r="H166" s="118">
        <f t="shared" si="28"/>
        <v>8169315980.5499992</v>
      </c>
      <c r="L166" s="1">
        <f>_xlfn.IFNA(VLOOKUP(I166,科目余额表!B:M,11,0),K166)</f>
        <v>0</v>
      </c>
    </row>
    <row r="167" spans="1:12">
      <c r="A167" s="123" t="s">
        <v>1132</v>
      </c>
      <c r="B167" s="113" t="s">
        <v>1133</v>
      </c>
      <c r="C167" s="111"/>
      <c r="D167" s="111"/>
      <c r="E167" s="111"/>
      <c r="F167" s="1">
        <f>ROUND(SUMIF(本期ETY!D:D,B167,本期ETY!F:F),2)</f>
        <v>0</v>
      </c>
      <c r="G167" s="1">
        <f>ROUND(SUMIF(本期ETY!D:D,B167,本期ETY!G:G),2)</f>
        <v>0</v>
      </c>
      <c r="H167" s="115">
        <f t="shared" ref="H167" si="29">ROUND(E167-F167+G167,2)</f>
        <v>0</v>
      </c>
      <c r="I167" s="1" t="s">
        <v>1133</v>
      </c>
      <c r="K167" s="1" t="s">
        <v>865</v>
      </c>
      <c r="L167" s="1" t="str">
        <f>_xlfn.IFNA(VLOOKUP(I167,科目余额表!B:M,11,0),K167)</f>
        <v>贷</v>
      </c>
    </row>
    <row r="168" spans="1:12">
      <c r="A168" s="126" t="s">
        <v>1134</v>
      </c>
      <c r="B168" s="113"/>
      <c r="C168" s="119"/>
      <c r="D168" s="119"/>
      <c r="E168" s="119">
        <f t="shared" ref="E168" si="30">SUM(E166:E167)</f>
        <v>8169315980.5500002</v>
      </c>
      <c r="F168" s="119">
        <f t="shared" ref="F168:H168" si="31">SUM(F166:F167)</f>
        <v>0</v>
      </c>
      <c r="G168" s="119">
        <f t="shared" si="31"/>
        <v>0</v>
      </c>
      <c r="H168" s="119">
        <f t="shared" si="31"/>
        <v>8169315980.5499992</v>
      </c>
    </row>
    <row r="169" spans="1:12">
      <c r="A169" s="126" t="s">
        <v>1135</v>
      </c>
      <c r="B169" s="113"/>
      <c r="C169" s="119"/>
      <c r="D169" s="119"/>
      <c r="E169" s="119">
        <f t="shared" ref="E169:H169" si="32">SUM(E153,E168)</f>
        <v>16884064603.439999</v>
      </c>
      <c r="F169" s="119">
        <f t="shared" si="32"/>
        <v>0</v>
      </c>
      <c r="G169" s="119">
        <f t="shared" si="32"/>
        <v>0</v>
      </c>
      <c r="H169" s="119">
        <f t="shared" si="32"/>
        <v>16884064603.439999</v>
      </c>
    </row>
    <row r="170" spans="1:12">
      <c r="A170" s="125" t="s">
        <v>1136</v>
      </c>
      <c r="B170" s="113"/>
      <c r="C170" s="2"/>
      <c r="D170" s="2"/>
      <c r="E170" s="127">
        <f>SUM(E171:E176)-E172-E173</f>
        <v>1557301756.5500002</v>
      </c>
      <c r="F170" s="127">
        <f t="shared" ref="F170:H170" si="33">SUM(F171:F176)-F172-F173</f>
        <v>0</v>
      </c>
      <c r="G170" s="127">
        <f t="shared" si="33"/>
        <v>0</v>
      </c>
      <c r="H170" s="127">
        <f t="shared" si="33"/>
        <v>1557301756.5499997</v>
      </c>
    </row>
    <row r="171" spans="1:12">
      <c r="A171" s="124" t="s">
        <v>1137</v>
      </c>
      <c r="B171" s="113" t="s">
        <v>86</v>
      </c>
      <c r="C171" s="2"/>
      <c r="D171" s="2"/>
      <c r="E171" s="111">
        <f>SUM(E172:E173)</f>
        <v>1557301756.5500002</v>
      </c>
      <c r="F171" s="111">
        <f t="shared" ref="F171:G171" si="34">SUM(F172:F173)</f>
        <v>0</v>
      </c>
      <c r="G171" s="111">
        <f t="shared" si="34"/>
        <v>0</v>
      </c>
      <c r="H171" s="115">
        <f t="shared" ref="H171:H176" si="35">ROUND(E171-F171+G171,2)</f>
        <v>1557301756.55</v>
      </c>
      <c r="I171" s="1" t="s">
        <v>1138</v>
      </c>
    </row>
    <row r="172" spans="1:12">
      <c r="A172" s="124" t="s">
        <v>1139</v>
      </c>
      <c r="B172" s="113" t="s">
        <v>1140</v>
      </c>
      <c r="C172" s="2"/>
      <c r="D172" s="2"/>
      <c r="E172" s="114">
        <f>_xlfn.IFNA(VLOOKUP(I172,科目余额表!B:M,10,0),0)</f>
        <v>1459507276.3900001</v>
      </c>
      <c r="F172" s="1">
        <f>ROUND(SUMIF(本期ETY!D:D,B172,本期ETY!F:F),2)</f>
        <v>0</v>
      </c>
      <c r="G172" s="1">
        <f>ROUND(SUMIF(本期ETY!D:D,B172,本期ETY!G:G),2)</f>
        <v>0</v>
      </c>
      <c r="H172" s="115">
        <f t="shared" si="35"/>
        <v>1459507276.3900001</v>
      </c>
      <c r="I172" s="1" t="s">
        <v>801</v>
      </c>
    </row>
    <row r="173" spans="1:12">
      <c r="A173" s="124" t="s">
        <v>1141</v>
      </c>
      <c r="B173" s="113" t="s">
        <v>1142</v>
      </c>
      <c r="C173" s="2"/>
      <c r="D173" s="2"/>
      <c r="E173" s="114">
        <f>_xlfn.IFNA(VLOOKUP(I173,科目余额表!B:M,10,0),0)</f>
        <v>97794480.159999996</v>
      </c>
      <c r="F173" s="1">
        <f>ROUND(SUMIF(本期ETY!D:D,B173,本期ETY!F:F),2)</f>
        <v>0</v>
      </c>
      <c r="G173" s="1">
        <f>ROUND(SUMIF(本期ETY!D:D,B173,本期ETY!G:G),2)</f>
        <v>0</v>
      </c>
      <c r="H173" s="115">
        <f t="shared" si="35"/>
        <v>97794480.159999996</v>
      </c>
      <c r="I173" s="1" t="s">
        <v>802</v>
      </c>
    </row>
    <row r="174" spans="1:12">
      <c r="A174" s="124" t="s">
        <v>1143</v>
      </c>
      <c r="B174" s="113"/>
      <c r="C174" s="2"/>
      <c r="D174" s="2"/>
      <c r="E174" s="114">
        <f>_xlfn.IFNA(VLOOKUP(I174,科目余额表!B:M,10,0),0)</f>
        <v>0</v>
      </c>
      <c r="F174" s="1">
        <f>ROUND(SUMIF(本期ETY!D:D,B174,本期ETY!F:F),2)</f>
        <v>0</v>
      </c>
      <c r="G174" s="1">
        <f>ROUND(SUMIF(本期ETY!D:D,B174,本期ETY!G:G),2)</f>
        <v>0</v>
      </c>
      <c r="H174" s="115">
        <f t="shared" si="35"/>
        <v>0</v>
      </c>
    </row>
    <row r="175" spans="1:12">
      <c r="A175" s="124" t="s">
        <v>1144</v>
      </c>
      <c r="B175" s="113" t="s">
        <v>1145</v>
      </c>
      <c r="C175" s="2"/>
      <c r="E175" s="114">
        <f>_xlfn.IFNA(VLOOKUP(I175,科目余额表!B:M,10,0),0)</f>
        <v>0</v>
      </c>
      <c r="F175" s="1">
        <f>ROUND(SUMIF(本期ETY!D:D,B175,本期ETY!F:F),2)</f>
        <v>0</v>
      </c>
      <c r="G175" s="1">
        <f>ROUND(SUMIF(本期ETY!D:D,B175,本期ETY!G:G),2)</f>
        <v>0</v>
      </c>
      <c r="H175" s="115">
        <f t="shared" si="35"/>
        <v>0</v>
      </c>
      <c r="I175" s="1" t="s">
        <v>1145</v>
      </c>
    </row>
    <row r="176" spans="1:12">
      <c r="A176" s="124" t="s">
        <v>1146</v>
      </c>
      <c r="B176" s="113" t="s">
        <v>1147</v>
      </c>
      <c r="C176" s="2"/>
      <c r="E176" s="114">
        <f>_xlfn.IFNA(VLOOKUP(I176,科目余额表!B:M,10,0),0)</f>
        <v>0</v>
      </c>
      <c r="F176" s="1">
        <f>ROUND(SUMIF(本期ETY!D:D,B176,本期ETY!F:F),2)</f>
        <v>0</v>
      </c>
      <c r="G176" s="1">
        <f>ROUND(SUMIF(本期ETY!D:D,B176,本期ETY!G:G),2)</f>
        <v>0</v>
      </c>
      <c r="H176" s="115">
        <f t="shared" si="35"/>
        <v>0</v>
      </c>
      <c r="I176" s="1" t="s">
        <v>1147</v>
      </c>
    </row>
    <row r="177" spans="1:9">
      <c r="A177" s="125" t="s">
        <v>1148</v>
      </c>
      <c r="B177" s="113"/>
      <c r="C177" s="2"/>
      <c r="D177" s="127"/>
      <c r="E177" s="127">
        <f>SUM(E178:E192)-E179-E180</f>
        <v>1642696927.04</v>
      </c>
      <c r="F177" s="127">
        <f t="shared" ref="F177:H177" si="36">SUM(F178:F192)-F179-F180</f>
        <v>0</v>
      </c>
      <c r="G177" s="127">
        <f t="shared" si="36"/>
        <v>0</v>
      </c>
      <c r="H177" s="127">
        <f t="shared" si="36"/>
        <v>1642696927.04</v>
      </c>
    </row>
    <row r="178" spans="1:9">
      <c r="A178" s="123" t="s">
        <v>1149</v>
      </c>
      <c r="B178" s="113" t="s">
        <v>1150</v>
      </c>
      <c r="C178" s="3"/>
      <c r="E178" s="111">
        <f>SUM(E179:E180)</f>
        <v>1355991048.6100001</v>
      </c>
      <c r="F178" s="111">
        <f t="shared" ref="F178:H178" si="37">SUM(F179:F180)</f>
        <v>0</v>
      </c>
      <c r="G178" s="111">
        <f t="shared" si="37"/>
        <v>0</v>
      </c>
      <c r="H178" s="111">
        <f t="shared" si="37"/>
        <v>1355991048.6100001</v>
      </c>
      <c r="I178" s="1" t="s">
        <v>1151</v>
      </c>
    </row>
    <row r="179" spans="1:9">
      <c r="A179" s="123" t="s">
        <v>1152</v>
      </c>
      <c r="B179" s="113" t="s">
        <v>1153</v>
      </c>
      <c r="C179" s="3"/>
      <c r="E179" s="114">
        <f>_xlfn.IFNA(VLOOKUP(I179,科目余额表!B:M,10,0),0)</f>
        <v>1345692986.9000001</v>
      </c>
      <c r="F179" s="1">
        <f>ROUND(SUMIF(本期ETY!D:D,B179,本期ETY!F:F),2)</f>
        <v>0</v>
      </c>
      <c r="G179" s="1">
        <f>ROUND(SUMIF(本期ETY!D:D,B179,本期ETY!G:G),2)</f>
        <v>0</v>
      </c>
      <c r="H179" s="115">
        <f t="shared" ref="H179:H192" si="38">ROUND(E179+F179-G179,2)</f>
        <v>1345692986.9000001</v>
      </c>
      <c r="I179" s="1" t="s">
        <v>806</v>
      </c>
    </row>
    <row r="180" spans="1:9">
      <c r="A180" s="123" t="s">
        <v>1154</v>
      </c>
      <c r="B180" s="113" t="s">
        <v>1155</v>
      </c>
      <c r="C180" s="3"/>
      <c r="E180" s="114">
        <f>_xlfn.IFNA(VLOOKUP(I180,科目余额表!B:M,10,0),0)</f>
        <v>10298061.710000001</v>
      </c>
      <c r="F180" s="1">
        <f>ROUND(SUMIF(本期ETY!D:D,B180,本期ETY!F:F),2)</f>
        <v>0</v>
      </c>
      <c r="G180" s="1">
        <f>ROUND(SUMIF(本期ETY!D:D,B180,本期ETY!G:G),2)</f>
        <v>0</v>
      </c>
      <c r="H180" s="115">
        <f t="shared" si="38"/>
        <v>10298061.710000001</v>
      </c>
      <c r="I180" s="1" t="s">
        <v>807</v>
      </c>
    </row>
    <row r="181" spans="1:9">
      <c r="A181" s="123" t="s">
        <v>1156</v>
      </c>
      <c r="B181" s="113"/>
      <c r="C181" s="3"/>
      <c r="E181" s="114">
        <f>_xlfn.IFNA(VLOOKUP(I181,科目余额表!B:M,10,0),0)</f>
        <v>0</v>
      </c>
      <c r="F181" s="1">
        <f>ROUND(SUMIF(本期ETY!D:D,B181,本期ETY!F:F),2)</f>
        <v>0</v>
      </c>
      <c r="G181" s="1">
        <f>ROUND(SUMIF(本期ETY!D:D,B181,本期ETY!G:G),2)</f>
        <v>0</v>
      </c>
      <c r="H181" s="115">
        <f t="shared" si="38"/>
        <v>0</v>
      </c>
    </row>
    <row r="182" spans="1:9">
      <c r="A182" s="123" t="s">
        <v>1157</v>
      </c>
      <c r="B182" s="113" t="s">
        <v>1158</v>
      </c>
      <c r="C182" s="3"/>
      <c r="D182" s="3"/>
      <c r="E182" s="114">
        <f>_xlfn.IFNA(VLOOKUP(I182,科目余额表!B:M,10,0),0)</f>
        <v>0</v>
      </c>
      <c r="F182" s="1">
        <f>ROUND(SUMIF(本期ETY!D:D,B182,本期ETY!F:F),2)</f>
        <v>0</v>
      </c>
      <c r="G182" s="1">
        <f>ROUND(SUMIF(本期ETY!D:D,B182,本期ETY!G:G),2)</f>
        <v>0</v>
      </c>
      <c r="H182" s="115">
        <f t="shared" si="38"/>
        <v>0</v>
      </c>
      <c r="I182" s="1" t="s">
        <v>1158</v>
      </c>
    </row>
    <row r="183" spans="1:9">
      <c r="A183" s="123" t="s">
        <v>1159</v>
      </c>
      <c r="B183" s="113" t="s">
        <v>1160</v>
      </c>
      <c r="C183" s="3"/>
      <c r="D183" s="3"/>
      <c r="E183" s="114">
        <f>_xlfn.IFNA(VLOOKUP(I183,科目余额表!B:M,10,0),0)</f>
        <v>0</v>
      </c>
      <c r="F183" s="1">
        <f>ROUND(SUMIF(本期ETY!D:D,B183,本期ETY!F:F),2)</f>
        <v>0</v>
      </c>
      <c r="G183" s="1">
        <f>ROUND(SUMIF(本期ETY!D:D,B183,本期ETY!G:G),2)</f>
        <v>0</v>
      </c>
      <c r="H183" s="115">
        <f t="shared" si="38"/>
        <v>0</v>
      </c>
      <c r="I183" s="1" t="s">
        <v>1160</v>
      </c>
    </row>
    <row r="184" spans="1:9">
      <c r="A184" s="123" t="s">
        <v>1161</v>
      </c>
      <c r="B184" s="113" t="s">
        <v>1162</v>
      </c>
      <c r="C184" s="3"/>
      <c r="D184" s="3"/>
      <c r="E184" s="114">
        <f>_xlfn.IFNA(VLOOKUP(I184,科目余额表!B:M,10,0),0)</f>
        <v>0</v>
      </c>
      <c r="F184" s="1">
        <f>ROUND(SUMIF(本期ETY!D:D,B184,本期ETY!F:F),2)</f>
        <v>0</v>
      </c>
      <c r="G184" s="1">
        <f>ROUND(SUMIF(本期ETY!D:D,B184,本期ETY!G:G),2)</f>
        <v>0</v>
      </c>
      <c r="H184" s="115">
        <f t="shared" si="38"/>
        <v>0</v>
      </c>
      <c r="I184" s="1" t="s">
        <v>1162</v>
      </c>
    </row>
    <row r="185" spans="1:9">
      <c r="A185" s="123" t="s">
        <v>1163</v>
      </c>
      <c r="B185" s="113" t="s">
        <v>1164</v>
      </c>
      <c r="C185" s="3"/>
      <c r="D185" s="3"/>
      <c r="E185" s="114">
        <f>_xlfn.IFNA(VLOOKUP(I185,科目余额表!B:M,10,0),0)</f>
        <v>0</v>
      </c>
      <c r="F185" s="1">
        <f>ROUND(SUMIF(本期ETY!D:D,B185,本期ETY!F:F),2)</f>
        <v>0</v>
      </c>
      <c r="G185" s="1">
        <f>ROUND(SUMIF(本期ETY!D:D,B185,本期ETY!G:G),2)</f>
        <v>0</v>
      </c>
      <c r="H185" s="115">
        <f t="shared" si="38"/>
        <v>0</v>
      </c>
      <c r="I185" s="1" t="s">
        <v>1164</v>
      </c>
    </row>
    <row r="186" spans="1:9">
      <c r="A186" s="123" t="s">
        <v>1165</v>
      </c>
      <c r="B186" s="113" t="s">
        <v>1166</v>
      </c>
      <c r="C186" s="3"/>
      <c r="D186" s="3"/>
      <c r="E186" s="114">
        <f>_xlfn.IFNA(VLOOKUP(I186,科目余额表!B:M,10,0),0)</f>
        <v>0</v>
      </c>
      <c r="F186" s="1">
        <f>ROUND(SUMIF(本期ETY!D:D,B186,本期ETY!F:F),2)</f>
        <v>0</v>
      </c>
      <c r="G186" s="1">
        <f>ROUND(SUMIF(本期ETY!D:D,B186,本期ETY!G:G),2)</f>
        <v>0</v>
      </c>
      <c r="H186" s="115">
        <f t="shared" si="38"/>
        <v>0</v>
      </c>
      <c r="I186" s="1" t="s">
        <v>1166</v>
      </c>
    </row>
    <row r="187" spans="1:9">
      <c r="A187" s="123" t="s">
        <v>1167</v>
      </c>
      <c r="B187" s="113" t="s">
        <v>1168</v>
      </c>
      <c r="C187" s="3"/>
      <c r="D187" s="3"/>
      <c r="E187" s="114">
        <f>_xlfn.IFNA(VLOOKUP(I187,科目余额表!B:M,10,0),0)</f>
        <v>0</v>
      </c>
      <c r="F187" s="1">
        <f>ROUND(SUMIF(本期ETY!D:D,B187,本期ETY!F:F),2)</f>
        <v>0</v>
      </c>
      <c r="G187" s="1">
        <f>ROUND(SUMIF(本期ETY!D:D,B187,本期ETY!G:G),2)</f>
        <v>0</v>
      </c>
      <c r="H187" s="115">
        <f t="shared" si="38"/>
        <v>0</v>
      </c>
      <c r="I187" s="1" t="s">
        <v>1168</v>
      </c>
    </row>
    <row r="188" spans="1:9">
      <c r="A188" s="123" t="s">
        <v>1169</v>
      </c>
      <c r="B188" s="113" t="s">
        <v>1170</v>
      </c>
      <c r="C188" s="4"/>
      <c r="D188" s="4"/>
      <c r="E188" s="114">
        <f>_xlfn.IFNA(VLOOKUP(I188,科目余额表!B:M,10,0),0)</f>
        <v>7567760.6699999999</v>
      </c>
      <c r="F188" s="1">
        <f>ROUND(SUMIF(本期ETY!D:D,B188,本期ETY!F:F),2)</f>
        <v>0</v>
      </c>
      <c r="G188" s="1">
        <f>ROUND(SUMIF(本期ETY!D:D,B188,本期ETY!G:G),2)</f>
        <v>0</v>
      </c>
      <c r="H188" s="115">
        <f t="shared" si="38"/>
        <v>7567760.6699999999</v>
      </c>
      <c r="I188" s="1" t="s">
        <v>808</v>
      </c>
    </row>
    <row r="189" spans="1:9">
      <c r="A189" s="123" t="s">
        <v>1171</v>
      </c>
      <c r="B189" s="113" t="s">
        <v>809</v>
      </c>
      <c r="C189" s="4"/>
      <c r="D189" s="4"/>
      <c r="E189" s="114">
        <f>_xlfn.IFNA(VLOOKUP(I189,科目余额表!B:M,10,0),0)</f>
        <v>0</v>
      </c>
      <c r="F189" s="1">
        <f>ROUND(SUMIF(本期ETY!D:D,B189,本期ETY!F:F),2)</f>
        <v>0</v>
      </c>
      <c r="G189" s="1">
        <f>ROUND(SUMIF(本期ETY!D:D,B189,本期ETY!G:G),2)</f>
        <v>0</v>
      </c>
      <c r="H189" s="115">
        <f t="shared" si="38"/>
        <v>0</v>
      </c>
      <c r="I189" s="1" t="s">
        <v>809</v>
      </c>
    </row>
    <row r="190" spans="1:9">
      <c r="A190" s="123" t="s">
        <v>1172</v>
      </c>
      <c r="B190" s="113" t="s">
        <v>810</v>
      </c>
      <c r="C190" s="4"/>
      <c r="D190" s="4"/>
      <c r="E190" s="114">
        <f>_xlfn.IFNA(VLOOKUP(I190,科目余额表!B:M,10,0),0)</f>
        <v>123240697.16</v>
      </c>
      <c r="F190" s="1">
        <f>ROUND(SUMIF(本期ETY!D:D,B190,本期ETY!F:F),2)</f>
        <v>0</v>
      </c>
      <c r="G190" s="1">
        <f>ROUND(SUMIF(本期ETY!D:D,B190,本期ETY!G:G),2)</f>
        <v>0</v>
      </c>
      <c r="H190" s="115">
        <f t="shared" si="38"/>
        <v>123240697.16</v>
      </c>
      <c r="I190" s="1" t="s">
        <v>810</v>
      </c>
    </row>
    <row r="191" spans="1:9">
      <c r="A191" s="123" t="s">
        <v>1173</v>
      </c>
      <c r="B191" s="113" t="s">
        <v>1174</v>
      </c>
      <c r="C191" s="4"/>
      <c r="D191" s="4"/>
      <c r="E191" s="114">
        <f>_xlfn.IFNA(VLOOKUP(I191,科目余额表!B:M,10,0),0)</f>
        <v>0</v>
      </c>
      <c r="F191" s="1">
        <f>ROUND(SUMIF(本期ETY!D:D,B191,本期ETY!F:F),2)</f>
        <v>0</v>
      </c>
      <c r="G191" s="1">
        <f>ROUND(SUMIF(本期ETY!D:D,B191,本期ETY!G:G),2)</f>
        <v>0</v>
      </c>
      <c r="H191" s="115">
        <f t="shared" si="38"/>
        <v>0</v>
      </c>
      <c r="I191" s="1" t="s">
        <v>1174</v>
      </c>
    </row>
    <row r="192" spans="1:9">
      <c r="A192" s="123" t="s">
        <v>1175</v>
      </c>
      <c r="B192" s="113" t="s">
        <v>811</v>
      </c>
      <c r="C192" s="128"/>
      <c r="D192" s="128"/>
      <c r="E192" s="114">
        <f>_xlfn.IFNA(VLOOKUP(I192,科目余额表!B:M,10,0),0)</f>
        <v>155897420.59999999</v>
      </c>
      <c r="F192" s="1">
        <f>ROUND(SUMIF(本期ETY!D:D,B192,本期ETY!F:F),2)</f>
        <v>0</v>
      </c>
      <c r="G192" s="1">
        <f>ROUND(SUMIF(本期ETY!D:D,B192,本期ETY!G:G),2)</f>
        <v>0</v>
      </c>
      <c r="H192" s="115">
        <f t="shared" si="38"/>
        <v>155897420.59999999</v>
      </c>
      <c r="I192" s="1" t="s">
        <v>811</v>
      </c>
    </row>
    <row r="193" spans="1:9">
      <c r="A193" s="123" t="s">
        <v>1176</v>
      </c>
      <c r="B193" s="113" t="s">
        <v>1177</v>
      </c>
      <c r="C193" s="128"/>
      <c r="D193" s="128"/>
      <c r="E193" s="114">
        <f>_xlfn.IFNA(VLOOKUP(I193,科目余额表!B:M,10,0),0)</f>
        <v>74328000</v>
      </c>
      <c r="F193" s="1">
        <f>ROUND(SUMIF(本期ETY!D:D,B193,本期ETY!F:F),2)</f>
        <v>0</v>
      </c>
      <c r="G193" s="1">
        <f>ROUND(SUMIF(本期ETY!D:D,B193,本期ETY!G:G),2)</f>
        <v>0</v>
      </c>
      <c r="H193" s="115">
        <f t="shared" ref="H193:H204" si="39">ROUND(E193-F193+G193,2)</f>
        <v>74328000</v>
      </c>
      <c r="I193" s="1" t="s">
        <v>803</v>
      </c>
    </row>
    <row r="194" spans="1:9">
      <c r="A194" s="123" t="s">
        <v>1178</v>
      </c>
      <c r="B194" s="113" t="s">
        <v>1179</v>
      </c>
      <c r="C194" s="128"/>
      <c r="D194" s="128"/>
      <c r="E194" s="114">
        <f>_xlfn.IFNA(VLOOKUP(I194,科目余额表!B:M,10,0),0)</f>
        <v>246513625.72</v>
      </c>
      <c r="F194" s="1">
        <f>ROUND(SUMIF(本期ETY!D:D,B194,本期ETY!F:F),2)</f>
        <v>0</v>
      </c>
      <c r="G194" s="1">
        <f>ROUND(SUMIF(本期ETY!D:D,B194,本期ETY!G:G),2)</f>
        <v>0</v>
      </c>
      <c r="H194" s="115">
        <f t="shared" si="39"/>
        <v>246513625.72</v>
      </c>
      <c r="I194" s="1" t="s">
        <v>804</v>
      </c>
    </row>
    <row r="195" spans="1:9">
      <c r="A195" s="123" t="s">
        <v>1180</v>
      </c>
      <c r="B195" s="113"/>
      <c r="C195" s="128"/>
      <c r="D195" s="128"/>
      <c r="E195" s="127"/>
      <c r="H195" s="115">
        <f t="shared" si="39"/>
        <v>0</v>
      </c>
    </row>
    <row r="196" spans="1:9">
      <c r="A196" s="123" t="s">
        <v>1181</v>
      </c>
      <c r="B196" s="113"/>
      <c r="C196" s="128"/>
      <c r="D196" s="129" t="s">
        <v>856</v>
      </c>
      <c r="E196" s="127"/>
      <c r="H196" s="115">
        <f t="shared" si="39"/>
        <v>0</v>
      </c>
    </row>
    <row r="197" spans="1:9">
      <c r="A197" s="123" t="s">
        <v>1182</v>
      </c>
      <c r="B197" s="113" t="s">
        <v>1183</v>
      </c>
      <c r="C197" s="128"/>
      <c r="D197" s="129" t="s">
        <v>856</v>
      </c>
      <c r="E197" s="114">
        <f>_xlfn.IFNA(VLOOKUP(I197,科目余额表!B:M,10,0),0)</f>
        <v>0</v>
      </c>
      <c r="F197" s="1">
        <f>ROUND(SUMIF(本期ETY!D:D,B197,本期ETY!F:F),2)</f>
        <v>0</v>
      </c>
      <c r="G197" s="1">
        <f>ROUND(SUMIF(本期ETY!D:D,B197,本期ETY!G:G),2)</f>
        <v>0</v>
      </c>
      <c r="H197" s="115">
        <f t="shared" si="39"/>
        <v>0</v>
      </c>
      <c r="I197" s="1" t="s">
        <v>1184</v>
      </c>
    </row>
    <row r="198" spans="1:9">
      <c r="A198" s="123" t="s">
        <v>1185</v>
      </c>
      <c r="B198" s="113" t="s">
        <v>1186</v>
      </c>
      <c r="C198" s="128"/>
      <c r="D198" s="128"/>
      <c r="E198" s="114">
        <f>_xlfn.IFNA(VLOOKUP(I198,科目余额表!B:M,10,0),0)</f>
        <v>0</v>
      </c>
      <c r="F198" s="1">
        <f>ROUND(SUMIF(本期ETY!D:D,B198,本期ETY!F:F),2)</f>
        <v>0</v>
      </c>
      <c r="G198" s="1">
        <f>ROUND(SUMIF(本期ETY!D:D,B198,本期ETY!G:G),2)</f>
        <v>0</v>
      </c>
      <c r="H198" s="115">
        <f t="shared" si="39"/>
        <v>0</v>
      </c>
      <c r="I198" s="1" t="s">
        <v>1187</v>
      </c>
    </row>
    <row r="199" spans="1:9">
      <c r="A199" s="123" t="s">
        <v>1188</v>
      </c>
      <c r="B199" s="113" t="s">
        <v>1189</v>
      </c>
      <c r="C199" s="128"/>
      <c r="D199" s="129" t="s">
        <v>856</v>
      </c>
      <c r="E199" s="114">
        <f>_xlfn.IFNA(VLOOKUP(I199,科目余额表!B:M,10,0),0)</f>
        <v>0</v>
      </c>
      <c r="F199" s="1">
        <f>ROUND(SUMIF(本期ETY!D:D,B199,本期ETY!F:F),2)</f>
        <v>0</v>
      </c>
      <c r="G199" s="1">
        <f>ROUND(SUMIF(本期ETY!D:D,B199,本期ETY!G:G),2)</f>
        <v>0</v>
      </c>
      <c r="H199" s="115">
        <f t="shared" si="39"/>
        <v>0</v>
      </c>
      <c r="I199" s="1" t="s">
        <v>1190</v>
      </c>
    </row>
    <row r="200" spans="1:9">
      <c r="A200" s="123" t="s">
        <v>1191</v>
      </c>
      <c r="B200" s="113" t="s">
        <v>1192</v>
      </c>
      <c r="C200" s="128"/>
      <c r="D200" s="128"/>
      <c r="E200" s="114">
        <f>-_xlfn.IFNA(VLOOKUP(I200,科目余额表!B:M,10,0),0)</f>
        <v>-20045068.129999999</v>
      </c>
      <c r="F200" s="1">
        <f>ROUND(SUMIF(本期ETY!D:D,B200,本期ETY!F:F),2)</f>
        <v>0</v>
      </c>
      <c r="G200" s="1">
        <f>ROUND(SUMIF(本期ETY!D:D,B200,本期ETY!G:G),2)</f>
        <v>0</v>
      </c>
      <c r="H200" s="115">
        <f t="shared" si="39"/>
        <v>-20045068.129999999</v>
      </c>
      <c r="I200" s="1" t="s">
        <v>812</v>
      </c>
    </row>
    <row r="201" spans="1:9">
      <c r="A201" s="123" t="s">
        <v>1193</v>
      </c>
      <c r="B201" s="113" t="s">
        <v>1194</v>
      </c>
      <c r="C201" s="128"/>
      <c r="D201" s="128"/>
      <c r="E201" s="114">
        <f>_xlfn.IFNA(VLOOKUP(I201,科目余额表!B:M,10,0),0)</f>
        <v>3131735.07</v>
      </c>
      <c r="F201" s="1">
        <f>ROUND(SUMIF(本期ETY!D:D,B201,本期ETY!F:F),2)</f>
        <v>0</v>
      </c>
      <c r="G201" s="1">
        <f>ROUND(SUMIF(本期ETY!D:D,B201,本期ETY!G:G),2)</f>
        <v>0</v>
      </c>
      <c r="H201" s="115">
        <f t="shared" si="39"/>
        <v>3131735.07</v>
      </c>
      <c r="I201" s="1" t="s">
        <v>813</v>
      </c>
    </row>
    <row r="202" spans="1:9">
      <c r="A202" s="123" t="s">
        <v>1195</v>
      </c>
      <c r="B202" s="113" t="s">
        <v>1196</v>
      </c>
      <c r="C202" s="128"/>
      <c r="D202" s="128"/>
      <c r="E202" s="111"/>
      <c r="F202" s="1">
        <f>ROUND(SUMIF(本期ETY!D:D,B202,本期ETY!F:F),2)</f>
        <v>0</v>
      </c>
      <c r="G202" s="1">
        <f>ROUND(SUMIF(本期ETY!D:D,B202,本期ETY!G:G),2)</f>
        <v>0</v>
      </c>
      <c r="H202" s="115">
        <f t="shared" si="39"/>
        <v>0</v>
      </c>
      <c r="I202" s="1" t="s">
        <v>1197</v>
      </c>
    </row>
    <row r="203" spans="1:9">
      <c r="A203" s="122" t="s">
        <v>1198</v>
      </c>
      <c r="B203" s="113"/>
      <c r="C203" s="128"/>
      <c r="D203" s="128"/>
      <c r="E203" s="128">
        <f>E170-E177+E193+E194+E202+E197+E198+E201+E199+E200</f>
        <v>218533122.17000023</v>
      </c>
      <c r="F203" s="128">
        <f>F170-F177+F193+F194+F202+F197+F198+F201+F199+F200</f>
        <v>0</v>
      </c>
      <c r="G203" s="128">
        <f>G170-G177+G193+G194+G202+G197+G198+G201+G199+G200</f>
        <v>0</v>
      </c>
      <c r="H203" s="128">
        <f>H170-H177+H193+H194+H202+H197+H198+H201+H199+H200</f>
        <v>218533122.16999975</v>
      </c>
    </row>
    <row r="204" spans="1:9">
      <c r="A204" s="123" t="s">
        <v>1199</v>
      </c>
      <c r="B204" s="113" t="s">
        <v>1200</v>
      </c>
      <c r="C204" s="128"/>
      <c r="D204" s="128"/>
      <c r="E204" s="114">
        <f>_xlfn.IFNA(VLOOKUP(I204,科目余额表!B:M,10,0),0)</f>
        <v>36628434.68</v>
      </c>
      <c r="F204" s="1">
        <f>ROUND(SUMIF(本期ETY!D:D,B204,本期ETY!F:F),2)</f>
        <v>0</v>
      </c>
      <c r="G204" s="1">
        <f>ROUND(SUMIF(本期ETY!D:D,B204,本期ETY!G:G),2)</f>
        <v>0</v>
      </c>
      <c r="H204" s="115">
        <f t="shared" si="39"/>
        <v>36628434.68</v>
      </c>
      <c r="I204" s="1" t="s">
        <v>805</v>
      </c>
    </row>
    <row r="205" spans="1:9">
      <c r="A205" s="123" t="s">
        <v>1201</v>
      </c>
      <c r="B205" s="113" t="s">
        <v>1202</v>
      </c>
      <c r="C205" s="128"/>
      <c r="D205" s="128"/>
      <c r="E205" s="114">
        <f>_xlfn.IFNA(VLOOKUP(I205,科目余额表!B:M,10,0),0)</f>
        <v>550050</v>
      </c>
      <c r="F205" s="1">
        <f>ROUND(SUMIF(本期ETY!D:D,B205,本期ETY!F:F),2)</f>
        <v>0</v>
      </c>
      <c r="G205" s="1">
        <f>ROUND(SUMIF(本期ETY!D:D,B205,本期ETY!G:G),2)</f>
        <v>0</v>
      </c>
      <c r="H205" s="115">
        <f t="shared" ref="H205" si="40">ROUND(E205+F205-G205,2)</f>
        <v>550050</v>
      </c>
      <c r="I205" s="1" t="s">
        <v>814</v>
      </c>
    </row>
    <row r="206" spans="1:9">
      <c r="A206" s="122" t="s">
        <v>1203</v>
      </c>
      <c r="B206" s="113"/>
      <c r="C206" s="128"/>
      <c r="D206" s="128"/>
      <c r="E206" s="128">
        <f t="shared" ref="E206:H206" si="41">E203+E204-E205</f>
        <v>254611506.85000023</v>
      </c>
      <c r="F206" s="128">
        <f t="shared" si="41"/>
        <v>0</v>
      </c>
      <c r="G206" s="128">
        <f t="shared" si="41"/>
        <v>0</v>
      </c>
      <c r="H206" s="128">
        <f t="shared" si="41"/>
        <v>254611506.84999976</v>
      </c>
    </row>
    <row r="207" spans="1:9">
      <c r="A207" s="123" t="s">
        <v>1204</v>
      </c>
      <c r="B207" s="113" t="s">
        <v>87</v>
      </c>
      <c r="C207" s="128"/>
      <c r="D207" s="128"/>
      <c r="E207" s="114">
        <f>_xlfn.IFNA(VLOOKUP(I207,科目余额表!B:M,10,0),0)</f>
        <v>8481128.6199999992</v>
      </c>
      <c r="F207" s="1">
        <f>ROUND(SUMIF(本期ETY!D:D,B207,本期ETY!F:F),2)</f>
        <v>0</v>
      </c>
      <c r="G207" s="1">
        <f>ROUND(SUMIF(本期ETY!D:D,B207,本期ETY!G:G),2)</f>
        <v>0</v>
      </c>
      <c r="H207" s="115">
        <f t="shared" ref="H207" si="42">ROUND(E207+F207-G207,2)</f>
        <v>8481128.6199999992</v>
      </c>
      <c r="I207" s="1" t="s">
        <v>731</v>
      </c>
    </row>
    <row r="208" spans="1:9">
      <c r="A208" s="122" t="s">
        <v>1205</v>
      </c>
      <c r="B208" s="113"/>
      <c r="C208" s="130"/>
      <c r="D208" s="130"/>
      <c r="E208" s="130">
        <f>E206-E207</f>
        <v>246130378.23000023</v>
      </c>
      <c r="F208" s="130"/>
      <c r="G208" s="130"/>
      <c r="H208" s="130">
        <f t="shared" ref="H208" si="43">H206-H207</f>
        <v>246130378.22999975</v>
      </c>
    </row>
    <row r="209" spans="1:9">
      <c r="A209" s="124" t="s">
        <v>1206</v>
      </c>
      <c r="B209" s="113"/>
      <c r="C209" s="128"/>
      <c r="D209" s="128"/>
      <c r="E209" s="127"/>
    </row>
    <row r="210" spans="1:9">
      <c r="A210" s="123" t="s">
        <v>1207</v>
      </c>
      <c r="B210" s="113"/>
      <c r="C210" s="128"/>
      <c r="D210" s="128"/>
      <c r="E210" s="127"/>
    </row>
    <row r="211" spans="1:9">
      <c r="A211" s="123" t="s">
        <v>1208</v>
      </c>
      <c r="B211" s="113"/>
      <c r="C211" s="128"/>
      <c r="D211" s="128"/>
      <c r="E211" s="127"/>
    </row>
    <row r="212" spans="1:9">
      <c r="A212" s="124" t="s">
        <v>1209</v>
      </c>
      <c r="B212" s="113"/>
      <c r="C212" s="128"/>
      <c r="D212" s="128"/>
      <c r="E212" s="127"/>
    </row>
    <row r="213" spans="1:9">
      <c r="A213" s="123" t="s">
        <v>1210</v>
      </c>
      <c r="B213" s="113" t="s">
        <v>1211</v>
      </c>
      <c r="C213" s="128"/>
      <c r="D213" s="128"/>
      <c r="E213" s="127">
        <f>E208-E214</f>
        <v>246130378.23000023</v>
      </c>
      <c r="F213" s="1">
        <f>ROUND(SUMIF(本期ETY!D:D,B213,本期ETY!F:F),2)</f>
        <v>0</v>
      </c>
      <c r="G213" s="1">
        <f>ROUND(SUMIF(本期ETY!D:D,B213,本期ETY!G:G),2)</f>
        <v>0</v>
      </c>
      <c r="H213" s="1">
        <f>H208-H214</f>
        <v>246130378.22999975</v>
      </c>
      <c r="I213" s="1" t="s">
        <v>1211</v>
      </c>
    </row>
    <row r="214" spans="1:9">
      <c r="A214" s="123" t="s">
        <v>1212</v>
      </c>
      <c r="B214" s="113" t="s">
        <v>1213</v>
      </c>
      <c r="C214" s="128"/>
      <c r="D214" s="128"/>
      <c r="E214" s="128"/>
      <c r="F214" s="128">
        <f t="shared" ref="F214:G214" si="44">F208-F213</f>
        <v>0</v>
      </c>
      <c r="G214" s="128">
        <f t="shared" si="44"/>
        <v>0</v>
      </c>
      <c r="H214" s="115">
        <f t="shared" ref="H214" si="45">ROUND(E214+F214-G214,2)</f>
        <v>0</v>
      </c>
      <c r="I214" s="1" t="s">
        <v>1213</v>
      </c>
    </row>
    <row r="215" spans="1:9">
      <c r="A215" s="125" t="s">
        <v>1214</v>
      </c>
      <c r="B215" s="113"/>
      <c r="C215" s="130"/>
      <c r="D215" s="130"/>
      <c r="E215" s="130">
        <f>E216+E233</f>
        <v>0</v>
      </c>
      <c r="F215" s="130">
        <f t="shared" ref="F215:H215" si="46">F216+F233</f>
        <v>0</v>
      </c>
      <c r="G215" s="130">
        <f t="shared" si="46"/>
        <v>0</v>
      </c>
      <c r="H215" s="130">
        <f t="shared" si="46"/>
        <v>0</v>
      </c>
    </row>
    <row r="216" spans="1:9">
      <c r="A216" s="124" t="s">
        <v>1215</v>
      </c>
      <c r="B216" s="113"/>
      <c r="C216" s="128"/>
      <c r="D216" s="128"/>
      <c r="E216" s="128">
        <f t="shared" ref="E216:H216" si="47">E217+E223</f>
        <v>0</v>
      </c>
      <c r="F216" s="128">
        <f t="shared" si="47"/>
        <v>0</v>
      </c>
      <c r="G216" s="128">
        <f t="shared" si="47"/>
        <v>0</v>
      </c>
      <c r="H216" s="128">
        <f t="shared" si="47"/>
        <v>0</v>
      </c>
    </row>
    <row r="217" spans="1:9">
      <c r="A217" s="124" t="s">
        <v>1216</v>
      </c>
      <c r="B217" s="113"/>
      <c r="C217" s="128"/>
      <c r="D217" s="128"/>
      <c r="E217" s="128">
        <f>E218+E219+E220+E221+E222</f>
        <v>0</v>
      </c>
      <c r="F217" s="128">
        <f t="shared" ref="F217:H217" si="48">F218+F219+F220+F221+F222</f>
        <v>0</v>
      </c>
      <c r="G217" s="128">
        <f t="shared" si="48"/>
        <v>0</v>
      </c>
      <c r="H217" s="128">
        <f t="shared" si="48"/>
        <v>0</v>
      </c>
    </row>
    <row r="218" spans="1:9">
      <c r="A218" s="124" t="s">
        <v>1217</v>
      </c>
      <c r="B218" s="113"/>
      <c r="C218" s="128"/>
      <c r="D218" s="128"/>
      <c r="E218" s="127"/>
      <c r="H218" s="115">
        <f t="shared" ref="H218:H222" si="49">ROUND(E218+F218-G218,2)</f>
        <v>0</v>
      </c>
    </row>
    <row r="219" spans="1:9">
      <c r="A219" s="124" t="s">
        <v>1218</v>
      </c>
      <c r="B219" s="113"/>
      <c r="C219" s="128"/>
      <c r="D219" s="128"/>
      <c r="E219" s="127"/>
      <c r="H219" s="115">
        <f t="shared" si="49"/>
        <v>0</v>
      </c>
    </row>
    <row r="220" spans="1:9">
      <c r="A220" s="124" t="s">
        <v>1219</v>
      </c>
      <c r="B220" s="113"/>
      <c r="C220" s="128"/>
      <c r="D220" s="128"/>
      <c r="E220" s="127"/>
      <c r="H220" s="115">
        <f t="shared" si="49"/>
        <v>0</v>
      </c>
    </row>
    <row r="221" spans="1:9">
      <c r="A221" s="124" t="s">
        <v>1220</v>
      </c>
      <c r="B221" s="113"/>
      <c r="C221" s="128"/>
      <c r="D221" s="128"/>
      <c r="E221" s="127"/>
      <c r="H221" s="115">
        <f t="shared" si="49"/>
        <v>0</v>
      </c>
    </row>
    <row r="222" spans="1:9">
      <c r="A222" s="124" t="s">
        <v>1221</v>
      </c>
      <c r="B222" s="113"/>
      <c r="C222" s="128"/>
      <c r="D222" s="128"/>
      <c r="E222" s="127"/>
      <c r="H222" s="115">
        <f t="shared" si="49"/>
        <v>0</v>
      </c>
    </row>
    <row r="223" spans="1:9">
      <c r="A223" s="124" t="s">
        <v>1222</v>
      </c>
      <c r="B223" s="113"/>
      <c r="C223" s="128"/>
      <c r="D223" s="128"/>
      <c r="E223" s="128">
        <f>SUM(E224:E232)</f>
        <v>0</v>
      </c>
      <c r="F223" s="128">
        <f t="shared" ref="F223:H223" si="50">SUM(F224:F232)</f>
        <v>0</v>
      </c>
      <c r="G223" s="128">
        <f t="shared" si="50"/>
        <v>0</v>
      </c>
      <c r="H223" s="128">
        <f t="shared" si="50"/>
        <v>0</v>
      </c>
    </row>
    <row r="224" spans="1:9">
      <c r="A224" s="124" t="s">
        <v>1223</v>
      </c>
      <c r="B224" s="113"/>
      <c r="C224" s="128"/>
      <c r="D224" s="128"/>
      <c r="E224" s="127"/>
      <c r="H224" s="115">
        <f t="shared" ref="H224:H233" si="51">ROUND(E224+F224-G224,2)</f>
        <v>0</v>
      </c>
    </row>
    <row r="225" spans="1:9">
      <c r="A225" s="124" t="s">
        <v>1224</v>
      </c>
      <c r="B225" s="113"/>
      <c r="C225" s="128"/>
      <c r="D225" s="128"/>
      <c r="E225" s="127"/>
      <c r="H225" s="115">
        <f t="shared" si="51"/>
        <v>0</v>
      </c>
    </row>
    <row r="226" spans="1:9">
      <c r="A226" s="124" t="s">
        <v>1225</v>
      </c>
      <c r="B226" s="113"/>
      <c r="C226" s="131" t="s">
        <v>858</v>
      </c>
      <c r="D226" s="131"/>
      <c r="E226" s="127"/>
      <c r="H226" s="115">
        <f t="shared" si="51"/>
        <v>0</v>
      </c>
    </row>
    <row r="227" spans="1:9">
      <c r="A227" s="124" t="s">
        <v>1226</v>
      </c>
      <c r="B227" s="113"/>
      <c r="C227" s="128"/>
      <c r="D227" s="128"/>
      <c r="E227" s="127"/>
      <c r="H227" s="115">
        <f t="shared" si="51"/>
        <v>0</v>
      </c>
    </row>
    <row r="228" spans="1:9">
      <c r="A228" s="124" t="s">
        <v>1227</v>
      </c>
      <c r="B228" s="113"/>
      <c r="C228" s="131" t="s">
        <v>858</v>
      </c>
      <c r="D228" s="131"/>
      <c r="E228" s="127"/>
      <c r="H228" s="115">
        <f t="shared" si="51"/>
        <v>0</v>
      </c>
    </row>
    <row r="229" spans="1:9">
      <c r="A229" s="124" t="s">
        <v>1228</v>
      </c>
      <c r="B229" s="113"/>
      <c r="C229" s="128"/>
      <c r="D229" s="128"/>
      <c r="E229" s="127"/>
      <c r="H229" s="115">
        <f t="shared" si="51"/>
        <v>0</v>
      </c>
    </row>
    <row r="230" spans="1:9">
      <c r="A230" s="124" t="s">
        <v>1229</v>
      </c>
      <c r="B230" s="113"/>
      <c r="C230" s="128"/>
      <c r="D230" s="128"/>
      <c r="E230" s="127"/>
      <c r="H230" s="115">
        <f t="shared" si="51"/>
        <v>0</v>
      </c>
    </row>
    <row r="231" spans="1:9">
      <c r="A231" s="124" t="s">
        <v>1230</v>
      </c>
      <c r="B231" s="113"/>
      <c r="C231" s="128"/>
      <c r="D231" s="128"/>
      <c r="E231" s="127"/>
      <c r="H231" s="115">
        <f t="shared" si="51"/>
        <v>0</v>
      </c>
    </row>
    <row r="232" spans="1:9">
      <c r="A232" s="124" t="s">
        <v>1231</v>
      </c>
      <c r="B232" s="113"/>
      <c r="C232" s="128"/>
      <c r="D232" s="128"/>
      <c r="E232" s="127"/>
      <c r="H232" s="115">
        <f t="shared" si="51"/>
        <v>0</v>
      </c>
    </row>
    <row r="233" spans="1:9">
      <c r="A233" s="124" t="s">
        <v>1232</v>
      </c>
      <c r="B233" s="113"/>
      <c r="C233" s="128"/>
      <c r="D233" s="128"/>
      <c r="E233" s="127"/>
      <c r="H233" s="115">
        <f t="shared" si="51"/>
        <v>0</v>
      </c>
    </row>
    <row r="234" spans="1:9">
      <c r="A234" s="125" t="s">
        <v>1233</v>
      </c>
      <c r="B234" s="113"/>
      <c r="C234" s="130"/>
      <c r="D234" s="130"/>
      <c r="E234" s="130">
        <f t="shared" ref="E234:H234" si="52">E208+E215</f>
        <v>246130378.23000023</v>
      </c>
      <c r="F234" s="130">
        <f t="shared" si="52"/>
        <v>0</v>
      </c>
      <c r="G234" s="130">
        <f t="shared" si="52"/>
        <v>0</v>
      </c>
      <c r="H234" s="130">
        <f t="shared" si="52"/>
        <v>246130378.22999975</v>
      </c>
    </row>
    <row r="235" spans="1:9">
      <c r="A235" s="123" t="s">
        <v>1234</v>
      </c>
      <c r="B235" s="113"/>
      <c r="C235" s="128"/>
      <c r="D235" s="128"/>
      <c r="E235" s="128">
        <f>E213+E216</f>
        <v>246130378.23000023</v>
      </c>
      <c r="F235" s="128">
        <f t="shared" ref="F235:H235" si="53">F213+F216</f>
        <v>0</v>
      </c>
      <c r="G235" s="128">
        <f t="shared" si="53"/>
        <v>0</v>
      </c>
      <c r="H235" s="128">
        <f t="shared" si="53"/>
        <v>246130378.22999975</v>
      </c>
    </row>
    <row r="236" spans="1:9">
      <c r="A236" s="123" t="s">
        <v>1235</v>
      </c>
      <c r="B236" s="113"/>
      <c r="C236" s="128"/>
      <c r="D236" s="128"/>
      <c r="E236" s="128">
        <f t="shared" ref="E236:H236" si="54">E214+E233</f>
        <v>0</v>
      </c>
      <c r="F236" s="128">
        <f t="shared" si="54"/>
        <v>0</v>
      </c>
      <c r="G236" s="128">
        <f t="shared" si="54"/>
        <v>0</v>
      </c>
      <c r="H236" s="128">
        <f t="shared" si="54"/>
        <v>0</v>
      </c>
    </row>
    <row r="237" spans="1:9">
      <c r="A237" s="125" t="s">
        <v>1236</v>
      </c>
      <c r="B237" s="113"/>
      <c r="C237" s="130"/>
      <c r="D237" s="130"/>
      <c r="E237" s="127"/>
    </row>
    <row r="238" spans="1:9">
      <c r="A238" s="123" t="s">
        <v>1237</v>
      </c>
      <c r="B238" s="113"/>
      <c r="C238" s="130"/>
      <c r="D238" s="130"/>
      <c r="E238" s="127"/>
    </row>
    <row r="239" spans="1:9">
      <c r="A239" s="123" t="s">
        <v>1238</v>
      </c>
      <c r="B239" s="113"/>
      <c r="C239" s="130"/>
      <c r="D239" s="130"/>
      <c r="E239" s="127"/>
    </row>
    <row r="240" spans="1:9">
      <c r="A240" s="124" t="s">
        <v>1239</v>
      </c>
      <c r="B240" s="113" t="s">
        <v>1240</v>
      </c>
      <c r="C240" s="130"/>
      <c r="D240" s="130"/>
      <c r="E240" s="132">
        <f>_xlfn.IFNA(VLOOKUP(I240,科目余额表!B:M,6,0),0)</f>
        <v>837672284.46000004</v>
      </c>
      <c r="F240" s="1">
        <f>ROUND(SUMIF(本期ETY!D:D,B240,本期ETY!F:F),2)</f>
        <v>0</v>
      </c>
      <c r="G240" s="1">
        <f>ROUND(SUMIF(本期ETY!D:D,B240,本期ETY!G:G),2)</f>
        <v>0</v>
      </c>
      <c r="H240" s="115">
        <f>ROUND(E240-F240+G240,2)</f>
        <v>837672284.46000004</v>
      </c>
      <c r="I240" s="1" t="s">
        <v>1243</v>
      </c>
    </row>
    <row r="241" spans="1:8">
      <c r="A241" s="124" t="s">
        <v>1241</v>
      </c>
      <c r="B241" s="113" t="s">
        <v>1241</v>
      </c>
      <c r="C241" s="130"/>
      <c r="D241" s="130"/>
      <c r="E241" s="133"/>
      <c r="F241" s="1">
        <f>ROUND(SUMIF(本期ETY!D:D,B241,本期ETY!F:F),2)</f>
        <v>0</v>
      </c>
      <c r="G241" s="1">
        <f>ROUND(SUMIF(本期ETY!D:D,B241,本期ETY!G:G),2)</f>
        <v>0</v>
      </c>
      <c r="H241" s="115">
        <f>ROUND(E241-F241+G241,2)</f>
        <v>0</v>
      </c>
    </row>
    <row r="242" spans="1:8">
      <c r="A242" s="123" t="s">
        <v>1242</v>
      </c>
      <c r="E242" s="111">
        <f>E240+E241</f>
        <v>837672284.46000004</v>
      </c>
      <c r="F242" s="1">
        <f>ROUND(SUMIF(本期ETY!D:D,B242,本期ETY!F:F),2)</f>
        <v>0</v>
      </c>
      <c r="G242" s="1">
        <f>ROUND(SUMIF(本期ETY!D:D,B242,本期ETY!G:G),2)</f>
        <v>0</v>
      </c>
      <c r="H242" s="115">
        <f>H240+H241</f>
        <v>837672284.46000004</v>
      </c>
    </row>
    <row r="243" spans="1:8">
      <c r="A243" s="125" t="s">
        <v>1244</v>
      </c>
      <c r="E243" s="134">
        <f>E242+E213</f>
        <v>1083802662.6900003</v>
      </c>
      <c r="F243" s="134">
        <f>F242+F208</f>
        <v>0</v>
      </c>
      <c r="G243" s="134">
        <f>G242+G208</f>
        <v>0</v>
      </c>
      <c r="H243" s="134">
        <f>H242+H213</f>
        <v>1083802662.6899998</v>
      </c>
    </row>
    <row r="244" spans="1:8">
      <c r="A244" s="123" t="s">
        <v>1245</v>
      </c>
      <c r="B244" s="18" t="s">
        <v>1246</v>
      </c>
      <c r="E244" s="135"/>
      <c r="F244" s="1">
        <f>ROUND(SUMIF(本期ETY!D:D,B244,本期ETY!F:F),2)</f>
        <v>0</v>
      </c>
      <c r="G244" s="1">
        <f>ROUND(SUMIF(本期ETY!D:D,B244,本期ETY!G:G),2)</f>
        <v>0</v>
      </c>
      <c r="H244" s="115">
        <f t="shared" ref="H244:H249" si="55">ROUND(E244+F244-G244,2)</f>
        <v>0</v>
      </c>
    </row>
    <row r="245" spans="1:8">
      <c r="A245" s="123" t="s">
        <v>1247</v>
      </c>
      <c r="B245" s="18" t="s">
        <v>1248</v>
      </c>
      <c r="E245" s="135"/>
      <c r="F245" s="1">
        <f>ROUND(SUMIF(本期ETY!D:D,B245,本期ETY!F:F),2)</f>
        <v>0</v>
      </c>
      <c r="G245" s="1">
        <f>ROUND(SUMIF(本期ETY!D:D,B245,本期ETY!G:G),2)</f>
        <v>0</v>
      </c>
      <c r="H245" s="115">
        <f t="shared" si="55"/>
        <v>0</v>
      </c>
    </row>
    <row r="246" spans="1:8">
      <c r="A246" s="123" t="s">
        <v>1249</v>
      </c>
      <c r="B246" s="18" t="s">
        <v>1250</v>
      </c>
      <c r="E246" s="135"/>
      <c r="F246" s="1">
        <f>ROUND(SUMIF(本期ETY!D:D,B246,本期ETY!F:F),2)</f>
        <v>0</v>
      </c>
      <c r="G246" s="1">
        <f>ROUND(SUMIF(本期ETY!D:D,B246,本期ETY!G:G),2)</f>
        <v>0</v>
      </c>
      <c r="H246" s="115">
        <f t="shared" si="55"/>
        <v>0</v>
      </c>
    </row>
    <row r="247" spans="1:8">
      <c r="A247" s="123" t="s">
        <v>1251</v>
      </c>
      <c r="B247" s="18" t="s">
        <v>1252</v>
      </c>
      <c r="E247" s="135"/>
      <c r="F247" s="1">
        <f>ROUND(SUMIF(本期ETY!D:D,B247,本期ETY!F:F),2)</f>
        <v>0</v>
      </c>
      <c r="G247" s="1">
        <f>ROUND(SUMIF(本期ETY!D:D,B247,本期ETY!G:G),2)</f>
        <v>0</v>
      </c>
      <c r="H247" s="115">
        <f t="shared" si="55"/>
        <v>0</v>
      </c>
    </row>
    <row r="248" spans="1:8">
      <c r="A248" s="123" t="s">
        <v>1253</v>
      </c>
      <c r="B248" s="18" t="s">
        <v>1254</v>
      </c>
      <c r="E248" s="135"/>
      <c r="F248" s="1">
        <f>ROUND(SUMIF(本期ETY!D:D,B248,本期ETY!F:F),2)</f>
        <v>0</v>
      </c>
      <c r="G248" s="1">
        <f>ROUND(SUMIF(本期ETY!D:D,B248,本期ETY!G:G),2)</f>
        <v>0</v>
      </c>
      <c r="H248" s="115">
        <f t="shared" si="55"/>
        <v>0</v>
      </c>
    </row>
    <row r="249" spans="1:8">
      <c r="A249" s="123" t="s">
        <v>1255</v>
      </c>
      <c r="B249" s="18" t="s">
        <v>1256</v>
      </c>
      <c r="E249" s="135"/>
      <c r="F249" s="1">
        <f>ROUND(SUMIF(本期ETY!D:D,B249,本期ETY!F:F),2)</f>
        <v>0</v>
      </c>
      <c r="G249" s="1">
        <f>ROUND(SUMIF(本期ETY!D:D,B249,本期ETY!G:G),2)</f>
        <v>0</v>
      </c>
      <c r="H249" s="115">
        <f t="shared" si="55"/>
        <v>0</v>
      </c>
    </row>
    <row r="250" spans="1:8">
      <c r="A250" s="125" t="s">
        <v>1257</v>
      </c>
      <c r="E250" s="134">
        <f>E243-SUM(E244:E249)</f>
        <v>1083802662.6900003</v>
      </c>
      <c r="F250" s="134">
        <f t="shared" ref="F250:H250" si="56">F243-SUM(F244:F249)</f>
        <v>0</v>
      </c>
      <c r="G250" s="134">
        <f t="shared" si="56"/>
        <v>0</v>
      </c>
      <c r="H250" s="134">
        <f t="shared" si="56"/>
        <v>1083802662.6899998</v>
      </c>
    </row>
    <row r="251" spans="1:8">
      <c r="A251" s="123" t="s">
        <v>1258</v>
      </c>
      <c r="B251" s="18" t="s">
        <v>1259</v>
      </c>
      <c r="E251" s="135"/>
      <c r="F251" s="1">
        <f>ROUND(SUMIF(本期ETY!D:D,B251,本期ETY!F:F),2)</f>
        <v>0</v>
      </c>
      <c r="G251" s="1">
        <f>ROUND(SUMIF(本期ETY!D:D,B251,本期ETY!G:G),2)</f>
        <v>0</v>
      </c>
      <c r="H251" s="115">
        <f t="shared" ref="H251:H254" si="57">ROUND(E251+F251-G251,2)</f>
        <v>0</v>
      </c>
    </row>
    <row r="252" spans="1:8">
      <c r="A252" s="123" t="s">
        <v>1260</v>
      </c>
      <c r="B252" s="18" t="s">
        <v>1261</v>
      </c>
      <c r="E252" s="135"/>
      <c r="F252" s="1">
        <f>ROUND(SUMIF(本期ETY!D:D,B252,本期ETY!F:F),2)</f>
        <v>0</v>
      </c>
      <c r="G252" s="1">
        <f>ROUND(SUMIF(本期ETY!D:D,B252,本期ETY!G:G),2)</f>
        <v>0</v>
      </c>
      <c r="H252" s="115">
        <f t="shared" si="57"/>
        <v>0</v>
      </c>
    </row>
    <row r="253" spans="1:8">
      <c r="A253" s="123" t="s">
        <v>1262</v>
      </c>
      <c r="B253" s="18" t="s">
        <v>1263</v>
      </c>
      <c r="E253" s="136"/>
      <c r="F253" s="1">
        <f>ROUND(SUMIF(本期ETY!D:D,B253,本期ETY!F:F),2)</f>
        <v>0</v>
      </c>
      <c r="G253" s="1">
        <f>ROUND(SUMIF(本期ETY!D:D,B253,本期ETY!G:G),2)</f>
        <v>0</v>
      </c>
      <c r="H253" s="115">
        <f t="shared" si="57"/>
        <v>0</v>
      </c>
    </row>
    <row r="254" spans="1:8">
      <c r="A254" s="123" t="s">
        <v>1264</v>
      </c>
      <c r="B254" s="18" t="s">
        <v>1265</v>
      </c>
      <c r="E254" s="136"/>
      <c r="F254" s="1">
        <f>ROUND(SUMIF(本期ETY!D:D,B254,本期ETY!F:F),2)</f>
        <v>0</v>
      </c>
      <c r="G254" s="1">
        <f>ROUND(SUMIF(本期ETY!D:D,B254,本期ETY!G:G),2)</f>
        <v>0</v>
      </c>
      <c r="H254" s="115">
        <f t="shared" si="57"/>
        <v>0</v>
      </c>
    </row>
    <row r="255" spans="1:8">
      <c r="A255" s="125" t="s">
        <v>1266</v>
      </c>
      <c r="E255" s="134">
        <f>E250-SUM(E251:E254)</f>
        <v>1083802662.6900003</v>
      </c>
      <c r="F255" s="134">
        <f t="shared" ref="F255:H255" si="58">F250-SUM(F251:F254)</f>
        <v>0</v>
      </c>
      <c r="G255" s="134">
        <f t="shared" si="58"/>
        <v>0</v>
      </c>
      <c r="H255" s="134">
        <f t="shared" si="58"/>
        <v>1083802662.6899998</v>
      </c>
    </row>
    <row r="256" spans="1:8">
      <c r="A256" s="123" t="s">
        <v>1267</v>
      </c>
      <c r="E256" s="134">
        <f>E169-E108</f>
        <v>88203818.979997635</v>
      </c>
      <c r="H256" s="134">
        <f>H169-H108</f>
        <v>88203818.979997635</v>
      </c>
    </row>
    <row r="257" spans="1:8">
      <c r="A257" s="123" t="s">
        <v>1268</v>
      </c>
      <c r="H257" s="134">
        <f>H240-上期TB!H253</f>
        <v>-286220514.48999977</v>
      </c>
    </row>
    <row r="259" spans="1:8">
      <c r="E259" s="1"/>
    </row>
    <row r="260" spans="1:8">
      <c r="E260" s="134"/>
    </row>
  </sheetData>
  <phoneticPr fontId="1" type="noConversion"/>
  <conditionalFormatting sqref="I71:L71">
    <cfRule type="uniqueValues" dxfId="186" priority="5"/>
    <cfRule type="uniqueValues" dxfId="185" priority="6"/>
  </conditionalFormatting>
  <conditionalFormatting sqref="I68:L68 K69 I69:I70">
    <cfRule type="uniqueValues" dxfId="184" priority="3"/>
    <cfRule type="uniqueValues" dxfId="183" priority="4"/>
  </conditionalFormatting>
  <conditionalFormatting sqref="K70">
    <cfRule type="uniqueValues" dxfId="182" priority="1"/>
    <cfRule type="uniqueValues" dxfId="181"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codeName="Sheet40">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88</v>
      </c>
      <c r="B2" s="42"/>
      <c r="C2" s="42"/>
    </row>
    <row r="3" spans="1:3" ht="14.4">
      <c r="A3" s="61" t="s">
        <v>89</v>
      </c>
      <c r="B3" s="42"/>
      <c r="C3" s="42"/>
    </row>
    <row r="4" spans="1:3" ht="14.4">
      <c r="A4" s="61" t="s">
        <v>90</v>
      </c>
      <c r="B4" s="42"/>
      <c r="C4" s="42"/>
    </row>
    <row r="5" spans="1:3" ht="14.4">
      <c r="A5" s="61" t="s">
        <v>91</v>
      </c>
      <c r="B5" s="42"/>
      <c r="C5" s="42"/>
    </row>
    <row r="6" spans="1:3" ht="14.4">
      <c r="A6" s="61" t="s">
        <v>80</v>
      </c>
      <c r="B6" s="55"/>
      <c r="C6" s="55"/>
    </row>
    <row r="7" spans="1:3" ht="14.4">
      <c r="A7" s="61" t="s">
        <v>92</v>
      </c>
      <c r="B7" s="55"/>
      <c r="C7" s="55"/>
    </row>
    <row r="8" spans="1:3" ht="14.4">
      <c r="A8" s="61" t="s">
        <v>93</v>
      </c>
      <c r="B8" s="55"/>
      <c r="C8" s="55"/>
    </row>
    <row r="9" spans="1:3" ht="14.4">
      <c r="A9" s="61" t="s">
        <v>94</v>
      </c>
      <c r="B9" s="55"/>
      <c r="C9" s="55"/>
    </row>
    <row r="10" spans="1:3" ht="14.4">
      <c r="A10" s="61" t="s">
        <v>70</v>
      </c>
      <c r="B10" s="55"/>
      <c r="C10" s="55"/>
    </row>
    <row r="11" spans="1:3" ht="14.4">
      <c r="A11" s="61" t="s">
        <v>72</v>
      </c>
      <c r="B11" s="55"/>
      <c r="C11" s="55"/>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codeName="Sheet400">
    <tabColor rgb="FFFFC000"/>
  </sheetPr>
  <dimension ref="A1:D10"/>
  <sheetViews>
    <sheetView workbookViewId="0">
      <selection activeCell="J6" sqref="J6"/>
    </sheetView>
  </sheetViews>
  <sheetFormatPr defaultRowHeight="13.8"/>
  <cols>
    <col min="1" max="16384" width="8.88671875" style="18"/>
  </cols>
  <sheetData>
    <row r="1" spans="1:4" ht="72">
      <c r="A1" s="20" t="s">
        <v>446</v>
      </c>
      <c r="B1" s="20" t="s">
        <v>447</v>
      </c>
      <c r="C1" s="20" t="s">
        <v>448</v>
      </c>
      <c r="D1" s="20" t="s">
        <v>449</v>
      </c>
    </row>
    <row r="2" spans="1:4" ht="14.4">
      <c r="A2" s="270"/>
      <c r="B2" s="270"/>
      <c r="C2" s="270"/>
      <c r="D2" s="270"/>
    </row>
    <row r="3" spans="1:4" ht="14.4">
      <c r="A3" s="308"/>
      <c r="B3" s="281"/>
      <c r="C3" s="281"/>
      <c r="D3" s="281"/>
    </row>
    <row r="4" spans="1:4">
      <c r="A4" s="247"/>
      <c r="B4" s="247"/>
      <c r="C4" s="247"/>
      <c r="D4" s="247"/>
    </row>
    <row r="5" spans="1:4">
      <c r="A5" s="247"/>
      <c r="B5" s="247"/>
      <c r="C5" s="247"/>
      <c r="D5" s="247"/>
    </row>
    <row r="6" spans="1:4">
      <c r="A6" s="247"/>
      <c r="B6" s="247"/>
      <c r="C6" s="247"/>
      <c r="D6" s="247"/>
    </row>
    <row r="7" spans="1:4">
      <c r="A7" s="247"/>
      <c r="B7" s="247"/>
      <c r="C7" s="247"/>
      <c r="D7" s="247"/>
    </row>
    <row r="8" spans="1:4">
      <c r="A8" s="247"/>
      <c r="B8" s="247"/>
      <c r="C8" s="247"/>
      <c r="D8" s="247"/>
    </row>
    <row r="9" spans="1:4">
      <c r="A9" s="247"/>
      <c r="B9" s="247"/>
      <c r="C9" s="247"/>
      <c r="D9" s="247"/>
    </row>
    <row r="10" spans="1:4">
      <c r="A10" s="247"/>
      <c r="B10" s="247"/>
      <c r="C10" s="247"/>
      <c r="D10" s="247"/>
    </row>
  </sheetData>
  <phoneticPr fontId="1" type="noConversion"/>
  <pageMargins left="0.7" right="0.7" top="0.75" bottom="0.75" header="0.3" footer="0.3"/>
  <pageSetup paperSize="9" orientation="portrait" verticalDpi="0" r:id="rId1"/>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codeName="Sheet401">
    <tabColor rgb="FFFFC000"/>
  </sheetPr>
  <dimension ref="A1:F8"/>
  <sheetViews>
    <sheetView workbookViewId="0">
      <selection activeCell="N21" sqref="N21"/>
    </sheetView>
  </sheetViews>
  <sheetFormatPr defaultRowHeight="13.8"/>
  <sheetData>
    <row r="1" spans="1:6" ht="28.8" customHeight="1">
      <c r="A1" s="32" t="s">
        <v>1812</v>
      </c>
      <c r="B1" s="32" t="s">
        <v>1813</v>
      </c>
      <c r="C1" s="32" t="s">
        <v>113</v>
      </c>
      <c r="D1" s="32" t="s">
        <v>115</v>
      </c>
      <c r="E1" s="32" t="s">
        <v>1769</v>
      </c>
      <c r="F1" s="32" t="s">
        <v>1770</v>
      </c>
    </row>
    <row r="2" spans="1:6" ht="14.4">
      <c r="A2" s="308"/>
      <c r="B2" s="308"/>
      <c r="C2" s="308"/>
      <c r="D2" s="308"/>
      <c r="E2" s="270"/>
      <c r="F2" s="270"/>
    </row>
    <row r="3" spans="1:6" ht="14.4">
      <c r="A3" s="308"/>
      <c r="B3" s="308"/>
      <c r="C3" s="308"/>
      <c r="D3" s="308"/>
      <c r="E3" s="308"/>
      <c r="F3" s="308"/>
    </row>
    <row r="4" spans="1:6">
      <c r="A4" s="256"/>
      <c r="B4" s="256"/>
      <c r="C4" s="256"/>
      <c r="D4" s="256"/>
      <c r="E4" s="256"/>
      <c r="F4" s="256"/>
    </row>
    <row r="5" spans="1:6">
      <c r="A5" s="256"/>
      <c r="B5" s="256"/>
      <c r="C5" s="256"/>
      <c r="D5" s="256"/>
      <c r="E5" s="256"/>
      <c r="F5" s="256"/>
    </row>
    <row r="6" spans="1:6">
      <c r="A6" s="256"/>
      <c r="B6" s="256"/>
      <c r="C6" s="256"/>
      <c r="D6" s="256"/>
      <c r="E6" s="256"/>
      <c r="F6" s="256"/>
    </row>
    <row r="7" spans="1:6">
      <c r="A7" s="256"/>
      <c r="B7" s="256"/>
      <c r="C7" s="256"/>
      <c r="D7" s="256"/>
      <c r="E7" s="256"/>
      <c r="F7" s="256"/>
    </row>
    <row r="8" spans="1:6">
      <c r="A8" s="256"/>
      <c r="B8" s="256"/>
      <c r="C8" s="256"/>
      <c r="D8" s="256"/>
      <c r="E8" s="256"/>
      <c r="F8" s="256"/>
    </row>
  </sheetData>
  <phoneticPr fontId="1" type="noConversion"/>
  <pageMargins left="0.7" right="0.7" top="0.75" bottom="0.75" header="0.3" footer="0.3"/>
  <pageSetup paperSize="9" orientation="portrait" verticalDpi="0" r:id="rId1"/>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codeName="Sheet402">
    <tabColor rgb="FFFFC000"/>
  </sheetPr>
  <dimension ref="A1:F7"/>
  <sheetViews>
    <sheetView workbookViewId="0">
      <selection activeCell="F26" sqref="F26"/>
    </sheetView>
  </sheetViews>
  <sheetFormatPr defaultRowHeight="13.8"/>
  <cols>
    <col min="1" max="1" width="27" customWidth="1"/>
    <col min="2" max="6" width="16.77734375" customWidth="1"/>
  </cols>
  <sheetData>
    <row r="1" spans="1:6" ht="14.4">
      <c r="A1" s="32" t="s">
        <v>28</v>
      </c>
      <c r="B1" s="20" t="s">
        <v>4242</v>
      </c>
      <c r="C1" s="20" t="s">
        <v>1814</v>
      </c>
      <c r="D1" s="20" t="s">
        <v>277</v>
      </c>
      <c r="E1" s="20" t="s">
        <v>1815</v>
      </c>
      <c r="F1" s="20" t="s">
        <v>280</v>
      </c>
    </row>
    <row r="2" spans="1:6" ht="14.4">
      <c r="A2" s="269" t="s">
        <v>1816</v>
      </c>
      <c r="B2" s="281"/>
      <c r="C2" s="281"/>
      <c r="D2" s="281"/>
      <c r="E2" s="281"/>
      <c r="F2" s="281"/>
    </row>
    <row r="3" spans="1:6" ht="14.4">
      <c r="A3" s="269" t="s">
        <v>528</v>
      </c>
      <c r="B3" s="281"/>
      <c r="C3" s="281"/>
      <c r="D3" s="281"/>
      <c r="E3" s="281"/>
      <c r="F3" s="281"/>
    </row>
    <row r="4" spans="1:6" ht="14.4">
      <c r="A4" s="269" t="s">
        <v>785</v>
      </c>
      <c r="B4" s="281"/>
      <c r="C4" s="281"/>
      <c r="D4" s="281"/>
      <c r="E4" s="281"/>
      <c r="F4" s="281"/>
    </row>
    <row r="5" spans="1:6" ht="14.4">
      <c r="A5" s="269" t="s">
        <v>93</v>
      </c>
      <c r="B5" s="281"/>
      <c r="C5" s="281"/>
      <c r="D5" s="281"/>
      <c r="E5" s="281"/>
      <c r="F5" s="281"/>
    </row>
    <row r="6" spans="1:6" ht="14.4">
      <c r="A6" s="269" t="s">
        <v>13</v>
      </c>
      <c r="B6" s="281"/>
      <c r="C6" s="281"/>
      <c r="D6" s="281"/>
      <c r="E6" s="281"/>
      <c r="F6" s="281"/>
    </row>
    <row r="7" spans="1:6" ht="14.4">
      <c r="A7" s="269" t="s">
        <v>282</v>
      </c>
      <c r="B7" s="281"/>
      <c r="C7" s="281"/>
      <c r="D7" s="281"/>
      <c r="E7" s="281"/>
      <c r="F7" s="281"/>
    </row>
  </sheetData>
  <phoneticPr fontId="1"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codeName="Sheet403">
    <tabColor rgb="FFFFC000"/>
  </sheetPr>
  <dimension ref="A1:F7"/>
  <sheetViews>
    <sheetView workbookViewId="0">
      <selection activeCell="L25" sqref="L25"/>
    </sheetView>
  </sheetViews>
  <sheetFormatPr defaultRowHeight="13.8"/>
  <sheetData>
    <row r="1" spans="1:6" ht="28.8">
      <c r="A1" s="32" t="s">
        <v>28</v>
      </c>
      <c r="B1" s="20" t="s">
        <v>379</v>
      </c>
      <c r="C1" s="20" t="s">
        <v>1814</v>
      </c>
      <c r="D1" s="20" t="s">
        <v>277</v>
      </c>
      <c r="E1" s="20" t="s">
        <v>1815</v>
      </c>
      <c r="F1" s="20" t="s">
        <v>280</v>
      </c>
    </row>
    <row r="2" spans="1:6" ht="14.4">
      <c r="A2" s="269" t="s">
        <v>1816</v>
      </c>
      <c r="B2" s="281"/>
      <c r="C2" s="281"/>
      <c r="D2" s="281"/>
      <c r="E2" s="281"/>
      <c r="F2" s="281"/>
    </row>
    <row r="3" spans="1:6" ht="28.8">
      <c r="A3" s="269" t="s">
        <v>528</v>
      </c>
      <c r="B3" s="281"/>
      <c r="C3" s="281"/>
      <c r="D3" s="281"/>
      <c r="E3" s="281"/>
      <c r="F3" s="281"/>
    </row>
    <row r="4" spans="1:6" ht="14.4">
      <c r="A4" s="269" t="s">
        <v>785</v>
      </c>
      <c r="B4" s="281"/>
      <c r="C4" s="281"/>
      <c r="D4" s="281"/>
      <c r="E4" s="281"/>
      <c r="F4" s="281"/>
    </row>
    <row r="5" spans="1:6" ht="14.4">
      <c r="A5" s="269" t="s">
        <v>93</v>
      </c>
      <c r="B5" s="281"/>
      <c r="C5" s="281"/>
      <c r="D5" s="281"/>
      <c r="E5" s="281"/>
      <c r="F5" s="281"/>
    </row>
    <row r="6" spans="1:6" ht="14.4">
      <c r="A6" s="269" t="s">
        <v>13</v>
      </c>
      <c r="B6" s="281"/>
      <c r="C6" s="281"/>
      <c r="D6" s="281"/>
      <c r="E6" s="281"/>
      <c r="F6" s="281"/>
    </row>
    <row r="7" spans="1:6" ht="14.4">
      <c r="A7" s="269" t="s">
        <v>282</v>
      </c>
      <c r="B7" s="281"/>
      <c r="C7" s="281"/>
      <c r="D7" s="281"/>
      <c r="E7" s="281"/>
      <c r="F7" s="281"/>
    </row>
  </sheetData>
  <phoneticPr fontId="1" type="noConversion"/>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codeName="Sheet404">
    <tabColor rgb="FFFFC000"/>
  </sheetPr>
  <dimension ref="A1:F4"/>
  <sheetViews>
    <sheetView workbookViewId="0">
      <selection activeCell="E26" sqref="E26"/>
    </sheetView>
  </sheetViews>
  <sheetFormatPr defaultRowHeight="13.8"/>
  <cols>
    <col min="1" max="2" width="8.88671875" style="367"/>
    <col min="3" max="6" width="24.33203125" style="367" customWidth="1"/>
    <col min="7" max="16384" width="8.88671875" style="367"/>
  </cols>
  <sheetData>
    <row r="1" spans="1:6" ht="14.4">
      <c r="A1" s="365" t="s">
        <v>28</v>
      </c>
      <c r="B1" s="365" t="s">
        <v>4243</v>
      </c>
      <c r="C1" s="366" t="s">
        <v>1818</v>
      </c>
      <c r="D1" s="366" t="s">
        <v>1817</v>
      </c>
      <c r="E1" s="366" t="s">
        <v>1819</v>
      </c>
      <c r="F1" s="366" t="s">
        <v>1820</v>
      </c>
    </row>
    <row r="2" spans="1:6" ht="14.4">
      <c r="A2" s="368"/>
      <c r="B2" s="369" t="s">
        <v>2830</v>
      </c>
      <c r="C2" s="368"/>
      <c r="D2" s="368"/>
      <c r="E2" s="368"/>
      <c r="F2" s="368"/>
    </row>
    <row r="3" spans="1:6" ht="14.4">
      <c r="A3" s="368"/>
      <c r="B3" s="369" t="s">
        <v>2831</v>
      </c>
      <c r="C3" s="368"/>
      <c r="D3" s="368"/>
      <c r="E3" s="370"/>
      <c r="F3" s="368"/>
    </row>
    <row r="4" spans="1:6">
      <c r="A4" s="65"/>
      <c r="B4" s="65"/>
      <c r="C4" s="65"/>
      <c r="D4" s="65"/>
      <c r="E4" s="65"/>
      <c r="F4" s="65"/>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codeName="Sheet405">
    <tabColor rgb="FFFFC000"/>
  </sheetPr>
  <dimension ref="A1:C8"/>
  <sheetViews>
    <sheetView workbookViewId="0">
      <selection activeCell="H25" sqref="H25"/>
    </sheetView>
  </sheetViews>
  <sheetFormatPr defaultRowHeight="13.8"/>
  <cols>
    <col min="1" max="3" width="16.77734375" customWidth="1"/>
  </cols>
  <sheetData>
    <row r="1" spans="1:3" ht="14.4">
      <c r="A1" s="75" t="s">
        <v>28</v>
      </c>
      <c r="B1" s="75" t="s">
        <v>199</v>
      </c>
      <c r="C1" s="75" t="s">
        <v>200</v>
      </c>
    </row>
    <row r="2" spans="1:3" ht="14.4">
      <c r="A2" s="318" t="s">
        <v>1821</v>
      </c>
      <c r="B2" s="364"/>
      <c r="C2" s="364"/>
    </row>
    <row r="3" spans="1:3" ht="14.4">
      <c r="A3" s="318" t="s">
        <v>9</v>
      </c>
      <c r="B3" s="364"/>
      <c r="C3" s="364"/>
    </row>
    <row r="4" spans="1:3" ht="14.4">
      <c r="A4" s="318" t="s">
        <v>10</v>
      </c>
      <c r="B4" s="364"/>
      <c r="C4" s="364"/>
    </row>
    <row r="5" spans="1:3" ht="14.4">
      <c r="A5" s="318" t="s">
        <v>93</v>
      </c>
      <c r="B5" s="364"/>
      <c r="C5" s="364"/>
    </row>
    <row r="6" spans="1:3" ht="14.4">
      <c r="A6" s="318" t="s">
        <v>560</v>
      </c>
      <c r="B6" s="364"/>
      <c r="C6" s="364"/>
    </row>
    <row r="7" spans="1:3" ht="14.4">
      <c r="A7" s="318" t="s">
        <v>768</v>
      </c>
      <c r="B7" s="364"/>
      <c r="C7" s="364"/>
    </row>
    <row r="8" spans="1:3">
      <c r="A8" s="364" t="s">
        <v>2</v>
      </c>
      <c r="B8" s="364"/>
      <c r="C8" s="364"/>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codeName="Sheet406">
    <tabColor rgb="FFFFC000"/>
  </sheetPr>
  <dimension ref="A1:G5"/>
  <sheetViews>
    <sheetView workbookViewId="0">
      <selection activeCell="G26" sqref="G2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0" t="s">
        <v>28</v>
      </c>
      <c r="B1" s="240" t="s">
        <v>1822</v>
      </c>
      <c r="C1" s="239" t="s">
        <v>1818</v>
      </c>
      <c r="D1" s="239" t="s">
        <v>1817</v>
      </c>
      <c r="E1" s="239" t="s">
        <v>1819</v>
      </c>
      <c r="F1" s="239" t="s">
        <v>1820</v>
      </c>
      <c r="G1" s="18"/>
    </row>
    <row r="2" spans="1:7" ht="28.8">
      <c r="A2" s="319"/>
      <c r="B2" s="302" t="s">
        <v>1823</v>
      </c>
      <c r="C2" s="319"/>
      <c r="D2" s="319"/>
      <c r="E2" s="319"/>
      <c r="F2" s="319"/>
      <c r="G2" s="18"/>
    </row>
    <row r="3" spans="1:7" ht="28.8">
      <c r="A3" s="319"/>
      <c r="B3" s="302" t="s">
        <v>1824</v>
      </c>
      <c r="C3" s="319"/>
      <c r="D3" s="319"/>
      <c r="E3" s="319"/>
      <c r="F3" s="319"/>
      <c r="G3" s="18"/>
    </row>
    <row r="4" spans="1:7">
      <c r="A4" s="55"/>
      <c r="B4" s="55"/>
      <c r="C4" s="55"/>
      <c r="D4" s="55"/>
      <c r="E4" s="55"/>
      <c r="F4" s="55"/>
      <c r="G4" s="18"/>
    </row>
    <row r="5" spans="1:7">
      <c r="A5" s="18"/>
      <c r="B5" s="18"/>
      <c r="C5" s="18"/>
      <c r="D5" s="18"/>
      <c r="E5" s="18"/>
      <c r="F5" s="18"/>
      <c r="G5" s="18"/>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codeName="Sheet407">
    <tabColor rgb="FFFFC000"/>
  </sheetPr>
  <dimension ref="A1:E35"/>
  <sheetViews>
    <sheetView workbookViewId="0">
      <pane xSplit="1" ySplit="1" topLeftCell="B14" activePane="bottomRight" state="frozen"/>
      <selection activeCell="D22" sqref="D22"/>
      <selection pane="topRight" activeCell="D22" sqref="D22"/>
      <selection pane="bottomLeft" activeCell="D22" sqref="D22"/>
      <selection pane="bottomRight" activeCell="H41" sqref="H41"/>
    </sheetView>
  </sheetViews>
  <sheetFormatPr defaultRowHeight="13.8"/>
  <cols>
    <col min="1" max="1" width="56.21875" customWidth="1"/>
  </cols>
  <sheetData>
    <row r="1" spans="1:5" ht="21.6">
      <c r="A1" s="26" t="s">
        <v>28</v>
      </c>
      <c r="B1" s="24" t="s">
        <v>1833</v>
      </c>
      <c r="C1" s="24" t="s">
        <v>1834</v>
      </c>
      <c r="D1" s="24" t="s">
        <v>1835</v>
      </c>
      <c r="E1" s="26" t="s">
        <v>4241</v>
      </c>
    </row>
    <row r="2" spans="1:5">
      <c r="A2" s="23" t="s">
        <v>1827</v>
      </c>
      <c r="B2" s="311"/>
      <c r="C2" s="311"/>
      <c r="D2" s="311"/>
      <c r="E2" s="311"/>
    </row>
    <row r="3" spans="1:5">
      <c r="A3" s="23" t="s">
        <v>4111</v>
      </c>
      <c r="B3" s="311"/>
      <c r="C3" s="311"/>
      <c r="D3" s="311"/>
      <c r="E3" s="311"/>
    </row>
    <row r="4" spans="1:5">
      <c r="A4" s="23" t="s">
        <v>4112</v>
      </c>
      <c r="B4" s="311"/>
      <c r="C4" s="311"/>
      <c r="D4" s="311"/>
      <c r="E4" s="311"/>
    </row>
    <row r="5" spans="1:5">
      <c r="A5" s="23" t="s">
        <v>1828</v>
      </c>
      <c r="B5" s="311"/>
      <c r="C5" s="311"/>
      <c r="D5" s="311"/>
      <c r="E5" s="311"/>
    </row>
    <row r="6" spans="1:5">
      <c r="A6" s="23" t="s">
        <v>201</v>
      </c>
      <c r="B6" s="311"/>
      <c r="C6" s="311"/>
      <c r="D6" s="311"/>
      <c r="E6" s="311"/>
    </row>
    <row r="7" spans="1:5">
      <c r="A7" s="23" t="s">
        <v>452</v>
      </c>
      <c r="B7" s="311"/>
      <c r="C7" s="311"/>
      <c r="D7" s="311"/>
      <c r="E7" s="311"/>
    </row>
    <row r="8" spans="1:5">
      <c r="A8" s="23" t="s">
        <v>4113</v>
      </c>
      <c r="B8" s="311"/>
      <c r="C8" s="311"/>
      <c r="D8" s="311"/>
      <c r="E8" s="311"/>
    </row>
    <row r="9" spans="1:5">
      <c r="A9" s="23" t="s">
        <v>1828</v>
      </c>
      <c r="B9" s="311"/>
      <c r="C9" s="311"/>
      <c r="D9" s="311"/>
      <c r="E9" s="311"/>
    </row>
    <row r="10" spans="1:5">
      <c r="A10" s="23" t="s">
        <v>13</v>
      </c>
      <c r="B10" s="311"/>
      <c r="C10" s="311"/>
      <c r="D10" s="311"/>
      <c r="E10" s="311"/>
    </row>
    <row r="11" spans="1:5">
      <c r="A11" s="23" t="s">
        <v>4114</v>
      </c>
      <c r="B11" s="311"/>
      <c r="C11" s="311"/>
      <c r="D11" s="311"/>
      <c r="E11" s="311"/>
    </row>
    <row r="12" spans="1:5">
      <c r="A12" s="23" t="s">
        <v>4115</v>
      </c>
      <c r="B12" s="311"/>
      <c r="C12" s="311"/>
      <c r="D12" s="311"/>
      <c r="E12" s="311"/>
    </row>
    <row r="13" spans="1:5">
      <c r="A13" s="23" t="s">
        <v>4116</v>
      </c>
      <c r="B13" s="311"/>
      <c r="C13" s="311"/>
      <c r="D13" s="311"/>
      <c r="E13" s="311"/>
    </row>
    <row r="14" spans="1:5">
      <c r="A14" s="23" t="s">
        <v>4117</v>
      </c>
      <c r="B14" s="311"/>
      <c r="C14" s="311"/>
      <c r="D14" s="311"/>
      <c r="E14" s="311"/>
    </row>
    <row r="15" spans="1:5">
      <c r="A15" s="23" t="s">
        <v>4118</v>
      </c>
      <c r="B15" s="311"/>
      <c r="C15" s="311"/>
      <c r="D15" s="311"/>
      <c r="E15" s="311"/>
    </row>
    <row r="16" spans="1:5">
      <c r="A16" s="23" t="s">
        <v>4119</v>
      </c>
      <c r="B16" s="311"/>
      <c r="C16" s="311"/>
      <c r="D16" s="311"/>
      <c r="E16" s="311"/>
    </row>
    <row r="17" spans="1:5">
      <c r="A17" s="23" t="s">
        <v>4120</v>
      </c>
      <c r="B17" s="311"/>
      <c r="C17" s="311"/>
      <c r="D17" s="311"/>
      <c r="E17" s="311"/>
    </row>
    <row r="18" spans="1:5">
      <c r="A18" s="23" t="s">
        <v>4121</v>
      </c>
      <c r="B18" s="311"/>
      <c r="C18" s="311"/>
      <c r="D18" s="311"/>
      <c r="E18" s="311"/>
    </row>
    <row r="19" spans="1:5">
      <c r="A19" s="23" t="s">
        <v>4122</v>
      </c>
      <c r="B19" s="311"/>
      <c r="C19" s="311"/>
      <c r="D19" s="311"/>
      <c r="E19" s="311"/>
    </row>
    <row r="20" spans="1:5">
      <c r="A20" s="23" t="s">
        <v>13</v>
      </c>
      <c r="B20" s="311"/>
      <c r="C20" s="311"/>
      <c r="D20" s="311"/>
      <c r="E20" s="311"/>
    </row>
    <row r="21" spans="1:5">
      <c r="A21" s="23" t="s">
        <v>1829</v>
      </c>
      <c r="B21" s="311"/>
      <c r="C21" s="311"/>
      <c r="D21" s="311"/>
      <c r="E21" s="311"/>
    </row>
    <row r="22" spans="1:5">
      <c r="A22" s="23" t="s">
        <v>4123</v>
      </c>
      <c r="B22" s="311"/>
      <c r="C22" s="311"/>
      <c r="D22" s="311"/>
      <c r="E22" s="311"/>
    </row>
    <row r="23" spans="1:5">
      <c r="A23" s="23" t="s">
        <v>4124</v>
      </c>
      <c r="B23" s="311"/>
      <c r="C23" s="311"/>
      <c r="D23" s="311"/>
      <c r="E23" s="311"/>
    </row>
    <row r="24" spans="1:5">
      <c r="A24" s="23" t="s">
        <v>1830</v>
      </c>
      <c r="B24" s="311"/>
      <c r="C24" s="311"/>
      <c r="D24" s="311"/>
      <c r="E24" s="311"/>
    </row>
    <row r="25" spans="1:5">
      <c r="A25" s="23" t="s">
        <v>1048</v>
      </c>
      <c r="B25" s="311"/>
      <c r="C25" s="311"/>
      <c r="D25" s="311"/>
      <c r="E25" s="311"/>
    </row>
    <row r="26" spans="1:5">
      <c r="A26" s="23" t="s">
        <v>13</v>
      </c>
      <c r="B26" s="311"/>
      <c r="C26" s="311"/>
      <c r="D26" s="311"/>
      <c r="E26" s="311"/>
    </row>
    <row r="27" spans="1:5">
      <c r="A27" s="23" t="s">
        <v>4125</v>
      </c>
      <c r="B27" s="311"/>
      <c r="C27" s="311"/>
      <c r="D27" s="311"/>
      <c r="E27" s="311"/>
    </row>
    <row r="28" spans="1:5">
      <c r="A28" s="23" t="s">
        <v>13</v>
      </c>
      <c r="B28" s="311"/>
      <c r="C28" s="311"/>
      <c r="D28" s="311"/>
      <c r="E28" s="311"/>
    </row>
    <row r="29" spans="1:5">
      <c r="A29" s="23" t="s">
        <v>1825</v>
      </c>
      <c r="B29" s="311"/>
      <c r="C29" s="311"/>
      <c r="D29" s="311"/>
      <c r="E29" s="311"/>
    </row>
    <row r="30" spans="1:5">
      <c r="A30" s="23" t="s">
        <v>1831</v>
      </c>
      <c r="B30" s="311"/>
      <c r="C30" s="311"/>
      <c r="D30" s="311"/>
      <c r="E30" s="311"/>
    </row>
    <row r="31" spans="1:5">
      <c r="A31" s="23" t="s">
        <v>946</v>
      </c>
      <c r="B31" s="311"/>
      <c r="C31" s="311"/>
      <c r="D31" s="311"/>
      <c r="E31" s="311"/>
    </row>
    <row r="32" spans="1:5">
      <c r="A32" s="23" t="s">
        <v>13</v>
      </c>
      <c r="B32" s="311"/>
      <c r="C32" s="311"/>
      <c r="D32" s="311"/>
      <c r="E32" s="311"/>
    </row>
    <row r="33" spans="1:5">
      <c r="A33" s="23" t="s">
        <v>1832</v>
      </c>
      <c r="B33" s="311"/>
      <c r="C33" s="311"/>
      <c r="D33" s="311"/>
      <c r="E33" s="311"/>
    </row>
    <row r="34" spans="1:5">
      <c r="A34" s="23" t="s">
        <v>13</v>
      </c>
      <c r="B34" s="311"/>
      <c r="C34" s="311"/>
      <c r="D34" s="311"/>
      <c r="E34" s="311"/>
    </row>
    <row r="35" spans="1:5">
      <c r="A35" s="23" t="s">
        <v>1826</v>
      </c>
      <c r="B35" s="311"/>
      <c r="C35" s="311"/>
      <c r="D35" s="311"/>
      <c r="E35" s="311"/>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codeName="Sheet408">
    <tabColor rgb="FFFFC000"/>
  </sheetPr>
  <dimension ref="A1:H8"/>
  <sheetViews>
    <sheetView workbookViewId="0">
      <selection activeCell="F27" sqref="F27"/>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1836</v>
      </c>
      <c r="D1" t="s">
        <v>1837</v>
      </c>
      <c r="E1" t="s">
        <v>1838</v>
      </c>
      <c r="F1" t="s">
        <v>1839</v>
      </c>
      <c r="G1" t="s">
        <v>199</v>
      </c>
      <c r="H1" t="s">
        <v>1840</v>
      </c>
    </row>
    <row r="2" spans="1:8">
      <c r="A2" s="256"/>
      <c r="B2" s="256"/>
      <c r="C2" s="256"/>
      <c r="D2" s="256"/>
      <c r="E2" s="256"/>
      <c r="F2" s="256"/>
      <c r="G2" s="256"/>
      <c r="H2" s="256"/>
    </row>
    <row r="3" spans="1:8">
      <c r="A3" s="256"/>
      <c r="B3" s="256"/>
      <c r="C3" s="256"/>
      <c r="D3" s="256"/>
      <c r="E3" s="256"/>
      <c r="F3" s="256"/>
      <c r="G3" s="256"/>
      <c r="H3" s="256"/>
    </row>
    <row r="4" spans="1:8">
      <c r="A4" s="256"/>
      <c r="B4" s="256"/>
      <c r="C4" s="256"/>
      <c r="D4" s="256"/>
      <c r="E4" s="256"/>
      <c r="F4" s="256"/>
      <c r="G4" s="256"/>
      <c r="H4" s="256"/>
    </row>
    <row r="5" spans="1:8">
      <c r="A5" s="256"/>
      <c r="B5" s="256"/>
      <c r="C5" s="256"/>
      <c r="D5" s="256"/>
      <c r="E5" s="256"/>
      <c r="F5" s="256"/>
      <c r="G5" s="256"/>
      <c r="H5" s="256"/>
    </row>
    <row r="6" spans="1:8">
      <c r="A6" s="256"/>
      <c r="B6" s="256"/>
      <c r="C6" s="256"/>
      <c r="D6" s="256"/>
      <c r="E6" s="256"/>
      <c r="F6" s="256"/>
      <c r="G6" s="256"/>
      <c r="H6" s="256"/>
    </row>
    <row r="7" spans="1:8">
      <c r="A7" s="256"/>
      <c r="B7" s="256"/>
      <c r="C7" s="256"/>
      <c r="D7" s="256"/>
      <c r="E7" s="256"/>
      <c r="F7" s="256"/>
      <c r="G7" s="256"/>
      <c r="H7" s="256"/>
    </row>
    <row r="8" spans="1:8">
      <c r="A8" s="256"/>
      <c r="B8" s="256"/>
      <c r="C8" s="256"/>
      <c r="D8" s="256"/>
      <c r="E8" s="256"/>
      <c r="F8" s="256"/>
      <c r="G8" s="256"/>
      <c r="H8" s="256"/>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codeName="Sheet409">
    <tabColor rgb="FFFFC000"/>
  </sheetPr>
  <dimension ref="A1:H11"/>
  <sheetViews>
    <sheetView workbookViewId="0">
      <selection activeCell="D25" sqref="D25"/>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1843</v>
      </c>
      <c r="D1" s="32" t="s">
        <v>222</v>
      </c>
      <c r="E1" s="20" t="s">
        <v>1842</v>
      </c>
      <c r="F1" s="20" t="s">
        <v>1841</v>
      </c>
      <c r="G1" s="242" t="s">
        <v>1844</v>
      </c>
      <c r="H1" s="18"/>
    </row>
    <row r="2" spans="1:8" ht="14.4">
      <c r="A2" s="269"/>
      <c r="B2" s="269"/>
      <c r="C2" s="269"/>
      <c r="D2" s="269"/>
      <c r="E2" s="269"/>
      <c r="F2" s="269"/>
      <c r="G2" s="247"/>
      <c r="H2" s="18"/>
    </row>
    <row r="3" spans="1:8" ht="14.4">
      <c r="A3" s="256"/>
      <c r="B3" s="363"/>
      <c r="C3" s="363"/>
      <c r="D3" s="363"/>
      <c r="E3" s="363"/>
      <c r="F3" s="269"/>
      <c r="G3" s="247"/>
      <c r="H3" s="18"/>
    </row>
    <row r="4" spans="1:8" ht="14.4">
      <c r="A4" s="269"/>
      <c r="B4" s="269"/>
      <c r="C4" s="269"/>
      <c r="D4" s="269"/>
      <c r="E4" s="269"/>
      <c r="F4" s="269"/>
      <c r="G4" s="247"/>
      <c r="H4" s="18"/>
    </row>
    <row r="5" spans="1:8" ht="14.4">
      <c r="A5" s="256"/>
      <c r="B5" s="363"/>
      <c r="C5" s="363"/>
      <c r="D5" s="363"/>
      <c r="E5" s="363"/>
      <c r="F5" s="269"/>
      <c r="G5" s="247"/>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codeName="Sheet41">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2" t="s">
        <v>95</v>
      </c>
      <c r="B1" s="18" t="s">
        <v>2523</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codeName="Sheet410">
    <tabColor rgb="FFFFC000"/>
  </sheetPr>
  <dimension ref="A1:C6"/>
  <sheetViews>
    <sheetView workbookViewId="0">
      <selection activeCell="C31" sqref="C31"/>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4" t="s">
        <v>1846</v>
      </c>
      <c r="B2" s="276"/>
      <c r="C2" s="276"/>
    </row>
    <row r="3" spans="1:3" ht="14.4">
      <c r="A3" s="44" t="s">
        <v>1847</v>
      </c>
      <c r="B3" s="276"/>
      <c r="C3" s="276"/>
    </row>
    <row r="4" spans="1:3" ht="14.4">
      <c r="A4" s="44" t="s">
        <v>1848</v>
      </c>
      <c r="B4" s="276"/>
      <c r="C4" s="276"/>
    </row>
    <row r="5" spans="1:3" ht="14.4">
      <c r="A5" s="44" t="s">
        <v>1849</v>
      </c>
      <c r="B5" s="276"/>
      <c r="C5" s="276"/>
    </row>
    <row r="6" spans="1:3" ht="14.4">
      <c r="A6" s="20" t="s">
        <v>204</v>
      </c>
      <c r="B6" s="50">
        <f>SUM(B2:B5)</f>
        <v>0</v>
      </c>
      <c r="C6" s="50">
        <f>SUM(C2:C5)</f>
        <v>0</v>
      </c>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codeName="Sheet411">
    <tabColor rgb="FFFFC000"/>
  </sheetPr>
  <dimension ref="A1:F17"/>
  <sheetViews>
    <sheetView workbookViewId="0">
      <selection activeCell="C6" sqref="C6"/>
    </sheetView>
  </sheetViews>
  <sheetFormatPr defaultRowHeight="13.8"/>
  <cols>
    <col min="1" max="1" width="55.5546875" bestFit="1" customWidth="1"/>
    <col min="5" max="5" width="11" customWidth="1"/>
  </cols>
  <sheetData>
    <row r="1" spans="1:6" ht="14.4">
      <c r="A1" t="s">
        <v>28</v>
      </c>
      <c r="B1" s="20" t="s">
        <v>1851</v>
      </c>
      <c r="C1" s="20" t="s">
        <v>1852</v>
      </c>
      <c r="D1" s="20" t="s">
        <v>1853</v>
      </c>
      <c r="E1" s="20" t="s">
        <v>1850</v>
      </c>
      <c r="F1" s="20" t="s">
        <v>204</v>
      </c>
    </row>
    <row r="2" spans="1:6" ht="15">
      <c r="A2" s="243" t="s">
        <v>1854</v>
      </c>
      <c r="B2" s="309"/>
      <c r="C2" s="275"/>
      <c r="D2" s="275"/>
      <c r="E2" s="276"/>
      <c r="F2" s="309"/>
    </row>
    <row r="3" spans="1:6" ht="15">
      <c r="A3" s="243" t="s">
        <v>4109</v>
      </c>
      <c r="B3" s="309"/>
      <c r="C3" s="275"/>
      <c r="D3" s="275"/>
      <c r="E3" s="276"/>
      <c r="F3" s="309"/>
    </row>
    <row r="4" spans="1:6" ht="15">
      <c r="A4" s="243" t="s">
        <v>4110</v>
      </c>
      <c r="B4" s="309"/>
      <c r="C4" s="275"/>
      <c r="D4" s="275"/>
      <c r="E4" s="276"/>
      <c r="F4" s="309"/>
    </row>
    <row r="5" spans="1:6" ht="15">
      <c r="A5" s="243" t="s">
        <v>1855</v>
      </c>
      <c r="B5" s="309"/>
      <c r="C5" s="275"/>
      <c r="D5" s="275"/>
      <c r="E5" s="276"/>
      <c r="F5" s="309"/>
    </row>
    <row r="6" spans="1:6" ht="15">
      <c r="A6" s="243" t="s">
        <v>1856</v>
      </c>
      <c r="B6" s="309"/>
      <c r="C6" s="275"/>
      <c r="D6" s="275"/>
      <c r="E6" s="276"/>
      <c r="F6" s="309"/>
    </row>
    <row r="7" spans="1:6" ht="15">
      <c r="A7" s="243" t="s">
        <v>1857</v>
      </c>
      <c r="B7" s="256"/>
      <c r="C7" s="256"/>
      <c r="D7" s="256"/>
      <c r="E7" s="256"/>
      <c r="F7" s="256"/>
    </row>
    <row r="8" spans="1:6" ht="15">
      <c r="A8" s="243" t="s">
        <v>1858</v>
      </c>
      <c r="B8" s="256"/>
      <c r="C8" s="256"/>
      <c r="D8" s="256"/>
      <c r="E8" s="256"/>
      <c r="F8" s="256"/>
    </row>
    <row r="9" spans="1:6" ht="15">
      <c r="A9" s="243" t="s">
        <v>1859</v>
      </c>
      <c r="B9" s="256"/>
      <c r="C9" s="256"/>
      <c r="D9" s="256"/>
      <c r="E9" s="256"/>
      <c r="F9" s="256"/>
    </row>
    <row r="10" spans="1:6" ht="15">
      <c r="A10" s="243" t="s">
        <v>1860</v>
      </c>
      <c r="B10" s="256"/>
      <c r="C10" s="256"/>
      <c r="D10" s="256"/>
      <c r="E10" s="256"/>
      <c r="F10" s="256"/>
    </row>
    <row r="11" spans="1:6" ht="15">
      <c r="A11" s="243" t="s">
        <v>1861</v>
      </c>
      <c r="B11" s="256"/>
      <c r="C11" s="256"/>
      <c r="D11" s="256"/>
      <c r="E11" s="256"/>
      <c r="F11" s="256"/>
    </row>
    <row r="12" spans="1:6" ht="15">
      <c r="A12" s="243" t="s">
        <v>1862</v>
      </c>
      <c r="B12" s="256"/>
      <c r="C12" s="256"/>
      <c r="D12" s="256"/>
      <c r="E12" s="256"/>
      <c r="F12" s="256"/>
    </row>
    <row r="13" spans="1:6" ht="15">
      <c r="A13" s="243" t="s">
        <v>1863</v>
      </c>
      <c r="B13" s="256"/>
      <c r="C13" s="256"/>
      <c r="D13" s="256"/>
      <c r="E13" s="256"/>
      <c r="F13" s="256"/>
    </row>
    <row r="14" spans="1:6" ht="15">
      <c r="A14" s="243" t="s">
        <v>1864</v>
      </c>
      <c r="B14" s="256"/>
      <c r="C14" s="256"/>
      <c r="D14" s="256"/>
      <c r="E14" s="256"/>
      <c r="F14" s="256"/>
    </row>
    <row r="15" spans="1:6" ht="15">
      <c r="A15" s="243" t="s">
        <v>1865</v>
      </c>
      <c r="B15" s="256"/>
      <c r="C15" s="256"/>
      <c r="D15" s="256"/>
      <c r="E15" s="256"/>
      <c r="F15" s="256"/>
    </row>
    <row r="16" spans="1:6" ht="15">
      <c r="A16" s="243" t="s">
        <v>1866</v>
      </c>
      <c r="B16" s="256"/>
      <c r="C16" s="256"/>
      <c r="D16" s="256"/>
      <c r="E16" s="256"/>
      <c r="F16" s="256"/>
    </row>
    <row r="17" spans="1:6" ht="15">
      <c r="A17" s="243" t="s">
        <v>1867</v>
      </c>
      <c r="B17" s="256"/>
      <c r="C17" s="256"/>
      <c r="D17" s="256"/>
      <c r="E17" s="256"/>
      <c r="F17" s="256"/>
    </row>
  </sheetData>
  <phoneticPr fontId="1"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codeName="Sheet412">
    <tabColor rgb="FFFFC000"/>
  </sheetPr>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28</v>
      </c>
      <c r="B1" s="20" t="s">
        <v>1851</v>
      </c>
      <c r="C1" s="20" t="s">
        <v>1852</v>
      </c>
      <c r="D1" s="20" t="s">
        <v>1853</v>
      </c>
      <c r="E1" s="20" t="s">
        <v>1850</v>
      </c>
      <c r="F1" s="20" t="s">
        <v>204</v>
      </c>
    </row>
    <row r="2" spans="1:6" ht="15">
      <c r="A2" s="243" t="s">
        <v>1854</v>
      </c>
      <c r="B2" s="309"/>
      <c r="C2" s="275"/>
      <c r="D2" s="275"/>
      <c r="E2" s="276"/>
      <c r="F2" s="309"/>
    </row>
    <row r="3" spans="1:6" ht="15">
      <c r="A3" s="243" t="s">
        <v>4109</v>
      </c>
      <c r="B3" s="309"/>
      <c r="C3" s="275"/>
      <c r="D3" s="275"/>
      <c r="E3" s="276"/>
      <c r="F3" s="309"/>
    </row>
    <row r="4" spans="1:6" ht="15">
      <c r="A4" s="243" t="s">
        <v>4110</v>
      </c>
      <c r="B4" s="309"/>
      <c r="C4" s="275"/>
      <c r="D4" s="275"/>
      <c r="E4" s="276"/>
      <c r="F4" s="309"/>
    </row>
    <row r="5" spans="1:6" ht="15">
      <c r="A5" s="243" t="s">
        <v>1855</v>
      </c>
      <c r="B5" s="309"/>
      <c r="C5" s="275"/>
      <c r="D5" s="275"/>
      <c r="E5" s="276"/>
      <c r="F5" s="309"/>
    </row>
    <row r="6" spans="1:6" ht="15">
      <c r="A6" s="243" t="s">
        <v>1856</v>
      </c>
      <c r="B6" s="309"/>
      <c r="C6" s="275"/>
      <c r="D6" s="275"/>
      <c r="E6" s="276"/>
      <c r="F6" s="309"/>
    </row>
    <row r="7" spans="1:6" ht="15">
      <c r="A7" s="243" t="s">
        <v>1857</v>
      </c>
      <c r="B7" s="256"/>
      <c r="C7" s="256"/>
      <c r="D7" s="256"/>
      <c r="E7" s="256"/>
      <c r="F7" s="256"/>
    </row>
    <row r="8" spans="1:6" ht="15">
      <c r="A8" s="243" t="s">
        <v>1858</v>
      </c>
      <c r="B8" s="256"/>
      <c r="C8" s="256"/>
      <c r="D8" s="256"/>
      <c r="E8" s="256"/>
      <c r="F8" s="256"/>
    </row>
    <row r="9" spans="1:6" ht="15">
      <c r="A9" s="243" t="s">
        <v>1859</v>
      </c>
      <c r="B9" s="256"/>
      <c r="C9" s="256"/>
      <c r="D9" s="256"/>
      <c r="E9" s="256"/>
      <c r="F9" s="256"/>
    </row>
    <row r="10" spans="1:6" ht="15">
      <c r="A10" s="243" t="s">
        <v>1860</v>
      </c>
      <c r="B10" s="256"/>
      <c r="C10" s="256"/>
      <c r="D10" s="256"/>
      <c r="E10" s="256"/>
      <c r="F10" s="256"/>
    </row>
    <row r="11" spans="1:6" ht="15">
      <c r="A11" s="243" t="s">
        <v>1861</v>
      </c>
      <c r="B11" s="256"/>
      <c r="C11" s="256"/>
      <c r="D11" s="256"/>
      <c r="E11" s="256"/>
      <c r="F11" s="256"/>
    </row>
    <row r="12" spans="1:6" ht="15">
      <c r="A12" s="243" t="s">
        <v>1862</v>
      </c>
      <c r="B12" s="256"/>
      <c r="C12" s="256"/>
      <c r="D12" s="256"/>
      <c r="E12" s="256"/>
      <c r="F12" s="256"/>
    </row>
    <row r="13" spans="1:6" ht="15">
      <c r="A13" s="243" t="s">
        <v>1863</v>
      </c>
      <c r="B13" s="256"/>
      <c r="C13" s="256"/>
      <c r="D13" s="256"/>
      <c r="E13" s="256"/>
      <c r="F13" s="256"/>
    </row>
    <row r="14" spans="1:6" ht="15">
      <c r="A14" s="243" t="s">
        <v>1864</v>
      </c>
      <c r="B14" s="256"/>
      <c r="C14" s="256"/>
      <c r="D14" s="256"/>
      <c r="E14" s="256"/>
      <c r="F14" s="256"/>
    </row>
    <row r="15" spans="1:6" ht="15">
      <c r="A15" s="243" t="s">
        <v>1865</v>
      </c>
      <c r="B15" s="256"/>
      <c r="C15" s="256"/>
      <c r="D15" s="256"/>
      <c r="E15" s="256"/>
      <c r="F15" s="256"/>
    </row>
    <row r="16" spans="1:6" ht="15">
      <c r="A16" s="243" t="s">
        <v>1866</v>
      </c>
      <c r="B16" s="256"/>
      <c r="C16" s="256"/>
      <c r="D16" s="256"/>
      <c r="E16" s="256"/>
      <c r="F16" s="256"/>
    </row>
    <row r="17" spans="1:6" ht="15">
      <c r="A17" s="243" t="s">
        <v>1867</v>
      </c>
      <c r="B17" s="256"/>
      <c r="C17" s="256"/>
      <c r="D17" s="256"/>
      <c r="E17" s="256"/>
      <c r="F17" s="256"/>
    </row>
  </sheetData>
  <phoneticPr fontId="1" type="noConversion"/>
  <pageMargins left="0.7" right="0.7" top="0.75" bottom="0.75" header="0.3" footer="0.3"/>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codeName="Sheet413">
    <tabColor rgb="FFFFC000"/>
  </sheetPr>
  <dimension ref="A1:C4"/>
  <sheetViews>
    <sheetView workbookViewId="0">
      <selection activeCell="K30" sqref="K30"/>
    </sheetView>
  </sheetViews>
  <sheetFormatPr defaultRowHeight="13.8"/>
  <cols>
    <col min="1" max="1" width="13.88671875" bestFit="1" customWidth="1"/>
  </cols>
  <sheetData>
    <row r="1" spans="1:3">
      <c r="A1" t="s">
        <v>1868</v>
      </c>
      <c r="B1" t="s">
        <v>444</v>
      </c>
      <c r="C1" t="s">
        <v>445</v>
      </c>
    </row>
    <row r="2" spans="1:3">
      <c r="A2" t="s">
        <v>1869</v>
      </c>
      <c r="B2" s="256"/>
      <c r="C2" s="256"/>
    </row>
    <row r="3" spans="1:3">
      <c r="A3" t="s">
        <v>1870</v>
      </c>
      <c r="B3" s="256"/>
      <c r="C3" s="256"/>
    </row>
    <row r="4" spans="1:3">
      <c r="A4" t="s">
        <v>282</v>
      </c>
      <c r="B4">
        <f>SUM(B2:B3)</f>
        <v>0</v>
      </c>
      <c r="C4">
        <f>SUM(C2:C3)</f>
        <v>0</v>
      </c>
    </row>
  </sheetData>
  <phoneticPr fontId="1" type="noConversion"/>
  <pageMargins left="0.7" right="0.7" top="0.75" bottom="0.75" header="0.3" footer="0.3"/>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codeName="Sheet414">
    <tabColor rgb="FFFFC000"/>
  </sheetPr>
  <dimension ref="A1:C4"/>
  <sheetViews>
    <sheetView workbookViewId="0">
      <selection activeCell="H19" sqref="H19"/>
    </sheetView>
  </sheetViews>
  <sheetFormatPr defaultRowHeight="13.8"/>
  <cols>
    <col min="1" max="1" width="16.109375" bestFit="1" customWidth="1"/>
  </cols>
  <sheetData>
    <row r="1" spans="1:3">
      <c r="A1" t="s">
        <v>1871</v>
      </c>
      <c r="B1" t="s">
        <v>444</v>
      </c>
      <c r="C1" t="s">
        <v>445</v>
      </c>
    </row>
    <row r="2" spans="1:3">
      <c r="A2" t="s">
        <v>1869</v>
      </c>
      <c r="B2" s="256"/>
      <c r="C2" s="256"/>
    </row>
    <row r="3" spans="1:3">
      <c r="A3" t="s">
        <v>1870</v>
      </c>
      <c r="B3" s="256"/>
      <c r="C3" s="256"/>
    </row>
    <row r="4" spans="1:3">
      <c r="A4" t="s">
        <v>282</v>
      </c>
      <c r="B4">
        <f>SUM(B2:B3)</f>
        <v>0</v>
      </c>
      <c r="C4">
        <f>SUM(C2:C3)</f>
        <v>0</v>
      </c>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codeName="Sheet415">
    <tabColor rgb="FFFFC000"/>
  </sheetPr>
  <dimension ref="A1:C8"/>
  <sheetViews>
    <sheetView workbookViewId="0">
      <selection activeCell="L26" sqref="L26"/>
    </sheetView>
  </sheetViews>
  <sheetFormatPr defaultRowHeight="13.8"/>
  <cols>
    <col min="1" max="2" width="7.5546875" bestFit="1" customWidth="1"/>
    <col min="3" max="3" width="9.5546875" bestFit="1" customWidth="1"/>
  </cols>
  <sheetData>
    <row r="1" spans="1:3" ht="28.8">
      <c r="A1" s="20" t="s">
        <v>1872</v>
      </c>
      <c r="B1" s="20" t="s">
        <v>4240</v>
      </c>
      <c r="C1" s="20" t="s">
        <v>1873</v>
      </c>
    </row>
    <row r="2" spans="1:3">
      <c r="A2" s="359"/>
      <c r="B2" s="360"/>
      <c r="C2" s="360"/>
    </row>
    <row r="3" spans="1:3">
      <c r="A3" s="359"/>
      <c r="B3" s="360"/>
      <c r="C3" s="360"/>
    </row>
    <row r="4" spans="1:3">
      <c r="A4" s="361"/>
      <c r="B4" s="362"/>
      <c r="C4" s="362"/>
    </row>
    <row r="5" spans="1:3">
      <c r="A5" s="247"/>
      <c r="B5" s="247"/>
      <c r="C5" s="247"/>
    </row>
    <row r="6" spans="1:3">
      <c r="A6" s="247"/>
      <c r="B6" s="247"/>
      <c r="C6" s="247"/>
    </row>
    <row r="7" spans="1:3">
      <c r="A7" s="247"/>
      <c r="B7" s="247"/>
      <c r="C7" s="247"/>
    </row>
    <row r="8" spans="1:3">
      <c r="A8" s="18"/>
      <c r="B8" s="18"/>
      <c r="C8" s="18"/>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codeName="Sheet416">
    <tabColor rgb="FFFFC000"/>
  </sheetPr>
  <dimension ref="A1:C26"/>
  <sheetViews>
    <sheetView workbookViewId="0">
      <selection activeCell="B10" sqref="B10"/>
    </sheetView>
  </sheetViews>
  <sheetFormatPr defaultRowHeight="13.8"/>
  <cols>
    <col min="1" max="1" width="90" customWidth="1"/>
    <col min="2" max="2" width="8.88671875" style="230"/>
  </cols>
  <sheetData>
    <row r="1" spans="1:3" ht="14.4">
      <c r="A1" s="54" t="s">
        <v>28</v>
      </c>
      <c r="B1" s="154" t="s">
        <v>4239</v>
      </c>
      <c r="C1" s="20" t="s">
        <v>1874</v>
      </c>
    </row>
    <row r="2" spans="1:3" ht="14.4">
      <c r="A2" s="19" t="s">
        <v>1875</v>
      </c>
      <c r="B2" s="279"/>
      <c r="C2" s="50"/>
    </row>
    <row r="3" spans="1:3" ht="14.4">
      <c r="A3" s="19" t="s">
        <v>1876</v>
      </c>
      <c r="B3" s="279"/>
      <c r="C3" s="50"/>
    </row>
    <row r="4" spans="1:3" ht="28.8">
      <c r="A4" s="19" t="s">
        <v>1877</v>
      </c>
      <c r="B4" s="279"/>
      <c r="C4" s="50"/>
    </row>
    <row r="5" spans="1:3" ht="14.4">
      <c r="A5" s="19" t="s">
        <v>1878</v>
      </c>
      <c r="B5" s="279"/>
      <c r="C5" s="50"/>
    </row>
    <row r="6" spans="1:3" ht="28.8">
      <c r="A6" s="19" t="s">
        <v>1879</v>
      </c>
      <c r="B6" s="279"/>
      <c r="C6" s="50"/>
    </row>
    <row r="7" spans="1:3" ht="14.4">
      <c r="A7" s="19" t="s">
        <v>1880</v>
      </c>
      <c r="B7" s="279"/>
      <c r="C7" s="50"/>
    </row>
    <row r="8" spans="1:3" ht="14.4">
      <c r="A8" s="19" t="s">
        <v>1881</v>
      </c>
      <c r="B8" s="279"/>
      <c r="C8" s="50"/>
    </row>
    <row r="9" spans="1:3" ht="14.4">
      <c r="A9" s="19" t="s">
        <v>1882</v>
      </c>
      <c r="B9" s="279"/>
      <c r="C9" s="50"/>
    </row>
    <row r="10" spans="1:3" ht="14.4">
      <c r="A10" s="19" t="s">
        <v>1883</v>
      </c>
      <c r="B10" s="279"/>
      <c r="C10" s="50"/>
    </row>
    <row r="11" spans="1:3" ht="14.4">
      <c r="A11" s="19" t="s">
        <v>1884</v>
      </c>
      <c r="B11" s="279"/>
      <c r="C11" s="50"/>
    </row>
    <row r="12" spans="1:3" ht="14.4">
      <c r="A12" s="19" t="s">
        <v>1885</v>
      </c>
      <c r="B12" s="279"/>
      <c r="C12" s="50"/>
    </row>
    <row r="13" spans="1:3" ht="14.4">
      <c r="A13" s="19" t="s">
        <v>1886</v>
      </c>
      <c r="B13" s="279"/>
      <c r="C13" s="50"/>
    </row>
    <row r="14" spans="1:3" ht="14.4">
      <c r="A14" s="19" t="s">
        <v>1887</v>
      </c>
      <c r="B14" s="279"/>
      <c r="C14" s="50"/>
    </row>
    <row r="15" spans="1:3" ht="28.8">
      <c r="A15" s="19" t="s">
        <v>1888</v>
      </c>
      <c r="B15" s="279"/>
      <c r="C15" s="50"/>
    </row>
    <row r="16" spans="1:3" ht="14.4">
      <c r="A16" s="19" t="s">
        <v>1889</v>
      </c>
      <c r="B16" s="279"/>
      <c r="C16" s="50"/>
    </row>
    <row r="17" spans="1:3" ht="14.4">
      <c r="A17" s="19" t="s">
        <v>1890</v>
      </c>
      <c r="B17" s="279"/>
      <c r="C17" s="50"/>
    </row>
    <row r="18" spans="1:3" ht="14.4">
      <c r="A18" s="19" t="s">
        <v>1891</v>
      </c>
      <c r="B18" s="279"/>
      <c r="C18" s="50"/>
    </row>
    <row r="19" spans="1:3" ht="14.4">
      <c r="A19" s="19" t="s">
        <v>1892</v>
      </c>
      <c r="B19" s="279"/>
      <c r="C19" s="50"/>
    </row>
    <row r="20" spans="1:3" ht="14.4">
      <c r="A20" s="19" t="s">
        <v>1893</v>
      </c>
      <c r="B20" s="279"/>
      <c r="C20" s="50"/>
    </row>
    <row r="21" spans="1:3" ht="14.4">
      <c r="A21" s="19" t="s">
        <v>1894</v>
      </c>
      <c r="B21" s="279"/>
      <c r="C21" s="50"/>
    </row>
    <row r="22" spans="1:3" ht="14.4">
      <c r="A22" s="19" t="s">
        <v>1895</v>
      </c>
      <c r="B22" s="279"/>
      <c r="C22" s="50"/>
    </row>
    <row r="23" spans="1:3" ht="14.4">
      <c r="A23" s="20" t="s">
        <v>578</v>
      </c>
      <c r="B23" s="152">
        <f>SUM(B2:B22)</f>
        <v>0</v>
      </c>
      <c r="C23" s="50"/>
    </row>
    <row r="24" spans="1:3" ht="14.4">
      <c r="A24" s="44" t="s">
        <v>1896</v>
      </c>
      <c r="B24" s="279"/>
      <c r="C24" s="50"/>
    </row>
    <row r="25" spans="1:3" ht="14.4">
      <c r="A25" s="44" t="s">
        <v>1897</v>
      </c>
      <c r="B25" s="279"/>
      <c r="C25" s="50"/>
    </row>
    <row r="26" spans="1:3" ht="14.4">
      <c r="A26" s="20" t="s">
        <v>204</v>
      </c>
      <c r="B26" s="152">
        <f>B23-B24-B25</f>
        <v>0</v>
      </c>
      <c r="C26" s="50"/>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codeName="Sheet417">
    <tabColor rgb="FFFFC000"/>
  </sheetPr>
  <dimension ref="A1:D3"/>
  <sheetViews>
    <sheetView workbookViewId="0">
      <selection activeCell="A27" sqref="A27"/>
    </sheetView>
  </sheetViews>
  <sheetFormatPr defaultRowHeight="13.8"/>
  <cols>
    <col min="1" max="1" width="75.6640625" customWidth="1"/>
    <col min="2" max="2" width="28.109375" bestFit="1" customWidth="1"/>
    <col min="3" max="4" width="13.88671875" bestFit="1" customWidth="1"/>
  </cols>
  <sheetData>
    <row r="1" spans="1:4" ht="14.4">
      <c r="A1" s="32" t="s">
        <v>1898</v>
      </c>
      <c r="B1" s="35" t="s">
        <v>1903</v>
      </c>
      <c r="C1" s="40" t="s">
        <v>1899</v>
      </c>
      <c r="D1" s="40" t="s">
        <v>1900</v>
      </c>
    </row>
    <row r="2" spans="1:4" ht="14.4">
      <c r="A2" s="19" t="s">
        <v>1901</v>
      </c>
      <c r="B2" s="275"/>
      <c r="C2" s="275"/>
      <c r="D2" s="275"/>
    </row>
    <row r="3" spans="1:4" ht="14.4">
      <c r="A3" s="19" t="s">
        <v>1902</v>
      </c>
      <c r="B3" s="275"/>
      <c r="C3" s="275"/>
      <c r="D3" s="275"/>
    </row>
  </sheetData>
  <phoneticPr fontId="1" type="noConversion"/>
  <pageMargins left="0.7" right="0.7" top="0.75" bottom="0.75" header="0.3" footer="0.3"/>
  <pageSetup paperSize="9" orientation="portrait" verticalDpi="0" r:id="rId1"/>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sheetPr codeName="Sheet418"/>
  <dimension ref="A1:D19"/>
  <sheetViews>
    <sheetView workbookViewId="0">
      <selection activeCell="B27" sqref="B27"/>
    </sheetView>
  </sheetViews>
  <sheetFormatPr defaultRowHeight="13.8"/>
  <cols>
    <col min="1" max="1" width="57.77734375" bestFit="1" customWidth="1"/>
    <col min="2" max="2" width="50.77734375" style="159" bestFit="1" customWidth="1"/>
    <col min="3" max="3" width="17.109375" style="230" bestFit="1" customWidth="1"/>
  </cols>
  <sheetData>
    <row r="1" spans="1:4">
      <c r="A1" t="s">
        <v>28</v>
      </c>
      <c r="B1" s="159" t="s">
        <v>109</v>
      </c>
      <c r="C1" s="230" t="s">
        <v>2769</v>
      </c>
    </row>
    <row r="2" spans="1:4">
      <c r="A2" t="s">
        <v>2801</v>
      </c>
      <c r="B2" s="159">
        <v>1</v>
      </c>
      <c r="C2" s="230">
        <f>利润表!B36</f>
        <v>218533122.16999999</v>
      </c>
    </row>
    <row r="3" spans="1:4">
      <c r="A3" t="s">
        <v>1901</v>
      </c>
      <c r="B3" s="159" t="s">
        <v>2802</v>
      </c>
      <c r="C3" s="230">
        <f>利润表!B44</f>
        <v>246130378.22999999</v>
      </c>
    </row>
    <row r="4" spans="1:4">
      <c r="A4" t="s">
        <v>2771</v>
      </c>
      <c r="B4" s="159">
        <v>3</v>
      </c>
      <c r="C4" s="230">
        <f>非经常性损益上市公司!B26</f>
        <v>0</v>
      </c>
    </row>
    <row r="5" spans="1:4">
      <c r="A5" t="s">
        <v>2772</v>
      </c>
      <c r="B5" s="159" t="s">
        <v>2803</v>
      </c>
      <c r="C5" s="230">
        <f>C3-C4</f>
        <v>246130378.22999999</v>
      </c>
    </row>
    <row r="6" spans="1:4">
      <c r="A6" t="s">
        <v>2804</v>
      </c>
      <c r="B6" s="159" t="s">
        <v>2805</v>
      </c>
      <c r="C6" s="230">
        <f>负债表!B72</f>
        <v>8169315980.5500002</v>
      </c>
    </row>
    <row r="7" spans="1:4">
      <c r="A7" t="s">
        <v>2806</v>
      </c>
      <c r="B7" s="159" t="s">
        <v>2807</v>
      </c>
      <c r="C7" s="230">
        <f>C3/C6</f>
        <v>3.0128639755886786E-2</v>
      </c>
    </row>
    <row r="8" spans="1:4">
      <c r="A8" t="s">
        <v>2808</v>
      </c>
      <c r="B8" s="159" t="s">
        <v>2809</v>
      </c>
      <c r="C8" s="230">
        <f>C5/C6</f>
        <v>3.0128639755886786E-2</v>
      </c>
    </row>
    <row r="9" spans="1:4">
      <c r="A9" t="s">
        <v>2810</v>
      </c>
      <c r="B9" s="159" t="s">
        <v>2811</v>
      </c>
      <c r="C9" s="230">
        <f>负债表!C72</f>
        <v>8209406116.8100004</v>
      </c>
    </row>
    <row r="10" spans="1:4">
      <c r="A10" t="s">
        <v>2812</v>
      </c>
      <c r="B10" s="159" t="s">
        <v>2813</v>
      </c>
      <c r="C10" s="290"/>
      <c r="D10" s="256">
        <f>本期所有者权益变动表!B10</f>
        <v>0</v>
      </c>
    </row>
    <row r="11" spans="1:4">
      <c r="A11" t="s">
        <v>2814</v>
      </c>
      <c r="B11" s="159" t="s">
        <v>2815</v>
      </c>
      <c r="C11" s="290"/>
      <c r="D11" s="256">
        <f>本期所有者权益变动表!L25</f>
        <v>0</v>
      </c>
    </row>
    <row r="12" spans="1:4">
      <c r="A12" t="s">
        <v>2784</v>
      </c>
      <c r="B12" s="159" t="s">
        <v>2816</v>
      </c>
      <c r="C12" s="290"/>
    </row>
    <row r="13" spans="1:4">
      <c r="A13" t="s">
        <v>2817</v>
      </c>
      <c r="B13" s="159" t="s">
        <v>2818</v>
      </c>
      <c r="C13" s="290"/>
    </row>
    <row r="14" spans="1:4">
      <c r="A14" t="s">
        <v>2819</v>
      </c>
      <c r="B14" s="159" t="s">
        <v>2820</v>
      </c>
      <c r="C14" s="290"/>
    </row>
    <row r="15" spans="1:4">
      <c r="A15" t="s">
        <v>2821</v>
      </c>
      <c r="B15" s="159" t="s">
        <v>2822</v>
      </c>
      <c r="C15" s="290"/>
    </row>
    <row r="16" spans="1:4">
      <c r="A16" t="s">
        <v>2823</v>
      </c>
      <c r="B16" s="159" t="s">
        <v>2824</v>
      </c>
      <c r="C16" s="290"/>
    </row>
    <row r="17" spans="1:3">
      <c r="A17" t="s">
        <v>2825</v>
      </c>
      <c r="B17" s="159" t="s">
        <v>4108</v>
      </c>
      <c r="C17" s="290"/>
    </row>
    <row r="18" spans="1:3">
      <c r="A18" t="s">
        <v>2826</v>
      </c>
      <c r="B18" s="159" t="s">
        <v>2827</v>
      </c>
      <c r="C18" s="230" t="e">
        <f>C2/C17</f>
        <v>#DIV/0!</v>
      </c>
    </row>
    <row r="19" spans="1:3">
      <c r="A19" t="s">
        <v>2828</v>
      </c>
      <c r="B19" s="159" t="s">
        <v>2829</v>
      </c>
      <c r="C19" s="230" t="e">
        <f>C5/C17</f>
        <v>#DIV/0!</v>
      </c>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sheetPr codeName="Sheet419"/>
  <dimension ref="A1:C21"/>
  <sheetViews>
    <sheetView workbookViewId="0">
      <selection activeCell="B23" sqref="B23"/>
    </sheetView>
  </sheetViews>
  <sheetFormatPr defaultRowHeight="13.8"/>
  <cols>
    <col min="1" max="1" width="57.77734375" bestFit="1" customWidth="1"/>
    <col min="2" max="2" width="41.6640625" bestFit="1" customWidth="1"/>
    <col min="3" max="3" width="15.44140625" style="230" bestFit="1" customWidth="1"/>
    <col min="4" max="4" width="7.5546875" bestFit="1" customWidth="1"/>
  </cols>
  <sheetData>
    <row r="1" spans="1:3">
      <c r="A1" t="s">
        <v>28</v>
      </c>
      <c r="B1" s="159" t="s">
        <v>109</v>
      </c>
      <c r="C1" s="230" t="s">
        <v>2769</v>
      </c>
    </row>
    <row r="2" spans="1:3">
      <c r="A2" t="s">
        <v>1901</v>
      </c>
      <c r="B2" s="159" t="s">
        <v>2770</v>
      </c>
      <c r="C2" s="230">
        <f>利润表!B44</f>
        <v>246130378.22999999</v>
      </c>
    </row>
    <row r="3" spans="1:3">
      <c r="A3" t="s">
        <v>2771</v>
      </c>
      <c r="B3" s="159">
        <v>2</v>
      </c>
      <c r="C3" s="230">
        <f>非经常性损益上市公司!B26</f>
        <v>0</v>
      </c>
    </row>
    <row r="4" spans="1:3">
      <c r="A4" t="s">
        <v>2772</v>
      </c>
      <c r="B4" s="159" t="s">
        <v>2773</v>
      </c>
      <c r="C4" s="230">
        <f>C2-C3</f>
        <v>246130378.22999999</v>
      </c>
    </row>
    <row r="5" spans="1:3">
      <c r="A5" t="s">
        <v>2774</v>
      </c>
      <c r="B5" s="159" t="s">
        <v>2775</v>
      </c>
      <c r="C5" s="230">
        <f>本期所有者权益变动表!B6</f>
        <v>0</v>
      </c>
    </row>
    <row r="6" spans="1:3">
      <c r="A6" t="s">
        <v>2776</v>
      </c>
      <c r="B6" s="159" t="s">
        <v>2777</v>
      </c>
      <c r="C6" s="290"/>
    </row>
    <row r="7" spans="1:3">
      <c r="A7" t="s">
        <v>2778</v>
      </c>
      <c r="B7" s="159" t="s">
        <v>2779</v>
      </c>
      <c r="C7" s="290"/>
    </row>
    <row r="8" spans="1:3">
      <c r="A8" t="s">
        <v>2780</v>
      </c>
      <c r="B8" s="159" t="s">
        <v>2781</v>
      </c>
      <c r="C8" s="290"/>
    </row>
    <row r="9" spans="1:3">
      <c r="A9" t="s">
        <v>2782</v>
      </c>
      <c r="B9" s="159" t="s">
        <v>2783</v>
      </c>
      <c r="C9" s="290"/>
    </row>
    <row r="10" spans="1:3">
      <c r="A10" t="s">
        <v>2784</v>
      </c>
      <c r="B10" s="159" t="s">
        <v>2785</v>
      </c>
      <c r="C10" s="290"/>
    </row>
    <row r="11" spans="1:3">
      <c r="A11" t="s">
        <v>2786</v>
      </c>
      <c r="B11" s="159" t="s">
        <v>2787</v>
      </c>
      <c r="C11" s="290"/>
    </row>
    <row r="12" spans="1:3">
      <c r="A12" t="s">
        <v>2788</v>
      </c>
      <c r="B12" s="159" t="s">
        <v>2789</v>
      </c>
      <c r="C12" s="290"/>
    </row>
    <row r="13" spans="1:3" ht="14.4" customHeight="1">
      <c r="A13" t="s">
        <v>2790</v>
      </c>
      <c r="B13" s="159" t="s">
        <v>4105</v>
      </c>
      <c r="C13" s="290"/>
    </row>
    <row r="14" spans="1:3">
      <c r="A14" t="s">
        <v>2791</v>
      </c>
      <c r="B14" s="159" t="s">
        <v>2792</v>
      </c>
      <c r="C14" s="230" t="e">
        <f>C2/C13</f>
        <v>#DIV/0!</v>
      </c>
    </row>
    <row r="15" spans="1:3">
      <c r="A15" t="s">
        <v>2793</v>
      </c>
      <c r="B15" s="159" t="s">
        <v>2794</v>
      </c>
      <c r="C15" s="230" t="e">
        <f>C4/C13</f>
        <v>#DIV/0!</v>
      </c>
    </row>
    <row r="16" spans="1:3">
      <c r="A16" t="s">
        <v>2795</v>
      </c>
      <c r="B16" s="159">
        <v>15</v>
      </c>
      <c r="C16" s="290"/>
    </row>
    <row r="17" spans="1:3">
      <c r="A17" t="s">
        <v>2796</v>
      </c>
      <c r="B17" s="159">
        <v>16</v>
      </c>
      <c r="C17" s="290"/>
    </row>
    <row r="18" spans="1:3">
      <c r="A18" t="s">
        <v>2797</v>
      </c>
      <c r="B18" s="159">
        <v>17</v>
      </c>
      <c r="C18" s="290"/>
    </row>
    <row r="19" spans="1:3">
      <c r="A19" t="s">
        <v>2798</v>
      </c>
      <c r="B19" s="159">
        <v>18</v>
      </c>
      <c r="C19" s="290"/>
    </row>
    <row r="20" spans="1:3">
      <c r="A20" t="s">
        <v>2799</v>
      </c>
      <c r="B20" s="159" t="s">
        <v>4106</v>
      </c>
      <c r="C20" s="230" t="e">
        <f>(C2+(C16-C18)*(C2-C17))/(C13+C19)</f>
        <v>#DIV/0!</v>
      </c>
    </row>
    <row r="21" spans="1:3">
      <c r="A21" t="s">
        <v>2800</v>
      </c>
      <c r="B21" s="159" t="s">
        <v>4107</v>
      </c>
      <c r="C21" s="230" t="e">
        <f>(C4+(C16-C18)*(C2-C17))/(C13+C19)</f>
        <v>#DIV/0!</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codeName="Sheet42">
    <tabColor rgb="FFFFC000"/>
  </sheetPr>
  <dimension ref="A1:C4"/>
  <sheetViews>
    <sheetView workbookViewId="0">
      <selection activeCell="G27" sqref="G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0" t="s">
        <v>102</v>
      </c>
      <c r="B1" s="80" t="s">
        <v>2891</v>
      </c>
      <c r="C1" s="80" t="s">
        <v>2892</v>
      </c>
    </row>
    <row r="2" spans="1:3" ht="43.2">
      <c r="A2" s="382" t="s">
        <v>103</v>
      </c>
      <c r="B2" s="382" t="s">
        <v>2895</v>
      </c>
      <c r="C2" s="624" t="s">
        <v>5454</v>
      </c>
    </row>
    <row r="3" spans="1:3" ht="14.4">
      <c r="A3" s="382" t="s">
        <v>105</v>
      </c>
      <c r="B3" s="382" t="s">
        <v>2894</v>
      </c>
      <c r="C3" s="624">
        <v>7</v>
      </c>
    </row>
    <row r="4" spans="1:3" ht="14.4">
      <c r="A4" s="382" t="s">
        <v>106</v>
      </c>
      <c r="B4" s="382" t="s">
        <v>2893</v>
      </c>
      <c r="C4" s="624">
        <v>5</v>
      </c>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sheetPr codeName="Sheet420"/>
  <dimension ref="A1:FH109"/>
  <sheetViews>
    <sheetView workbookViewId="0">
      <selection activeCell="C16" sqref="C16"/>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1" width="18.33203125" bestFit="1" customWidth="1"/>
    <col min="32" max="32" width="16.10937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4778</v>
      </c>
      <c r="B1" t="s">
        <v>4779</v>
      </c>
      <c r="C1" t="s">
        <v>4780</v>
      </c>
      <c r="D1" t="s">
        <v>4781</v>
      </c>
      <c r="E1" t="s">
        <v>4782</v>
      </c>
      <c r="F1" t="s">
        <v>4807</v>
      </c>
      <c r="G1" t="s">
        <v>4808</v>
      </c>
      <c r="H1" t="s">
        <v>4809</v>
      </c>
      <c r="I1" t="s">
        <v>4810</v>
      </c>
      <c r="J1" t="s">
        <v>4811</v>
      </c>
      <c r="K1" t="s">
        <v>4812</v>
      </c>
      <c r="L1" t="s">
        <v>4813</v>
      </c>
      <c r="M1" t="s">
        <v>4814</v>
      </c>
      <c r="N1" t="s">
        <v>4815</v>
      </c>
      <c r="O1" t="s">
        <v>4816</v>
      </c>
      <c r="P1" t="s">
        <v>4817</v>
      </c>
      <c r="Q1" t="s">
        <v>4818</v>
      </c>
      <c r="R1" t="s">
        <v>4819</v>
      </c>
      <c r="S1" t="s">
        <v>4820</v>
      </c>
      <c r="T1" t="s">
        <v>4821</v>
      </c>
      <c r="U1" t="s">
        <v>4822</v>
      </c>
      <c r="V1" t="s">
        <v>4823</v>
      </c>
      <c r="W1" t="s">
        <v>4824</v>
      </c>
      <c r="X1" t="s">
        <v>4825</v>
      </c>
      <c r="Y1" t="s">
        <v>4826</v>
      </c>
      <c r="Z1" t="s">
        <v>4827</v>
      </c>
      <c r="AA1" t="s">
        <v>4828</v>
      </c>
      <c r="AB1" t="s">
        <v>4829</v>
      </c>
      <c r="AC1" t="s">
        <v>4830</v>
      </c>
      <c r="AD1" t="s">
        <v>4831</v>
      </c>
      <c r="AE1" t="s">
        <v>4832</v>
      </c>
      <c r="AF1" t="s">
        <v>4833</v>
      </c>
      <c r="AG1" t="s">
        <v>4834</v>
      </c>
      <c r="AH1" t="s">
        <v>4835</v>
      </c>
      <c r="AI1" t="s">
        <v>4836</v>
      </c>
      <c r="AJ1" t="s">
        <v>4837</v>
      </c>
      <c r="AK1" t="s">
        <v>4838</v>
      </c>
      <c r="AL1" t="s">
        <v>4839</v>
      </c>
      <c r="AM1" t="s">
        <v>4840</v>
      </c>
      <c r="AN1" t="s">
        <v>4841</v>
      </c>
      <c r="AO1" t="s">
        <v>4842</v>
      </c>
      <c r="AP1" t="s">
        <v>4843</v>
      </c>
      <c r="AQ1" t="s">
        <v>4844</v>
      </c>
      <c r="AR1" t="s">
        <v>4845</v>
      </c>
      <c r="AS1" t="s">
        <v>4846</v>
      </c>
      <c r="AT1" t="s">
        <v>4847</v>
      </c>
      <c r="AU1" t="s">
        <v>4848</v>
      </c>
      <c r="AV1" t="s">
        <v>4849</v>
      </c>
      <c r="AW1" t="s">
        <v>4850</v>
      </c>
      <c r="AX1" t="s">
        <v>4851</v>
      </c>
      <c r="AY1" t="s">
        <v>4852</v>
      </c>
      <c r="AZ1" t="s">
        <v>4853</v>
      </c>
      <c r="BA1" t="s">
        <v>4854</v>
      </c>
      <c r="BB1" t="s">
        <v>4855</v>
      </c>
      <c r="BC1" t="s">
        <v>4856</v>
      </c>
      <c r="BD1" t="s">
        <v>4857</v>
      </c>
      <c r="BE1" t="s">
        <v>4858</v>
      </c>
      <c r="BF1" t="s">
        <v>4859</v>
      </c>
      <c r="BG1" t="s">
        <v>4860</v>
      </c>
      <c r="BH1" t="s">
        <v>4861</v>
      </c>
      <c r="BI1" t="s">
        <v>4862</v>
      </c>
      <c r="BJ1" t="s">
        <v>4863</v>
      </c>
      <c r="BK1" t="s">
        <v>4864</v>
      </c>
      <c r="BL1" t="s">
        <v>4865</v>
      </c>
      <c r="BM1" t="s">
        <v>4866</v>
      </c>
      <c r="BN1" t="s">
        <v>4867</v>
      </c>
      <c r="BO1" t="s">
        <v>4868</v>
      </c>
      <c r="BP1" t="s">
        <v>4869</v>
      </c>
      <c r="BQ1" t="s">
        <v>4870</v>
      </c>
      <c r="BR1" t="s">
        <v>4871</v>
      </c>
      <c r="BS1" t="s">
        <v>4872</v>
      </c>
      <c r="BT1" t="s">
        <v>4873</v>
      </c>
      <c r="BU1" t="s">
        <v>4874</v>
      </c>
      <c r="BV1" t="s">
        <v>4875</v>
      </c>
      <c r="BW1" t="s">
        <v>4876</v>
      </c>
      <c r="BX1" t="s">
        <v>4877</v>
      </c>
      <c r="BY1" t="s">
        <v>4878</v>
      </c>
      <c r="BZ1" t="s">
        <v>4879</v>
      </c>
      <c r="CA1" t="s">
        <v>4880</v>
      </c>
      <c r="CB1" t="s">
        <v>4881</v>
      </c>
      <c r="CC1" t="s">
        <v>4882</v>
      </c>
      <c r="CD1" t="s">
        <v>4883</v>
      </c>
      <c r="CE1" t="s">
        <v>4884</v>
      </c>
      <c r="CF1" t="s">
        <v>4885</v>
      </c>
      <c r="CG1" t="s">
        <v>4886</v>
      </c>
      <c r="CH1" t="s">
        <v>4887</v>
      </c>
      <c r="CI1" t="s">
        <v>4888</v>
      </c>
      <c r="CJ1" t="s">
        <v>4889</v>
      </c>
      <c r="CK1" t="s">
        <v>4890</v>
      </c>
      <c r="CL1" t="s">
        <v>4891</v>
      </c>
      <c r="CM1" t="s">
        <v>4892</v>
      </c>
      <c r="CN1" t="s">
        <v>4893</v>
      </c>
      <c r="CO1" t="s">
        <v>4894</v>
      </c>
      <c r="CP1" t="s">
        <v>4895</v>
      </c>
      <c r="CQ1" t="s">
        <v>4896</v>
      </c>
      <c r="CR1" t="s">
        <v>4897</v>
      </c>
      <c r="CS1" t="s">
        <v>4898</v>
      </c>
      <c r="CT1" t="s">
        <v>4899</v>
      </c>
      <c r="CU1" t="s">
        <v>4900</v>
      </c>
      <c r="CV1" t="s">
        <v>4901</v>
      </c>
      <c r="CW1" t="s">
        <v>4902</v>
      </c>
      <c r="CX1" t="s">
        <v>4903</v>
      </c>
      <c r="CY1" t="s">
        <v>4904</v>
      </c>
      <c r="CZ1" t="s">
        <v>4905</v>
      </c>
      <c r="DA1" t="s">
        <v>4906</v>
      </c>
      <c r="DB1" t="s">
        <v>4907</v>
      </c>
      <c r="DC1" t="s">
        <v>4908</v>
      </c>
      <c r="DD1" t="s">
        <v>4909</v>
      </c>
      <c r="DE1" t="s">
        <v>4910</v>
      </c>
      <c r="DF1" t="s">
        <v>4911</v>
      </c>
      <c r="DG1" t="s">
        <v>4912</v>
      </c>
      <c r="DH1" t="s">
        <v>4913</v>
      </c>
      <c r="DI1" t="s">
        <v>4914</v>
      </c>
      <c r="DJ1" t="s">
        <v>4915</v>
      </c>
      <c r="DK1" t="s">
        <v>4916</v>
      </c>
      <c r="DL1" t="s">
        <v>4917</v>
      </c>
      <c r="DM1" t="s">
        <v>4918</v>
      </c>
      <c r="DN1" t="s">
        <v>4919</v>
      </c>
      <c r="DO1" t="s">
        <v>4920</v>
      </c>
      <c r="DP1" t="s">
        <v>4921</v>
      </c>
      <c r="DQ1" t="s">
        <v>4922</v>
      </c>
      <c r="DR1" t="s">
        <v>4923</v>
      </c>
      <c r="DS1" t="s">
        <v>4924</v>
      </c>
      <c r="DT1" t="s">
        <v>4925</v>
      </c>
      <c r="DU1" t="s">
        <v>4926</v>
      </c>
      <c r="DV1" t="s">
        <v>4927</v>
      </c>
      <c r="DW1" t="s">
        <v>4928</v>
      </c>
      <c r="DX1" t="s">
        <v>4929</v>
      </c>
      <c r="DY1" t="s">
        <v>4930</v>
      </c>
      <c r="DZ1" t="s">
        <v>4931</v>
      </c>
      <c r="EA1" t="s">
        <v>4932</v>
      </c>
      <c r="EB1" t="s">
        <v>4933</v>
      </c>
      <c r="EC1" t="s">
        <v>4934</v>
      </c>
      <c r="ED1" t="s">
        <v>4935</v>
      </c>
      <c r="EE1" t="s">
        <v>4936</v>
      </c>
      <c r="EF1" t="s">
        <v>4937</v>
      </c>
      <c r="EG1" t="s">
        <v>4938</v>
      </c>
      <c r="EH1" t="s">
        <v>4939</v>
      </c>
      <c r="EI1" t="s">
        <v>4940</v>
      </c>
      <c r="EJ1" t="s">
        <v>4941</v>
      </c>
      <c r="EK1" t="s">
        <v>4942</v>
      </c>
      <c r="EL1" t="s">
        <v>4943</v>
      </c>
      <c r="EM1" t="s">
        <v>4944</v>
      </c>
      <c r="EN1" t="s">
        <v>4945</v>
      </c>
      <c r="EO1" t="s">
        <v>4946</v>
      </c>
      <c r="EP1" t="s">
        <v>4947</v>
      </c>
      <c r="EQ1" t="s">
        <v>4948</v>
      </c>
      <c r="ER1" t="s">
        <v>4949</v>
      </c>
      <c r="ES1" t="s">
        <v>4950</v>
      </c>
      <c r="ET1" t="s">
        <v>4951</v>
      </c>
      <c r="EU1" t="s">
        <v>4952</v>
      </c>
      <c r="EV1" t="s">
        <v>4953</v>
      </c>
      <c r="EW1" t="s">
        <v>4954</v>
      </c>
      <c r="EX1" t="s">
        <v>4955</v>
      </c>
      <c r="EY1" t="s">
        <v>4956</v>
      </c>
      <c r="EZ1" t="s">
        <v>4957</v>
      </c>
      <c r="FA1" t="s">
        <v>4958</v>
      </c>
      <c r="FB1" t="s">
        <v>4959</v>
      </c>
      <c r="FC1" t="s">
        <v>4960</v>
      </c>
      <c r="FD1" t="s">
        <v>4961</v>
      </c>
      <c r="FE1" t="s">
        <v>4962</v>
      </c>
      <c r="FF1" t="s">
        <v>4963</v>
      </c>
      <c r="FG1" t="s">
        <v>4964</v>
      </c>
      <c r="FH1" t="s">
        <v>4965</v>
      </c>
    </row>
    <row r="2" spans="1:164">
      <c r="A2" s="623" t="s">
        <v>4966</v>
      </c>
      <c r="B2" s="623" t="s">
        <v>4967</v>
      </c>
      <c r="C2" s="623" t="s">
        <v>2023</v>
      </c>
      <c r="D2" s="623" t="s">
        <v>2024</v>
      </c>
      <c r="E2" s="623" t="s">
        <v>2025</v>
      </c>
      <c r="F2" s="623" t="s">
        <v>2026</v>
      </c>
      <c r="G2" s="623" t="s">
        <v>2027</v>
      </c>
      <c r="H2" s="623" t="s">
        <v>2028</v>
      </c>
      <c r="I2" s="623" t="s">
        <v>2029</v>
      </c>
      <c r="J2" s="623" t="s">
        <v>2030</v>
      </c>
      <c r="K2" s="623" t="s">
        <v>2031</v>
      </c>
      <c r="L2" s="623" t="s">
        <v>2032</v>
      </c>
      <c r="M2" s="623" t="s">
        <v>2033</v>
      </c>
      <c r="N2" s="623" t="s">
        <v>2034</v>
      </c>
      <c r="O2" s="623" t="s">
        <v>2035</v>
      </c>
      <c r="P2" s="623" t="s">
        <v>2036</v>
      </c>
      <c r="Q2" s="623" t="s">
        <v>2037</v>
      </c>
      <c r="R2" s="623" t="s">
        <v>2038</v>
      </c>
      <c r="S2" s="623" t="s">
        <v>2039</v>
      </c>
      <c r="T2" s="623" t="s">
        <v>2040</v>
      </c>
      <c r="U2" s="623" t="s">
        <v>2041</v>
      </c>
      <c r="V2" s="623" t="s">
        <v>2042</v>
      </c>
      <c r="W2" s="623" t="s">
        <v>2043</v>
      </c>
      <c r="X2" s="623" t="s">
        <v>2044</v>
      </c>
      <c r="Y2" s="623" t="s">
        <v>2045</v>
      </c>
      <c r="Z2" s="623" t="s">
        <v>2046</v>
      </c>
      <c r="AA2" s="623" t="s">
        <v>2047</v>
      </c>
      <c r="AB2" s="623" t="s">
        <v>2048</v>
      </c>
      <c r="AC2" s="623" t="s">
        <v>2049</v>
      </c>
      <c r="AD2" s="623" t="s">
        <v>2050</v>
      </c>
      <c r="AE2" s="623" t="s">
        <v>2051</v>
      </c>
      <c r="AF2" s="623" t="s">
        <v>2052</v>
      </c>
      <c r="AG2" s="623" t="s">
        <v>2053</v>
      </c>
      <c r="AH2" s="623" t="s">
        <v>2054</v>
      </c>
      <c r="AI2" s="623" t="s">
        <v>2055</v>
      </c>
      <c r="AJ2" s="623" t="s">
        <v>2056</v>
      </c>
      <c r="AK2" s="623" t="s">
        <v>2057</v>
      </c>
      <c r="AL2" s="623" t="s">
        <v>2058</v>
      </c>
      <c r="AM2" s="623" t="s">
        <v>2059</v>
      </c>
      <c r="AN2" s="623" t="s">
        <v>2060</v>
      </c>
      <c r="AO2" s="623" t="s">
        <v>2061</v>
      </c>
      <c r="AP2" s="623" t="s">
        <v>2062</v>
      </c>
      <c r="AQ2" s="623" t="s">
        <v>2063</v>
      </c>
      <c r="AR2" s="623" t="s">
        <v>2064</v>
      </c>
      <c r="AS2" s="623" t="s">
        <v>2065</v>
      </c>
      <c r="AT2" s="623" t="s">
        <v>2066</v>
      </c>
      <c r="AU2" s="623" t="s">
        <v>2067</v>
      </c>
      <c r="AV2" s="623" t="s">
        <v>2068</v>
      </c>
      <c r="AW2" s="623" t="s">
        <v>2069</v>
      </c>
      <c r="AX2" s="623" t="s">
        <v>2070</v>
      </c>
      <c r="AY2" s="623" t="s">
        <v>2071</v>
      </c>
      <c r="AZ2" s="623" t="s">
        <v>2072</v>
      </c>
      <c r="BA2" s="623" t="s">
        <v>2073</v>
      </c>
      <c r="BB2" s="623" t="s">
        <v>2074</v>
      </c>
      <c r="BC2" s="623" t="s">
        <v>2075</v>
      </c>
      <c r="BD2" s="623" t="s">
        <v>2076</v>
      </c>
      <c r="BE2" s="623" t="s">
        <v>2077</v>
      </c>
      <c r="BF2" s="623" t="s">
        <v>2078</v>
      </c>
      <c r="BG2" s="623" t="s">
        <v>2079</v>
      </c>
      <c r="BH2" s="623" t="s">
        <v>2080</v>
      </c>
      <c r="BI2" s="623" t="s">
        <v>2081</v>
      </c>
      <c r="BJ2" s="623" t="s">
        <v>2082</v>
      </c>
      <c r="BK2" s="623" t="s">
        <v>2083</v>
      </c>
      <c r="BL2" s="623" t="s">
        <v>2084</v>
      </c>
      <c r="BM2" s="623" t="s">
        <v>2085</v>
      </c>
      <c r="BN2" s="623" t="s">
        <v>2086</v>
      </c>
      <c r="BO2" s="623" t="s">
        <v>2087</v>
      </c>
      <c r="BP2" s="623" t="s">
        <v>2088</v>
      </c>
      <c r="BQ2" s="623" t="s">
        <v>2089</v>
      </c>
      <c r="BR2" s="623" t="s">
        <v>2090</v>
      </c>
      <c r="BS2" s="623" t="s">
        <v>2091</v>
      </c>
      <c r="BT2" s="623" t="s">
        <v>2092</v>
      </c>
      <c r="BU2" s="623" t="s">
        <v>2093</v>
      </c>
      <c r="BV2" s="623" t="s">
        <v>2094</v>
      </c>
      <c r="BW2" s="623" t="s">
        <v>2095</v>
      </c>
      <c r="BX2" s="623" t="s">
        <v>2096</v>
      </c>
      <c r="BY2" s="623" t="s">
        <v>2097</v>
      </c>
      <c r="BZ2" s="623" t="s">
        <v>2098</v>
      </c>
      <c r="CA2" s="623" t="s">
        <v>2099</v>
      </c>
      <c r="CB2" s="623" t="s">
        <v>2100</v>
      </c>
      <c r="CC2" s="623" t="s">
        <v>2101</v>
      </c>
      <c r="CD2" s="623" t="s">
        <v>2102</v>
      </c>
      <c r="CE2" s="623" t="s">
        <v>2103</v>
      </c>
      <c r="CF2" s="623" t="s">
        <v>2104</v>
      </c>
      <c r="CG2" s="623" t="s">
        <v>2105</v>
      </c>
      <c r="CH2" s="623" t="s">
        <v>2106</v>
      </c>
      <c r="CI2" s="623" t="s">
        <v>2107</v>
      </c>
      <c r="CJ2" s="623" t="s">
        <v>2108</v>
      </c>
      <c r="CK2" s="623" t="s">
        <v>2109</v>
      </c>
      <c r="CL2" s="623" t="s">
        <v>2110</v>
      </c>
      <c r="CM2" s="623" t="s">
        <v>2111</v>
      </c>
      <c r="CN2" s="623" t="s">
        <v>2112</v>
      </c>
      <c r="CO2" s="623" t="s">
        <v>2113</v>
      </c>
      <c r="CP2" s="623" t="s">
        <v>2114</v>
      </c>
      <c r="CQ2" s="623" t="s">
        <v>2115</v>
      </c>
      <c r="CR2" s="623" t="s">
        <v>2116</v>
      </c>
      <c r="CS2" s="623" t="s">
        <v>2117</v>
      </c>
      <c r="CT2" s="623" t="s">
        <v>2118</v>
      </c>
      <c r="CU2" s="623" t="s">
        <v>2119</v>
      </c>
      <c r="CV2" s="623" t="s">
        <v>2120</v>
      </c>
      <c r="CW2" s="623" t="s">
        <v>2121</v>
      </c>
      <c r="CX2" s="623" t="s">
        <v>2122</v>
      </c>
      <c r="CY2" s="623" t="s">
        <v>2123</v>
      </c>
      <c r="CZ2" s="623" t="s">
        <v>2124</v>
      </c>
      <c r="DA2" s="623" t="s">
        <v>2125</v>
      </c>
      <c r="DB2" s="623" t="s">
        <v>2126</v>
      </c>
      <c r="DC2" s="623" t="s">
        <v>2127</v>
      </c>
      <c r="DD2" s="623" t="s">
        <v>2128</v>
      </c>
      <c r="DE2" s="623" t="s">
        <v>2129</v>
      </c>
      <c r="DF2" s="623" t="s">
        <v>2130</v>
      </c>
      <c r="DG2" s="623" t="s">
        <v>2131</v>
      </c>
      <c r="DH2" s="623" t="s">
        <v>2132</v>
      </c>
      <c r="DI2" s="623" t="s">
        <v>2133</v>
      </c>
      <c r="DJ2" s="623" t="s">
        <v>2134</v>
      </c>
      <c r="DK2" s="623" t="s">
        <v>2135</v>
      </c>
      <c r="DL2" s="623" t="s">
        <v>2136</v>
      </c>
      <c r="DM2" s="623" t="s">
        <v>2137</v>
      </c>
      <c r="DN2" s="623" t="s">
        <v>2138</v>
      </c>
      <c r="DO2" s="623" t="s">
        <v>2139</v>
      </c>
      <c r="DP2" s="623" t="s">
        <v>2140</v>
      </c>
      <c r="DQ2" s="623" t="s">
        <v>2141</v>
      </c>
      <c r="DR2" s="623" t="s">
        <v>2142</v>
      </c>
      <c r="DS2" s="623" t="s">
        <v>2143</v>
      </c>
      <c r="DT2" s="623" t="s">
        <v>2144</v>
      </c>
      <c r="DU2" s="623" t="s">
        <v>2145</v>
      </c>
      <c r="DV2" s="623" t="s">
        <v>2146</v>
      </c>
      <c r="DW2" s="623" t="s">
        <v>2147</v>
      </c>
      <c r="DX2" s="623" t="s">
        <v>2148</v>
      </c>
      <c r="DY2" s="623" t="s">
        <v>2149</v>
      </c>
      <c r="DZ2" s="623" t="s">
        <v>2150</v>
      </c>
      <c r="EA2" s="623" t="s">
        <v>2151</v>
      </c>
      <c r="EB2" s="623" t="s">
        <v>2152</v>
      </c>
      <c r="EC2" s="623" t="s">
        <v>2153</v>
      </c>
      <c r="ED2" s="623" t="s">
        <v>2154</v>
      </c>
      <c r="EE2" s="623" t="s">
        <v>2155</v>
      </c>
      <c r="EF2" s="623" t="s">
        <v>2156</v>
      </c>
      <c r="EG2" s="623" t="s">
        <v>2157</v>
      </c>
      <c r="EH2" s="623" t="s">
        <v>2158</v>
      </c>
      <c r="EI2" s="623" t="s">
        <v>2159</v>
      </c>
      <c r="EJ2" s="623" t="s">
        <v>2160</v>
      </c>
      <c r="EK2" s="623" t="s">
        <v>2161</v>
      </c>
      <c r="EL2" s="623" t="s">
        <v>2162</v>
      </c>
      <c r="EM2" s="623" t="s">
        <v>2163</v>
      </c>
      <c r="EN2" s="623" t="s">
        <v>2164</v>
      </c>
      <c r="EO2" s="623" t="s">
        <v>2165</v>
      </c>
      <c r="EP2" s="623" t="s">
        <v>2166</v>
      </c>
      <c r="EQ2" s="623" t="s">
        <v>2167</v>
      </c>
      <c r="ER2" s="623" t="s">
        <v>2168</v>
      </c>
      <c r="ES2" s="623" t="s">
        <v>2169</v>
      </c>
      <c r="ET2" s="623" t="s">
        <v>2170</v>
      </c>
      <c r="EU2" s="623" t="s">
        <v>2171</v>
      </c>
      <c r="EV2" s="623" t="s">
        <v>2172</v>
      </c>
      <c r="EW2" s="623" t="s">
        <v>2173</v>
      </c>
      <c r="EX2" s="623" t="s">
        <v>2174</v>
      </c>
      <c r="EY2" s="623" t="s">
        <v>2175</v>
      </c>
      <c r="EZ2" s="623" t="s">
        <v>2176</v>
      </c>
      <c r="FA2" s="623" t="s">
        <v>2177</v>
      </c>
      <c r="FB2" s="623" t="s">
        <v>2178</v>
      </c>
      <c r="FC2" s="623" t="s">
        <v>2179</v>
      </c>
      <c r="FD2" s="623" t="s">
        <v>2180</v>
      </c>
      <c r="FE2" s="623" t="s">
        <v>2181</v>
      </c>
      <c r="FF2" s="623" t="s">
        <v>2182</v>
      </c>
      <c r="FG2" s="623" t="s">
        <v>2183</v>
      </c>
      <c r="FH2" s="623" t="s">
        <v>2184</v>
      </c>
    </row>
    <row r="3" spans="1:164">
      <c r="A3" s="623" t="s">
        <v>0</v>
      </c>
      <c r="B3" s="623" t="s">
        <v>191</v>
      </c>
      <c r="C3" s="623" t="s">
        <v>192</v>
      </c>
      <c r="D3" s="623" t="s">
        <v>193</v>
      </c>
      <c r="E3" s="623"/>
      <c r="F3" s="623"/>
      <c r="G3" s="623"/>
      <c r="H3" s="623"/>
      <c r="I3" s="623"/>
      <c r="J3" s="623"/>
      <c r="K3" s="623"/>
      <c r="L3" s="623"/>
      <c r="M3" s="623"/>
      <c r="N3" s="623"/>
      <c r="O3" s="623"/>
      <c r="P3" s="623"/>
      <c r="Q3" s="623"/>
      <c r="R3" s="623"/>
      <c r="S3" s="623"/>
      <c r="T3" s="623"/>
      <c r="U3" s="623"/>
      <c r="V3" s="623"/>
      <c r="W3" s="623"/>
      <c r="X3" s="623"/>
      <c r="Y3" s="623"/>
      <c r="Z3" s="623"/>
      <c r="AA3" s="623"/>
      <c r="AB3" s="623"/>
      <c r="AC3" s="623"/>
      <c r="AD3" s="623"/>
      <c r="AE3" s="623"/>
      <c r="AF3" s="623"/>
      <c r="AG3" s="623"/>
      <c r="AH3" s="623"/>
      <c r="AI3" s="623"/>
      <c r="AJ3" s="623"/>
      <c r="AK3" s="623"/>
      <c r="AL3" s="623"/>
      <c r="AM3" s="623"/>
      <c r="AN3" s="623"/>
      <c r="AO3" s="623"/>
      <c r="AP3" s="623"/>
      <c r="AQ3" s="623"/>
      <c r="AR3" s="623"/>
      <c r="AS3" s="623"/>
      <c r="AT3" s="623"/>
      <c r="AU3" s="623"/>
      <c r="AV3" s="623"/>
      <c r="AW3" s="623"/>
      <c r="AX3" s="623"/>
      <c r="AY3" s="623"/>
      <c r="AZ3" s="623"/>
      <c r="BA3" s="623"/>
      <c r="BB3" s="623"/>
      <c r="BC3" s="623"/>
      <c r="BD3" s="623"/>
      <c r="BE3" s="623"/>
      <c r="BF3" s="623"/>
      <c r="BG3" s="623"/>
      <c r="BH3" s="623"/>
      <c r="BI3" s="623"/>
      <c r="BJ3" s="623"/>
      <c r="BK3" s="623"/>
      <c r="BL3" s="623"/>
      <c r="BM3" s="623"/>
      <c r="BN3" s="623"/>
      <c r="BO3" s="623"/>
      <c r="BP3" s="623"/>
      <c r="BQ3" s="623"/>
      <c r="BR3" s="623"/>
      <c r="BS3" s="623"/>
      <c r="BT3" s="623"/>
      <c r="BU3" s="623"/>
      <c r="BV3" s="623"/>
      <c r="BW3" s="623"/>
      <c r="BX3" s="623"/>
      <c r="BY3" s="623"/>
      <c r="BZ3" s="623"/>
      <c r="CA3" s="623"/>
      <c r="CB3" s="623"/>
      <c r="CC3" s="623"/>
      <c r="CD3" s="623"/>
      <c r="CE3" s="623"/>
      <c r="CF3" s="623"/>
      <c r="CG3" s="623"/>
      <c r="CH3" s="623"/>
      <c r="CI3" s="623"/>
      <c r="CJ3" s="623"/>
      <c r="CK3" s="623"/>
      <c r="CL3" s="623"/>
      <c r="CM3" s="623"/>
      <c r="CN3" s="623"/>
      <c r="CO3" s="623"/>
      <c r="CP3" s="623"/>
      <c r="CQ3" s="623"/>
      <c r="CR3" s="623"/>
      <c r="CS3" s="623"/>
      <c r="CT3" s="623"/>
      <c r="CU3" s="623"/>
      <c r="CV3" s="623"/>
      <c r="CW3" s="623"/>
      <c r="CX3" s="623"/>
      <c r="CY3" s="623"/>
      <c r="CZ3" s="623"/>
      <c r="DA3" s="623"/>
      <c r="DB3" s="623"/>
      <c r="DC3" s="623"/>
      <c r="DD3" s="623"/>
      <c r="DE3" s="623"/>
      <c r="DF3" s="623"/>
      <c r="DG3" s="623"/>
      <c r="DH3" s="623"/>
      <c r="DI3" s="623"/>
      <c r="DJ3" s="623"/>
      <c r="DK3" s="623"/>
      <c r="DL3" s="623"/>
      <c r="DM3" s="623"/>
      <c r="DN3" s="623"/>
      <c r="DO3" s="623"/>
      <c r="DP3" s="623"/>
      <c r="DQ3" s="623"/>
      <c r="DR3" s="623"/>
      <c r="DS3" s="623"/>
      <c r="DT3" s="623"/>
      <c r="DU3" s="623"/>
      <c r="DV3" s="623"/>
      <c r="DW3" s="623"/>
      <c r="DX3" s="623"/>
      <c r="DY3" s="623"/>
      <c r="DZ3" s="623"/>
      <c r="EA3" s="623"/>
      <c r="EB3" s="623"/>
      <c r="EC3" s="623"/>
      <c r="ED3" s="623"/>
      <c r="EE3" s="623"/>
      <c r="EF3" s="623"/>
      <c r="EG3" s="623"/>
      <c r="EH3" s="623"/>
      <c r="EI3" s="623"/>
      <c r="EJ3" s="623"/>
      <c r="EK3" s="623"/>
      <c r="EL3" s="623"/>
      <c r="EM3" s="623"/>
      <c r="EN3" s="623"/>
      <c r="EO3" s="623"/>
      <c r="EP3" s="623"/>
      <c r="EQ3" s="623"/>
      <c r="ER3" s="623"/>
      <c r="ES3" s="623"/>
      <c r="ET3" s="623"/>
      <c r="EU3" s="623"/>
      <c r="EV3" s="623"/>
      <c r="EW3" s="623"/>
      <c r="EX3" s="623"/>
      <c r="EY3" s="623"/>
      <c r="EZ3" s="623"/>
      <c r="FA3" s="623"/>
      <c r="FB3" s="623"/>
      <c r="FC3" s="623"/>
      <c r="FD3" s="623"/>
      <c r="FE3" s="623"/>
      <c r="FF3" s="623"/>
      <c r="FG3" s="623"/>
      <c r="FH3" s="623"/>
    </row>
    <row r="4" spans="1:164">
      <c r="A4" s="623" t="s">
        <v>4968</v>
      </c>
      <c r="B4" s="623" t="s">
        <v>194</v>
      </c>
      <c r="C4" s="623" t="s">
        <v>195</v>
      </c>
      <c r="D4" s="623" t="s">
        <v>196</v>
      </c>
      <c r="E4" s="623" t="s">
        <v>197</v>
      </c>
      <c r="F4" s="623" t="s">
        <v>198</v>
      </c>
      <c r="G4" s="623" t="s">
        <v>2185</v>
      </c>
      <c r="H4" s="623" t="s">
        <v>2186</v>
      </c>
      <c r="I4" s="623" t="s">
        <v>2187</v>
      </c>
      <c r="J4" s="623" t="s">
        <v>2188</v>
      </c>
      <c r="K4" s="623" t="s">
        <v>2189</v>
      </c>
      <c r="L4" s="623"/>
      <c r="M4" s="623"/>
      <c r="N4" s="623"/>
      <c r="O4" s="623"/>
      <c r="P4" s="623"/>
      <c r="Q4" s="623"/>
      <c r="R4" s="623"/>
      <c r="S4" s="623"/>
      <c r="T4" s="623"/>
      <c r="U4" s="623"/>
      <c r="V4" s="623"/>
      <c r="W4" s="623"/>
      <c r="X4" s="623"/>
      <c r="Y4" s="623"/>
      <c r="Z4" s="623"/>
      <c r="AA4" s="623"/>
      <c r="AB4" s="623"/>
      <c r="AC4" s="623"/>
      <c r="AD4" s="623"/>
      <c r="AE4" s="623"/>
      <c r="AF4" s="623"/>
      <c r="AG4" s="623"/>
      <c r="AH4" s="623"/>
      <c r="AI4" s="623"/>
      <c r="AJ4" s="623"/>
      <c r="AK4" s="623"/>
      <c r="AL4" s="623"/>
      <c r="AM4" s="623"/>
      <c r="AN4" s="623"/>
      <c r="AO4" s="623"/>
      <c r="AP4" s="623"/>
      <c r="AQ4" s="623"/>
      <c r="AR4" s="623"/>
      <c r="AS4" s="623"/>
      <c r="AT4" s="623"/>
      <c r="AU4" s="623"/>
      <c r="AV4" s="623"/>
      <c r="AW4" s="623"/>
      <c r="AX4" s="623"/>
      <c r="AY4" s="623"/>
      <c r="AZ4" s="623"/>
      <c r="BA4" s="623"/>
      <c r="BB4" s="623"/>
      <c r="BC4" s="623"/>
      <c r="BD4" s="623"/>
      <c r="BE4" s="623"/>
      <c r="BF4" s="623"/>
      <c r="BG4" s="623"/>
      <c r="BH4" s="623"/>
      <c r="BI4" s="623"/>
      <c r="BJ4" s="623"/>
      <c r="BK4" s="623"/>
      <c r="BL4" s="623"/>
      <c r="BM4" s="623"/>
      <c r="BN4" s="623"/>
      <c r="BO4" s="623"/>
      <c r="BP4" s="623"/>
      <c r="BQ4" s="623"/>
      <c r="BR4" s="623"/>
      <c r="BS4" s="623"/>
      <c r="BT4" s="623"/>
      <c r="BU4" s="623"/>
      <c r="BV4" s="623"/>
      <c r="BW4" s="623"/>
      <c r="BX4" s="623"/>
      <c r="BY4" s="623"/>
      <c r="BZ4" s="623"/>
      <c r="CA4" s="623"/>
      <c r="CB4" s="623"/>
      <c r="CC4" s="623"/>
      <c r="CD4" s="623"/>
      <c r="CE4" s="623"/>
      <c r="CF4" s="623"/>
      <c r="CG4" s="623"/>
      <c r="CH4" s="623"/>
      <c r="CI4" s="623"/>
      <c r="CJ4" s="623"/>
      <c r="CK4" s="623"/>
      <c r="CL4" s="623"/>
      <c r="CM4" s="623"/>
      <c r="CN4" s="623"/>
      <c r="CO4" s="623"/>
      <c r="CP4" s="623"/>
      <c r="CQ4" s="623"/>
      <c r="CR4" s="623"/>
      <c r="CS4" s="623"/>
      <c r="CT4" s="623"/>
      <c r="CU4" s="623"/>
      <c r="CV4" s="623"/>
      <c r="CW4" s="623"/>
      <c r="CX4" s="623"/>
      <c r="CY4" s="623"/>
      <c r="CZ4" s="623"/>
      <c r="DA4" s="623"/>
      <c r="DB4" s="623"/>
      <c r="DC4" s="623"/>
      <c r="DD4" s="623"/>
      <c r="DE4" s="623"/>
      <c r="DF4" s="623"/>
      <c r="DG4" s="623"/>
      <c r="DH4" s="623"/>
      <c r="DI4" s="623"/>
      <c r="DJ4" s="623"/>
      <c r="DK4" s="623"/>
      <c r="DL4" s="623"/>
      <c r="DM4" s="623"/>
      <c r="DN4" s="623"/>
      <c r="DO4" s="623"/>
      <c r="DP4" s="623"/>
      <c r="DQ4" s="623"/>
      <c r="DR4" s="623"/>
      <c r="DS4" s="623"/>
      <c r="DT4" s="623"/>
      <c r="DU4" s="623"/>
      <c r="DV4" s="623"/>
      <c r="DW4" s="623"/>
      <c r="DX4" s="623"/>
      <c r="DY4" s="623"/>
      <c r="DZ4" s="623"/>
      <c r="EA4" s="623"/>
      <c r="EB4" s="623"/>
      <c r="EC4" s="623"/>
      <c r="ED4" s="623"/>
      <c r="EE4" s="623"/>
      <c r="EF4" s="623"/>
      <c r="EG4" s="623"/>
      <c r="EH4" s="623"/>
      <c r="EI4" s="623"/>
      <c r="EJ4" s="623"/>
      <c r="EK4" s="623"/>
      <c r="EL4" s="623"/>
      <c r="EM4" s="623"/>
      <c r="EN4" s="623"/>
      <c r="EO4" s="623"/>
      <c r="EP4" s="623"/>
      <c r="EQ4" s="623"/>
      <c r="ER4" s="623"/>
      <c r="ES4" s="623"/>
      <c r="ET4" s="623"/>
      <c r="EU4" s="623"/>
      <c r="EV4" s="623"/>
      <c r="EW4" s="623"/>
      <c r="EX4" s="623"/>
      <c r="EY4" s="623"/>
      <c r="EZ4" s="623"/>
      <c r="FA4" s="623"/>
      <c r="FB4" s="623"/>
      <c r="FC4" s="623"/>
      <c r="FD4" s="623"/>
      <c r="FE4" s="623"/>
      <c r="FF4" s="623"/>
      <c r="FG4" s="623"/>
      <c r="FH4" s="623"/>
    </row>
    <row r="5" spans="1:164">
      <c r="A5" s="623" t="s">
        <v>4969</v>
      </c>
      <c r="B5" s="623" t="s">
        <v>201</v>
      </c>
      <c r="C5" s="623" t="s">
        <v>1828</v>
      </c>
      <c r="D5" s="623" t="s">
        <v>4970</v>
      </c>
      <c r="E5" s="623" t="s">
        <v>452</v>
      </c>
      <c r="F5" s="623" t="s">
        <v>2418</v>
      </c>
      <c r="G5" s="623" t="s">
        <v>2419</v>
      </c>
      <c r="H5" s="623" t="s">
        <v>2420</v>
      </c>
      <c r="I5" s="623"/>
      <c r="J5" s="623"/>
      <c r="K5" s="623"/>
      <c r="L5" s="623"/>
      <c r="M5" s="623"/>
      <c r="N5" s="623"/>
      <c r="O5" s="623"/>
      <c r="P5" s="623"/>
      <c r="Q5" s="623"/>
      <c r="R5" s="623"/>
      <c r="S5" s="623"/>
      <c r="T5" s="623"/>
      <c r="U5" s="623"/>
      <c r="V5" s="623"/>
      <c r="W5" s="623"/>
      <c r="X5" s="623"/>
      <c r="Y5" s="623"/>
      <c r="Z5" s="623"/>
      <c r="AA5" s="623"/>
      <c r="AB5" s="623"/>
      <c r="AC5" s="623"/>
      <c r="AD5" s="623"/>
      <c r="AE5" s="623"/>
      <c r="AF5" s="623"/>
      <c r="AG5" s="623"/>
      <c r="AH5" s="623"/>
      <c r="AI5" s="623"/>
      <c r="AJ5" s="623"/>
      <c r="AK5" s="623"/>
      <c r="AL5" s="623"/>
      <c r="AM5" s="623"/>
      <c r="AN5" s="623"/>
      <c r="AO5" s="623"/>
      <c r="AP5" s="623"/>
      <c r="AQ5" s="623"/>
      <c r="AR5" s="623"/>
      <c r="AS5" s="623"/>
      <c r="AT5" s="623"/>
      <c r="AU5" s="623"/>
      <c r="AV5" s="623"/>
      <c r="AW5" s="623"/>
      <c r="AX5" s="623"/>
      <c r="AY5" s="623"/>
      <c r="AZ5" s="623"/>
      <c r="BA5" s="623"/>
      <c r="BB5" s="623"/>
      <c r="BC5" s="623"/>
      <c r="BD5" s="623"/>
      <c r="BE5" s="623"/>
      <c r="BF5" s="623"/>
      <c r="BG5" s="623"/>
      <c r="BH5" s="623"/>
      <c r="BI5" s="623"/>
      <c r="BJ5" s="623"/>
      <c r="BK5" s="623"/>
      <c r="BL5" s="623"/>
      <c r="BM5" s="623"/>
      <c r="BN5" s="623"/>
      <c r="BO5" s="623"/>
      <c r="BP5" s="623"/>
      <c r="BQ5" s="623"/>
      <c r="BR5" s="623"/>
      <c r="BS5" s="623"/>
      <c r="BT5" s="623"/>
      <c r="BU5" s="623"/>
      <c r="BV5" s="623"/>
      <c r="BW5" s="623"/>
      <c r="BX5" s="623"/>
      <c r="BY5" s="623"/>
      <c r="BZ5" s="623"/>
      <c r="CA5" s="623"/>
      <c r="CB5" s="623"/>
      <c r="CC5" s="623"/>
      <c r="CD5" s="623"/>
      <c r="CE5" s="623"/>
      <c r="CF5" s="623"/>
      <c r="CG5" s="623"/>
      <c r="CH5" s="623"/>
      <c r="CI5" s="623"/>
      <c r="CJ5" s="623"/>
      <c r="CK5" s="623"/>
      <c r="CL5" s="623"/>
      <c r="CM5" s="623"/>
      <c r="CN5" s="623"/>
      <c r="CO5" s="623"/>
      <c r="CP5" s="623"/>
      <c r="CQ5" s="623"/>
      <c r="CR5" s="623"/>
      <c r="CS5" s="623"/>
      <c r="CT5" s="623"/>
      <c r="CU5" s="623"/>
      <c r="CV5" s="623"/>
      <c r="CW5" s="623"/>
      <c r="CX5" s="623"/>
      <c r="CY5" s="623"/>
      <c r="CZ5" s="623"/>
      <c r="DA5" s="623"/>
      <c r="DB5" s="623"/>
      <c r="DC5" s="623"/>
      <c r="DD5" s="623"/>
      <c r="DE5" s="623"/>
      <c r="DF5" s="623"/>
      <c r="DG5" s="623"/>
      <c r="DH5" s="623"/>
      <c r="DI5" s="623"/>
      <c r="DJ5" s="623"/>
      <c r="DK5" s="623"/>
      <c r="DL5" s="623"/>
      <c r="DM5" s="623"/>
      <c r="DN5" s="623"/>
      <c r="DO5" s="623"/>
      <c r="DP5" s="623"/>
      <c r="DQ5" s="623"/>
      <c r="DR5" s="623"/>
      <c r="DS5" s="623"/>
      <c r="DT5" s="623"/>
      <c r="DU5" s="623"/>
      <c r="DV5" s="623"/>
      <c r="DW5" s="623"/>
      <c r="DX5" s="623"/>
      <c r="DY5" s="623"/>
      <c r="DZ5" s="623"/>
      <c r="EA5" s="623"/>
      <c r="EB5" s="623"/>
      <c r="EC5" s="623"/>
      <c r="ED5" s="623"/>
      <c r="EE5" s="623"/>
      <c r="EF5" s="623"/>
      <c r="EG5" s="623"/>
      <c r="EH5" s="623"/>
      <c r="EI5" s="623"/>
      <c r="EJ5" s="623"/>
      <c r="EK5" s="623"/>
      <c r="EL5" s="623"/>
      <c r="EM5" s="623"/>
      <c r="EN5" s="623"/>
      <c r="EO5" s="623"/>
      <c r="EP5" s="623"/>
      <c r="EQ5" s="623"/>
      <c r="ER5" s="623"/>
      <c r="ES5" s="623"/>
      <c r="ET5" s="623"/>
      <c r="EU5" s="623"/>
      <c r="EV5" s="623"/>
      <c r="EW5" s="623"/>
      <c r="EX5" s="623"/>
      <c r="EY5" s="623"/>
      <c r="EZ5" s="623"/>
      <c r="FA5" s="623"/>
      <c r="FB5" s="623"/>
      <c r="FC5" s="623"/>
      <c r="FD5" s="623"/>
      <c r="FE5" s="623"/>
      <c r="FF5" s="623"/>
      <c r="FG5" s="623"/>
      <c r="FH5" s="623"/>
    </row>
    <row r="6" spans="1:164">
      <c r="A6" s="623" t="s">
        <v>4971</v>
      </c>
      <c r="B6" s="623" t="s">
        <v>5</v>
      </c>
      <c r="C6" s="623" t="s">
        <v>4972</v>
      </c>
      <c r="D6" s="623"/>
      <c r="E6" s="623"/>
      <c r="F6" s="623"/>
      <c r="G6" s="623"/>
      <c r="H6" s="623"/>
      <c r="I6" s="623"/>
      <c r="J6" s="623"/>
      <c r="K6" s="623"/>
      <c r="L6" s="623"/>
      <c r="M6" s="623"/>
      <c r="N6" s="623"/>
      <c r="O6" s="623"/>
      <c r="P6" s="623"/>
      <c r="Q6" s="623"/>
      <c r="R6" s="623"/>
      <c r="S6" s="623"/>
      <c r="T6" s="623"/>
      <c r="U6" s="623"/>
      <c r="V6" s="623"/>
      <c r="W6" s="623"/>
      <c r="X6" s="623"/>
      <c r="Y6" s="623"/>
      <c r="Z6" s="623"/>
      <c r="AA6" s="623"/>
      <c r="AB6" s="623"/>
      <c r="AC6" s="623"/>
      <c r="AD6" s="623"/>
      <c r="AE6" s="623"/>
      <c r="AF6" s="623"/>
      <c r="AG6" s="623"/>
      <c r="AH6" s="623"/>
      <c r="AI6" s="623"/>
      <c r="AJ6" s="623"/>
      <c r="AK6" s="623"/>
      <c r="AL6" s="623"/>
      <c r="AM6" s="623"/>
      <c r="AN6" s="623"/>
      <c r="AO6" s="623"/>
      <c r="AP6" s="623"/>
      <c r="AQ6" s="623"/>
      <c r="AR6" s="623"/>
      <c r="AS6" s="623"/>
      <c r="AT6" s="623"/>
      <c r="AU6" s="623"/>
      <c r="AV6" s="623"/>
      <c r="AW6" s="623"/>
      <c r="AX6" s="623"/>
      <c r="AY6" s="623"/>
      <c r="AZ6" s="623"/>
      <c r="BA6" s="623"/>
      <c r="BB6" s="623"/>
      <c r="BC6" s="623"/>
      <c r="BD6" s="623"/>
      <c r="BE6" s="623"/>
      <c r="BF6" s="623"/>
      <c r="BG6" s="623"/>
      <c r="BH6" s="623"/>
      <c r="BI6" s="623"/>
      <c r="BJ6" s="623"/>
      <c r="BK6" s="623"/>
      <c r="BL6" s="623"/>
      <c r="BM6" s="623"/>
      <c r="BN6" s="623"/>
      <c r="BO6" s="623"/>
      <c r="BP6" s="623"/>
      <c r="BQ6" s="623"/>
      <c r="BR6" s="623"/>
      <c r="BS6" s="623"/>
      <c r="BT6" s="623"/>
      <c r="BU6" s="623"/>
      <c r="BV6" s="623"/>
      <c r="BW6" s="623"/>
      <c r="BX6" s="623"/>
      <c r="BY6" s="623"/>
      <c r="BZ6" s="623"/>
      <c r="CA6" s="623"/>
      <c r="CB6" s="623"/>
      <c r="CC6" s="623"/>
      <c r="CD6" s="623"/>
      <c r="CE6" s="623"/>
      <c r="CF6" s="623"/>
      <c r="CG6" s="623"/>
      <c r="CH6" s="623"/>
      <c r="CI6" s="623"/>
      <c r="CJ6" s="623"/>
      <c r="CK6" s="623"/>
      <c r="CL6" s="623"/>
      <c r="CM6" s="623"/>
      <c r="CN6" s="623"/>
      <c r="CO6" s="623"/>
      <c r="CP6" s="623"/>
      <c r="CQ6" s="623"/>
      <c r="CR6" s="623"/>
      <c r="CS6" s="623"/>
      <c r="CT6" s="623"/>
      <c r="CU6" s="623"/>
      <c r="CV6" s="623"/>
      <c r="CW6" s="623"/>
      <c r="CX6" s="623"/>
      <c r="CY6" s="623"/>
      <c r="CZ6" s="623"/>
      <c r="DA6" s="623"/>
      <c r="DB6" s="623"/>
      <c r="DC6" s="623"/>
      <c r="DD6" s="623"/>
      <c r="DE6" s="623"/>
      <c r="DF6" s="623"/>
      <c r="DG6" s="623"/>
      <c r="DH6" s="623"/>
      <c r="DI6" s="623"/>
      <c r="DJ6" s="623"/>
      <c r="DK6" s="623"/>
      <c r="DL6" s="623"/>
      <c r="DM6" s="623"/>
      <c r="DN6" s="623"/>
      <c r="DO6" s="623"/>
      <c r="DP6" s="623"/>
      <c r="DQ6" s="623"/>
      <c r="DR6" s="623"/>
      <c r="DS6" s="623"/>
      <c r="DT6" s="623"/>
      <c r="DU6" s="623"/>
      <c r="DV6" s="623"/>
      <c r="DW6" s="623"/>
      <c r="DX6" s="623"/>
      <c r="DY6" s="623"/>
      <c r="DZ6" s="623"/>
      <c r="EA6" s="623"/>
      <c r="EB6" s="623"/>
      <c r="EC6" s="623"/>
      <c r="ED6" s="623"/>
      <c r="EE6" s="623"/>
      <c r="EF6" s="623"/>
      <c r="EG6" s="623"/>
      <c r="EH6" s="623"/>
      <c r="EI6" s="623"/>
      <c r="EJ6" s="623"/>
      <c r="EK6" s="623"/>
      <c r="EL6" s="623"/>
      <c r="EM6" s="623"/>
      <c r="EN6" s="623"/>
      <c r="EO6" s="623"/>
      <c r="EP6" s="623"/>
      <c r="EQ6" s="623"/>
      <c r="ER6" s="623"/>
      <c r="ES6" s="623"/>
      <c r="ET6" s="623"/>
      <c r="EU6" s="623"/>
      <c r="EV6" s="623"/>
      <c r="EW6" s="623"/>
      <c r="EX6" s="623"/>
      <c r="EY6" s="623"/>
      <c r="EZ6" s="623"/>
      <c r="FA6" s="623"/>
      <c r="FB6" s="623"/>
      <c r="FC6" s="623"/>
      <c r="FD6" s="623"/>
      <c r="FE6" s="623"/>
      <c r="FF6" s="623"/>
      <c r="FG6" s="623"/>
      <c r="FH6" s="623"/>
    </row>
    <row r="7" spans="1:164">
      <c r="A7" s="623" t="s">
        <v>4973</v>
      </c>
      <c r="B7" s="623" t="s">
        <v>206</v>
      </c>
      <c r="C7" s="623" t="s">
        <v>207</v>
      </c>
      <c r="D7" s="623"/>
      <c r="E7" s="623"/>
      <c r="F7" s="623"/>
      <c r="G7" s="623"/>
      <c r="H7" s="623"/>
      <c r="I7" s="623"/>
      <c r="J7" s="623"/>
      <c r="K7" s="623"/>
      <c r="L7" s="623"/>
      <c r="M7" s="623"/>
      <c r="N7" s="623"/>
      <c r="O7" s="623"/>
      <c r="P7" s="623"/>
      <c r="Q7" s="623"/>
      <c r="R7" s="623"/>
      <c r="S7" s="623"/>
      <c r="T7" s="623"/>
      <c r="U7" s="623"/>
      <c r="V7" s="623"/>
      <c r="W7" s="623"/>
      <c r="X7" s="623"/>
      <c r="Y7" s="623"/>
      <c r="Z7" s="623"/>
      <c r="AA7" s="623"/>
      <c r="AB7" s="623"/>
      <c r="AC7" s="623"/>
      <c r="AD7" s="623"/>
      <c r="AE7" s="623"/>
      <c r="AF7" s="623"/>
      <c r="AG7" s="623"/>
      <c r="AH7" s="623"/>
      <c r="AI7" s="623"/>
      <c r="AJ7" s="623"/>
      <c r="AK7" s="623"/>
      <c r="AL7" s="623"/>
      <c r="AM7" s="623"/>
      <c r="AN7" s="623"/>
      <c r="AO7" s="623"/>
      <c r="AP7" s="623"/>
      <c r="AQ7" s="623"/>
      <c r="AR7" s="623"/>
      <c r="AS7" s="623"/>
      <c r="AT7" s="623"/>
      <c r="AU7" s="623"/>
      <c r="AV7" s="623"/>
      <c r="AW7" s="623"/>
      <c r="AX7" s="623"/>
      <c r="AY7" s="623"/>
      <c r="AZ7" s="623"/>
      <c r="BA7" s="623"/>
      <c r="BB7" s="623"/>
      <c r="BC7" s="623"/>
      <c r="BD7" s="623"/>
      <c r="BE7" s="623"/>
      <c r="BF7" s="623"/>
      <c r="BG7" s="623"/>
      <c r="BH7" s="623"/>
      <c r="BI7" s="623"/>
      <c r="BJ7" s="623"/>
      <c r="BK7" s="623"/>
      <c r="BL7" s="623"/>
      <c r="BM7" s="623"/>
      <c r="BN7" s="623"/>
      <c r="BO7" s="623"/>
      <c r="BP7" s="623"/>
      <c r="BQ7" s="623"/>
      <c r="BR7" s="623"/>
      <c r="BS7" s="623"/>
      <c r="BT7" s="623"/>
      <c r="BU7" s="623"/>
      <c r="BV7" s="623"/>
      <c r="BW7" s="623"/>
      <c r="BX7" s="623"/>
      <c r="BY7" s="623"/>
      <c r="BZ7" s="623"/>
      <c r="CA7" s="623"/>
      <c r="CB7" s="623"/>
      <c r="CC7" s="623"/>
      <c r="CD7" s="623"/>
      <c r="CE7" s="623"/>
      <c r="CF7" s="623"/>
      <c r="CG7" s="623"/>
      <c r="CH7" s="623"/>
      <c r="CI7" s="623"/>
      <c r="CJ7" s="623"/>
      <c r="CK7" s="623"/>
      <c r="CL7" s="623"/>
      <c r="CM7" s="623"/>
      <c r="CN7" s="623"/>
      <c r="CO7" s="623"/>
      <c r="CP7" s="623"/>
      <c r="CQ7" s="623"/>
      <c r="CR7" s="623"/>
      <c r="CS7" s="623"/>
      <c r="CT7" s="623"/>
      <c r="CU7" s="623"/>
      <c r="CV7" s="623"/>
      <c r="CW7" s="623"/>
      <c r="CX7" s="623"/>
      <c r="CY7" s="623"/>
      <c r="CZ7" s="623"/>
      <c r="DA7" s="623"/>
      <c r="DB7" s="623"/>
      <c r="DC7" s="623"/>
      <c r="DD7" s="623"/>
      <c r="DE7" s="623"/>
      <c r="DF7" s="623"/>
      <c r="DG7" s="623"/>
      <c r="DH7" s="623"/>
      <c r="DI7" s="623"/>
      <c r="DJ7" s="623"/>
      <c r="DK7" s="623"/>
      <c r="DL7" s="623"/>
      <c r="DM7" s="623"/>
      <c r="DN7" s="623"/>
      <c r="DO7" s="623"/>
      <c r="DP7" s="623"/>
      <c r="DQ7" s="623"/>
      <c r="DR7" s="623"/>
      <c r="DS7" s="623"/>
      <c r="DT7" s="623"/>
      <c r="DU7" s="623"/>
      <c r="DV7" s="623"/>
      <c r="DW7" s="623"/>
      <c r="DX7" s="623"/>
      <c r="DY7" s="623"/>
      <c r="DZ7" s="623"/>
      <c r="EA7" s="623"/>
      <c r="EB7" s="623"/>
      <c r="EC7" s="623"/>
      <c r="ED7" s="623"/>
      <c r="EE7" s="623"/>
      <c r="EF7" s="623"/>
      <c r="EG7" s="623"/>
      <c r="EH7" s="623"/>
      <c r="EI7" s="623"/>
      <c r="EJ7" s="623"/>
      <c r="EK7" s="623"/>
      <c r="EL7" s="623"/>
      <c r="EM7" s="623"/>
      <c r="EN7" s="623"/>
      <c r="EO7" s="623"/>
      <c r="EP7" s="623"/>
      <c r="EQ7" s="623"/>
      <c r="ER7" s="623"/>
      <c r="ES7" s="623"/>
      <c r="ET7" s="623"/>
      <c r="EU7" s="623"/>
      <c r="EV7" s="623"/>
      <c r="EW7" s="623"/>
      <c r="EX7" s="623"/>
      <c r="EY7" s="623"/>
      <c r="EZ7" s="623"/>
      <c r="FA7" s="623"/>
      <c r="FB7" s="623"/>
      <c r="FC7" s="623"/>
      <c r="FD7" s="623"/>
      <c r="FE7" s="623"/>
      <c r="FF7" s="623"/>
      <c r="FG7" s="623"/>
      <c r="FH7" s="623"/>
    </row>
    <row r="8" spans="1:164">
      <c r="A8" s="623" t="s">
        <v>4974</v>
      </c>
      <c r="B8" s="623" t="s">
        <v>320</v>
      </c>
      <c r="C8" s="623" t="s">
        <v>321</v>
      </c>
      <c r="D8" s="623" t="s">
        <v>4975</v>
      </c>
      <c r="E8" s="623"/>
      <c r="F8" s="623"/>
      <c r="G8" s="623"/>
      <c r="H8" s="623"/>
      <c r="I8" s="623"/>
      <c r="J8" s="623"/>
      <c r="K8" s="623"/>
      <c r="L8" s="623"/>
      <c r="M8" s="623"/>
      <c r="N8" s="623"/>
      <c r="O8" s="623"/>
      <c r="P8" s="623"/>
      <c r="Q8" s="623"/>
      <c r="R8" s="623"/>
      <c r="S8" s="623"/>
      <c r="T8" s="623"/>
      <c r="U8" s="623"/>
      <c r="V8" s="623"/>
      <c r="W8" s="623"/>
      <c r="X8" s="623"/>
      <c r="Y8" s="623"/>
      <c r="Z8" s="623"/>
      <c r="AA8" s="623"/>
      <c r="AB8" s="623"/>
      <c r="AC8" s="623"/>
      <c r="AD8" s="623"/>
      <c r="AE8" s="623"/>
      <c r="AF8" s="623"/>
      <c r="AG8" s="623"/>
      <c r="AH8" s="623"/>
      <c r="AI8" s="623"/>
      <c r="AJ8" s="623"/>
      <c r="AK8" s="623"/>
      <c r="AL8" s="623"/>
      <c r="AM8" s="623"/>
      <c r="AN8" s="623"/>
      <c r="AO8" s="623"/>
      <c r="AP8" s="623"/>
      <c r="AQ8" s="623"/>
      <c r="AR8" s="623"/>
      <c r="AS8" s="623"/>
      <c r="AT8" s="623"/>
      <c r="AU8" s="623"/>
      <c r="AV8" s="623"/>
      <c r="AW8" s="623"/>
      <c r="AX8" s="623"/>
      <c r="AY8" s="623"/>
      <c r="AZ8" s="623"/>
      <c r="BA8" s="623"/>
      <c r="BB8" s="623"/>
      <c r="BC8" s="623"/>
      <c r="BD8" s="623"/>
      <c r="BE8" s="623"/>
      <c r="BF8" s="623"/>
      <c r="BG8" s="623"/>
      <c r="BH8" s="623"/>
      <c r="BI8" s="623"/>
      <c r="BJ8" s="623"/>
      <c r="BK8" s="623"/>
      <c r="BL8" s="623"/>
      <c r="BM8" s="623"/>
      <c r="BN8" s="623"/>
      <c r="BO8" s="623"/>
      <c r="BP8" s="623"/>
      <c r="BQ8" s="623"/>
      <c r="BR8" s="623"/>
      <c r="BS8" s="623"/>
      <c r="BT8" s="623"/>
      <c r="BU8" s="623"/>
      <c r="BV8" s="623"/>
      <c r="BW8" s="623"/>
      <c r="BX8" s="623"/>
      <c r="BY8" s="623"/>
      <c r="BZ8" s="623"/>
      <c r="CA8" s="623"/>
      <c r="CB8" s="623"/>
      <c r="CC8" s="623"/>
      <c r="CD8" s="623"/>
      <c r="CE8" s="623"/>
      <c r="CF8" s="623"/>
      <c r="CG8" s="623"/>
      <c r="CH8" s="623"/>
      <c r="CI8" s="623"/>
      <c r="CJ8" s="623"/>
      <c r="CK8" s="623"/>
      <c r="CL8" s="623"/>
      <c r="CM8" s="623"/>
      <c r="CN8" s="623"/>
      <c r="CO8" s="623"/>
      <c r="CP8" s="623"/>
      <c r="CQ8" s="623"/>
      <c r="CR8" s="623"/>
      <c r="CS8" s="623"/>
      <c r="CT8" s="623"/>
      <c r="CU8" s="623"/>
      <c r="CV8" s="623"/>
      <c r="CW8" s="623"/>
      <c r="CX8" s="623"/>
      <c r="CY8" s="623"/>
      <c r="CZ8" s="623"/>
      <c r="DA8" s="623"/>
      <c r="DB8" s="623"/>
      <c r="DC8" s="623"/>
      <c r="DD8" s="623"/>
      <c r="DE8" s="623"/>
      <c r="DF8" s="623"/>
      <c r="DG8" s="623"/>
      <c r="DH8" s="623"/>
      <c r="DI8" s="623"/>
      <c r="DJ8" s="623"/>
      <c r="DK8" s="623"/>
      <c r="DL8" s="623"/>
      <c r="DM8" s="623"/>
      <c r="DN8" s="623"/>
      <c r="DO8" s="623"/>
      <c r="DP8" s="623"/>
      <c r="DQ8" s="623"/>
      <c r="DR8" s="623"/>
      <c r="DS8" s="623"/>
      <c r="DT8" s="623"/>
      <c r="DU8" s="623"/>
      <c r="DV8" s="623"/>
      <c r="DW8" s="623"/>
      <c r="DX8" s="623"/>
      <c r="DY8" s="623"/>
      <c r="DZ8" s="623"/>
      <c r="EA8" s="623"/>
      <c r="EB8" s="623"/>
      <c r="EC8" s="623"/>
      <c r="ED8" s="623"/>
      <c r="EE8" s="623"/>
      <c r="EF8" s="623"/>
      <c r="EG8" s="623"/>
      <c r="EH8" s="623"/>
      <c r="EI8" s="623"/>
      <c r="EJ8" s="623"/>
      <c r="EK8" s="623"/>
      <c r="EL8" s="623"/>
      <c r="EM8" s="623"/>
      <c r="EN8" s="623"/>
      <c r="EO8" s="623"/>
      <c r="EP8" s="623"/>
      <c r="EQ8" s="623"/>
      <c r="ER8" s="623"/>
      <c r="ES8" s="623"/>
      <c r="ET8" s="623"/>
      <c r="EU8" s="623"/>
      <c r="EV8" s="623"/>
      <c r="EW8" s="623"/>
      <c r="EX8" s="623"/>
      <c r="EY8" s="623"/>
      <c r="EZ8" s="623"/>
      <c r="FA8" s="623"/>
      <c r="FB8" s="623"/>
      <c r="FC8" s="623"/>
      <c r="FD8" s="623"/>
      <c r="FE8" s="623"/>
      <c r="FF8" s="623"/>
      <c r="FG8" s="623"/>
      <c r="FH8" s="623"/>
    </row>
    <row r="9" spans="1:164">
      <c r="A9" s="623" t="s">
        <v>4976</v>
      </c>
      <c r="B9" s="623" t="s">
        <v>4977</v>
      </c>
      <c r="C9" s="623" t="s">
        <v>4978</v>
      </c>
      <c r="D9" s="623" t="s">
        <v>4979</v>
      </c>
      <c r="E9" s="623"/>
      <c r="F9" s="623"/>
      <c r="G9" s="623"/>
      <c r="H9" s="623"/>
      <c r="I9" s="623"/>
      <c r="J9" s="623"/>
      <c r="K9" s="623"/>
      <c r="L9" s="623"/>
      <c r="M9" s="623"/>
      <c r="N9" s="623"/>
      <c r="O9" s="623"/>
      <c r="P9" s="623"/>
      <c r="Q9" s="623"/>
      <c r="R9" s="623"/>
      <c r="S9" s="623"/>
      <c r="T9" s="623"/>
      <c r="U9" s="623"/>
      <c r="V9" s="623"/>
      <c r="W9" s="623"/>
      <c r="X9" s="623"/>
      <c r="Y9" s="623"/>
      <c r="Z9" s="623"/>
      <c r="AA9" s="623"/>
      <c r="AB9" s="623"/>
      <c r="AC9" s="623"/>
      <c r="AD9" s="623"/>
      <c r="AE9" s="623"/>
      <c r="AF9" s="623"/>
      <c r="AG9" s="623"/>
      <c r="AH9" s="623"/>
      <c r="AI9" s="623"/>
      <c r="AJ9" s="623"/>
      <c r="AK9" s="623"/>
      <c r="AL9" s="623"/>
      <c r="AM9" s="623"/>
      <c r="AN9" s="623"/>
      <c r="AO9" s="623"/>
      <c r="AP9" s="623"/>
      <c r="AQ9" s="623"/>
      <c r="AR9" s="623"/>
      <c r="AS9" s="623"/>
      <c r="AT9" s="623"/>
      <c r="AU9" s="623"/>
      <c r="AV9" s="623"/>
      <c r="AW9" s="623"/>
      <c r="AX9" s="623"/>
      <c r="AY9" s="623"/>
      <c r="AZ9" s="623"/>
      <c r="BA9" s="623"/>
      <c r="BB9" s="623"/>
      <c r="BC9" s="623"/>
      <c r="BD9" s="623"/>
      <c r="BE9" s="623"/>
      <c r="BF9" s="623"/>
      <c r="BG9" s="623"/>
      <c r="BH9" s="623"/>
      <c r="BI9" s="623"/>
      <c r="BJ9" s="623"/>
      <c r="BK9" s="623"/>
      <c r="BL9" s="623"/>
      <c r="BM9" s="623"/>
      <c r="BN9" s="623"/>
      <c r="BO9" s="623"/>
      <c r="BP9" s="623"/>
      <c r="BQ9" s="623"/>
      <c r="BR9" s="623"/>
      <c r="BS9" s="623"/>
      <c r="BT9" s="623"/>
      <c r="BU9" s="623"/>
      <c r="BV9" s="623"/>
      <c r="BW9" s="623"/>
      <c r="BX9" s="623"/>
      <c r="BY9" s="623"/>
      <c r="BZ9" s="623"/>
      <c r="CA9" s="623"/>
      <c r="CB9" s="623"/>
      <c r="CC9" s="623"/>
      <c r="CD9" s="623"/>
      <c r="CE9" s="623"/>
      <c r="CF9" s="623"/>
      <c r="CG9" s="623"/>
      <c r="CH9" s="623"/>
      <c r="CI9" s="623"/>
      <c r="CJ9" s="623"/>
      <c r="CK9" s="623"/>
      <c r="CL9" s="623"/>
      <c r="CM9" s="623"/>
      <c r="CN9" s="623"/>
      <c r="CO9" s="623"/>
      <c r="CP9" s="623"/>
      <c r="CQ9" s="623"/>
      <c r="CR9" s="623"/>
      <c r="CS9" s="623"/>
      <c r="CT9" s="623"/>
      <c r="CU9" s="623"/>
      <c r="CV9" s="623"/>
      <c r="CW9" s="623"/>
      <c r="CX9" s="623"/>
      <c r="CY9" s="623"/>
      <c r="CZ9" s="623"/>
      <c r="DA9" s="623"/>
      <c r="DB9" s="623"/>
      <c r="DC9" s="623"/>
      <c r="DD9" s="623"/>
      <c r="DE9" s="623"/>
      <c r="DF9" s="623"/>
      <c r="DG9" s="623"/>
      <c r="DH9" s="623"/>
      <c r="DI9" s="623"/>
      <c r="DJ9" s="623"/>
      <c r="DK9" s="623"/>
      <c r="DL9" s="623"/>
      <c r="DM9" s="623"/>
      <c r="DN9" s="623"/>
      <c r="DO9" s="623"/>
      <c r="DP9" s="623"/>
      <c r="DQ9" s="623"/>
      <c r="DR9" s="623"/>
      <c r="DS9" s="623"/>
      <c r="DT9" s="623"/>
      <c r="DU9" s="623"/>
      <c r="DV9" s="623"/>
      <c r="DW9" s="623"/>
      <c r="DX9" s="623"/>
      <c r="DY9" s="623"/>
      <c r="DZ9" s="623"/>
      <c r="EA9" s="623"/>
      <c r="EB9" s="623"/>
      <c r="EC9" s="623"/>
      <c r="ED9" s="623"/>
      <c r="EE9" s="623"/>
      <c r="EF9" s="623"/>
      <c r="EG9" s="623"/>
      <c r="EH9" s="623"/>
      <c r="EI9" s="623"/>
      <c r="EJ9" s="623"/>
      <c r="EK9" s="623"/>
      <c r="EL9" s="623"/>
      <c r="EM9" s="623"/>
      <c r="EN9" s="623"/>
      <c r="EO9" s="623"/>
      <c r="EP9" s="623"/>
      <c r="EQ9" s="623"/>
      <c r="ER9" s="623"/>
      <c r="ES9" s="623"/>
      <c r="ET9" s="623"/>
      <c r="EU9" s="623"/>
      <c r="EV9" s="623"/>
      <c r="EW9" s="623"/>
      <c r="EX9" s="623"/>
      <c r="EY9" s="623"/>
      <c r="EZ9" s="623"/>
      <c r="FA9" s="623"/>
      <c r="FB9" s="623"/>
      <c r="FC9" s="623"/>
      <c r="FD9" s="623"/>
      <c r="FE9" s="623"/>
      <c r="FF9" s="623"/>
      <c r="FG9" s="623"/>
      <c r="FH9" s="623"/>
    </row>
    <row r="10" spans="1:164">
      <c r="A10" s="623" t="s">
        <v>302</v>
      </c>
      <c r="B10" s="623" t="s">
        <v>305</v>
      </c>
      <c r="C10" s="623" t="s">
        <v>306</v>
      </c>
      <c r="D10" s="623" t="s">
        <v>307</v>
      </c>
      <c r="E10" s="623" t="s">
        <v>4980</v>
      </c>
      <c r="F10" s="623" t="s">
        <v>202</v>
      </c>
      <c r="G10" s="623"/>
      <c r="H10" s="623"/>
      <c r="I10" s="623"/>
      <c r="J10" s="623"/>
      <c r="K10" s="623"/>
      <c r="L10" s="623"/>
      <c r="M10" s="623"/>
      <c r="N10" s="623"/>
      <c r="O10" s="623"/>
      <c r="P10" s="623"/>
      <c r="Q10" s="623"/>
      <c r="R10" s="623"/>
      <c r="S10" s="623"/>
      <c r="T10" s="623"/>
      <c r="U10" s="623"/>
      <c r="V10" s="623"/>
      <c r="W10" s="623"/>
      <c r="X10" s="623"/>
      <c r="Y10" s="623"/>
      <c r="Z10" s="623"/>
      <c r="AA10" s="623"/>
      <c r="AB10" s="623"/>
      <c r="AC10" s="623"/>
      <c r="AD10" s="623"/>
      <c r="AE10" s="623"/>
      <c r="AF10" s="623"/>
      <c r="AG10" s="623"/>
      <c r="AH10" s="623"/>
      <c r="AI10" s="623"/>
      <c r="AJ10" s="623"/>
      <c r="AK10" s="623"/>
      <c r="AL10" s="623"/>
      <c r="AM10" s="623"/>
      <c r="AN10" s="623"/>
      <c r="AO10" s="623"/>
      <c r="AP10" s="623"/>
      <c r="AQ10" s="623"/>
      <c r="AR10" s="623"/>
      <c r="AS10" s="623"/>
      <c r="AT10" s="623"/>
      <c r="AU10" s="623"/>
      <c r="AV10" s="623"/>
      <c r="AW10" s="623"/>
      <c r="AX10" s="623"/>
      <c r="AY10" s="623"/>
      <c r="AZ10" s="623"/>
      <c r="BA10" s="623"/>
      <c r="BB10" s="623"/>
      <c r="BC10" s="623"/>
      <c r="BD10" s="623"/>
      <c r="BE10" s="623"/>
      <c r="BF10" s="623"/>
      <c r="BG10" s="623"/>
      <c r="BH10" s="623"/>
      <c r="BI10" s="623"/>
      <c r="BJ10" s="623"/>
      <c r="BK10" s="623"/>
      <c r="BL10" s="623"/>
      <c r="BM10" s="623"/>
      <c r="BN10" s="623"/>
      <c r="BO10" s="623"/>
      <c r="BP10" s="623"/>
      <c r="BQ10" s="623"/>
      <c r="BR10" s="623"/>
      <c r="BS10" s="623"/>
      <c r="BT10" s="623"/>
      <c r="BU10" s="623"/>
      <c r="BV10" s="623"/>
      <c r="BW10" s="623"/>
      <c r="BX10" s="623"/>
      <c r="BY10" s="623"/>
      <c r="BZ10" s="623"/>
      <c r="CA10" s="623"/>
      <c r="CB10" s="623"/>
      <c r="CC10" s="623"/>
      <c r="CD10" s="623"/>
      <c r="CE10" s="623"/>
      <c r="CF10" s="623"/>
      <c r="CG10" s="623"/>
      <c r="CH10" s="623"/>
      <c r="CI10" s="623"/>
      <c r="CJ10" s="623"/>
      <c r="CK10" s="623"/>
      <c r="CL10" s="623"/>
      <c r="CM10" s="623"/>
      <c r="CN10" s="623"/>
      <c r="CO10" s="623"/>
      <c r="CP10" s="623"/>
      <c r="CQ10" s="623"/>
      <c r="CR10" s="623"/>
      <c r="CS10" s="623"/>
      <c r="CT10" s="623"/>
      <c r="CU10" s="623"/>
      <c r="CV10" s="623"/>
      <c r="CW10" s="623"/>
      <c r="CX10" s="623"/>
      <c r="CY10" s="623"/>
      <c r="CZ10" s="623"/>
      <c r="DA10" s="623"/>
      <c r="DB10" s="623"/>
      <c r="DC10" s="623"/>
      <c r="DD10" s="623"/>
      <c r="DE10" s="623"/>
      <c r="DF10" s="623"/>
      <c r="DG10" s="623"/>
      <c r="DH10" s="623"/>
      <c r="DI10" s="623"/>
      <c r="DJ10" s="623"/>
      <c r="DK10" s="623"/>
      <c r="DL10" s="623"/>
      <c r="DM10" s="623"/>
      <c r="DN10" s="623"/>
      <c r="DO10" s="623"/>
      <c r="DP10" s="623"/>
      <c r="DQ10" s="623"/>
      <c r="DR10" s="623"/>
      <c r="DS10" s="623"/>
      <c r="DT10" s="623"/>
      <c r="DU10" s="623"/>
      <c r="DV10" s="623"/>
      <c r="DW10" s="623"/>
      <c r="DX10" s="623"/>
      <c r="DY10" s="623"/>
      <c r="DZ10" s="623"/>
      <c r="EA10" s="623"/>
      <c r="EB10" s="623"/>
      <c r="EC10" s="623"/>
      <c r="ED10" s="623"/>
      <c r="EE10" s="623"/>
      <c r="EF10" s="623"/>
      <c r="EG10" s="623"/>
      <c r="EH10" s="623"/>
      <c r="EI10" s="623"/>
      <c r="EJ10" s="623"/>
      <c r="EK10" s="623"/>
      <c r="EL10" s="623"/>
      <c r="EM10" s="623"/>
      <c r="EN10" s="623"/>
      <c r="EO10" s="623"/>
      <c r="EP10" s="623"/>
      <c r="EQ10" s="623"/>
      <c r="ER10" s="623"/>
      <c r="ES10" s="623"/>
      <c r="ET10" s="623"/>
      <c r="EU10" s="623"/>
      <c r="EV10" s="623"/>
      <c r="EW10" s="623"/>
      <c r="EX10" s="623"/>
      <c r="EY10" s="623"/>
      <c r="EZ10" s="623"/>
      <c r="FA10" s="623"/>
      <c r="FB10" s="623"/>
      <c r="FC10" s="623"/>
      <c r="FD10" s="623"/>
      <c r="FE10" s="623"/>
      <c r="FF10" s="623"/>
      <c r="FG10" s="623"/>
      <c r="FH10" s="623"/>
    </row>
    <row r="11" spans="1:164">
      <c r="A11" s="623" t="s">
        <v>4981</v>
      </c>
      <c r="B11" s="623" t="s">
        <v>4982</v>
      </c>
      <c r="C11" s="623" t="s">
        <v>4983</v>
      </c>
      <c r="D11" s="623"/>
      <c r="E11" s="623"/>
      <c r="F11" s="623"/>
      <c r="G11" s="623"/>
      <c r="H11" s="623"/>
      <c r="I11" s="623"/>
      <c r="J11" s="623"/>
      <c r="K11" s="623"/>
      <c r="L11" s="623"/>
      <c r="M11" s="623"/>
      <c r="N11" s="623"/>
      <c r="O11" s="623"/>
      <c r="P11" s="623"/>
      <c r="Q11" s="623"/>
      <c r="R11" s="623"/>
      <c r="S11" s="623"/>
      <c r="T11" s="623"/>
      <c r="U11" s="623"/>
      <c r="V11" s="623"/>
      <c r="W11" s="623"/>
      <c r="X11" s="623"/>
      <c r="Y11" s="623"/>
      <c r="Z11" s="623"/>
      <c r="AA11" s="623"/>
      <c r="AB11" s="623"/>
      <c r="AC11" s="623"/>
      <c r="AD11" s="623"/>
      <c r="AE11" s="623"/>
      <c r="AF11" s="623"/>
      <c r="AG11" s="623"/>
      <c r="AH11" s="623"/>
      <c r="AI11" s="623"/>
      <c r="AJ11" s="623"/>
      <c r="AK11" s="623"/>
      <c r="AL11" s="623"/>
      <c r="AM11" s="623"/>
      <c r="AN11" s="623"/>
      <c r="AO11" s="623"/>
      <c r="AP11" s="623"/>
      <c r="AQ11" s="623"/>
      <c r="AR11" s="623"/>
      <c r="AS11" s="623"/>
      <c r="AT11" s="623"/>
      <c r="AU11" s="623"/>
      <c r="AV11" s="623"/>
      <c r="AW11" s="623"/>
      <c r="AX11" s="623"/>
      <c r="AY11" s="623"/>
      <c r="AZ11" s="623"/>
      <c r="BA11" s="623"/>
      <c r="BB11" s="623"/>
      <c r="BC11" s="623"/>
      <c r="BD11" s="623"/>
      <c r="BE11" s="623"/>
      <c r="BF11" s="623"/>
      <c r="BG11" s="623"/>
      <c r="BH11" s="623"/>
      <c r="BI11" s="623"/>
      <c r="BJ11" s="623"/>
      <c r="BK11" s="623"/>
      <c r="BL11" s="623"/>
      <c r="BM11" s="623"/>
      <c r="BN11" s="623"/>
      <c r="BO11" s="623"/>
      <c r="BP11" s="623"/>
      <c r="BQ11" s="623"/>
      <c r="BR11" s="623"/>
      <c r="BS11" s="623"/>
      <c r="BT11" s="623"/>
      <c r="BU11" s="623"/>
      <c r="BV11" s="623"/>
      <c r="BW11" s="623"/>
      <c r="BX11" s="623"/>
      <c r="BY11" s="623"/>
      <c r="BZ11" s="623"/>
      <c r="CA11" s="623"/>
      <c r="CB11" s="623"/>
      <c r="CC11" s="623"/>
      <c r="CD11" s="623"/>
      <c r="CE11" s="623"/>
      <c r="CF11" s="623"/>
      <c r="CG11" s="623"/>
      <c r="CH11" s="623"/>
      <c r="CI11" s="623"/>
      <c r="CJ11" s="623"/>
      <c r="CK11" s="623"/>
      <c r="CL11" s="623"/>
      <c r="CM11" s="623"/>
      <c r="CN11" s="623"/>
      <c r="CO11" s="623"/>
      <c r="CP11" s="623"/>
      <c r="CQ11" s="623"/>
      <c r="CR11" s="623"/>
      <c r="CS11" s="623"/>
      <c r="CT11" s="623"/>
      <c r="CU11" s="623"/>
      <c r="CV11" s="623"/>
      <c r="CW11" s="623"/>
      <c r="CX11" s="623"/>
      <c r="CY11" s="623"/>
      <c r="CZ11" s="623"/>
      <c r="DA11" s="623"/>
      <c r="DB11" s="623"/>
      <c r="DC11" s="623"/>
      <c r="DD11" s="623"/>
      <c r="DE11" s="623"/>
      <c r="DF11" s="623"/>
      <c r="DG11" s="623"/>
      <c r="DH11" s="623"/>
      <c r="DI11" s="623"/>
      <c r="DJ11" s="623"/>
      <c r="DK11" s="623"/>
      <c r="DL11" s="623"/>
      <c r="DM11" s="623"/>
      <c r="DN11" s="623"/>
      <c r="DO11" s="623"/>
      <c r="DP11" s="623"/>
      <c r="DQ11" s="623"/>
      <c r="DR11" s="623"/>
      <c r="DS11" s="623"/>
      <c r="DT11" s="623"/>
      <c r="DU11" s="623"/>
      <c r="DV11" s="623"/>
      <c r="DW11" s="623"/>
      <c r="DX11" s="623"/>
      <c r="DY11" s="623"/>
      <c r="DZ11" s="623"/>
      <c r="EA11" s="623"/>
      <c r="EB11" s="623"/>
      <c r="EC11" s="623"/>
      <c r="ED11" s="623"/>
      <c r="EE11" s="623"/>
      <c r="EF11" s="623"/>
      <c r="EG11" s="623"/>
      <c r="EH11" s="623"/>
      <c r="EI11" s="623"/>
      <c r="EJ11" s="623"/>
      <c r="EK11" s="623"/>
      <c r="EL11" s="623"/>
      <c r="EM11" s="623"/>
      <c r="EN11" s="623"/>
      <c r="EO11" s="623"/>
      <c r="EP11" s="623"/>
      <c r="EQ11" s="623"/>
      <c r="ER11" s="623"/>
      <c r="ES11" s="623"/>
      <c r="ET11" s="623"/>
      <c r="EU11" s="623"/>
      <c r="EV11" s="623"/>
      <c r="EW11" s="623"/>
      <c r="EX11" s="623"/>
      <c r="EY11" s="623"/>
      <c r="EZ11" s="623"/>
      <c r="FA11" s="623"/>
      <c r="FB11" s="623"/>
      <c r="FC11" s="623"/>
      <c r="FD11" s="623"/>
      <c r="FE11" s="623"/>
      <c r="FF11" s="623"/>
      <c r="FG11" s="623"/>
      <c r="FH11" s="623"/>
    </row>
    <row r="12" spans="1:164">
      <c r="A12" s="623" t="s">
        <v>4984</v>
      </c>
      <c r="B12" s="623" t="s">
        <v>2278</v>
      </c>
      <c r="C12" s="623" t="s">
        <v>2281</v>
      </c>
      <c r="D12" s="623" t="s">
        <v>2200</v>
      </c>
      <c r="E12" s="623" t="s">
        <v>4985</v>
      </c>
      <c r="F12" s="623" t="s">
        <v>2194</v>
      </c>
      <c r="G12" s="623" t="s">
        <v>2195</v>
      </c>
      <c r="H12" s="623" t="s">
        <v>2196</v>
      </c>
      <c r="I12" s="623" t="s">
        <v>2197</v>
      </c>
      <c r="J12" s="623" t="s">
        <v>2198</v>
      </c>
      <c r="K12" s="623" t="s">
        <v>2199</v>
      </c>
      <c r="L12" s="623" t="s">
        <v>2200</v>
      </c>
      <c r="M12" s="623" t="s">
        <v>2201</v>
      </c>
      <c r="N12" s="623" t="s">
        <v>2202</v>
      </c>
      <c r="O12" s="623" t="s">
        <v>2203</v>
      </c>
      <c r="P12" s="623" t="s">
        <v>2204</v>
      </c>
      <c r="Q12" s="623"/>
      <c r="R12" s="623" t="s">
        <v>2205</v>
      </c>
      <c r="S12" s="623" t="s">
        <v>2206</v>
      </c>
      <c r="T12" s="623" t="s">
        <v>2207</v>
      </c>
      <c r="U12" s="623" t="s">
        <v>2208</v>
      </c>
      <c r="V12" s="623" t="s">
        <v>2209</v>
      </c>
      <c r="W12" s="623" t="s">
        <v>2210</v>
      </c>
      <c r="X12" s="623" t="s">
        <v>2211</v>
      </c>
      <c r="Y12" s="623" t="s">
        <v>2212</v>
      </c>
      <c r="Z12" s="623" t="s">
        <v>2213</v>
      </c>
      <c r="AA12" s="623" t="s">
        <v>2214</v>
      </c>
      <c r="AB12" s="623" t="s">
        <v>2215</v>
      </c>
      <c r="AC12" s="623"/>
      <c r="AD12" s="623" t="s">
        <v>2216</v>
      </c>
      <c r="AE12" s="623" t="s">
        <v>2217</v>
      </c>
      <c r="AF12" s="623" t="s">
        <v>2218</v>
      </c>
      <c r="AG12" s="623" t="s">
        <v>2219</v>
      </c>
      <c r="AH12" s="623" t="s">
        <v>2220</v>
      </c>
      <c r="AI12" s="623" t="s">
        <v>202</v>
      </c>
      <c r="AJ12" s="623"/>
      <c r="AK12" s="623"/>
      <c r="AL12" s="623"/>
      <c r="AM12" s="623"/>
      <c r="AN12" s="623"/>
      <c r="AO12" s="623"/>
      <c r="AP12" s="623"/>
      <c r="AQ12" s="623"/>
      <c r="AR12" s="623"/>
      <c r="AS12" s="623"/>
      <c r="AT12" s="623"/>
      <c r="AU12" s="623"/>
      <c r="AV12" s="623"/>
      <c r="AW12" s="623"/>
      <c r="AX12" s="623"/>
      <c r="AY12" s="623"/>
      <c r="AZ12" s="623"/>
      <c r="BA12" s="623"/>
      <c r="BB12" s="623"/>
      <c r="BC12" s="623"/>
      <c r="BD12" s="623"/>
      <c r="BE12" s="623"/>
      <c r="BF12" s="623"/>
      <c r="BG12" s="623"/>
      <c r="BH12" s="623"/>
      <c r="BI12" s="623"/>
      <c r="BJ12" s="623"/>
      <c r="BK12" s="623"/>
      <c r="BL12" s="623"/>
      <c r="BM12" s="623"/>
      <c r="BN12" s="623"/>
      <c r="BO12" s="623"/>
      <c r="BP12" s="623"/>
      <c r="BQ12" s="623"/>
      <c r="BR12" s="623"/>
      <c r="BS12" s="623"/>
      <c r="BT12" s="623"/>
      <c r="BU12" s="623"/>
      <c r="BV12" s="623"/>
      <c r="BW12" s="623"/>
      <c r="BX12" s="623"/>
      <c r="BY12" s="623"/>
      <c r="BZ12" s="623"/>
      <c r="CA12" s="623"/>
      <c r="CB12" s="623"/>
      <c r="CC12" s="623"/>
      <c r="CD12" s="623"/>
      <c r="CE12" s="623"/>
      <c r="CF12" s="623"/>
      <c r="CG12" s="623"/>
      <c r="CH12" s="623"/>
      <c r="CI12" s="623"/>
      <c r="CJ12" s="623"/>
      <c r="CK12" s="623"/>
      <c r="CL12" s="623"/>
      <c r="CM12" s="623"/>
      <c r="CN12" s="623"/>
      <c r="CO12" s="623"/>
      <c r="CP12" s="623"/>
      <c r="CQ12" s="623"/>
      <c r="CR12" s="623"/>
      <c r="CS12" s="623"/>
      <c r="CT12" s="623"/>
      <c r="CU12" s="623"/>
      <c r="CV12" s="623"/>
      <c r="CW12" s="623"/>
      <c r="CX12" s="623"/>
      <c r="CY12" s="623"/>
      <c r="CZ12" s="623"/>
      <c r="DA12" s="623"/>
      <c r="DB12" s="623"/>
      <c r="DC12" s="623"/>
      <c r="DD12" s="623"/>
      <c r="DE12" s="623"/>
      <c r="DF12" s="623"/>
      <c r="DG12" s="623"/>
      <c r="DH12" s="623"/>
      <c r="DI12" s="623"/>
      <c r="DJ12" s="623"/>
      <c r="DK12" s="623"/>
      <c r="DL12" s="623"/>
      <c r="DM12" s="623"/>
      <c r="DN12" s="623"/>
      <c r="DO12" s="623"/>
      <c r="DP12" s="623"/>
      <c r="DQ12" s="623"/>
      <c r="DR12" s="623"/>
      <c r="DS12" s="623"/>
      <c r="DT12" s="623"/>
      <c r="DU12" s="623"/>
      <c r="DV12" s="623"/>
      <c r="DW12" s="623"/>
      <c r="DX12" s="623"/>
      <c r="DY12" s="623"/>
      <c r="DZ12" s="623"/>
      <c r="EA12" s="623"/>
      <c r="EB12" s="623"/>
      <c r="EC12" s="623"/>
      <c r="ED12" s="623"/>
      <c r="EE12" s="623"/>
      <c r="EF12" s="623"/>
      <c r="EG12" s="623"/>
      <c r="EH12" s="623"/>
      <c r="EI12" s="623"/>
      <c r="EJ12" s="623"/>
      <c r="EK12" s="623"/>
      <c r="EL12" s="623"/>
      <c r="EM12" s="623"/>
      <c r="EN12" s="623"/>
      <c r="EO12" s="623"/>
      <c r="EP12" s="623"/>
      <c r="EQ12" s="623"/>
      <c r="ER12" s="623"/>
      <c r="ES12" s="623"/>
      <c r="ET12" s="623"/>
      <c r="EU12" s="623"/>
      <c r="EV12" s="623"/>
      <c r="EW12" s="623"/>
      <c r="EX12" s="623"/>
      <c r="EY12" s="623"/>
      <c r="EZ12" s="623"/>
      <c r="FA12" s="623"/>
      <c r="FB12" s="623"/>
      <c r="FC12" s="623"/>
      <c r="FD12" s="623"/>
      <c r="FE12" s="623"/>
      <c r="FF12" s="623"/>
      <c r="FG12" s="623"/>
      <c r="FH12" s="623"/>
    </row>
    <row r="13" spans="1:164">
      <c r="A13" s="623" t="s">
        <v>4986</v>
      </c>
      <c r="B13" s="623" t="s">
        <v>345</v>
      </c>
      <c r="C13" s="623" t="s">
        <v>352</v>
      </c>
      <c r="D13" s="623" t="s">
        <v>2222</v>
      </c>
      <c r="E13" s="623" t="s">
        <v>353</v>
      </c>
      <c r="F13" s="623" t="s">
        <v>931</v>
      </c>
      <c r="G13" s="623" t="s">
        <v>346</v>
      </c>
      <c r="H13" s="623" t="s">
        <v>2223</v>
      </c>
      <c r="I13" s="623" t="s">
        <v>2224</v>
      </c>
      <c r="J13" s="623" t="s">
        <v>347</v>
      </c>
      <c r="K13" s="623" t="s">
        <v>2225</v>
      </c>
      <c r="L13" s="623" t="s">
        <v>361</v>
      </c>
      <c r="M13" s="623" t="s">
        <v>2226</v>
      </c>
      <c r="N13" s="623" t="s">
        <v>2227</v>
      </c>
      <c r="O13" s="623" t="s">
        <v>2228</v>
      </c>
      <c r="P13" s="623" t="s">
        <v>798</v>
      </c>
      <c r="Q13" s="623" t="s">
        <v>359</v>
      </c>
      <c r="R13" s="623" t="s">
        <v>2229</v>
      </c>
      <c r="S13" s="623" t="s">
        <v>2230</v>
      </c>
      <c r="T13" s="623" t="s">
        <v>934</v>
      </c>
      <c r="U13" s="623"/>
      <c r="V13" s="623"/>
      <c r="W13" s="623"/>
      <c r="X13" s="623"/>
      <c r="Y13" s="623"/>
      <c r="Z13" s="623"/>
      <c r="AA13" s="623"/>
      <c r="AB13" s="623"/>
      <c r="AC13" s="623"/>
      <c r="AD13" s="623"/>
      <c r="AE13" s="623"/>
      <c r="AF13" s="623"/>
      <c r="AG13" s="623"/>
      <c r="AH13" s="623"/>
      <c r="AI13" s="623"/>
      <c r="AJ13" s="623"/>
      <c r="AK13" s="623"/>
      <c r="AL13" s="623"/>
      <c r="AM13" s="623"/>
      <c r="AN13" s="623"/>
      <c r="AO13" s="623"/>
      <c r="AP13" s="623"/>
      <c r="AQ13" s="623"/>
      <c r="AR13" s="623"/>
      <c r="AS13" s="623"/>
      <c r="AT13" s="623"/>
      <c r="AU13" s="623"/>
      <c r="AV13" s="623"/>
      <c r="AW13" s="623"/>
      <c r="AX13" s="623"/>
      <c r="AY13" s="623"/>
      <c r="AZ13" s="623"/>
      <c r="BA13" s="623"/>
      <c r="BB13" s="623"/>
      <c r="BC13" s="623"/>
      <c r="BD13" s="623"/>
      <c r="BE13" s="623"/>
      <c r="BF13" s="623"/>
      <c r="BG13" s="623"/>
      <c r="BH13" s="623"/>
      <c r="BI13" s="623"/>
      <c r="BJ13" s="623"/>
      <c r="BK13" s="623"/>
      <c r="BL13" s="623"/>
      <c r="BM13" s="623"/>
      <c r="BN13" s="623"/>
      <c r="BO13" s="623"/>
      <c r="BP13" s="623"/>
      <c r="BQ13" s="623"/>
      <c r="BR13" s="623"/>
      <c r="BS13" s="623"/>
      <c r="BT13" s="623"/>
      <c r="BU13" s="623"/>
      <c r="BV13" s="623"/>
      <c r="BW13" s="623"/>
      <c r="BX13" s="623"/>
      <c r="BY13" s="623"/>
      <c r="BZ13" s="623"/>
      <c r="CA13" s="623"/>
      <c r="CB13" s="623"/>
      <c r="CC13" s="623"/>
      <c r="CD13" s="623"/>
      <c r="CE13" s="623"/>
      <c r="CF13" s="623"/>
      <c r="CG13" s="623"/>
      <c r="CH13" s="623"/>
      <c r="CI13" s="623"/>
      <c r="CJ13" s="623"/>
      <c r="CK13" s="623"/>
      <c r="CL13" s="623"/>
      <c r="CM13" s="623"/>
      <c r="CN13" s="623"/>
      <c r="CO13" s="623"/>
      <c r="CP13" s="623"/>
      <c r="CQ13" s="623"/>
      <c r="CR13" s="623"/>
      <c r="CS13" s="623"/>
      <c r="CT13" s="623"/>
      <c r="CU13" s="623"/>
      <c r="CV13" s="623"/>
      <c r="CW13" s="623"/>
      <c r="CX13" s="623"/>
      <c r="CY13" s="623"/>
      <c r="CZ13" s="623"/>
      <c r="DA13" s="623"/>
      <c r="DB13" s="623"/>
      <c r="DC13" s="623"/>
      <c r="DD13" s="623"/>
      <c r="DE13" s="623"/>
      <c r="DF13" s="623"/>
      <c r="DG13" s="623"/>
      <c r="DH13" s="623"/>
      <c r="DI13" s="623"/>
      <c r="DJ13" s="623"/>
      <c r="DK13" s="623"/>
      <c r="DL13" s="623"/>
      <c r="DM13" s="623"/>
      <c r="DN13" s="623"/>
      <c r="DO13" s="623"/>
      <c r="DP13" s="623"/>
      <c r="DQ13" s="623"/>
      <c r="DR13" s="623"/>
      <c r="DS13" s="623"/>
      <c r="DT13" s="623"/>
      <c r="DU13" s="623"/>
      <c r="DV13" s="623"/>
      <c r="DW13" s="623"/>
      <c r="DX13" s="623"/>
      <c r="DY13" s="623"/>
      <c r="DZ13" s="623"/>
      <c r="EA13" s="623"/>
      <c r="EB13" s="623"/>
      <c r="EC13" s="623"/>
      <c r="ED13" s="623"/>
      <c r="EE13" s="623"/>
      <c r="EF13" s="623"/>
      <c r="EG13" s="623"/>
      <c r="EH13" s="623"/>
      <c r="EI13" s="623"/>
      <c r="EJ13" s="623"/>
      <c r="EK13" s="623"/>
      <c r="EL13" s="623"/>
      <c r="EM13" s="623"/>
      <c r="EN13" s="623"/>
      <c r="EO13" s="623"/>
      <c r="EP13" s="623"/>
      <c r="EQ13" s="623"/>
      <c r="ER13" s="623"/>
      <c r="ES13" s="623"/>
      <c r="ET13" s="623"/>
      <c r="EU13" s="623"/>
      <c r="EV13" s="623"/>
      <c r="EW13" s="623"/>
      <c r="EX13" s="623"/>
      <c r="EY13" s="623"/>
      <c r="EZ13" s="623"/>
      <c r="FA13" s="623"/>
      <c r="FB13" s="623"/>
      <c r="FC13" s="623"/>
      <c r="FD13" s="623"/>
      <c r="FE13" s="623"/>
      <c r="FF13" s="623"/>
      <c r="FG13" s="623"/>
      <c r="FH13" s="623"/>
    </row>
    <row r="14" spans="1:164">
      <c r="A14" s="623" t="s">
        <v>4987</v>
      </c>
      <c r="B14" s="623" t="s">
        <v>2444</v>
      </c>
      <c r="C14" s="623" t="s">
        <v>2445</v>
      </c>
      <c r="D14" s="623" t="s">
        <v>4988</v>
      </c>
      <c r="E14" s="623"/>
      <c r="F14" s="623"/>
      <c r="G14" s="623"/>
      <c r="H14" s="623"/>
      <c r="I14" s="623"/>
      <c r="J14" s="623"/>
      <c r="K14" s="623"/>
      <c r="L14" s="623"/>
      <c r="M14" s="623"/>
      <c r="N14" s="623"/>
      <c r="O14" s="623"/>
      <c r="P14" s="623"/>
      <c r="Q14" s="623"/>
      <c r="R14" s="623"/>
      <c r="S14" s="623"/>
      <c r="T14" s="623"/>
      <c r="U14" s="623"/>
      <c r="V14" s="623"/>
      <c r="W14" s="623"/>
      <c r="X14" s="623"/>
      <c r="Y14" s="623"/>
      <c r="Z14" s="623"/>
      <c r="AA14" s="623"/>
      <c r="AB14" s="623"/>
      <c r="AC14" s="623"/>
      <c r="AD14" s="623"/>
      <c r="AE14" s="623"/>
      <c r="AF14" s="623"/>
      <c r="AG14" s="623"/>
      <c r="AH14" s="623"/>
      <c r="AI14" s="623"/>
      <c r="AJ14" s="623"/>
      <c r="AK14" s="623"/>
      <c r="AL14" s="623"/>
      <c r="AM14" s="623"/>
      <c r="AN14" s="623"/>
      <c r="AO14" s="623"/>
      <c r="AP14" s="623"/>
      <c r="AQ14" s="623"/>
      <c r="AR14" s="623"/>
      <c r="AS14" s="623"/>
      <c r="AT14" s="623"/>
      <c r="AU14" s="623"/>
      <c r="AV14" s="623"/>
      <c r="AW14" s="623"/>
      <c r="AX14" s="623"/>
      <c r="AY14" s="623"/>
      <c r="AZ14" s="623"/>
      <c r="BA14" s="623"/>
      <c r="BB14" s="623"/>
      <c r="BC14" s="623"/>
      <c r="BD14" s="623"/>
      <c r="BE14" s="623"/>
      <c r="BF14" s="623"/>
      <c r="BG14" s="623"/>
      <c r="BH14" s="623"/>
      <c r="BI14" s="623"/>
      <c r="BJ14" s="623"/>
      <c r="BK14" s="623"/>
      <c r="BL14" s="623"/>
      <c r="BM14" s="623"/>
      <c r="BN14" s="623"/>
      <c r="BO14" s="623"/>
      <c r="BP14" s="623"/>
      <c r="BQ14" s="623"/>
      <c r="BR14" s="623"/>
      <c r="BS14" s="623"/>
      <c r="BT14" s="623"/>
      <c r="BU14" s="623"/>
      <c r="BV14" s="623"/>
      <c r="BW14" s="623"/>
      <c r="BX14" s="623"/>
      <c r="BY14" s="623"/>
      <c r="BZ14" s="623"/>
      <c r="CA14" s="623"/>
      <c r="CB14" s="623"/>
      <c r="CC14" s="623"/>
      <c r="CD14" s="623"/>
      <c r="CE14" s="623"/>
      <c r="CF14" s="623"/>
      <c r="CG14" s="623"/>
      <c r="CH14" s="623"/>
      <c r="CI14" s="623"/>
      <c r="CJ14" s="623"/>
      <c r="CK14" s="623"/>
      <c r="CL14" s="623"/>
      <c r="CM14" s="623"/>
      <c r="CN14" s="623"/>
      <c r="CO14" s="623"/>
      <c r="CP14" s="623"/>
      <c r="CQ14" s="623"/>
      <c r="CR14" s="623"/>
      <c r="CS14" s="623"/>
      <c r="CT14" s="623"/>
      <c r="CU14" s="623"/>
      <c r="CV14" s="623"/>
      <c r="CW14" s="623"/>
      <c r="CX14" s="623"/>
      <c r="CY14" s="623"/>
      <c r="CZ14" s="623"/>
      <c r="DA14" s="623"/>
      <c r="DB14" s="623"/>
      <c r="DC14" s="623"/>
      <c r="DD14" s="623"/>
      <c r="DE14" s="623"/>
      <c r="DF14" s="623"/>
      <c r="DG14" s="623"/>
      <c r="DH14" s="623"/>
      <c r="DI14" s="623"/>
      <c r="DJ14" s="623"/>
      <c r="DK14" s="623"/>
      <c r="DL14" s="623"/>
      <c r="DM14" s="623"/>
      <c r="DN14" s="623"/>
      <c r="DO14" s="623"/>
      <c r="DP14" s="623"/>
      <c r="DQ14" s="623"/>
      <c r="DR14" s="623"/>
      <c r="DS14" s="623"/>
      <c r="DT14" s="623"/>
      <c r="DU14" s="623"/>
      <c r="DV14" s="623"/>
      <c r="DW14" s="623"/>
      <c r="DX14" s="623"/>
      <c r="DY14" s="623"/>
      <c r="DZ14" s="623"/>
      <c r="EA14" s="623"/>
      <c r="EB14" s="623"/>
      <c r="EC14" s="623"/>
      <c r="ED14" s="623"/>
      <c r="EE14" s="623"/>
      <c r="EF14" s="623"/>
      <c r="EG14" s="623"/>
      <c r="EH14" s="623"/>
      <c r="EI14" s="623"/>
      <c r="EJ14" s="623"/>
      <c r="EK14" s="623"/>
      <c r="EL14" s="623"/>
      <c r="EM14" s="623"/>
      <c r="EN14" s="623"/>
      <c r="EO14" s="623"/>
      <c r="EP14" s="623"/>
      <c r="EQ14" s="623"/>
      <c r="ER14" s="623"/>
      <c r="ES14" s="623"/>
      <c r="ET14" s="623"/>
      <c r="EU14" s="623"/>
      <c r="EV14" s="623"/>
      <c r="EW14" s="623"/>
      <c r="EX14" s="623"/>
      <c r="EY14" s="623"/>
      <c r="EZ14" s="623"/>
      <c r="FA14" s="623"/>
      <c r="FB14" s="623"/>
      <c r="FC14" s="623"/>
      <c r="FD14" s="623"/>
      <c r="FE14" s="623"/>
      <c r="FF14" s="623"/>
      <c r="FG14" s="623"/>
      <c r="FH14" s="623"/>
    </row>
    <row r="15" spans="1:164">
      <c r="A15" s="623" t="s">
        <v>4989</v>
      </c>
      <c r="B15" s="623" t="s">
        <v>2231</v>
      </c>
      <c r="C15" s="623" t="s">
        <v>2232</v>
      </c>
      <c r="D15" s="623" t="s">
        <v>2233</v>
      </c>
      <c r="E15" s="623" t="s">
        <v>2234</v>
      </c>
      <c r="F15" s="623" t="s">
        <v>2235</v>
      </c>
      <c r="G15" s="623" t="s">
        <v>2236</v>
      </c>
      <c r="H15" s="623" t="s">
        <v>2237</v>
      </c>
      <c r="I15" s="623" t="s">
        <v>2238</v>
      </c>
      <c r="J15" s="623" t="s">
        <v>2239</v>
      </c>
      <c r="K15" s="623" t="s">
        <v>2240</v>
      </c>
      <c r="L15" s="623" t="s">
        <v>2241</v>
      </c>
      <c r="M15" s="623"/>
      <c r="N15" s="623"/>
      <c r="O15" s="623"/>
      <c r="P15" s="623"/>
      <c r="Q15" s="623"/>
      <c r="R15" s="623"/>
      <c r="S15" s="623"/>
      <c r="T15" s="623"/>
      <c r="U15" s="623"/>
      <c r="V15" s="623"/>
      <c r="W15" s="623"/>
      <c r="X15" s="623"/>
      <c r="Y15" s="623"/>
      <c r="Z15" s="623"/>
      <c r="AA15" s="623"/>
      <c r="AB15" s="623"/>
      <c r="AC15" s="623"/>
      <c r="AD15" s="623"/>
      <c r="AE15" s="623"/>
      <c r="AF15" s="623"/>
      <c r="AG15" s="623"/>
      <c r="AH15" s="623"/>
      <c r="AI15" s="623"/>
      <c r="AJ15" s="623"/>
      <c r="AK15" s="623"/>
      <c r="AL15" s="623"/>
      <c r="AM15" s="623"/>
      <c r="AN15" s="623"/>
      <c r="AO15" s="623"/>
      <c r="AP15" s="623"/>
      <c r="AQ15" s="623"/>
      <c r="AR15" s="623"/>
      <c r="AS15" s="623"/>
      <c r="AT15" s="623"/>
      <c r="AU15" s="623"/>
      <c r="AV15" s="623"/>
      <c r="AW15" s="623"/>
      <c r="AX15" s="623"/>
      <c r="AY15" s="623"/>
      <c r="AZ15" s="623"/>
      <c r="BA15" s="623"/>
      <c r="BB15" s="623"/>
      <c r="BC15" s="623"/>
      <c r="BD15" s="623"/>
      <c r="BE15" s="623"/>
      <c r="BF15" s="623"/>
      <c r="BG15" s="623"/>
      <c r="BH15" s="623"/>
      <c r="BI15" s="623"/>
      <c r="BJ15" s="623"/>
      <c r="BK15" s="623"/>
      <c r="BL15" s="623"/>
      <c r="BM15" s="623"/>
      <c r="BN15" s="623"/>
      <c r="BO15" s="623"/>
      <c r="BP15" s="623"/>
      <c r="BQ15" s="623"/>
      <c r="BR15" s="623"/>
      <c r="BS15" s="623"/>
      <c r="BT15" s="623"/>
      <c r="BU15" s="623"/>
      <c r="BV15" s="623"/>
      <c r="BW15" s="623"/>
      <c r="BX15" s="623"/>
      <c r="BY15" s="623"/>
      <c r="BZ15" s="623"/>
      <c r="CA15" s="623"/>
      <c r="CB15" s="623"/>
      <c r="CC15" s="623"/>
      <c r="CD15" s="623"/>
      <c r="CE15" s="623"/>
      <c r="CF15" s="623"/>
      <c r="CG15" s="623"/>
      <c r="CH15" s="623"/>
      <c r="CI15" s="623"/>
      <c r="CJ15" s="623"/>
      <c r="CK15" s="623"/>
      <c r="CL15" s="623"/>
      <c r="CM15" s="623"/>
      <c r="CN15" s="623"/>
      <c r="CO15" s="623"/>
      <c r="CP15" s="623"/>
      <c r="CQ15" s="623"/>
      <c r="CR15" s="623"/>
      <c r="CS15" s="623"/>
      <c r="CT15" s="623"/>
      <c r="CU15" s="623"/>
      <c r="CV15" s="623"/>
      <c r="CW15" s="623"/>
      <c r="CX15" s="623"/>
      <c r="CY15" s="623"/>
      <c r="CZ15" s="623"/>
      <c r="DA15" s="623"/>
      <c r="DB15" s="623"/>
      <c r="DC15" s="623"/>
      <c r="DD15" s="623"/>
      <c r="DE15" s="623"/>
      <c r="DF15" s="623"/>
      <c r="DG15" s="623"/>
      <c r="DH15" s="623"/>
      <c r="DI15" s="623"/>
      <c r="DJ15" s="623"/>
      <c r="DK15" s="623"/>
      <c r="DL15" s="623"/>
      <c r="DM15" s="623"/>
      <c r="DN15" s="623"/>
      <c r="DO15" s="623"/>
      <c r="DP15" s="623"/>
      <c r="DQ15" s="623"/>
      <c r="DR15" s="623"/>
      <c r="DS15" s="623"/>
      <c r="DT15" s="623"/>
      <c r="DU15" s="623"/>
      <c r="DV15" s="623"/>
      <c r="DW15" s="623"/>
      <c r="DX15" s="623"/>
      <c r="DY15" s="623"/>
      <c r="DZ15" s="623"/>
      <c r="EA15" s="623"/>
      <c r="EB15" s="623"/>
      <c r="EC15" s="623"/>
      <c r="ED15" s="623"/>
      <c r="EE15" s="623"/>
      <c r="EF15" s="623"/>
      <c r="EG15" s="623"/>
      <c r="EH15" s="623"/>
      <c r="EI15" s="623"/>
      <c r="EJ15" s="623"/>
      <c r="EK15" s="623"/>
      <c r="EL15" s="623"/>
      <c r="EM15" s="623"/>
      <c r="EN15" s="623"/>
      <c r="EO15" s="623"/>
      <c r="EP15" s="623"/>
      <c r="EQ15" s="623"/>
      <c r="ER15" s="623"/>
      <c r="ES15" s="623"/>
      <c r="ET15" s="623"/>
      <c r="EU15" s="623"/>
      <c r="EV15" s="623"/>
      <c r="EW15" s="623"/>
      <c r="EX15" s="623"/>
      <c r="EY15" s="623"/>
      <c r="EZ15" s="623"/>
      <c r="FA15" s="623"/>
      <c r="FB15" s="623"/>
      <c r="FC15" s="623"/>
      <c r="FD15" s="623"/>
      <c r="FE15" s="623"/>
      <c r="FF15" s="623"/>
      <c r="FG15" s="623"/>
      <c r="FH15" s="623"/>
    </row>
    <row r="16" spans="1:164">
      <c r="A16" s="623" t="s">
        <v>4990</v>
      </c>
      <c r="B16" s="623" t="s">
        <v>2242</v>
      </c>
      <c r="C16" s="623" t="s">
        <v>2243</v>
      </c>
      <c r="D16" s="623" t="s">
        <v>2244</v>
      </c>
      <c r="E16" s="623" t="s">
        <v>2245</v>
      </c>
      <c r="F16" s="623" t="s">
        <v>202</v>
      </c>
      <c r="G16" s="623"/>
      <c r="H16" s="623"/>
      <c r="I16" s="623"/>
      <c r="J16" s="623"/>
      <c r="K16" s="623"/>
      <c r="L16" s="623"/>
      <c r="M16" s="623"/>
      <c r="N16" s="623"/>
      <c r="O16" s="623"/>
      <c r="P16" s="623"/>
      <c r="Q16" s="623"/>
      <c r="R16" s="623"/>
      <c r="S16" s="623"/>
      <c r="T16" s="623"/>
      <c r="U16" s="623"/>
      <c r="V16" s="623"/>
      <c r="W16" s="623"/>
      <c r="X16" s="623"/>
      <c r="Y16" s="623"/>
      <c r="Z16" s="623"/>
      <c r="AA16" s="623"/>
      <c r="AB16" s="623"/>
      <c r="AC16" s="623"/>
      <c r="AD16" s="623"/>
      <c r="AE16" s="623"/>
      <c r="AF16" s="623"/>
      <c r="AG16" s="623"/>
      <c r="AH16" s="623"/>
      <c r="AI16" s="623"/>
      <c r="AJ16" s="623"/>
      <c r="AK16" s="623"/>
      <c r="AL16" s="623"/>
      <c r="AM16" s="623"/>
      <c r="AN16" s="623"/>
      <c r="AO16" s="623"/>
      <c r="AP16" s="623"/>
      <c r="AQ16" s="623"/>
      <c r="AR16" s="623"/>
      <c r="AS16" s="623"/>
      <c r="AT16" s="623"/>
      <c r="AU16" s="623"/>
      <c r="AV16" s="623"/>
      <c r="AW16" s="623"/>
      <c r="AX16" s="623"/>
      <c r="AY16" s="623"/>
      <c r="AZ16" s="623"/>
      <c r="BA16" s="623"/>
      <c r="BB16" s="623"/>
      <c r="BC16" s="623"/>
      <c r="BD16" s="623"/>
      <c r="BE16" s="623"/>
      <c r="BF16" s="623"/>
      <c r="BG16" s="623"/>
      <c r="BH16" s="623"/>
      <c r="BI16" s="623"/>
      <c r="BJ16" s="623"/>
      <c r="BK16" s="623"/>
      <c r="BL16" s="623"/>
      <c r="BM16" s="623"/>
      <c r="BN16" s="623"/>
      <c r="BO16" s="623"/>
      <c r="BP16" s="623"/>
      <c r="BQ16" s="623"/>
      <c r="BR16" s="623"/>
      <c r="BS16" s="623"/>
      <c r="BT16" s="623"/>
      <c r="BU16" s="623"/>
      <c r="BV16" s="623"/>
      <c r="BW16" s="623"/>
      <c r="BX16" s="623"/>
      <c r="BY16" s="623"/>
      <c r="BZ16" s="623"/>
      <c r="CA16" s="623"/>
      <c r="CB16" s="623"/>
      <c r="CC16" s="623"/>
      <c r="CD16" s="623"/>
      <c r="CE16" s="623"/>
      <c r="CF16" s="623"/>
      <c r="CG16" s="623"/>
      <c r="CH16" s="623"/>
      <c r="CI16" s="623"/>
      <c r="CJ16" s="623"/>
      <c r="CK16" s="623"/>
      <c r="CL16" s="623"/>
      <c r="CM16" s="623"/>
      <c r="CN16" s="623"/>
      <c r="CO16" s="623"/>
      <c r="CP16" s="623"/>
      <c r="CQ16" s="623"/>
      <c r="CR16" s="623"/>
      <c r="CS16" s="623"/>
      <c r="CT16" s="623"/>
      <c r="CU16" s="623"/>
      <c r="CV16" s="623"/>
      <c r="CW16" s="623"/>
      <c r="CX16" s="623"/>
      <c r="CY16" s="623"/>
      <c r="CZ16" s="623"/>
      <c r="DA16" s="623"/>
      <c r="DB16" s="623"/>
      <c r="DC16" s="623"/>
      <c r="DD16" s="623"/>
      <c r="DE16" s="623"/>
      <c r="DF16" s="623"/>
      <c r="DG16" s="623"/>
      <c r="DH16" s="623"/>
      <c r="DI16" s="623"/>
      <c r="DJ16" s="623"/>
      <c r="DK16" s="623"/>
      <c r="DL16" s="623"/>
      <c r="DM16" s="623"/>
      <c r="DN16" s="623"/>
      <c r="DO16" s="623"/>
      <c r="DP16" s="623"/>
      <c r="DQ16" s="623"/>
      <c r="DR16" s="623"/>
      <c r="DS16" s="623"/>
      <c r="DT16" s="623"/>
      <c r="DU16" s="623"/>
      <c r="DV16" s="623"/>
      <c r="DW16" s="623"/>
      <c r="DX16" s="623"/>
      <c r="DY16" s="623"/>
      <c r="DZ16" s="623"/>
      <c r="EA16" s="623"/>
      <c r="EB16" s="623"/>
      <c r="EC16" s="623"/>
      <c r="ED16" s="623"/>
      <c r="EE16" s="623"/>
      <c r="EF16" s="623"/>
      <c r="EG16" s="623"/>
      <c r="EH16" s="623"/>
      <c r="EI16" s="623"/>
      <c r="EJ16" s="623"/>
      <c r="EK16" s="623"/>
      <c r="EL16" s="623"/>
      <c r="EM16" s="623"/>
      <c r="EN16" s="623"/>
      <c r="EO16" s="623"/>
      <c r="EP16" s="623"/>
      <c r="EQ16" s="623"/>
      <c r="ER16" s="623"/>
      <c r="ES16" s="623"/>
      <c r="ET16" s="623"/>
      <c r="EU16" s="623"/>
      <c r="EV16" s="623"/>
      <c r="EW16" s="623"/>
      <c r="EX16" s="623"/>
      <c r="EY16" s="623"/>
      <c r="EZ16" s="623"/>
      <c r="FA16" s="623"/>
      <c r="FB16" s="623"/>
      <c r="FC16" s="623"/>
      <c r="FD16" s="623"/>
      <c r="FE16" s="623"/>
      <c r="FF16" s="623"/>
      <c r="FG16" s="623"/>
      <c r="FH16" s="623"/>
    </row>
    <row r="17" spans="1:164">
      <c r="A17" s="623" t="s">
        <v>4991</v>
      </c>
      <c r="B17" s="623" t="s">
        <v>20</v>
      </c>
      <c r="C17" s="623" t="s">
        <v>306</v>
      </c>
      <c r="D17" s="623" t="s">
        <v>2258</v>
      </c>
      <c r="E17" s="623" t="s">
        <v>2259</v>
      </c>
      <c r="F17" s="623" t="s">
        <v>2260</v>
      </c>
      <c r="G17" s="623" t="s">
        <v>2261</v>
      </c>
      <c r="H17" s="623" t="s">
        <v>2262</v>
      </c>
      <c r="I17" s="623"/>
      <c r="J17" s="623"/>
      <c r="K17" s="623"/>
      <c r="L17" s="623"/>
      <c r="M17" s="623"/>
      <c r="N17" s="623"/>
      <c r="O17" s="623"/>
      <c r="P17" s="623"/>
      <c r="Q17" s="623"/>
      <c r="R17" s="623"/>
      <c r="S17" s="623"/>
      <c r="T17" s="623"/>
      <c r="U17" s="623"/>
      <c r="V17" s="623"/>
      <c r="W17" s="623"/>
      <c r="X17" s="623"/>
      <c r="Y17" s="623"/>
      <c r="Z17" s="623"/>
      <c r="AA17" s="623"/>
      <c r="AB17" s="623"/>
      <c r="AC17" s="623"/>
      <c r="AD17" s="623"/>
      <c r="AE17" s="623"/>
      <c r="AF17" s="623"/>
      <c r="AG17" s="623"/>
      <c r="AH17" s="623"/>
      <c r="AI17" s="623"/>
      <c r="AJ17" s="623"/>
      <c r="AK17" s="623"/>
      <c r="AL17" s="623"/>
      <c r="AM17" s="623"/>
      <c r="AN17" s="623"/>
      <c r="AO17" s="623"/>
      <c r="AP17" s="623"/>
      <c r="AQ17" s="623"/>
      <c r="AR17" s="623"/>
      <c r="AS17" s="623"/>
      <c r="AT17" s="623"/>
      <c r="AU17" s="623"/>
      <c r="AV17" s="623"/>
      <c r="AW17" s="623"/>
      <c r="AX17" s="623"/>
      <c r="AY17" s="623"/>
      <c r="AZ17" s="623"/>
      <c r="BA17" s="623"/>
      <c r="BB17" s="623"/>
      <c r="BC17" s="623"/>
      <c r="BD17" s="623"/>
      <c r="BE17" s="623"/>
      <c r="BF17" s="623"/>
      <c r="BG17" s="623"/>
      <c r="BH17" s="623"/>
      <c r="BI17" s="623"/>
      <c r="BJ17" s="623"/>
      <c r="BK17" s="623"/>
      <c r="BL17" s="623"/>
      <c r="BM17" s="623"/>
      <c r="BN17" s="623"/>
      <c r="BO17" s="623"/>
      <c r="BP17" s="623"/>
      <c r="BQ17" s="623"/>
      <c r="BR17" s="623"/>
      <c r="BS17" s="623"/>
      <c r="BT17" s="623"/>
      <c r="BU17" s="623"/>
      <c r="BV17" s="623"/>
      <c r="BW17" s="623"/>
      <c r="BX17" s="623"/>
      <c r="BY17" s="623"/>
      <c r="BZ17" s="623"/>
      <c r="CA17" s="623"/>
      <c r="CB17" s="623"/>
      <c r="CC17" s="623"/>
      <c r="CD17" s="623"/>
      <c r="CE17" s="623"/>
      <c r="CF17" s="623"/>
      <c r="CG17" s="623"/>
      <c r="CH17" s="623"/>
      <c r="CI17" s="623"/>
      <c r="CJ17" s="623"/>
      <c r="CK17" s="623"/>
      <c r="CL17" s="623"/>
      <c r="CM17" s="623"/>
      <c r="CN17" s="623"/>
      <c r="CO17" s="623"/>
      <c r="CP17" s="623"/>
      <c r="CQ17" s="623"/>
      <c r="CR17" s="623"/>
      <c r="CS17" s="623"/>
      <c r="CT17" s="623"/>
      <c r="CU17" s="623"/>
      <c r="CV17" s="623"/>
      <c r="CW17" s="623"/>
      <c r="CX17" s="623"/>
      <c r="CY17" s="623"/>
      <c r="CZ17" s="623"/>
      <c r="DA17" s="623"/>
      <c r="DB17" s="623"/>
      <c r="DC17" s="623"/>
      <c r="DD17" s="623"/>
      <c r="DE17" s="623"/>
      <c r="DF17" s="623"/>
      <c r="DG17" s="623"/>
      <c r="DH17" s="623"/>
      <c r="DI17" s="623"/>
      <c r="DJ17" s="623"/>
      <c r="DK17" s="623"/>
      <c r="DL17" s="623"/>
      <c r="DM17" s="623"/>
      <c r="DN17" s="623"/>
      <c r="DO17" s="623"/>
      <c r="DP17" s="623"/>
      <c r="DQ17" s="623"/>
      <c r="DR17" s="623"/>
      <c r="DS17" s="623"/>
      <c r="DT17" s="623"/>
      <c r="DU17" s="623"/>
      <c r="DV17" s="623"/>
      <c r="DW17" s="623"/>
      <c r="DX17" s="623"/>
      <c r="DY17" s="623"/>
      <c r="DZ17" s="623"/>
      <c r="EA17" s="623"/>
      <c r="EB17" s="623"/>
      <c r="EC17" s="623"/>
      <c r="ED17" s="623"/>
      <c r="EE17" s="623"/>
      <c r="EF17" s="623"/>
      <c r="EG17" s="623"/>
      <c r="EH17" s="623"/>
      <c r="EI17" s="623"/>
      <c r="EJ17" s="623"/>
      <c r="EK17" s="623"/>
      <c r="EL17" s="623"/>
      <c r="EM17" s="623"/>
      <c r="EN17" s="623"/>
      <c r="EO17" s="623"/>
      <c r="EP17" s="623"/>
      <c r="EQ17" s="623"/>
      <c r="ER17" s="623"/>
      <c r="ES17" s="623"/>
      <c r="ET17" s="623"/>
      <c r="EU17" s="623"/>
      <c r="EV17" s="623"/>
      <c r="EW17" s="623"/>
      <c r="EX17" s="623"/>
      <c r="EY17" s="623"/>
      <c r="EZ17" s="623"/>
      <c r="FA17" s="623"/>
      <c r="FB17" s="623"/>
      <c r="FC17" s="623"/>
      <c r="FD17" s="623"/>
      <c r="FE17" s="623"/>
      <c r="FF17" s="623"/>
      <c r="FG17" s="623"/>
      <c r="FH17" s="623"/>
    </row>
    <row r="18" spans="1:164">
      <c r="A18" s="623" t="s">
        <v>4992</v>
      </c>
      <c r="B18" s="623" t="s">
        <v>4993</v>
      </c>
      <c r="C18" s="623" t="s">
        <v>4994</v>
      </c>
      <c r="D18" s="623" t="s">
        <v>4995</v>
      </c>
      <c r="E18" s="623" t="s">
        <v>2203</v>
      </c>
      <c r="F18" s="623" t="s">
        <v>2246</v>
      </c>
      <c r="G18" s="623" t="s">
        <v>2247</v>
      </c>
      <c r="H18" s="623" t="s">
        <v>2248</v>
      </c>
      <c r="I18" s="623" t="s">
        <v>2249</v>
      </c>
      <c r="J18" s="623" t="s">
        <v>2250</v>
      </c>
      <c r="K18" s="623" t="s">
        <v>2251</v>
      </c>
      <c r="L18" s="623" t="s">
        <v>2252</v>
      </c>
      <c r="M18" s="623" t="s">
        <v>2253</v>
      </c>
      <c r="N18" s="623" t="s">
        <v>2254</v>
      </c>
      <c r="O18" s="623"/>
      <c r="P18" s="623" t="s">
        <v>2255</v>
      </c>
      <c r="Q18" s="623" t="s">
        <v>2256</v>
      </c>
      <c r="R18" s="623" t="s">
        <v>2257</v>
      </c>
      <c r="S18" s="623"/>
      <c r="T18" s="623"/>
      <c r="U18" s="623"/>
      <c r="V18" s="623"/>
      <c r="W18" s="623"/>
      <c r="X18" s="623"/>
      <c r="Y18" s="623"/>
      <c r="Z18" s="623"/>
      <c r="AA18" s="623"/>
      <c r="AB18" s="623"/>
      <c r="AC18" s="623"/>
      <c r="AD18" s="623"/>
      <c r="AE18" s="623"/>
      <c r="AF18" s="623"/>
      <c r="AG18" s="623"/>
      <c r="AH18" s="623"/>
      <c r="AI18" s="623"/>
      <c r="AJ18" s="623"/>
      <c r="AK18" s="623"/>
      <c r="AL18" s="623"/>
      <c r="AM18" s="623"/>
      <c r="AN18" s="623"/>
      <c r="AO18" s="623"/>
      <c r="AP18" s="623"/>
      <c r="AQ18" s="623"/>
      <c r="AR18" s="623"/>
      <c r="AS18" s="623"/>
      <c r="AT18" s="623"/>
      <c r="AU18" s="623"/>
      <c r="AV18" s="623"/>
      <c r="AW18" s="623"/>
      <c r="AX18" s="623"/>
      <c r="AY18" s="623"/>
      <c r="AZ18" s="623"/>
      <c r="BA18" s="623"/>
      <c r="BB18" s="623"/>
      <c r="BC18" s="623"/>
      <c r="BD18" s="623"/>
      <c r="BE18" s="623"/>
      <c r="BF18" s="623"/>
      <c r="BG18" s="623"/>
      <c r="BH18" s="623"/>
      <c r="BI18" s="623"/>
      <c r="BJ18" s="623"/>
      <c r="BK18" s="623"/>
      <c r="BL18" s="623"/>
      <c r="BM18" s="623"/>
      <c r="BN18" s="623"/>
      <c r="BO18" s="623"/>
      <c r="BP18" s="623"/>
      <c r="BQ18" s="623"/>
      <c r="BR18" s="623"/>
      <c r="BS18" s="623"/>
      <c r="BT18" s="623"/>
      <c r="BU18" s="623"/>
      <c r="BV18" s="623"/>
      <c r="BW18" s="623"/>
      <c r="BX18" s="623"/>
      <c r="BY18" s="623"/>
      <c r="BZ18" s="623"/>
      <c r="CA18" s="623"/>
      <c r="CB18" s="623"/>
      <c r="CC18" s="623"/>
      <c r="CD18" s="623"/>
      <c r="CE18" s="623"/>
      <c r="CF18" s="623"/>
      <c r="CG18" s="623"/>
      <c r="CH18" s="623"/>
      <c r="CI18" s="623"/>
      <c r="CJ18" s="623"/>
      <c r="CK18" s="623"/>
      <c r="CL18" s="623"/>
      <c r="CM18" s="623"/>
      <c r="CN18" s="623"/>
      <c r="CO18" s="623"/>
      <c r="CP18" s="623"/>
      <c r="CQ18" s="623"/>
      <c r="CR18" s="623"/>
      <c r="CS18" s="623"/>
      <c r="CT18" s="623"/>
      <c r="CU18" s="623"/>
      <c r="CV18" s="623"/>
      <c r="CW18" s="623"/>
      <c r="CX18" s="623"/>
      <c r="CY18" s="623"/>
      <c r="CZ18" s="623"/>
      <c r="DA18" s="623"/>
      <c r="DB18" s="623"/>
      <c r="DC18" s="623"/>
      <c r="DD18" s="623"/>
      <c r="DE18" s="623"/>
      <c r="DF18" s="623"/>
      <c r="DG18" s="623"/>
      <c r="DH18" s="623"/>
      <c r="DI18" s="623"/>
      <c r="DJ18" s="623"/>
      <c r="DK18" s="623"/>
      <c r="DL18" s="623"/>
      <c r="DM18" s="623"/>
      <c r="DN18" s="623"/>
      <c r="DO18" s="623"/>
      <c r="DP18" s="623"/>
      <c r="DQ18" s="623"/>
      <c r="DR18" s="623"/>
      <c r="DS18" s="623"/>
      <c r="DT18" s="623"/>
      <c r="DU18" s="623"/>
      <c r="DV18" s="623"/>
      <c r="DW18" s="623"/>
      <c r="DX18" s="623"/>
      <c r="DY18" s="623"/>
      <c r="DZ18" s="623"/>
      <c r="EA18" s="623"/>
      <c r="EB18" s="623"/>
      <c r="EC18" s="623"/>
      <c r="ED18" s="623"/>
      <c r="EE18" s="623"/>
      <c r="EF18" s="623"/>
      <c r="EG18" s="623"/>
      <c r="EH18" s="623"/>
      <c r="EI18" s="623"/>
      <c r="EJ18" s="623"/>
      <c r="EK18" s="623"/>
      <c r="EL18" s="623"/>
      <c r="EM18" s="623"/>
      <c r="EN18" s="623"/>
      <c r="EO18" s="623"/>
      <c r="EP18" s="623"/>
      <c r="EQ18" s="623"/>
      <c r="ER18" s="623"/>
      <c r="ES18" s="623"/>
      <c r="ET18" s="623"/>
      <c r="EU18" s="623"/>
      <c r="EV18" s="623"/>
      <c r="EW18" s="623"/>
      <c r="EX18" s="623"/>
      <c r="EY18" s="623"/>
      <c r="EZ18" s="623"/>
      <c r="FA18" s="623"/>
      <c r="FB18" s="623"/>
      <c r="FC18" s="623"/>
      <c r="FD18" s="623"/>
      <c r="FE18" s="623"/>
      <c r="FF18" s="623"/>
      <c r="FG18" s="623"/>
      <c r="FH18" s="623"/>
    </row>
    <row r="19" spans="1:164">
      <c r="A19" s="623" t="s">
        <v>4996</v>
      </c>
      <c r="B19" s="623" t="s">
        <v>405</v>
      </c>
      <c r="C19" s="623" t="s">
        <v>4997</v>
      </c>
      <c r="D19" s="623" t="s">
        <v>4998</v>
      </c>
      <c r="E19" s="623" t="s">
        <v>202</v>
      </c>
      <c r="F19" s="623"/>
      <c r="G19" s="623"/>
      <c r="H19" s="623"/>
      <c r="I19" s="623"/>
      <c r="J19" s="623"/>
      <c r="K19" s="623"/>
      <c r="L19" s="623"/>
      <c r="M19" s="623"/>
      <c r="N19" s="623"/>
      <c r="O19" s="623"/>
      <c r="P19" s="623"/>
      <c r="Q19" s="623"/>
      <c r="R19" s="623"/>
      <c r="S19" s="623"/>
      <c r="T19" s="623"/>
      <c r="U19" s="623"/>
      <c r="V19" s="623"/>
      <c r="W19" s="623"/>
      <c r="X19" s="623"/>
      <c r="Y19" s="623"/>
      <c r="Z19" s="623"/>
      <c r="AA19" s="623"/>
      <c r="AB19" s="623"/>
      <c r="AC19" s="623"/>
      <c r="AD19" s="623"/>
      <c r="AE19" s="623"/>
      <c r="AF19" s="623"/>
      <c r="AG19" s="623"/>
      <c r="AH19" s="623"/>
      <c r="AI19" s="623"/>
      <c r="AJ19" s="623"/>
      <c r="AK19" s="623"/>
      <c r="AL19" s="623"/>
      <c r="AM19" s="623"/>
      <c r="AN19" s="623"/>
      <c r="AO19" s="623"/>
      <c r="AP19" s="623"/>
      <c r="AQ19" s="623"/>
      <c r="AR19" s="623"/>
      <c r="AS19" s="623"/>
      <c r="AT19" s="623"/>
      <c r="AU19" s="623"/>
      <c r="AV19" s="623"/>
      <c r="AW19" s="623"/>
      <c r="AX19" s="623"/>
      <c r="AY19" s="623"/>
      <c r="AZ19" s="623"/>
      <c r="BA19" s="623"/>
      <c r="BB19" s="623"/>
      <c r="BC19" s="623"/>
      <c r="BD19" s="623"/>
      <c r="BE19" s="623"/>
      <c r="BF19" s="623"/>
      <c r="BG19" s="623"/>
      <c r="BH19" s="623"/>
      <c r="BI19" s="623"/>
      <c r="BJ19" s="623"/>
      <c r="BK19" s="623"/>
      <c r="BL19" s="623"/>
      <c r="BM19" s="623"/>
      <c r="BN19" s="623"/>
      <c r="BO19" s="623"/>
      <c r="BP19" s="623"/>
      <c r="BQ19" s="623"/>
      <c r="BR19" s="623"/>
      <c r="BS19" s="623"/>
      <c r="BT19" s="623"/>
      <c r="BU19" s="623"/>
      <c r="BV19" s="623"/>
      <c r="BW19" s="623"/>
      <c r="BX19" s="623"/>
      <c r="BY19" s="623"/>
      <c r="BZ19" s="623"/>
      <c r="CA19" s="623"/>
      <c r="CB19" s="623"/>
      <c r="CC19" s="623"/>
      <c r="CD19" s="623"/>
      <c r="CE19" s="623"/>
      <c r="CF19" s="623"/>
      <c r="CG19" s="623"/>
      <c r="CH19" s="623"/>
      <c r="CI19" s="623"/>
      <c r="CJ19" s="623"/>
      <c r="CK19" s="623"/>
      <c r="CL19" s="623"/>
      <c r="CM19" s="623"/>
      <c r="CN19" s="623"/>
      <c r="CO19" s="623"/>
      <c r="CP19" s="623"/>
      <c r="CQ19" s="623"/>
      <c r="CR19" s="623"/>
      <c r="CS19" s="623"/>
      <c r="CT19" s="623"/>
      <c r="CU19" s="623"/>
      <c r="CV19" s="623"/>
      <c r="CW19" s="623"/>
      <c r="CX19" s="623"/>
      <c r="CY19" s="623"/>
      <c r="CZ19" s="623"/>
      <c r="DA19" s="623"/>
      <c r="DB19" s="623"/>
      <c r="DC19" s="623"/>
      <c r="DD19" s="623"/>
      <c r="DE19" s="623"/>
      <c r="DF19" s="623"/>
      <c r="DG19" s="623"/>
      <c r="DH19" s="623"/>
      <c r="DI19" s="623"/>
      <c r="DJ19" s="623"/>
      <c r="DK19" s="623"/>
      <c r="DL19" s="623"/>
      <c r="DM19" s="623"/>
      <c r="DN19" s="623"/>
      <c r="DO19" s="623"/>
      <c r="DP19" s="623"/>
      <c r="DQ19" s="623"/>
      <c r="DR19" s="623"/>
      <c r="DS19" s="623"/>
      <c r="DT19" s="623"/>
      <c r="DU19" s="623"/>
      <c r="DV19" s="623"/>
      <c r="DW19" s="623"/>
      <c r="DX19" s="623"/>
      <c r="DY19" s="623"/>
      <c r="DZ19" s="623"/>
      <c r="EA19" s="623"/>
      <c r="EB19" s="623"/>
      <c r="EC19" s="623"/>
      <c r="ED19" s="623"/>
      <c r="EE19" s="623"/>
      <c r="EF19" s="623"/>
      <c r="EG19" s="623"/>
      <c r="EH19" s="623"/>
      <c r="EI19" s="623"/>
      <c r="EJ19" s="623"/>
      <c r="EK19" s="623"/>
      <c r="EL19" s="623"/>
      <c r="EM19" s="623"/>
      <c r="EN19" s="623"/>
      <c r="EO19" s="623"/>
      <c r="EP19" s="623"/>
      <c r="EQ19" s="623"/>
      <c r="ER19" s="623"/>
      <c r="ES19" s="623"/>
      <c r="ET19" s="623"/>
      <c r="EU19" s="623"/>
      <c r="EV19" s="623"/>
      <c r="EW19" s="623"/>
      <c r="EX19" s="623"/>
      <c r="EY19" s="623"/>
      <c r="EZ19" s="623"/>
      <c r="FA19" s="623"/>
      <c r="FB19" s="623"/>
      <c r="FC19" s="623"/>
      <c r="FD19" s="623"/>
      <c r="FE19" s="623"/>
      <c r="FF19" s="623"/>
      <c r="FG19" s="623"/>
      <c r="FH19" s="623"/>
    </row>
    <row r="20" spans="1:164">
      <c r="A20" s="623" t="s">
        <v>4999</v>
      </c>
      <c r="B20" s="623" t="s">
        <v>425</v>
      </c>
      <c r="C20" s="623" t="s">
        <v>4192</v>
      </c>
      <c r="D20" s="623" t="s">
        <v>4385</v>
      </c>
      <c r="E20" s="623" t="s">
        <v>426</v>
      </c>
      <c r="F20" s="623" t="s">
        <v>2264</v>
      </c>
      <c r="G20" s="623" t="s">
        <v>2265</v>
      </c>
      <c r="H20" s="623" t="s">
        <v>202</v>
      </c>
      <c r="I20" s="623"/>
      <c r="J20" s="623"/>
      <c r="K20" s="623"/>
      <c r="L20" s="623"/>
      <c r="M20" s="623"/>
      <c r="N20" s="623"/>
      <c r="O20" s="623"/>
      <c r="P20" s="623"/>
      <c r="Q20" s="623"/>
      <c r="R20" s="623"/>
      <c r="S20" s="623"/>
      <c r="T20" s="623"/>
      <c r="U20" s="623"/>
      <c r="V20" s="623"/>
      <c r="W20" s="623"/>
      <c r="X20" s="623"/>
      <c r="Y20" s="623"/>
      <c r="Z20" s="623"/>
      <c r="AA20" s="623"/>
      <c r="AB20" s="623"/>
      <c r="AC20" s="623"/>
      <c r="AD20" s="623"/>
      <c r="AE20" s="623"/>
      <c r="AF20" s="623"/>
      <c r="AG20" s="623"/>
      <c r="AH20" s="623"/>
      <c r="AI20" s="623"/>
      <c r="AJ20" s="623"/>
      <c r="AK20" s="623"/>
      <c r="AL20" s="623"/>
      <c r="AM20" s="623"/>
      <c r="AN20" s="623"/>
      <c r="AO20" s="623"/>
      <c r="AP20" s="623"/>
      <c r="AQ20" s="623"/>
      <c r="AR20" s="623"/>
      <c r="AS20" s="623"/>
      <c r="AT20" s="623"/>
      <c r="AU20" s="623"/>
      <c r="AV20" s="623"/>
      <c r="AW20" s="623"/>
      <c r="AX20" s="623"/>
      <c r="AY20" s="623"/>
      <c r="AZ20" s="623"/>
      <c r="BA20" s="623"/>
      <c r="BB20" s="623"/>
      <c r="BC20" s="623"/>
      <c r="BD20" s="623"/>
      <c r="BE20" s="623"/>
      <c r="BF20" s="623"/>
      <c r="BG20" s="623"/>
      <c r="BH20" s="623"/>
      <c r="BI20" s="623"/>
      <c r="BJ20" s="623"/>
      <c r="BK20" s="623"/>
      <c r="BL20" s="623"/>
      <c r="BM20" s="623"/>
      <c r="BN20" s="623"/>
      <c r="BO20" s="623"/>
      <c r="BP20" s="623"/>
      <c r="BQ20" s="623"/>
      <c r="BR20" s="623"/>
      <c r="BS20" s="623"/>
      <c r="BT20" s="623"/>
      <c r="BU20" s="623"/>
      <c r="BV20" s="623"/>
      <c r="BW20" s="623"/>
      <c r="BX20" s="623"/>
      <c r="BY20" s="623"/>
      <c r="BZ20" s="623"/>
      <c r="CA20" s="623"/>
      <c r="CB20" s="623"/>
      <c r="CC20" s="623"/>
      <c r="CD20" s="623"/>
      <c r="CE20" s="623"/>
      <c r="CF20" s="623"/>
      <c r="CG20" s="623"/>
      <c r="CH20" s="623"/>
      <c r="CI20" s="623"/>
      <c r="CJ20" s="623"/>
      <c r="CK20" s="623"/>
      <c r="CL20" s="623"/>
      <c r="CM20" s="623"/>
      <c r="CN20" s="623"/>
      <c r="CO20" s="623"/>
      <c r="CP20" s="623"/>
      <c r="CQ20" s="623"/>
      <c r="CR20" s="623"/>
      <c r="CS20" s="623"/>
      <c r="CT20" s="623"/>
      <c r="CU20" s="623"/>
      <c r="CV20" s="623"/>
      <c r="CW20" s="623"/>
      <c r="CX20" s="623"/>
      <c r="CY20" s="623"/>
      <c r="CZ20" s="623"/>
      <c r="DA20" s="623"/>
      <c r="DB20" s="623"/>
      <c r="DC20" s="623"/>
      <c r="DD20" s="623"/>
      <c r="DE20" s="623"/>
      <c r="DF20" s="623"/>
      <c r="DG20" s="623"/>
      <c r="DH20" s="623"/>
      <c r="DI20" s="623"/>
      <c r="DJ20" s="623"/>
      <c r="DK20" s="623"/>
      <c r="DL20" s="623"/>
      <c r="DM20" s="623"/>
      <c r="DN20" s="623"/>
      <c r="DO20" s="623"/>
      <c r="DP20" s="623"/>
      <c r="DQ20" s="623"/>
      <c r="DR20" s="623"/>
      <c r="DS20" s="623"/>
      <c r="DT20" s="623"/>
      <c r="DU20" s="623"/>
      <c r="DV20" s="623"/>
      <c r="DW20" s="623"/>
      <c r="DX20" s="623"/>
      <c r="DY20" s="623"/>
      <c r="DZ20" s="623"/>
      <c r="EA20" s="623"/>
      <c r="EB20" s="623"/>
      <c r="EC20" s="623"/>
      <c r="ED20" s="623"/>
      <c r="EE20" s="623"/>
      <c r="EF20" s="623"/>
      <c r="EG20" s="623"/>
      <c r="EH20" s="623"/>
      <c r="EI20" s="623"/>
      <c r="EJ20" s="623"/>
      <c r="EK20" s="623"/>
      <c r="EL20" s="623"/>
      <c r="EM20" s="623"/>
      <c r="EN20" s="623"/>
      <c r="EO20" s="623"/>
      <c r="EP20" s="623"/>
      <c r="EQ20" s="623"/>
      <c r="ER20" s="623"/>
      <c r="ES20" s="623"/>
      <c r="ET20" s="623"/>
      <c r="EU20" s="623"/>
      <c r="EV20" s="623"/>
      <c r="EW20" s="623"/>
      <c r="EX20" s="623"/>
      <c r="EY20" s="623"/>
      <c r="EZ20" s="623"/>
      <c r="FA20" s="623"/>
      <c r="FB20" s="623"/>
      <c r="FC20" s="623"/>
      <c r="FD20" s="623"/>
      <c r="FE20" s="623"/>
      <c r="FF20" s="623"/>
      <c r="FG20" s="623"/>
      <c r="FH20" s="623"/>
    </row>
    <row r="21" spans="1:164">
      <c r="A21" s="623" t="s">
        <v>5000</v>
      </c>
      <c r="B21" s="623" t="s">
        <v>4187</v>
      </c>
      <c r="C21" s="623" t="s">
        <v>4188</v>
      </c>
      <c r="D21" s="623" t="s">
        <v>4189</v>
      </c>
      <c r="E21" s="623"/>
      <c r="F21" s="623"/>
      <c r="G21" s="623"/>
      <c r="H21" s="623"/>
      <c r="I21" s="623"/>
      <c r="J21" s="623"/>
      <c r="K21" s="623"/>
      <c r="L21" s="623"/>
      <c r="M21" s="623"/>
      <c r="N21" s="623"/>
      <c r="O21" s="623"/>
      <c r="P21" s="623"/>
      <c r="Q21" s="623"/>
      <c r="R21" s="623"/>
      <c r="S21" s="623"/>
      <c r="T21" s="623"/>
      <c r="U21" s="623"/>
      <c r="V21" s="623"/>
      <c r="W21" s="623"/>
      <c r="X21" s="623"/>
      <c r="Y21" s="623"/>
      <c r="Z21" s="623"/>
      <c r="AA21" s="623"/>
      <c r="AB21" s="623"/>
      <c r="AC21" s="623"/>
      <c r="AD21" s="623"/>
      <c r="AE21" s="623"/>
      <c r="AF21" s="623"/>
      <c r="AG21" s="623"/>
      <c r="AH21" s="623"/>
      <c r="AI21" s="623"/>
      <c r="AJ21" s="623"/>
      <c r="AK21" s="623"/>
      <c r="AL21" s="623"/>
      <c r="AM21" s="623"/>
      <c r="AN21" s="623"/>
      <c r="AO21" s="623"/>
      <c r="AP21" s="623"/>
      <c r="AQ21" s="623"/>
      <c r="AR21" s="623"/>
      <c r="AS21" s="623"/>
      <c r="AT21" s="623"/>
      <c r="AU21" s="623"/>
      <c r="AV21" s="623"/>
      <c r="AW21" s="623"/>
      <c r="AX21" s="623"/>
      <c r="AY21" s="623"/>
      <c r="AZ21" s="623"/>
      <c r="BA21" s="623"/>
      <c r="BB21" s="623"/>
      <c r="BC21" s="623"/>
      <c r="BD21" s="623"/>
      <c r="BE21" s="623"/>
      <c r="BF21" s="623"/>
      <c r="BG21" s="623"/>
      <c r="BH21" s="623"/>
      <c r="BI21" s="623"/>
      <c r="BJ21" s="623"/>
      <c r="BK21" s="623"/>
      <c r="BL21" s="623"/>
      <c r="BM21" s="623"/>
      <c r="BN21" s="623"/>
      <c r="BO21" s="623"/>
      <c r="BP21" s="623"/>
      <c r="BQ21" s="623"/>
      <c r="BR21" s="623"/>
      <c r="BS21" s="623"/>
      <c r="BT21" s="623"/>
      <c r="BU21" s="623"/>
      <c r="BV21" s="623"/>
      <c r="BW21" s="623"/>
      <c r="BX21" s="623"/>
      <c r="BY21" s="623"/>
      <c r="BZ21" s="623"/>
      <c r="CA21" s="623"/>
      <c r="CB21" s="623"/>
      <c r="CC21" s="623"/>
      <c r="CD21" s="623"/>
      <c r="CE21" s="623"/>
      <c r="CF21" s="623"/>
      <c r="CG21" s="623"/>
      <c r="CH21" s="623"/>
      <c r="CI21" s="623"/>
      <c r="CJ21" s="623"/>
      <c r="CK21" s="623"/>
      <c r="CL21" s="623"/>
      <c r="CM21" s="623"/>
      <c r="CN21" s="623"/>
      <c r="CO21" s="623"/>
      <c r="CP21" s="623"/>
      <c r="CQ21" s="623"/>
      <c r="CR21" s="623"/>
      <c r="CS21" s="623"/>
      <c r="CT21" s="623"/>
      <c r="CU21" s="623"/>
      <c r="CV21" s="623"/>
      <c r="CW21" s="623"/>
      <c r="CX21" s="623"/>
      <c r="CY21" s="623"/>
      <c r="CZ21" s="623"/>
      <c r="DA21" s="623"/>
      <c r="DB21" s="623"/>
      <c r="DC21" s="623"/>
      <c r="DD21" s="623"/>
      <c r="DE21" s="623"/>
      <c r="DF21" s="623"/>
      <c r="DG21" s="623"/>
      <c r="DH21" s="623"/>
      <c r="DI21" s="623"/>
      <c r="DJ21" s="623"/>
      <c r="DK21" s="623"/>
      <c r="DL21" s="623"/>
      <c r="DM21" s="623"/>
      <c r="DN21" s="623"/>
      <c r="DO21" s="623"/>
      <c r="DP21" s="623"/>
      <c r="DQ21" s="623"/>
      <c r="DR21" s="623"/>
      <c r="DS21" s="623"/>
      <c r="DT21" s="623"/>
      <c r="DU21" s="623"/>
      <c r="DV21" s="623"/>
      <c r="DW21" s="623"/>
      <c r="DX21" s="623"/>
      <c r="DY21" s="623"/>
      <c r="DZ21" s="623"/>
      <c r="EA21" s="623"/>
      <c r="EB21" s="623"/>
      <c r="EC21" s="623"/>
      <c r="ED21" s="623"/>
      <c r="EE21" s="623"/>
      <c r="EF21" s="623"/>
      <c r="EG21" s="623"/>
      <c r="EH21" s="623"/>
      <c r="EI21" s="623"/>
      <c r="EJ21" s="623"/>
      <c r="EK21" s="623"/>
      <c r="EL21" s="623"/>
      <c r="EM21" s="623"/>
      <c r="EN21" s="623"/>
      <c r="EO21" s="623"/>
      <c r="EP21" s="623"/>
      <c r="EQ21" s="623"/>
      <c r="ER21" s="623"/>
      <c r="ES21" s="623"/>
      <c r="ET21" s="623"/>
      <c r="EU21" s="623"/>
      <c r="EV21" s="623"/>
      <c r="EW21" s="623"/>
      <c r="EX21" s="623"/>
      <c r="EY21" s="623"/>
      <c r="EZ21" s="623"/>
      <c r="FA21" s="623"/>
      <c r="FB21" s="623"/>
      <c r="FC21" s="623"/>
      <c r="FD21" s="623"/>
      <c r="FE21" s="623"/>
      <c r="FF21" s="623"/>
      <c r="FG21" s="623"/>
      <c r="FH21" s="623"/>
    </row>
    <row r="22" spans="1:164">
      <c r="A22" s="623" t="s">
        <v>5001</v>
      </c>
      <c r="B22" s="623" t="s">
        <v>2524</v>
      </c>
      <c r="C22" s="623" t="s">
        <v>454</v>
      </c>
      <c r="D22" s="623"/>
      <c r="E22" s="623"/>
      <c r="F22" s="623"/>
      <c r="G22" s="623"/>
      <c r="H22" s="623"/>
      <c r="I22" s="623"/>
      <c r="J22" s="623"/>
      <c r="K22" s="623"/>
      <c r="L22" s="623"/>
      <c r="M22" s="623"/>
      <c r="N22" s="623"/>
      <c r="O22" s="623"/>
      <c r="P22" s="623"/>
      <c r="Q22" s="623"/>
      <c r="R22" s="623"/>
      <c r="S22" s="623"/>
      <c r="T22" s="623"/>
      <c r="U22" s="623"/>
      <c r="V22" s="623"/>
      <c r="W22" s="623"/>
      <c r="X22" s="623"/>
      <c r="Y22" s="623"/>
      <c r="Z22" s="623"/>
      <c r="AA22" s="623"/>
      <c r="AB22" s="623"/>
      <c r="AC22" s="623"/>
      <c r="AD22" s="623"/>
      <c r="AE22" s="623"/>
      <c r="AF22" s="623"/>
      <c r="AG22" s="623"/>
      <c r="AH22" s="623"/>
      <c r="AI22" s="623"/>
      <c r="AJ22" s="623"/>
      <c r="AK22" s="623"/>
      <c r="AL22" s="623"/>
      <c r="AM22" s="623"/>
      <c r="AN22" s="623"/>
      <c r="AO22" s="623"/>
      <c r="AP22" s="623"/>
      <c r="AQ22" s="623"/>
      <c r="AR22" s="623"/>
      <c r="AS22" s="623"/>
      <c r="AT22" s="623"/>
      <c r="AU22" s="623"/>
      <c r="AV22" s="623"/>
      <c r="AW22" s="623"/>
      <c r="AX22" s="623"/>
      <c r="AY22" s="623"/>
      <c r="AZ22" s="623"/>
      <c r="BA22" s="623"/>
      <c r="BB22" s="623"/>
      <c r="BC22" s="623"/>
      <c r="BD22" s="623"/>
      <c r="BE22" s="623"/>
      <c r="BF22" s="623"/>
      <c r="BG22" s="623"/>
      <c r="BH22" s="623"/>
      <c r="BI22" s="623"/>
      <c r="BJ22" s="623"/>
      <c r="BK22" s="623"/>
      <c r="BL22" s="623"/>
      <c r="BM22" s="623"/>
      <c r="BN22" s="623"/>
      <c r="BO22" s="623"/>
      <c r="BP22" s="623"/>
      <c r="BQ22" s="623"/>
      <c r="BR22" s="623"/>
      <c r="BS22" s="623"/>
      <c r="BT22" s="623"/>
      <c r="BU22" s="623"/>
      <c r="BV22" s="623"/>
      <c r="BW22" s="623"/>
      <c r="BX22" s="623"/>
      <c r="BY22" s="623"/>
      <c r="BZ22" s="623"/>
      <c r="CA22" s="623"/>
      <c r="CB22" s="623"/>
      <c r="CC22" s="623"/>
      <c r="CD22" s="623"/>
      <c r="CE22" s="623"/>
      <c r="CF22" s="623"/>
      <c r="CG22" s="623"/>
      <c r="CH22" s="623"/>
      <c r="CI22" s="623"/>
      <c r="CJ22" s="623"/>
      <c r="CK22" s="623"/>
      <c r="CL22" s="623"/>
      <c r="CM22" s="623"/>
      <c r="CN22" s="623"/>
      <c r="CO22" s="623"/>
      <c r="CP22" s="623"/>
      <c r="CQ22" s="623"/>
      <c r="CR22" s="623"/>
      <c r="CS22" s="623"/>
      <c r="CT22" s="623"/>
      <c r="CU22" s="623"/>
      <c r="CV22" s="623"/>
      <c r="CW22" s="623"/>
      <c r="CX22" s="623"/>
      <c r="CY22" s="623"/>
      <c r="CZ22" s="623"/>
      <c r="DA22" s="623"/>
      <c r="DB22" s="623"/>
      <c r="DC22" s="623"/>
      <c r="DD22" s="623"/>
      <c r="DE22" s="623"/>
      <c r="DF22" s="623"/>
      <c r="DG22" s="623"/>
      <c r="DH22" s="623"/>
      <c r="DI22" s="623"/>
      <c r="DJ22" s="623"/>
      <c r="DK22" s="623"/>
      <c r="DL22" s="623"/>
      <c r="DM22" s="623"/>
      <c r="DN22" s="623"/>
      <c r="DO22" s="623"/>
      <c r="DP22" s="623"/>
      <c r="DQ22" s="623"/>
      <c r="DR22" s="623"/>
      <c r="DS22" s="623"/>
      <c r="DT22" s="623"/>
      <c r="DU22" s="623"/>
      <c r="DV22" s="623"/>
      <c r="DW22" s="623"/>
      <c r="DX22" s="623"/>
      <c r="DY22" s="623"/>
      <c r="DZ22" s="623"/>
      <c r="EA22" s="623"/>
      <c r="EB22" s="623"/>
      <c r="EC22" s="623"/>
      <c r="ED22" s="623"/>
      <c r="EE22" s="623"/>
      <c r="EF22" s="623"/>
      <c r="EG22" s="623"/>
      <c r="EH22" s="623"/>
      <c r="EI22" s="623"/>
      <c r="EJ22" s="623"/>
      <c r="EK22" s="623"/>
      <c r="EL22" s="623"/>
      <c r="EM22" s="623"/>
      <c r="EN22" s="623"/>
      <c r="EO22" s="623"/>
      <c r="EP22" s="623"/>
      <c r="EQ22" s="623"/>
      <c r="ER22" s="623"/>
      <c r="ES22" s="623"/>
      <c r="ET22" s="623"/>
      <c r="EU22" s="623"/>
      <c r="EV22" s="623"/>
      <c r="EW22" s="623"/>
      <c r="EX22" s="623"/>
      <c r="EY22" s="623"/>
      <c r="EZ22" s="623"/>
      <c r="FA22" s="623"/>
      <c r="FB22" s="623"/>
      <c r="FC22" s="623"/>
      <c r="FD22" s="623"/>
      <c r="FE22" s="623"/>
      <c r="FF22" s="623"/>
      <c r="FG22" s="623"/>
      <c r="FH22" s="623"/>
    </row>
    <row r="23" spans="1:164">
      <c r="A23" s="623" t="s">
        <v>5002</v>
      </c>
      <c r="B23" s="623" t="s">
        <v>5003</v>
      </c>
      <c r="C23" s="623" t="s">
        <v>4805</v>
      </c>
      <c r="D23" s="623"/>
      <c r="E23" s="623"/>
      <c r="F23" s="623"/>
      <c r="G23" s="623"/>
      <c r="H23" s="623"/>
      <c r="I23" s="623"/>
      <c r="J23" s="623"/>
      <c r="K23" s="623"/>
      <c r="L23" s="623"/>
      <c r="M23" s="623"/>
      <c r="N23" s="623"/>
      <c r="O23" s="623"/>
      <c r="P23" s="623"/>
      <c r="Q23" s="623"/>
      <c r="R23" s="623"/>
      <c r="S23" s="623"/>
      <c r="T23" s="623"/>
      <c r="U23" s="623"/>
      <c r="V23" s="623"/>
      <c r="W23" s="623"/>
      <c r="X23" s="623"/>
      <c r="Y23" s="623"/>
      <c r="Z23" s="623"/>
      <c r="AA23" s="623"/>
      <c r="AB23" s="623"/>
      <c r="AC23" s="623"/>
      <c r="AD23" s="623"/>
      <c r="AE23" s="623"/>
      <c r="AF23" s="623"/>
      <c r="AG23" s="623"/>
      <c r="AH23" s="623"/>
      <c r="AI23" s="623"/>
      <c r="AJ23" s="623"/>
      <c r="AK23" s="623"/>
      <c r="AL23" s="623"/>
      <c r="AM23" s="623"/>
      <c r="AN23" s="623"/>
      <c r="AO23" s="623"/>
      <c r="AP23" s="623"/>
      <c r="AQ23" s="623"/>
      <c r="AR23" s="623"/>
      <c r="AS23" s="623"/>
      <c r="AT23" s="623"/>
      <c r="AU23" s="623"/>
      <c r="AV23" s="623"/>
      <c r="AW23" s="623"/>
      <c r="AX23" s="623"/>
      <c r="AY23" s="623"/>
      <c r="AZ23" s="623"/>
      <c r="BA23" s="623"/>
      <c r="BB23" s="623"/>
      <c r="BC23" s="623"/>
      <c r="BD23" s="623"/>
      <c r="BE23" s="623"/>
      <c r="BF23" s="623"/>
      <c r="BG23" s="623"/>
      <c r="BH23" s="623"/>
      <c r="BI23" s="623"/>
      <c r="BJ23" s="623"/>
      <c r="BK23" s="623"/>
      <c r="BL23" s="623"/>
      <c r="BM23" s="623"/>
      <c r="BN23" s="623"/>
      <c r="BO23" s="623"/>
      <c r="BP23" s="623"/>
      <c r="BQ23" s="623"/>
      <c r="BR23" s="623"/>
      <c r="BS23" s="623"/>
      <c r="BT23" s="623"/>
      <c r="BU23" s="623"/>
      <c r="BV23" s="623"/>
      <c r="BW23" s="623"/>
      <c r="BX23" s="623"/>
      <c r="BY23" s="623"/>
      <c r="BZ23" s="623"/>
      <c r="CA23" s="623"/>
      <c r="CB23" s="623"/>
      <c r="CC23" s="623"/>
      <c r="CD23" s="623"/>
      <c r="CE23" s="623"/>
      <c r="CF23" s="623"/>
      <c r="CG23" s="623"/>
      <c r="CH23" s="623"/>
      <c r="CI23" s="623"/>
      <c r="CJ23" s="623"/>
      <c r="CK23" s="623"/>
      <c r="CL23" s="623"/>
      <c r="CM23" s="623"/>
      <c r="CN23" s="623"/>
      <c r="CO23" s="623"/>
      <c r="CP23" s="623"/>
      <c r="CQ23" s="623"/>
      <c r="CR23" s="623"/>
      <c r="CS23" s="623"/>
      <c r="CT23" s="623"/>
      <c r="CU23" s="623"/>
      <c r="CV23" s="623"/>
      <c r="CW23" s="623"/>
      <c r="CX23" s="623"/>
      <c r="CY23" s="623"/>
      <c r="CZ23" s="623"/>
      <c r="DA23" s="623"/>
      <c r="DB23" s="623"/>
      <c r="DC23" s="623"/>
      <c r="DD23" s="623"/>
      <c r="DE23" s="623"/>
      <c r="DF23" s="623"/>
      <c r="DG23" s="623"/>
      <c r="DH23" s="623"/>
      <c r="DI23" s="623"/>
      <c r="DJ23" s="623"/>
      <c r="DK23" s="623"/>
      <c r="DL23" s="623"/>
      <c r="DM23" s="623"/>
      <c r="DN23" s="623"/>
      <c r="DO23" s="623"/>
      <c r="DP23" s="623"/>
      <c r="DQ23" s="623"/>
      <c r="DR23" s="623"/>
      <c r="DS23" s="623"/>
      <c r="DT23" s="623"/>
      <c r="DU23" s="623"/>
      <c r="DV23" s="623"/>
      <c r="DW23" s="623"/>
      <c r="DX23" s="623"/>
      <c r="DY23" s="623"/>
      <c r="DZ23" s="623"/>
      <c r="EA23" s="623"/>
      <c r="EB23" s="623"/>
      <c r="EC23" s="623"/>
      <c r="ED23" s="623"/>
      <c r="EE23" s="623"/>
      <c r="EF23" s="623"/>
      <c r="EG23" s="623"/>
      <c r="EH23" s="623"/>
      <c r="EI23" s="623"/>
      <c r="EJ23" s="623"/>
      <c r="EK23" s="623"/>
      <c r="EL23" s="623"/>
      <c r="EM23" s="623"/>
      <c r="EN23" s="623"/>
      <c r="EO23" s="623"/>
      <c r="EP23" s="623"/>
      <c r="EQ23" s="623"/>
      <c r="ER23" s="623"/>
      <c r="ES23" s="623"/>
      <c r="ET23" s="623"/>
      <c r="EU23" s="623"/>
      <c r="EV23" s="623"/>
      <c r="EW23" s="623"/>
      <c r="EX23" s="623"/>
      <c r="EY23" s="623"/>
      <c r="EZ23" s="623"/>
      <c r="FA23" s="623"/>
      <c r="FB23" s="623"/>
      <c r="FC23" s="623"/>
      <c r="FD23" s="623"/>
      <c r="FE23" s="623"/>
      <c r="FF23" s="623"/>
      <c r="FG23" s="623"/>
      <c r="FH23" s="623"/>
    </row>
    <row r="24" spans="1:164">
      <c r="A24" s="623" t="s">
        <v>5004</v>
      </c>
      <c r="B24" s="623" t="s">
        <v>2522</v>
      </c>
      <c r="C24" s="623" t="s">
        <v>469</v>
      </c>
      <c r="D24" s="623" t="s">
        <v>378</v>
      </c>
      <c r="E24" s="623"/>
      <c r="F24" s="623"/>
      <c r="G24" s="623"/>
      <c r="H24" s="623"/>
      <c r="I24" s="623"/>
      <c r="J24" s="623"/>
      <c r="K24" s="623"/>
      <c r="L24" s="623"/>
      <c r="M24" s="623"/>
      <c r="N24" s="623"/>
      <c r="O24" s="623"/>
      <c r="P24" s="623"/>
      <c r="Q24" s="623"/>
      <c r="R24" s="623"/>
      <c r="S24" s="623"/>
      <c r="T24" s="623"/>
      <c r="U24" s="623"/>
      <c r="V24" s="623"/>
      <c r="W24" s="623"/>
      <c r="X24" s="623"/>
      <c r="Y24" s="623"/>
      <c r="Z24" s="623"/>
      <c r="AA24" s="623"/>
      <c r="AB24" s="623"/>
      <c r="AC24" s="623"/>
      <c r="AD24" s="623"/>
      <c r="AE24" s="623"/>
      <c r="AF24" s="623"/>
      <c r="AG24" s="623"/>
      <c r="AH24" s="623"/>
      <c r="AI24" s="623"/>
      <c r="AJ24" s="623"/>
      <c r="AK24" s="623"/>
      <c r="AL24" s="623"/>
      <c r="AM24" s="623"/>
      <c r="AN24" s="623"/>
      <c r="AO24" s="623"/>
      <c r="AP24" s="623"/>
      <c r="AQ24" s="623"/>
      <c r="AR24" s="623"/>
      <c r="AS24" s="623"/>
      <c r="AT24" s="623"/>
      <c r="AU24" s="623"/>
      <c r="AV24" s="623"/>
      <c r="AW24" s="623"/>
      <c r="AX24" s="623"/>
      <c r="AY24" s="623"/>
      <c r="AZ24" s="623"/>
      <c r="BA24" s="623"/>
      <c r="BB24" s="623"/>
      <c r="BC24" s="623"/>
      <c r="BD24" s="623"/>
      <c r="BE24" s="623"/>
      <c r="BF24" s="623"/>
      <c r="BG24" s="623"/>
      <c r="BH24" s="623"/>
      <c r="BI24" s="623"/>
      <c r="BJ24" s="623"/>
      <c r="BK24" s="623"/>
      <c r="BL24" s="623"/>
      <c r="BM24" s="623"/>
      <c r="BN24" s="623"/>
      <c r="BO24" s="623"/>
      <c r="BP24" s="623"/>
      <c r="BQ24" s="623"/>
      <c r="BR24" s="623"/>
      <c r="BS24" s="623"/>
      <c r="BT24" s="623"/>
      <c r="BU24" s="623"/>
      <c r="BV24" s="623"/>
      <c r="BW24" s="623"/>
      <c r="BX24" s="623"/>
      <c r="BY24" s="623"/>
      <c r="BZ24" s="623"/>
      <c r="CA24" s="623"/>
      <c r="CB24" s="623"/>
      <c r="CC24" s="623"/>
      <c r="CD24" s="623"/>
      <c r="CE24" s="623"/>
      <c r="CF24" s="623"/>
      <c r="CG24" s="623"/>
      <c r="CH24" s="623"/>
      <c r="CI24" s="623"/>
      <c r="CJ24" s="623"/>
      <c r="CK24" s="623"/>
      <c r="CL24" s="623"/>
      <c r="CM24" s="623"/>
      <c r="CN24" s="623"/>
      <c r="CO24" s="623"/>
      <c r="CP24" s="623"/>
      <c r="CQ24" s="623"/>
      <c r="CR24" s="623"/>
      <c r="CS24" s="623"/>
      <c r="CT24" s="623"/>
      <c r="CU24" s="623"/>
      <c r="CV24" s="623"/>
      <c r="CW24" s="623"/>
      <c r="CX24" s="623"/>
      <c r="CY24" s="623"/>
      <c r="CZ24" s="623"/>
      <c r="DA24" s="623"/>
      <c r="DB24" s="623"/>
      <c r="DC24" s="623"/>
      <c r="DD24" s="623"/>
      <c r="DE24" s="623"/>
      <c r="DF24" s="623"/>
      <c r="DG24" s="623"/>
      <c r="DH24" s="623"/>
      <c r="DI24" s="623"/>
      <c r="DJ24" s="623"/>
      <c r="DK24" s="623"/>
      <c r="DL24" s="623"/>
      <c r="DM24" s="623"/>
      <c r="DN24" s="623"/>
      <c r="DO24" s="623"/>
      <c r="DP24" s="623"/>
      <c r="DQ24" s="623"/>
      <c r="DR24" s="623"/>
      <c r="DS24" s="623"/>
      <c r="DT24" s="623"/>
      <c r="DU24" s="623"/>
      <c r="DV24" s="623"/>
      <c r="DW24" s="623"/>
      <c r="DX24" s="623"/>
      <c r="DY24" s="623"/>
      <c r="DZ24" s="623"/>
      <c r="EA24" s="623"/>
      <c r="EB24" s="623"/>
      <c r="EC24" s="623"/>
      <c r="ED24" s="623"/>
      <c r="EE24" s="623"/>
      <c r="EF24" s="623"/>
      <c r="EG24" s="623"/>
      <c r="EH24" s="623"/>
      <c r="EI24" s="623"/>
      <c r="EJ24" s="623"/>
      <c r="EK24" s="623"/>
      <c r="EL24" s="623"/>
      <c r="EM24" s="623"/>
      <c r="EN24" s="623"/>
      <c r="EO24" s="623"/>
      <c r="EP24" s="623"/>
      <c r="EQ24" s="623"/>
      <c r="ER24" s="623"/>
      <c r="ES24" s="623"/>
      <c r="ET24" s="623"/>
      <c r="EU24" s="623"/>
      <c r="EV24" s="623"/>
      <c r="EW24" s="623"/>
      <c r="EX24" s="623"/>
      <c r="EY24" s="623"/>
      <c r="EZ24" s="623"/>
      <c r="FA24" s="623"/>
      <c r="FB24" s="623"/>
      <c r="FC24" s="623"/>
      <c r="FD24" s="623"/>
      <c r="FE24" s="623"/>
      <c r="FF24" s="623"/>
      <c r="FG24" s="623"/>
      <c r="FH24" s="623"/>
    </row>
    <row r="25" spans="1:164">
      <c r="A25" s="623" t="s">
        <v>5005</v>
      </c>
      <c r="B25" s="623" t="s">
        <v>2524</v>
      </c>
      <c r="C25" s="623" t="s">
        <v>3137</v>
      </c>
      <c r="D25" s="623" t="s">
        <v>5006</v>
      </c>
      <c r="E25" s="623" t="s">
        <v>473</v>
      </c>
      <c r="F25" s="623" t="s">
        <v>5007</v>
      </c>
      <c r="G25" s="623" t="s">
        <v>474</v>
      </c>
      <c r="H25" s="623" t="s">
        <v>3134</v>
      </c>
      <c r="I25" s="623" t="s">
        <v>466</v>
      </c>
      <c r="J25" s="623"/>
      <c r="K25" s="623"/>
      <c r="L25" s="623"/>
      <c r="M25" s="623"/>
      <c r="N25" s="623"/>
      <c r="O25" s="623"/>
      <c r="P25" s="623"/>
      <c r="Q25" s="623"/>
      <c r="R25" s="623"/>
      <c r="S25" s="623"/>
      <c r="T25" s="623"/>
      <c r="U25" s="623"/>
      <c r="V25" s="623"/>
      <c r="W25" s="623"/>
      <c r="X25" s="623"/>
      <c r="Y25" s="623"/>
      <c r="Z25" s="623"/>
      <c r="AA25" s="623"/>
      <c r="AB25" s="623"/>
      <c r="AC25" s="623"/>
      <c r="AD25" s="623"/>
      <c r="AE25" s="623"/>
      <c r="AF25" s="623"/>
      <c r="AG25" s="623"/>
      <c r="AH25" s="623"/>
      <c r="AI25" s="623"/>
      <c r="AJ25" s="623"/>
      <c r="AK25" s="623"/>
      <c r="AL25" s="623"/>
      <c r="AM25" s="623"/>
      <c r="AN25" s="623"/>
      <c r="AO25" s="623"/>
      <c r="AP25" s="623"/>
      <c r="AQ25" s="623"/>
      <c r="AR25" s="623"/>
      <c r="AS25" s="623"/>
      <c r="AT25" s="623"/>
      <c r="AU25" s="623"/>
      <c r="AV25" s="623"/>
      <c r="AW25" s="623"/>
      <c r="AX25" s="623"/>
      <c r="AY25" s="623"/>
      <c r="AZ25" s="623"/>
      <c r="BA25" s="623"/>
      <c r="BB25" s="623"/>
      <c r="BC25" s="623"/>
      <c r="BD25" s="623"/>
      <c r="BE25" s="623"/>
      <c r="BF25" s="623"/>
      <c r="BG25" s="623"/>
      <c r="BH25" s="623"/>
      <c r="BI25" s="623"/>
      <c r="BJ25" s="623"/>
      <c r="BK25" s="623"/>
      <c r="BL25" s="623"/>
      <c r="BM25" s="623"/>
      <c r="BN25" s="623"/>
      <c r="BO25" s="623"/>
      <c r="BP25" s="623"/>
      <c r="BQ25" s="623"/>
      <c r="BR25" s="623"/>
      <c r="BS25" s="623"/>
      <c r="BT25" s="623"/>
      <c r="BU25" s="623"/>
      <c r="BV25" s="623"/>
      <c r="BW25" s="623"/>
      <c r="BX25" s="623"/>
      <c r="BY25" s="623"/>
      <c r="BZ25" s="623"/>
      <c r="CA25" s="623"/>
      <c r="CB25" s="623"/>
      <c r="CC25" s="623"/>
      <c r="CD25" s="623"/>
      <c r="CE25" s="623"/>
      <c r="CF25" s="623"/>
      <c r="CG25" s="623"/>
      <c r="CH25" s="623"/>
      <c r="CI25" s="623"/>
      <c r="CJ25" s="623"/>
      <c r="CK25" s="623"/>
      <c r="CL25" s="623"/>
      <c r="CM25" s="623"/>
      <c r="CN25" s="623"/>
      <c r="CO25" s="623"/>
      <c r="CP25" s="623"/>
      <c r="CQ25" s="623"/>
      <c r="CR25" s="623"/>
      <c r="CS25" s="623"/>
      <c r="CT25" s="623"/>
      <c r="CU25" s="623"/>
      <c r="CV25" s="623"/>
      <c r="CW25" s="623"/>
      <c r="CX25" s="623"/>
      <c r="CY25" s="623"/>
      <c r="CZ25" s="623"/>
      <c r="DA25" s="623"/>
      <c r="DB25" s="623"/>
      <c r="DC25" s="623"/>
      <c r="DD25" s="623"/>
      <c r="DE25" s="623"/>
      <c r="DF25" s="623"/>
      <c r="DG25" s="623"/>
      <c r="DH25" s="623"/>
      <c r="DI25" s="623"/>
      <c r="DJ25" s="623"/>
      <c r="DK25" s="623"/>
      <c r="DL25" s="623"/>
      <c r="DM25" s="623"/>
      <c r="DN25" s="623"/>
      <c r="DO25" s="623"/>
      <c r="DP25" s="623"/>
      <c r="DQ25" s="623"/>
      <c r="DR25" s="623"/>
      <c r="DS25" s="623"/>
      <c r="DT25" s="623"/>
      <c r="DU25" s="623"/>
      <c r="DV25" s="623"/>
      <c r="DW25" s="623"/>
      <c r="DX25" s="623"/>
      <c r="DY25" s="623"/>
      <c r="DZ25" s="623"/>
      <c r="EA25" s="623"/>
      <c r="EB25" s="623"/>
      <c r="EC25" s="623"/>
      <c r="ED25" s="623"/>
      <c r="EE25" s="623"/>
      <c r="EF25" s="623"/>
      <c r="EG25" s="623"/>
      <c r="EH25" s="623"/>
      <c r="EI25" s="623"/>
      <c r="EJ25" s="623"/>
      <c r="EK25" s="623"/>
      <c r="EL25" s="623"/>
      <c r="EM25" s="623"/>
      <c r="EN25" s="623"/>
      <c r="EO25" s="623"/>
      <c r="EP25" s="623"/>
      <c r="EQ25" s="623"/>
      <c r="ER25" s="623"/>
      <c r="ES25" s="623"/>
      <c r="ET25" s="623"/>
      <c r="EU25" s="623"/>
      <c r="EV25" s="623"/>
      <c r="EW25" s="623"/>
      <c r="EX25" s="623"/>
      <c r="EY25" s="623"/>
      <c r="EZ25" s="623"/>
      <c r="FA25" s="623"/>
      <c r="FB25" s="623"/>
      <c r="FC25" s="623"/>
      <c r="FD25" s="623"/>
      <c r="FE25" s="623"/>
      <c r="FF25" s="623"/>
      <c r="FG25" s="623"/>
      <c r="FH25" s="623"/>
    </row>
    <row r="26" spans="1:164">
      <c r="A26" s="623" t="s">
        <v>5008</v>
      </c>
      <c r="B26" s="623" t="s">
        <v>2267</v>
      </c>
      <c r="C26" s="623" t="s">
        <v>454</v>
      </c>
      <c r="D26" s="623" t="s">
        <v>499</v>
      </c>
      <c r="E26" s="623" t="s">
        <v>500</v>
      </c>
      <c r="F26" s="623" t="s">
        <v>2268</v>
      </c>
      <c r="G26" s="623" t="s">
        <v>2269</v>
      </c>
      <c r="H26" s="623" t="s">
        <v>2270</v>
      </c>
      <c r="I26" s="623"/>
      <c r="J26" s="623"/>
      <c r="K26" s="623"/>
      <c r="L26" s="623"/>
      <c r="M26" s="623"/>
      <c r="N26" s="623"/>
      <c r="O26" s="623"/>
      <c r="P26" s="623"/>
      <c r="Q26" s="623"/>
      <c r="R26" s="623"/>
      <c r="S26" s="623"/>
      <c r="T26" s="623"/>
      <c r="U26" s="623"/>
      <c r="V26" s="623"/>
      <c r="W26" s="623"/>
      <c r="X26" s="623"/>
      <c r="Y26" s="623"/>
      <c r="Z26" s="623"/>
      <c r="AA26" s="623"/>
      <c r="AB26" s="623"/>
      <c r="AC26" s="623"/>
      <c r="AD26" s="623"/>
      <c r="AE26" s="623"/>
      <c r="AF26" s="623"/>
      <c r="AG26" s="623"/>
      <c r="AH26" s="623"/>
      <c r="AI26" s="623"/>
      <c r="AJ26" s="623"/>
      <c r="AK26" s="623"/>
      <c r="AL26" s="623"/>
      <c r="AM26" s="623"/>
      <c r="AN26" s="623"/>
      <c r="AO26" s="623"/>
      <c r="AP26" s="623"/>
      <c r="AQ26" s="623"/>
      <c r="AR26" s="623"/>
      <c r="AS26" s="623"/>
      <c r="AT26" s="623"/>
      <c r="AU26" s="623"/>
      <c r="AV26" s="623"/>
      <c r="AW26" s="623"/>
      <c r="AX26" s="623"/>
      <c r="AY26" s="623"/>
      <c r="AZ26" s="623"/>
      <c r="BA26" s="623"/>
      <c r="BB26" s="623"/>
      <c r="BC26" s="623"/>
      <c r="BD26" s="623"/>
      <c r="BE26" s="623"/>
      <c r="BF26" s="623"/>
      <c r="BG26" s="623"/>
      <c r="BH26" s="623"/>
      <c r="BI26" s="623"/>
      <c r="BJ26" s="623"/>
      <c r="BK26" s="623"/>
      <c r="BL26" s="623"/>
      <c r="BM26" s="623"/>
      <c r="BN26" s="623"/>
      <c r="BO26" s="623"/>
      <c r="BP26" s="623"/>
      <c r="BQ26" s="623"/>
      <c r="BR26" s="623"/>
      <c r="BS26" s="623"/>
      <c r="BT26" s="623"/>
      <c r="BU26" s="623"/>
      <c r="BV26" s="623"/>
      <c r="BW26" s="623"/>
      <c r="BX26" s="623"/>
      <c r="BY26" s="623"/>
      <c r="BZ26" s="623"/>
      <c r="CA26" s="623"/>
      <c r="CB26" s="623"/>
      <c r="CC26" s="623"/>
      <c r="CD26" s="623"/>
      <c r="CE26" s="623"/>
      <c r="CF26" s="623"/>
      <c r="CG26" s="623"/>
      <c r="CH26" s="623"/>
      <c r="CI26" s="623"/>
      <c r="CJ26" s="623"/>
      <c r="CK26" s="623"/>
      <c r="CL26" s="623"/>
      <c r="CM26" s="623"/>
      <c r="CN26" s="623"/>
      <c r="CO26" s="623"/>
      <c r="CP26" s="623"/>
      <c r="CQ26" s="623"/>
      <c r="CR26" s="623"/>
      <c r="CS26" s="623"/>
      <c r="CT26" s="623"/>
      <c r="CU26" s="623"/>
      <c r="CV26" s="623"/>
      <c r="CW26" s="623"/>
      <c r="CX26" s="623"/>
      <c r="CY26" s="623"/>
      <c r="CZ26" s="623"/>
      <c r="DA26" s="623"/>
      <c r="DB26" s="623"/>
      <c r="DC26" s="623"/>
      <c r="DD26" s="623"/>
      <c r="DE26" s="623"/>
      <c r="DF26" s="623"/>
      <c r="DG26" s="623"/>
      <c r="DH26" s="623"/>
      <c r="DI26" s="623"/>
      <c r="DJ26" s="623"/>
      <c r="DK26" s="623"/>
      <c r="DL26" s="623"/>
      <c r="DM26" s="623"/>
      <c r="DN26" s="623"/>
      <c r="DO26" s="623"/>
      <c r="DP26" s="623"/>
      <c r="DQ26" s="623"/>
      <c r="DR26" s="623"/>
      <c r="DS26" s="623"/>
      <c r="DT26" s="623"/>
      <c r="DU26" s="623"/>
      <c r="DV26" s="623"/>
      <c r="DW26" s="623"/>
      <c r="DX26" s="623"/>
      <c r="DY26" s="623"/>
      <c r="DZ26" s="623"/>
      <c r="EA26" s="623"/>
      <c r="EB26" s="623"/>
      <c r="EC26" s="623"/>
      <c r="ED26" s="623"/>
      <c r="EE26" s="623"/>
      <c r="EF26" s="623"/>
      <c r="EG26" s="623"/>
      <c r="EH26" s="623"/>
      <c r="EI26" s="623"/>
      <c r="EJ26" s="623"/>
      <c r="EK26" s="623"/>
      <c r="EL26" s="623"/>
      <c r="EM26" s="623"/>
      <c r="EN26" s="623"/>
      <c r="EO26" s="623"/>
      <c r="EP26" s="623"/>
      <c r="EQ26" s="623"/>
      <c r="ER26" s="623"/>
      <c r="ES26" s="623"/>
      <c r="ET26" s="623"/>
      <c r="EU26" s="623"/>
      <c r="EV26" s="623"/>
      <c r="EW26" s="623"/>
      <c r="EX26" s="623"/>
      <c r="EY26" s="623"/>
      <c r="EZ26" s="623"/>
      <c r="FA26" s="623"/>
      <c r="FB26" s="623"/>
      <c r="FC26" s="623"/>
      <c r="FD26" s="623"/>
      <c r="FE26" s="623"/>
      <c r="FF26" s="623"/>
      <c r="FG26" s="623"/>
      <c r="FH26" s="623"/>
    </row>
    <row r="27" spans="1:164">
      <c r="A27" s="623" t="s">
        <v>5009</v>
      </c>
      <c r="B27" s="623" t="s">
        <v>5010</v>
      </c>
      <c r="C27" s="623" t="s">
        <v>5011</v>
      </c>
      <c r="D27" s="623" t="s">
        <v>5012</v>
      </c>
      <c r="E27" s="623" t="s">
        <v>5013</v>
      </c>
      <c r="F27" s="623"/>
      <c r="G27" s="623"/>
      <c r="H27" s="623"/>
      <c r="I27" s="623"/>
      <c r="J27" s="623"/>
      <c r="K27" s="623"/>
      <c r="L27" s="623"/>
      <c r="M27" s="623"/>
      <c r="N27" s="623"/>
      <c r="O27" s="623"/>
      <c r="P27" s="623"/>
      <c r="Q27" s="623"/>
      <c r="R27" s="623"/>
      <c r="S27" s="623"/>
      <c r="T27" s="623"/>
      <c r="U27" s="623"/>
      <c r="V27" s="623"/>
      <c r="W27" s="623"/>
      <c r="X27" s="623"/>
      <c r="Y27" s="623"/>
      <c r="Z27" s="623"/>
      <c r="AA27" s="623"/>
      <c r="AB27" s="623"/>
      <c r="AC27" s="623"/>
      <c r="AD27" s="623"/>
      <c r="AE27" s="623"/>
      <c r="AF27" s="623"/>
      <c r="AG27" s="623"/>
      <c r="AH27" s="623"/>
      <c r="AI27" s="623"/>
      <c r="AJ27" s="623"/>
      <c r="AK27" s="623"/>
      <c r="AL27" s="623"/>
      <c r="AM27" s="623"/>
      <c r="AN27" s="623"/>
      <c r="AO27" s="623"/>
      <c r="AP27" s="623"/>
      <c r="AQ27" s="623"/>
      <c r="AR27" s="623"/>
      <c r="AS27" s="623"/>
      <c r="AT27" s="623"/>
      <c r="AU27" s="623"/>
      <c r="AV27" s="623"/>
      <c r="AW27" s="623"/>
      <c r="AX27" s="623"/>
      <c r="AY27" s="623"/>
      <c r="AZ27" s="623"/>
      <c r="BA27" s="623"/>
      <c r="BB27" s="623"/>
      <c r="BC27" s="623"/>
      <c r="BD27" s="623"/>
      <c r="BE27" s="623"/>
      <c r="BF27" s="623"/>
      <c r="BG27" s="623"/>
      <c r="BH27" s="623"/>
      <c r="BI27" s="623"/>
      <c r="BJ27" s="623"/>
      <c r="BK27" s="623"/>
      <c r="BL27" s="623"/>
      <c r="BM27" s="623"/>
      <c r="BN27" s="623"/>
      <c r="BO27" s="623"/>
      <c r="BP27" s="623"/>
      <c r="BQ27" s="623"/>
      <c r="BR27" s="623"/>
      <c r="BS27" s="623"/>
      <c r="BT27" s="623"/>
      <c r="BU27" s="623"/>
      <c r="BV27" s="623"/>
      <c r="BW27" s="623"/>
      <c r="BX27" s="623"/>
      <c r="BY27" s="623"/>
      <c r="BZ27" s="623"/>
      <c r="CA27" s="623"/>
      <c r="CB27" s="623"/>
      <c r="CC27" s="623"/>
      <c r="CD27" s="623"/>
      <c r="CE27" s="623"/>
      <c r="CF27" s="623"/>
      <c r="CG27" s="623"/>
      <c r="CH27" s="623"/>
      <c r="CI27" s="623"/>
      <c r="CJ27" s="623"/>
      <c r="CK27" s="623"/>
      <c r="CL27" s="623"/>
      <c r="CM27" s="623"/>
      <c r="CN27" s="623"/>
      <c r="CO27" s="623"/>
      <c r="CP27" s="623"/>
      <c r="CQ27" s="623"/>
      <c r="CR27" s="623"/>
      <c r="CS27" s="623"/>
      <c r="CT27" s="623"/>
      <c r="CU27" s="623"/>
      <c r="CV27" s="623"/>
      <c r="CW27" s="623"/>
      <c r="CX27" s="623"/>
      <c r="CY27" s="623"/>
      <c r="CZ27" s="623"/>
      <c r="DA27" s="623"/>
      <c r="DB27" s="623"/>
      <c r="DC27" s="623"/>
      <c r="DD27" s="623"/>
      <c r="DE27" s="623"/>
      <c r="DF27" s="623"/>
      <c r="DG27" s="623"/>
      <c r="DH27" s="623"/>
      <c r="DI27" s="623"/>
      <c r="DJ27" s="623"/>
      <c r="DK27" s="623"/>
      <c r="DL27" s="623"/>
      <c r="DM27" s="623"/>
      <c r="DN27" s="623"/>
      <c r="DO27" s="623"/>
      <c r="DP27" s="623"/>
      <c r="DQ27" s="623"/>
      <c r="DR27" s="623"/>
      <c r="DS27" s="623"/>
      <c r="DT27" s="623"/>
      <c r="DU27" s="623"/>
      <c r="DV27" s="623"/>
      <c r="DW27" s="623"/>
      <c r="DX27" s="623"/>
      <c r="DY27" s="623"/>
      <c r="DZ27" s="623"/>
      <c r="EA27" s="623"/>
      <c r="EB27" s="623"/>
      <c r="EC27" s="623"/>
      <c r="ED27" s="623"/>
      <c r="EE27" s="623"/>
      <c r="EF27" s="623"/>
      <c r="EG27" s="623"/>
      <c r="EH27" s="623"/>
      <c r="EI27" s="623"/>
      <c r="EJ27" s="623"/>
      <c r="EK27" s="623"/>
      <c r="EL27" s="623"/>
      <c r="EM27" s="623"/>
      <c r="EN27" s="623"/>
      <c r="EO27" s="623"/>
      <c r="EP27" s="623"/>
      <c r="EQ27" s="623"/>
      <c r="ER27" s="623"/>
      <c r="ES27" s="623"/>
      <c r="ET27" s="623"/>
      <c r="EU27" s="623"/>
      <c r="EV27" s="623"/>
      <c r="EW27" s="623"/>
      <c r="EX27" s="623"/>
      <c r="EY27" s="623"/>
      <c r="EZ27" s="623"/>
      <c r="FA27" s="623"/>
      <c r="FB27" s="623"/>
      <c r="FC27" s="623"/>
      <c r="FD27" s="623"/>
      <c r="FE27" s="623"/>
      <c r="FF27" s="623"/>
      <c r="FG27" s="623"/>
      <c r="FH27" s="623"/>
    </row>
    <row r="28" spans="1:164">
      <c r="A28" s="623" t="s">
        <v>5014</v>
      </c>
      <c r="B28" s="623" t="s">
        <v>3143</v>
      </c>
      <c r="C28" s="623" t="s">
        <v>3144</v>
      </c>
      <c r="D28" s="623" t="s">
        <v>3145</v>
      </c>
      <c r="E28" s="623"/>
      <c r="F28" s="623"/>
      <c r="G28" s="623"/>
      <c r="H28" s="623"/>
      <c r="I28" s="623"/>
      <c r="J28" s="623"/>
      <c r="K28" s="623"/>
      <c r="L28" s="623"/>
      <c r="M28" s="623"/>
      <c r="N28" s="623"/>
      <c r="O28" s="623"/>
      <c r="P28" s="623"/>
      <c r="Q28" s="623"/>
      <c r="R28" s="623"/>
      <c r="S28" s="623"/>
      <c r="T28" s="623"/>
      <c r="U28" s="623"/>
      <c r="V28" s="623"/>
      <c r="W28" s="623"/>
      <c r="X28" s="623"/>
      <c r="Y28" s="623"/>
      <c r="Z28" s="623"/>
      <c r="AA28" s="623"/>
      <c r="AB28" s="623"/>
      <c r="AC28" s="623"/>
      <c r="AD28" s="623"/>
      <c r="AE28" s="623"/>
      <c r="AF28" s="623"/>
      <c r="AG28" s="623"/>
      <c r="AH28" s="623"/>
      <c r="AI28" s="623"/>
      <c r="AJ28" s="623"/>
      <c r="AK28" s="623"/>
      <c r="AL28" s="623"/>
      <c r="AM28" s="623"/>
      <c r="AN28" s="623"/>
      <c r="AO28" s="623"/>
      <c r="AP28" s="623"/>
      <c r="AQ28" s="623"/>
      <c r="AR28" s="623"/>
      <c r="AS28" s="623"/>
      <c r="AT28" s="623"/>
      <c r="AU28" s="623"/>
      <c r="AV28" s="623"/>
      <c r="AW28" s="623"/>
      <c r="AX28" s="623"/>
      <c r="AY28" s="623"/>
      <c r="AZ28" s="623"/>
      <c r="BA28" s="623"/>
      <c r="BB28" s="623"/>
      <c r="BC28" s="623"/>
      <c r="BD28" s="623"/>
      <c r="BE28" s="623"/>
      <c r="BF28" s="623"/>
      <c r="BG28" s="623"/>
      <c r="BH28" s="623"/>
      <c r="BI28" s="623"/>
      <c r="BJ28" s="623"/>
      <c r="BK28" s="623"/>
      <c r="BL28" s="623"/>
      <c r="BM28" s="623"/>
      <c r="BN28" s="623"/>
      <c r="BO28" s="623"/>
      <c r="BP28" s="623"/>
      <c r="BQ28" s="623"/>
      <c r="BR28" s="623"/>
      <c r="BS28" s="623"/>
      <c r="BT28" s="623"/>
      <c r="BU28" s="623"/>
      <c r="BV28" s="623"/>
      <c r="BW28" s="623"/>
      <c r="BX28" s="623"/>
      <c r="BY28" s="623"/>
      <c r="BZ28" s="623"/>
      <c r="CA28" s="623"/>
      <c r="CB28" s="623"/>
      <c r="CC28" s="623"/>
      <c r="CD28" s="623"/>
      <c r="CE28" s="623"/>
      <c r="CF28" s="623"/>
      <c r="CG28" s="623"/>
      <c r="CH28" s="623"/>
      <c r="CI28" s="623"/>
      <c r="CJ28" s="623"/>
      <c r="CK28" s="623"/>
      <c r="CL28" s="623"/>
      <c r="CM28" s="623"/>
      <c r="CN28" s="623"/>
      <c r="CO28" s="623"/>
      <c r="CP28" s="623"/>
      <c r="CQ28" s="623"/>
      <c r="CR28" s="623"/>
      <c r="CS28" s="623"/>
      <c r="CT28" s="623"/>
      <c r="CU28" s="623"/>
      <c r="CV28" s="623"/>
      <c r="CW28" s="623"/>
      <c r="CX28" s="623"/>
      <c r="CY28" s="623"/>
      <c r="CZ28" s="623"/>
      <c r="DA28" s="623"/>
      <c r="DB28" s="623"/>
      <c r="DC28" s="623"/>
      <c r="DD28" s="623"/>
      <c r="DE28" s="623"/>
      <c r="DF28" s="623"/>
      <c r="DG28" s="623"/>
      <c r="DH28" s="623"/>
      <c r="DI28" s="623"/>
      <c r="DJ28" s="623"/>
      <c r="DK28" s="623"/>
      <c r="DL28" s="623"/>
      <c r="DM28" s="623"/>
      <c r="DN28" s="623"/>
      <c r="DO28" s="623"/>
      <c r="DP28" s="623"/>
      <c r="DQ28" s="623"/>
      <c r="DR28" s="623"/>
      <c r="DS28" s="623"/>
      <c r="DT28" s="623"/>
      <c r="DU28" s="623"/>
      <c r="DV28" s="623"/>
      <c r="DW28" s="623"/>
      <c r="DX28" s="623"/>
      <c r="DY28" s="623"/>
      <c r="DZ28" s="623"/>
      <c r="EA28" s="623"/>
      <c r="EB28" s="623"/>
      <c r="EC28" s="623"/>
      <c r="ED28" s="623"/>
      <c r="EE28" s="623"/>
      <c r="EF28" s="623"/>
      <c r="EG28" s="623"/>
      <c r="EH28" s="623"/>
      <c r="EI28" s="623"/>
      <c r="EJ28" s="623"/>
      <c r="EK28" s="623"/>
      <c r="EL28" s="623"/>
      <c r="EM28" s="623"/>
      <c r="EN28" s="623"/>
      <c r="EO28" s="623"/>
      <c r="EP28" s="623"/>
      <c r="EQ28" s="623"/>
      <c r="ER28" s="623"/>
      <c r="ES28" s="623"/>
      <c r="ET28" s="623"/>
      <c r="EU28" s="623"/>
      <c r="EV28" s="623"/>
      <c r="EW28" s="623"/>
      <c r="EX28" s="623"/>
      <c r="EY28" s="623"/>
      <c r="EZ28" s="623"/>
      <c r="FA28" s="623"/>
      <c r="FB28" s="623"/>
      <c r="FC28" s="623"/>
      <c r="FD28" s="623"/>
      <c r="FE28" s="623"/>
      <c r="FF28" s="623"/>
      <c r="FG28" s="623"/>
      <c r="FH28" s="623"/>
    </row>
    <row r="29" spans="1:164">
      <c r="A29" s="623" t="s">
        <v>5015</v>
      </c>
      <c r="B29" s="623" t="s">
        <v>2524</v>
      </c>
      <c r="C29" s="623" t="s">
        <v>466</v>
      </c>
      <c r="D29" s="623" t="s">
        <v>473</v>
      </c>
      <c r="E29" s="623"/>
      <c r="F29" s="623"/>
      <c r="G29" s="623"/>
      <c r="H29" s="623"/>
      <c r="I29" s="623"/>
      <c r="J29" s="623"/>
      <c r="K29" s="623"/>
      <c r="L29" s="623"/>
      <c r="M29" s="623"/>
      <c r="N29" s="623"/>
      <c r="O29" s="623"/>
      <c r="P29" s="623"/>
      <c r="Q29" s="623"/>
      <c r="R29" s="623"/>
      <c r="S29" s="623"/>
      <c r="T29" s="623"/>
      <c r="U29" s="623"/>
      <c r="V29" s="623"/>
      <c r="W29" s="623"/>
      <c r="X29" s="623"/>
      <c r="Y29" s="623"/>
      <c r="Z29" s="623"/>
      <c r="AA29" s="623"/>
      <c r="AB29" s="623"/>
      <c r="AC29" s="623"/>
      <c r="AD29" s="623"/>
      <c r="AE29" s="623"/>
      <c r="AF29" s="623"/>
      <c r="AG29" s="623"/>
      <c r="AH29" s="623"/>
      <c r="AI29" s="623"/>
      <c r="AJ29" s="623"/>
      <c r="AK29" s="623"/>
      <c r="AL29" s="623"/>
      <c r="AM29" s="623"/>
      <c r="AN29" s="623"/>
      <c r="AO29" s="623"/>
      <c r="AP29" s="623"/>
      <c r="AQ29" s="623"/>
      <c r="AR29" s="623"/>
      <c r="AS29" s="623"/>
      <c r="AT29" s="623"/>
      <c r="AU29" s="623"/>
      <c r="AV29" s="623"/>
      <c r="AW29" s="623"/>
      <c r="AX29" s="623"/>
      <c r="AY29" s="623"/>
      <c r="AZ29" s="623"/>
      <c r="BA29" s="623"/>
      <c r="BB29" s="623"/>
      <c r="BC29" s="623"/>
      <c r="BD29" s="623"/>
      <c r="BE29" s="623"/>
      <c r="BF29" s="623"/>
      <c r="BG29" s="623"/>
      <c r="BH29" s="623"/>
      <c r="BI29" s="623"/>
      <c r="BJ29" s="623"/>
      <c r="BK29" s="623"/>
      <c r="BL29" s="623"/>
      <c r="BM29" s="623"/>
      <c r="BN29" s="623"/>
      <c r="BO29" s="623"/>
      <c r="BP29" s="623"/>
      <c r="BQ29" s="623"/>
      <c r="BR29" s="623"/>
      <c r="BS29" s="623"/>
      <c r="BT29" s="623"/>
      <c r="BU29" s="623"/>
      <c r="BV29" s="623"/>
      <c r="BW29" s="623"/>
      <c r="BX29" s="623"/>
      <c r="BY29" s="623"/>
      <c r="BZ29" s="623"/>
      <c r="CA29" s="623"/>
      <c r="CB29" s="623"/>
      <c r="CC29" s="623"/>
      <c r="CD29" s="623"/>
      <c r="CE29" s="623"/>
      <c r="CF29" s="623"/>
      <c r="CG29" s="623"/>
      <c r="CH29" s="623"/>
      <c r="CI29" s="623"/>
      <c r="CJ29" s="623"/>
      <c r="CK29" s="623"/>
      <c r="CL29" s="623"/>
      <c r="CM29" s="623"/>
      <c r="CN29" s="623"/>
      <c r="CO29" s="623"/>
      <c r="CP29" s="623"/>
      <c r="CQ29" s="623"/>
      <c r="CR29" s="623"/>
      <c r="CS29" s="623"/>
      <c r="CT29" s="623"/>
      <c r="CU29" s="623"/>
      <c r="CV29" s="623"/>
      <c r="CW29" s="623"/>
      <c r="CX29" s="623"/>
      <c r="CY29" s="623"/>
      <c r="CZ29" s="623"/>
      <c r="DA29" s="623"/>
      <c r="DB29" s="623"/>
      <c r="DC29" s="623"/>
      <c r="DD29" s="623"/>
      <c r="DE29" s="623"/>
      <c r="DF29" s="623"/>
      <c r="DG29" s="623"/>
      <c r="DH29" s="623"/>
      <c r="DI29" s="623"/>
      <c r="DJ29" s="623"/>
      <c r="DK29" s="623"/>
      <c r="DL29" s="623"/>
      <c r="DM29" s="623"/>
      <c r="DN29" s="623"/>
      <c r="DO29" s="623"/>
      <c r="DP29" s="623"/>
      <c r="DQ29" s="623"/>
      <c r="DR29" s="623"/>
      <c r="DS29" s="623"/>
      <c r="DT29" s="623"/>
      <c r="DU29" s="623"/>
      <c r="DV29" s="623"/>
      <c r="DW29" s="623"/>
      <c r="DX29" s="623"/>
      <c r="DY29" s="623"/>
      <c r="DZ29" s="623"/>
      <c r="EA29" s="623"/>
      <c r="EB29" s="623"/>
      <c r="EC29" s="623"/>
      <c r="ED29" s="623"/>
      <c r="EE29" s="623"/>
      <c r="EF29" s="623"/>
      <c r="EG29" s="623"/>
      <c r="EH29" s="623"/>
      <c r="EI29" s="623"/>
      <c r="EJ29" s="623"/>
      <c r="EK29" s="623"/>
      <c r="EL29" s="623"/>
      <c r="EM29" s="623"/>
      <c r="EN29" s="623"/>
      <c r="EO29" s="623"/>
      <c r="EP29" s="623"/>
      <c r="EQ29" s="623"/>
      <c r="ER29" s="623"/>
      <c r="ES29" s="623"/>
      <c r="ET29" s="623"/>
      <c r="EU29" s="623"/>
      <c r="EV29" s="623"/>
      <c r="EW29" s="623"/>
      <c r="EX29" s="623"/>
      <c r="EY29" s="623"/>
      <c r="EZ29" s="623"/>
      <c r="FA29" s="623"/>
      <c r="FB29" s="623"/>
      <c r="FC29" s="623"/>
      <c r="FD29" s="623"/>
      <c r="FE29" s="623"/>
      <c r="FF29" s="623"/>
      <c r="FG29" s="623"/>
      <c r="FH29" s="623"/>
    </row>
    <row r="30" spans="1:164">
      <c r="A30" s="623" t="s">
        <v>5016</v>
      </c>
      <c r="B30" s="623" t="s">
        <v>5017</v>
      </c>
      <c r="C30" s="623" t="s">
        <v>2271</v>
      </c>
      <c r="D30" s="623" t="s">
        <v>781</v>
      </c>
      <c r="E30" s="623" t="s">
        <v>2272</v>
      </c>
      <c r="F30" s="623" t="s">
        <v>2273</v>
      </c>
      <c r="G30" s="623" t="s">
        <v>733</v>
      </c>
      <c r="H30" s="623" t="s">
        <v>1021</v>
      </c>
      <c r="I30" s="623" t="s">
        <v>2274</v>
      </c>
      <c r="J30" s="623" t="s">
        <v>2275</v>
      </c>
      <c r="K30" s="623" t="s">
        <v>2276</v>
      </c>
      <c r="L30" s="623" t="s">
        <v>202</v>
      </c>
      <c r="M30" s="623" t="s">
        <v>2277</v>
      </c>
      <c r="N30" s="623" t="s">
        <v>5</v>
      </c>
      <c r="O30" s="623" t="s">
        <v>780</v>
      </c>
      <c r="P30" s="623" t="s">
        <v>788</v>
      </c>
      <c r="Q30" s="623" t="s">
        <v>937</v>
      </c>
      <c r="R30" s="623"/>
      <c r="S30" s="623"/>
      <c r="T30" s="623"/>
      <c r="U30" s="623"/>
      <c r="V30" s="623"/>
      <c r="W30" s="623"/>
      <c r="X30" s="623"/>
      <c r="Y30" s="623"/>
      <c r="Z30" s="623"/>
      <c r="AA30" s="623"/>
      <c r="AB30" s="623"/>
      <c r="AC30" s="623"/>
      <c r="AD30" s="623"/>
      <c r="AE30" s="623"/>
      <c r="AF30" s="623"/>
      <c r="AG30" s="623"/>
      <c r="AH30" s="623"/>
      <c r="AI30" s="623"/>
      <c r="AJ30" s="623"/>
      <c r="AK30" s="623"/>
      <c r="AL30" s="623"/>
      <c r="AM30" s="623"/>
      <c r="AN30" s="623"/>
      <c r="AO30" s="623"/>
      <c r="AP30" s="623"/>
      <c r="AQ30" s="623"/>
      <c r="AR30" s="623"/>
      <c r="AS30" s="623"/>
      <c r="AT30" s="623"/>
      <c r="AU30" s="623"/>
      <c r="AV30" s="623"/>
      <c r="AW30" s="623"/>
      <c r="AX30" s="623"/>
      <c r="AY30" s="623"/>
      <c r="AZ30" s="623"/>
      <c r="BA30" s="623"/>
      <c r="BB30" s="623"/>
      <c r="BC30" s="623"/>
      <c r="BD30" s="623"/>
      <c r="BE30" s="623"/>
      <c r="BF30" s="623"/>
      <c r="BG30" s="623"/>
      <c r="BH30" s="623"/>
      <c r="BI30" s="623"/>
      <c r="BJ30" s="623"/>
      <c r="BK30" s="623"/>
      <c r="BL30" s="623"/>
      <c r="BM30" s="623"/>
      <c r="BN30" s="623"/>
      <c r="BO30" s="623"/>
      <c r="BP30" s="623"/>
      <c r="BQ30" s="623"/>
      <c r="BR30" s="623"/>
      <c r="BS30" s="623"/>
      <c r="BT30" s="623"/>
      <c r="BU30" s="623"/>
      <c r="BV30" s="623"/>
      <c r="BW30" s="623"/>
      <c r="BX30" s="623"/>
      <c r="BY30" s="623"/>
      <c r="BZ30" s="623"/>
      <c r="CA30" s="623"/>
      <c r="CB30" s="623"/>
      <c r="CC30" s="623"/>
      <c r="CD30" s="623"/>
      <c r="CE30" s="623"/>
      <c r="CF30" s="623"/>
      <c r="CG30" s="623"/>
      <c r="CH30" s="623"/>
      <c r="CI30" s="623"/>
      <c r="CJ30" s="623"/>
      <c r="CK30" s="623"/>
      <c r="CL30" s="623"/>
      <c r="CM30" s="623"/>
      <c r="CN30" s="623"/>
      <c r="CO30" s="623"/>
      <c r="CP30" s="623"/>
      <c r="CQ30" s="623"/>
      <c r="CR30" s="623"/>
      <c r="CS30" s="623"/>
      <c r="CT30" s="623"/>
      <c r="CU30" s="623"/>
      <c r="CV30" s="623"/>
      <c r="CW30" s="623"/>
      <c r="CX30" s="623"/>
      <c r="CY30" s="623"/>
      <c r="CZ30" s="623"/>
      <c r="DA30" s="623"/>
      <c r="DB30" s="623"/>
      <c r="DC30" s="623"/>
      <c r="DD30" s="623"/>
      <c r="DE30" s="623"/>
      <c r="DF30" s="623"/>
      <c r="DG30" s="623"/>
      <c r="DH30" s="623"/>
      <c r="DI30" s="623"/>
      <c r="DJ30" s="623"/>
      <c r="DK30" s="623"/>
      <c r="DL30" s="623"/>
      <c r="DM30" s="623"/>
      <c r="DN30" s="623"/>
      <c r="DO30" s="623"/>
      <c r="DP30" s="623"/>
      <c r="DQ30" s="623"/>
      <c r="DR30" s="623"/>
      <c r="DS30" s="623"/>
      <c r="DT30" s="623"/>
      <c r="DU30" s="623"/>
      <c r="DV30" s="623"/>
      <c r="DW30" s="623"/>
      <c r="DX30" s="623"/>
      <c r="DY30" s="623"/>
      <c r="DZ30" s="623"/>
      <c r="EA30" s="623"/>
      <c r="EB30" s="623"/>
      <c r="EC30" s="623"/>
      <c r="ED30" s="623"/>
      <c r="EE30" s="623"/>
      <c r="EF30" s="623"/>
      <c r="EG30" s="623"/>
      <c r="EH30" s="623"/>
      <c r="EI30" s="623"/>
      <c r="EJ30" s="623"/>
      <c r="EK30" s="623"/>
      <c r="EL30" s="623"/>
      <c r="EM30" s="623"/>
      <c r="EN30" s="623"/>
      <c r="EO30" s="623"/>
      <c r="EP30" s="623"/>
      <c r="EQ30" s="623"/>
      <c r="ER30" s="623"/>
      <c r="ES30" s="623"/>
      <c r="ET30" s="623"/>
      <c r="EU30" s="623"/>
      <c r="EV30" s="623"/>
      <c r="EW30" s="623"/>
      <c r="EX30" s="623"/>
      <c r="EY30" s="623"/>
      <c r="EZ30" s="623"/>
      <c r="FA30" s="623"/>
      <c r="FB30" s="623"/>
      <c r="FC30" s="623"/>
      <c r="FD30" s="623"/>
      <c r="FE30" s="623"/>
      <c r="FF30" s="623"/>
      <c r="FG30" s="623"/>
      <c r="FH30" s="623"/>
    </row>
    <row r="31" spans="1:164">
      <c r="A31" s="623" t="s">
        <v>5018</v>
      </c>
      <c r="B31" s="623" t="s">
        <v>4466</v>
      </c>
      <c r="C31" s="623" t="s">
        <v>4467</v>
      </c>
      <c r="D31" s="623" t="s">
        <v>5019</v>
      </c>
      <c r="E31" s="623" t="s">
        <v>2203</v>
      </c>
      <c r="F31" s="623" t="s">
        <v>5020</v>
      </c>
      <c r="G31" s="623"/>
      <c r="H31" s="623"/>
      <c r="I31" s="623"/>
      <c r="J31" s="623"/>
      <c r="K31" s="623"/>
      <c r="L31" s="623"/>
      <c r="M31" s="623"/>
      <c r="N31" s="623"/>
      <c r="O31" s="623"/>
      <c r="P31" s="623"/>
      <c r="Q31" s="623"/>
      <c r="R31" s="623"/>
      <c r="S31" s="623"/>
      <c r="T31" s="623"/>
      <c r="U31" s="623"/>
      <c r="V31" s="623"/>
      <c r="W31" s="623"/>
      <c r="X31" s="623"/>
      <c r="Y31" s="623"/>
      <c r="Z31" s="623"/>
      <c r="AA31" s="623"/>
      <c r="AB31" s="623"/>
      <c r="AC31" s="623"/>
      <c r="AD31" s="623"/>
      <c r="AE31" s="623"/>
      <c r="AF31" s="623"/>
      <c r="AG31" s="623"/>
      <c r="AH31" s="623"/>
      <c r="AI31" s="623"/>
      <c r="AJ31" s="623"/>
      <c r="AK31" s="623"/>
      <c r="AL31" s="623"/>
      <c r="AM31" s="623"/>
      <c r="AN31" s="623"/>
      <c r="AO31" s="623"/>
      <c r="AP31" s="623"/>
      <c r="AQ31" s="623"/>
      <c r="AR31" s="623"/>
      <c r="AS31" s="623"/>
      <c r="AT31" s="623"/>
      <c r="AU31" s="623"/>
      <c r="AV31" s="623"/>
      <c r="AW31" s="623"/>
      <c r="AX31" s="623"/>
      <c r="AY31" s="623"/>
      <c r="AZ31" s="623"/>
      <c r="BA31" s="623"/>
      <c r="BB31" s="623"/>
      <c r="BC31" s="623"/>
      <c r="BD31" s="623"/>
      <c r="BE31" s="623"/>
      <c r="BF31" s="623"/>
      <c r="BG31" s="623"/>
      <c r="BH31" s="623"/>
      <c r="BI31" s="623"/>
      <c r="BJ31" s="623"/>
      <c r="BK31" s="623"/>
      <c r="BL31" s="623"/>
      <c r="BM31" s="623"/>
      <c r="BN31" s="623"/>
      <c r="BO31" s="623"/>
      <c r="BP31" s="623"/>
      <c r="BQ31" s="623"/>
      <c r="BR31" s="623"/>
      <c r="BS31" s="623"/>
      <c r="BT31" s="623"/>
      <c r="BU31" s="623"/>
      <c r="BV31" s="623"/>
      <c r="BW31" s="623"/>
      <c r="BX31" s="623"/>
      <c r="BY31" s="623"/>
      <c r="BZ31" s="623"/>
      <c r="CA31" s="623"/>
      <c r="CB31" s="623"/>
      <c r="CC31" s="623"/>
      <c r="CD31" s="623"/>
      <c r="CE31" s="623"/>
      <c r="CF31" s="623"/>
      <c r="CG31" s="623"/>
      <c r="CH31" s="623"/>
      <c r="CI31" s="623"/>
      <c r="CJ31" s="623"/>
      <c r="CK31" s="623"/>
      <c r="CL31" s="623"/>
      <c r="CM31" s="623"/>
      <c r="CN31" s="623"/>
      <c r="CO31" s="623"/>
      <c r="CP31" s="623"/>
      <c r="CQ31" s="623"/>
      <c r="CR31" s="623"/>
      <c r="CS31" s="623"/>
      <c r="CT31" s="623"/>
      <c r="CU31" s="623"/>
      <c r="CV31" s="623"/>
      <c r="CW31" s="623"/>
      <c r="CX31" s="623"/>
      <c r="CY31" s="623"/>
      <c r="CZ31" s="623"/>
      <c r="DA31" s="623"/>
      <c r="DB31" s="623"/>
      <c r="DC31" s="623"/>
      <c r="DD31" s="623"/>
      <c r="DE31" s="623"/>
      <c r="DF31" s="623"/>
      <c r="DG31" s="623"/>
      <c r="DH31" s="623"/>
      <c r="DI31" s="623"/>
      <c r="DJ31" s="623"/>
      <c r="DK31" s="623"/>
      <c r="DL31" s="623"/>
      <c r="DM31" s="623"/>
      <c r="DN31" s="623"/>
      <c r="DO31" s="623"/>
      <c r="DP31" s="623"/>
      <c r="DQ31" s="623"/>
      <c r="DR31" s="623"/>
      <c r="DS31" s="623"/>
      <c r="DT31" s="623"/>
      <c r="DU31" s="623"/>
      <c r="DV31" s="623"/>
      <c r="DW31" s="623"/>
      <c r="DX31" s="623"/>
      <c r="DY31" s="623"/>
      <c r="DZ31" s="623"/>
      <c r="EA31" s="623"/>
      <c r="EB31" s="623"/>
      <c r="EC31" s="623"/>
      <c r="ED31" s="623"/>
      <c r="EE31" s="623"/>
      <c r="EF31" s="623"/>
      <c r="EG31" s="623"/>
      <c r="EH31" s="623"/>
      <c r="EI31" s="623"/>
      <c r="EJ31" s="623"/>
      <c r="EK31" s="623"/>
      <c r="EL31" s="623"/>
      <c r="EM31" s="623"/>
      <c r="EN31" s="623"/>
      <c r="EO31" s="623"/>
      <c r="EP31" s="623"/>
      <c r="EQ31" s="623"/>
      <c r="ER31" s="623"/>
      <c r="ES31" s="623"/>
      <c r="ET31" s="623"/>
      <c r="EU31" s="623"/>
      <c r="EV31" s="623"/>
      <c r="EW31" s="623"/>
      <c r="EX31" s="623"/>
      <c r="EY31" s="623"/>
      <c r="EZ31" s="623"/>
      <c r="FA31" s="623"/>
      <c r="FB31" s="623"/>
      <c r="FC31" s="623"/>
      <c r="FD31" s="623"/>
      <c r="FE31" s="623"/>
      <c r="FF31" s="623"/>
      <c r="FG31" s="623"/>
      <c r="FH31" s="623"/>
    </row>
    <row r="32" spans="1:164">
      <c r="A32" s="623" t="s">
        <v>5021</v>
      </c>
      <c r="B32" s="623" t="s">
        <v>522</v>
      </c>
      <c r="C32" s="623" t="s">
        <v>523</v>
      </c>
      <c r="D32" s="623" t="s">
        <v>524</v>
      </c>
      <c r="E32" s="623" t="s">
        <v>525</v>
      </c>
      <c r="F32" s="623" t="s">
        <v>5022</v>
      </c>
      <c r="G32" s="623"/>
      <c r="H32" s="623"/>
      <c r="I32" s="623"/>
      <c r="J32" s="623"/>
      <c r="K32" s="623"/>
      <c r="L32" s="623"/>
      <c r="M32" s="623"/>
      <c r="N32" s="623"/>
      <c r="O32" s="623"/>
      <c r="P32" s="623"/>
      <c r="Q32" s="623"/>
      <c r="R32" s="623"/>
      <c r="S32" s="623"/>
      <c r="T32" s="623"/>
      <c r="U32" s="623"/>
      <c r="V32" s="623"/>
      <c r="W32" s="623"/>
      <c r="X32" s="623"/>
      <c r="Y32" s="623"/>
      <c r="Z32" s="623"/>
      <c r="AA32" s="623"/>
      <c r="AB32" s="623"/>
      <c r="AC32" s="623"/>
      <c r="AD32" s="623"/>
      <c r="AE32" s="623"/>
      <c r="AF32" s="623"/>
      <c r="AG32" s="623"/>
      <c r="AH32" s="623"/>
      <c r="AI32" s="623"/>
      <c r="AJ32" s="623"/>
      <c r="AK32" s="623"/>
      <c r="AL32" s="623"/>
      <c r="AM32" s="623"/>
      <c r="AN32" s="623"/>
      <c r="AO32" s="623"/>
      <c r="AP32" s="623"/>
      <c r="AQ32" s="623"/>
      <c r="AR32" s="623"/>
      <c r="AS32" s="623"/>
      <c r="AT32" s="623"/>
      <c r="AU32" s="623"/>
      <c r="AV32" s="623"/>
      <c r="AW32" s="623"/>
      <c r="AX32" s="623"/>
      <c r="AY32" s="623"/>
      <c r="AZ32" s="623"/>
      <c r="BA32" s="623"/>
      <c r="BB32" s="623"/>
      <c r="BC32" s="623"/>
      <c r="BD32" s="623"/>
      <c r="BE32" s="623"/>
      <c r="BF32" s="623"/>
      <c r="BG32" s="623"/>
      <c r="BH32" s="623"/>
      <c r="BI32" s="623"/>
      <c r="BJ32" s="623"/>
      <c r="BK32" s="623"/>
      <c r="BL32" s="623"/>
      <c r="BM32" s="623"/>
      <c r="BN32" s="623"/>
      <c r="BO32" s="623"/>
      <c r="BP32" s="623"/>
      <c r="BQ32" s="623"/>
      <c r="BR32" s="623"/>
      <c r="BS32" s="623"/>
      <c r="BT32" s="623"/>
      <c r="BU32" s="623"/>
      <c r="BV32" s="623"/>
      <c r="BW32" s="623"/>
      <c r="BX32" s="623"/>
      <c r="BY32" s="623"/>
      <c r="BZ32" s="623"/>
      <c r="CA32" s="623"/>
      <c r="CB32" s="623"/>
      <c r="CC32" s="623"/>
      <c r="CD32" s="623"/>
      <c r="CE32" s="623"/>
      <c r="CF32" s="623"/>
      <c r="CG32" s="623"/>
      <c r="CH32" s="623"/>
      <c r="CI32" s="623"/>
      <c r="CJ32" s="623"/>
      <c r="CK32" s="623"/>
      <c r="CL32" s="623"/>
      <c r="CM32" s="623"/>
      <c r="CN32" s="623"/>
      <c r="CO32" s="623"/>
      <c r="CP32" s="623"/>
      <c r="CQ32" s="623"/>
      <c r="CR32" s="623"/>
      <c r="CS32" s="623"/>
      <c r="CT32" s="623"/>
      <c r="CU32" s="623"/>
      <c r="CV32" s="623"/>
      <c r="CW32" s="623"/>
      <c r="CX32" s="623"/>
      <c r="CY32" s="623"/>
      <c r="CZ32" s="623"/>
      <c r="DA32" s="623"/>
      <c r="DB32" s="623"/>
      <c r="DC32" s="623"/>
      <c r="DD32" s="623"/>
      <c r="DE32" s="623"/>
      <c r="DF32" s="623"/>
      <c r="DG32" s="623"/>
      <c r="DH32" s="623"/>
      <c r="DI32" s="623"/>
      <c r="DJ32" s="623"/>
      <c r="DK32" s="623"/>
      <c r="DL32" s="623"/>
      <c r="DM32" s="623"/>
      <c r="DN32" s="623"/>
      <c r="DO32" s="623"/>
      <c r="DP32" s="623"/>
      <c r="DQ32" s="623"/>
      <c r="DR32" s="623"/>
      <c r="DS32" s="623"/>
      <c r="DT32" s="623"/>
      <c r="DU32" s="623"/>
      <c r="DV32" s="623"/>
      <c r="DW32" s="623"/>
      <c r="DX32" s="623"/>
      <c r="DY32" s="623"/>
      <c r="DZ32" s="623"/>
      <c r="EA32" s="623"/>
      <c r="EB32" s="623"/>
      <c r="EC32" s="623"/>
      <c r="ED32" s="623"/>
      <c r="EE32" s="623"/>
      <c r="EF32" s="623"/>
      <c r="EG32" s="623"/>
      <c r="EH32" s="623"/>
      <c r="EI32" s="623"/>
      <c r="EJ32" s="623"/>
      <c r="EK32" s="623"/>
      <c r="EL32" s="623"/>
      <c r="EM32" s="623"/>
      <c r="EN32" s="623"/>
      <c r="EO32" s="623"/>
      <c r="EP32" s="623"/>
      <c r="EQ32" s="623"/>
      <c r="ER32" s="623"/>
      <c r="ES32" s="623"/>
      <c r="ET32" s="623"/>
      <c r="EU32" s="623"/>
      <c r="EV32" s="623"/>
      <c r="EW32" s="623"/>
      <c r="EX32" s="623"/>
      <c r="EY32" s="623"/>
      <c r="EZ32" s="623"/>
      <c r="FA32" s="623"/>
      <c r="FB32" s="623"/>
      <c r="FC32" s="623"/>
      <c r="FD32" s="623"/>
      <c r="FE32" s="623"/>
      <c r="FF32" s="623"/>
      <c r="FG32" s="623"/>
      <c r="FH32" s="623"/>
    </row>
    <row r="33" spans="1:164">
      <c r="A33" s="623" t="s">
        <v>4476</v>
      </c>
      <c r="B33" s="623" t="s">
        <v>5023</v>
      </c>
      <c r="C33" s="623" t="s">
        <v>5024</v>
      </c>
      <c r="D33" s="623" t="s">
        <v>5025</v>
      </c>
      <c r="E33" s="623"/>
      <c r="F33" s="623"/>
      <c r="G33" s="623"/>
      <c r="H33" s="623"/>
      <c r="I33" s="623"/>
      <c r="J33" s="623"/>
      <c r="K33" s="623"/>
      <c r="L33" s="623"/>
      <c r="M33" s="623"/>
      <c r="N33" s="623"/>
      <c r="O33" s="623"/>
      <c r="P33" s="623"/>
      <c r="Q33" s="623"/>
      <c r="R33" s="623"/>
      <c r="S33" s="623"/>
      <c r="T33" s="623"/>
      <c r="U33" s="623"/>
      <c r="V33" s="623"/>
      <c r="W33" s="623"/>
      <c r="X33" s="623"/>
      <c r="Y33" s="623"/>
      <c r="Z33" s="623"/>
      <c r="AA33" s="623"/>
      <c r="AB33" s="623"/>
      <c r="AC33" s="623"/>
      <c r="AD33" s="623"/>
      <c r="AE33" s="623"/>
      <c r="AF33" s="623"/>
      <c r="AG33" s="623"/>
      <c r="AH33" s="623"/>
      <c r="AI33" s="623"/>
      <c r="AJ33" s="623"/>
      <c r="AK33" s="623"/>
      <c r="AL33" s="623"/>
      <c r="AM33" s="623"/>
      <c r="AN33" s="623"/>
      <c r="AO33" s="623"/>
      <c r="AP33" s="623"/>
      <c r="AQ33" s="623"/>
      <c r="AR33" s="623"/>
      <c r="AS33" s="623"/>
      <c r="AT33" s="623"/>
      <c r="AU33" s="623"/>
      <c r="AV33" s="623"/>
      <c r="AW33" s="623"/>
      <c r="AX33" s="623"/>
      <c r="AY33" s="623"/>
      <c r="AZ33" s="623"/>
      <c r="BA33" s="623"/>
      <c r="BB33" s="623"/>
      <c r="BC33" s="623"/>
      <c r="BD33" s="623"/>
      <c r="BE33" s="623"/>
      <c r="BF33" s="623"/>
      <c r="BG33" s="623"/>
      <c r="BH33" s="623"/>
      <c r="BI33" s="623"/>
      <c r="BJ33" s="623"/>
      <c r="BK33" s="623"/>
      <c r="BL33" s="623"/>
      <c r="BM33" s="623"/>
      <c r="BN33" s="623"/>
      <c r="BO33" s="623"/>
      <c r="BP33" s="623"/>
      <c r="BQ33" s="623"/>
      <c r="BR33" s="623"/>
      <c r="BS33" s="623"/>
      <c r="BT33" s="623"/>
      <c r="BU33" s="623"/>
      <c r="BV33" s="623"/>
      <c r="BW33" s="623"/>
      <c r="BX33" s="623"/>
      <c r="BY33" s="623"/>
      <c r="BZ33" s="623"/>
      <c r="CA33" s="623"/>
      <c r="CB33" s="623"/>
      <c r="CC33" s="623"/>
      <c r="CD33" s="623"/>
      <c r="CE33" s="623"/>
      <c r="CF33" s="623"/>
      <c r="CG33" s="623"/>
      <c r="CH33" s="623"/>
      <c r="CI33" s="623"/>
      <c r="CJ33" s="623"/>
      <c r="CK33" s="623"/>
      <c r="CL33" s="623"/>
      <c r="CM33" s="623"/>
      <c r="CN33" s="623"/>
      <c r="CO33" s="623"/>
      <c r="CP33" s="623"/>
      <c r="CQ33" s="623"/>
      <c r="CR33" s="623"/>
      <c r="CS33" s="623"/>
      <c r="CT33" s="623"/>
      <c r="CU33" s="623"/>
      <c r="CV33" s="623"/>
      <c r="CW33" s="623"/>
      <c r="CX33" s="623"/>
      <c r="CY33" s="623"/>
      <c r="CZ33" s="623"/>
      <c r="DA33" s="623"/>
      <c r="DB33" s="623"/>
      <c r="DC33" s="623"/>
      <c r="DD33" s="623"/>
      <c r="DE33" s="623"/>
      <c r="DF33" s="623"/>
      <c r="DG33" s="623"/>
      <c r="DH33" s="623"/>
      <c r="DI33" s="623"/>
      <c r="DJ33" s="623"/>
      <c r="DK33" s="623"/>
      <c r="DL33" s="623"/>
      <c r="DM33" s="623"/>
      <c r="DN33" s="623"/>
      <c r="DO33" s="623"/>
      <c r="DP33" s="623"/>
      <c r="DQ33" s="623"/>
      <c r="DR33" s="623"/>
      <c r="DS33" s="623"/>
      <c r="DT33" s="623"/>
      <c r="DU33" s="623"/>
      <c r="DV33" s="623"/>
      <c r="DW33" s="623"/>
      <c r="DX33" s="623"/>
      <c r="DY33" s="623"/>
      <c r="DZ33" s="623"/>
      <c r="EA33" s="623"/>
      <c r="EB33" s="623"/>
      <c r="EC33" s="623"/>
      <c r="ED33" s="623"/>
      <c r="EE33" s="623"/>
      <c r="EF33" s="623"/>
      <c r="EG33" s="623"/>
      <c r="EH33" s="623"/>
      <c r="EI33" s="623"/>
      <c r="EJ33" s="623"/>
      <c r="EK33" s="623"/>
      <c r="EL33" s="623"/>
      <c r="EM33" s="623"/>
      <c r="EN33" s="623"/>
      <c r="EO33" s="623"/>
      <c r="EP33" s="623"/>
      <c r="EQ33" s="623"/>
      <c r="ER33" s="623"/>
      <c r="ES33" s="623"/>
      <c r="ET33" s="623"/>
      <c r="EU33" s="623"/>
      <c r="EV33" s="623"/>
      <c r="EW33" s="623"/>
      <c r="EX33" s="623"/>
      <c r="EY33" s="623"/>
      <c r="EZ33" s="623"/>
      <c r="FA33" s="623"/>
      <c r="FB33" s="623"/>
      <c r="FC33" s="623"/>
      <c r="FD33" s="623"/>
      <c r="FE33" s="623"/>
      <c r="FF33" s="623"/>
      <c r="FG33" s="623"/>
      <c r="FH33" s="623"/>
    </row>
    <row r="34" spans="1:164">
      <c r="A34" s="623" t="s">
        <v>5026</v>
      </c>
      <c r="B34" s="623" t="s">
        <v>206</v>
      </c>
      <c r="C34" s="623" t="s">
        <v>207</v>
      </c>
      <c r="D34" s="623"/>
      <c r="E34" s="623"/>
      <c r="F34" s="623"/>
      <c r="G34" s="623"/>
      <c r="H34" s="623"/>
      <c r="I34" s="623"/>
      <c r="J34" s="623"/>
      <c r="K34" s="623"/>
      <c r="L34" s="623"/>
      <c r="M34" s="623"/>
      <c r="N34" s="623"/>
      <c r="O34" s="623"/>
      <c r="P34" s="623"/>
      <c r="Q34" s="623"/>
      <c r="R34" s="623"/>
      <c r="S34" s="623"/>
      <c r="T34" s="623"/>
      <c r="U34" s="623"/>
      <c r="V34" s="623"/>
      <c r="W34" s="623"/>
      <c r="X34" s="623"/>
      <c r="Y34" s="623"/>
      <c r="Z34" s="623"/>
      <c r="AA34" s="623"/>
      <c r="AB34" s="623"/>
      <c r="AC34" s="623"/>
      <c r="AD34" s="623"/>
      <c r="AE34" s="623"/>
      <c r="AF34" s="623"/>
      <c r="AG34" s="623"/>
      <c r="AH34" s="623"/>
      <c r="AI34" s="623"/>
      <c r="AJ34" s="623"/>
      <c r="AK34" s="623"/>
      <c r="AL34" s="623"/>
      <c r="AM34" s="623"/>
      <c r="AN34" s="623"/>
      <c r="AO34" s="623"/>
      <c r="AP34" s="623"/>
      <c r="AQ34" s="623"/>
      <c r="AR34" s="623"/>
      <c r="AS34" s="623"/>
      <c r="AT34" s="623"/>
      <c r="AU34" s="623"/>
      <c r="AV34" s="623"/>
      <c r="AW34" s="623"/>
      <c r="AX34" s="623"/>
      <c r="AY34" s="623"/>
      <c r="AZ34" s="623"/>
      <c r="BA34" s="623"/>
      <c r="BB34" s="623"/>
      <c r="BC34" s="623"/>
      <c r="BD34" s="623"/>
      <c r="BE34" s="623"/>
      <c r="BF34" s="623"/>
      <c r="BG34" s="623"/>
      <c r="BH34" s="623"/>
      <c r="BI34" s="623"/>
      <c r="BJ34" s="623"/>
      <c r="BK34" s="623"/>
      <c r="BL34" s="623"/>
      <c r="BM34" s="623"/>
      <c r="BN34" s="623"/>
      <c r="BO34" s="623"/>
      <c r="BP34" s="623"/>
      <c r="BQ34" s="623"/>
      <c r="BR34" s="623"/>
      <c r="BS34" s="623"/>
      <c r="BT34" s="623"/>
      <c r="BU34" s="623"/>
      <c r="BV34" s="623"/>
      <c r="BW34" s="623"/>
      <c r="BX34" s="623"/>
      <c r="BY34" s="623"/>
      <c r="BZ34" s="623"/>
      <c r="CA34" s="623"/>
      <c r="CB34" s="623"/>
      <c r="CC34" s="623"/>
      <c r="CD34" s="623"/>
      <c r="CE34" s="623"/>
      <c r="CF34" s="623"/>
      <c r="CG34" s="623"/>
      <c r="CH34" s="623"/>
      <c r="CI34" s="623"/>
      <c r="CJ34" s="623"/>
      <c r="CK34" s="623"/>
      <c r="CL34" s="623"/>
      <c r="CM34" s="623"/>
      <c r="CN34" s="623"/>
      <c r="CO34" s="623"/>
      <c r="CP34" s="623"/>
      <c r="CQ34" s="623"/>
      <c r="CR34" s="623"/>
      <c r="CS34" s="623"/>
      <c r="CT34" s="623"/>
      <c r="CU34" s="623"/>
      <c r="CV34" s="623"/>
      <c r="CW34" s="623"/>
      <c r="CX34" s="623"/>
      <c r="CY34" s="623"/>
      <c r="CZ34" s="623"/>
      <c r="DA34" s="623"/>
      <c r="DB34" s="623"/>
      <c r="DC34" s="623"/>
      <c r="DD34" s="623"/>
      <c r="DE34" s="623"/>
      <c r="DF34" s="623"/>
      <c r="DG34" s="623"/>
      <c r="DH34" s="623"/>
      <c r="DI34" s="623"/>
      <c r="DJ34" s="623"/>
      <c r="DK34" s="623"/>
      <c r="DL34" s="623"/>
      <c r="DM34" s="623"/>
      <c r="DN34" s="623"/>
      <c r="DO34" s="623"/>
      <c r="DP34" s="623"/>
      <c r="DQ34" s="623"/>
      <c r="DR34" s="623"/>
      <c r="DS34" s="623"/>
      <c r="DT34" s="623"/>
      <c r="DU34" s="623"/>
      <c r="DV34" s="623"/>
      <c r="DW34" s="623"/>
      <c r="DX34" s="623"/>
      <c r="DY34" s="623"/>
      <c r="DZ34" s="623"/>
      <c r="EA34" s="623"/>
      <c r="EB34" s="623"/>
      <c r="EC34" s="623"/>
      <c r="ED34" s="623"/>
      <c r="EE34" s="623"/>
      <c r="EF34" s="623"/>
      <c r="EG34" s="623"/>
      <c r="EH34" s="623"/>
      <c r="EI34" s="623"/>
      <c r="EJ34" s="623"/>
      <c r="EK34" s="623"/>
      <c r="EL34" s="623"/>
      <c r="EM34" s="623"/>
      <c r="EN34" s="623"/>
      <c r="EO34" s="623"/>
      <c r="EP34" s="623"/>
      <c r="EQ34" s="623"/>
      <c r="ER34" s="623"/>
      <c r="ES34" s="623"/>
      <c r="ET34" s="623"/>
      <c r="EU34" s="623"/>
      <c r="EV34" s="623"/>
      <c r="EW34" s="623"/>
      <c r="EX34" s="623"/>
      <c r="EY34" s="623"/>
      <c r="EZ34" s="623"/>
      <c r="FA34" s="623"/>
      <c r="FB34" s="623"/>
      <c r="FC34" s="623"/>
      <c r="FD34" s="623"/>
      <c r="FE34" s="623"/>
      <c r="FF34" s="623"/>
      <c r="FG34" s="623"/>
      <c r="FH34" s="623"/>
    </row>
    <row r="35" spans="1:164">
      <c r="A35" s="623" t="s">
        <v>5027</v>
      </c>
      <c r="B35" s="623" t="s">
        <v>2278</v>
      </c>
      <c r="C35" s="623" t="s">
        <v>2279</v>
      </c>
      <c r="D35" s="623" t="s">
        <v>2280</v>
      </c>
      <c r="E35" s="623" t="s">
        <v>2281</v>
      </c>
      <c r="F35" s="623" t="s">
        <v>2282</v>
      </c>
      <c r="G35" s="623" t="s">
        <v>2283</v>
      </c>
      <c r="H35" s="623" t="s">
        <v>2284</v>
      </c>
      <c r="I35" s="623" t="s">
        <v>2285</v>
      </c>
      <c r="J35" s="623" t="s">
        <v>2286</v>
      </c>
      <c r="K35" s="623" t="s">
        <v>2287</v>
      </c>
      <c r="L35" s="623" t="s">
        <v>2288</v>
      </c>
      <c r="M35" s="623" t="s">
        <v>2289</v>
      </c>
      <c r="N35" s="623"/>
      <c r="O35" s="623"/>
      <c r="P35" s="623"/>
      <c r="Q35" s="623"/>
      <c r="R35" s="623"/>
      <c r="S35" s="623"/>
      <c r="T35" s="623"/>
      <c r="U35" s="623"/>
      <c r="V35" s="623"/>
      <c r="W35" s="623"/>
      <c r="X35" s="623"/>
      <c r="Y35" s="623"/>
      <c r="Z35" s="623"/>
      <c r="AA35" s="623"/>
      <c r="AB35" s="623"/>
      <c r="AC35" s="623"/>
      <c r="AD35" s="623"/>
      <c r="AE35" s="623"/>
      <c r="AF35" s="623"/>
      <c r="AG35" s="623"/>
      <c r="AH35" s="623"/>
      <c r="AI35" s="623"/>
      <c r="AJ35" s="623"/>
      <c r="AK35" s="623"/>
      <c r="AL35" s="623"/>
      <c r="AM35" s="623"/>
      <c r="AN35" s="623"/>
      <c r="AO35" s="623"/>
      <c r="AP35" s="623"/>
      <c r="AQ35" s="623"/>
      <c r="AR35" s="623"/>
      <c r="AS35" s="623"/>
      <c r="AT35" s="623"/>
      <c r="AU35" s="623"/>
      <c r="AV35" s="623"/>
      <c r="AW35" s="623"/>
      <c r="AX35" s="623"/>
      <c r="AY35" s="623"/>
      <c r="AZ35" s="623"/>
      <c r="BA35" s="623"/>
      <c r="BB35" s="623"/>
      <c r="BC35" s="623"/>
      <c r="BD35" s="623"/>
      <c r="BE35" s="623"/>
      <c r="BF35" s="623"/>
      <c r="BG35" s="623"/>
      <c r="BH35" s="623"/>
      <c r="BI35" s="623"/>
      <c r="BJ35" s="623"/>
      <c r="BK35" s="623"/>
      <c r="BL35" s="623"/>
      <c r="BM35" s="623"/>
      <c r="BN35" s="623"/>
      <c r="BO35" s="623"/>
      <c r="BP35" s="623"/>
      <c r="BQ35" s="623"/>
      <c r="BR35" s="623"/>
      <c r="BS35" s="623"/>
      <c r="BT35" s="623"/>
      <c r="BU35" s="623"/>
      <c r="BV35" s="623"/>
      <c r="BW35" s="623"/>
      <c r="BX35" s="623"/>
      <c r="BY35" s="623"/>
      <c r="BZ35" s="623"/>
      <c r="CA35" s="623"/>
      <c r="CB35" s="623"/>
      <c r="CC35" s="623"/>
      <c r="CD35" s="623"/>
      <c r="CE35" s="623"/>
      <c r="CF35" s="623"/>
      <c r="CG35" s="623"/>
      <c r="CH35" s="623"/>
      <c r="CI35" s="623"/>
      <c r="CJ35" s="623"/>
      <c r="CK35" s="623"/>
      <c r="CL35" s="623"/>
      <c r="CM35" s="623"/>
      <c r="CN35" s="623"/>
      <c r="CO35" s="623"/>
      <c r="CP35" s="623"/>
      <c r="CQ35" s="623"/>
      <c r="CR35" s="623"/>
      <c r="CS35" s="623"/>
      <c r="CT35" s="623"/>
      <c r="CU35" s="623"/>
      <c r="CV35" s="623"/>
      <c r="CW35" s="623"/>
      <c r="CX35" s="623"/>
      <c r="CY35" s="623"/>
      <c r="CZ35" s="623"/>
      <c r="DA35" s="623"/>
      <c r="DB35" s="623"/>
      <c r="DC35" s="623"/>
      <c r="DD35" s="623"/>
      <c r="DE35" s="623"/>
      <c r="DF35" s="623"/>
      <c r="DG35" s="623"/>
      <c r="DH35" s="623"/>
      <c r="DI35" s="623"/>
      <c r="DJ35" s="623"/>
      <c r="DK35" s="623"/>
      <c r="DL35" s="623"/>
      <c r="DM35" s="623"/>
      <c r="DN35" s="623"/>
      <c r="DO35" s="623"/>
      <c r="DP35" s="623"/>
      <c r="DQ35" s="623"/>
      <c r="DR35" s="623"/>
      <c r="DS35" s="623"/>
      <c r="DT35" s="623"/>
      <c r="DU35" s="623"/>
      <c r="DV35" s="623"/>
      <c r="DW35" s="623"/>
      <c r="DX35" s="623"/>
      <c r="DY35" s="623"/>
      <c r="DZ35" s="623"/>
      <c r="EA35" s="623"/>
      <c r="EB35" s="623"/>
      <c r="EC35" s="623"/>
      <c r="ED35" s="623"/>
      <c r="EE35" s="623"/>
      <c r="EF35" s="623"/>
      <c r="EG35" s="623"/>
      <c r="EH35" s="623"/>
      <c r="EI35" s="623"/>
      <c r="EJ35" s="623"/>
      <c r="EK35" s="623"/>
      <c r="EL35" s="623"/>
      <c r="EM35" s="623"/>
      <c r="EN35" s="623"/>
      <c r="EO35" s="623"/>
      <c r="EP35" s="623"/>
      <c r="EQ35" s="623"/>
      <c r="ER35" s="623"/>
      <c r="ES35" s="623"/>
      <c r="ET35" s="623"/>
      <c r="EU35" s="623"/>
      <c r="EV35" s="623"/>
      <c r="EW35" s="623"/>
      <c r="EX35" s="623"/>
      <c r="EY35" s="623"/>
      <c r="EZ35" s="623"/>
      <c r="FA35" s="623"/>
      <c r="FB35" s="623"/>
      <c r="FC35" s="623"/>
      <c r="FD35" s="623"/>
      <c r="FE35" s="623"/>
      <c r="FF35" s="623"/>
      <c r="FG35" s="623"/>
      <c r="FH35" s="623"/>
    </row>
    <row r="36" spans="1:164">
      <c r="A36" s="623" t="s">
        <v>5028</v>
      </c>
      <c r="B36" s="623" t="s">
        <v>544</v>
      </c>
      <c r="C36" s="623" t="s">
        <v>545</v>
      </c>
      <c r="D36" s="623" t="s">
        <v>546</v>
      </c>
      <c r="E36" s="623" t="s">
        <v>548</v>
      </c>
      <c r="F36" s="623" t="s">
        <v>549</v>
      </c>
      <c r="G36" s="623" t="s">
        <v>550</v>
      </c>
      <c r="H36" s="623" t="s">
        <v>551</v>
      </c>
      <c r="I36" s="623" t="s">
        <v>552</v>
      </c>
      <c r="J36" s="623"/>
      <c r="K36" s="623"/>
      <c r="L36" s="623"/>
      <c r="M36" s="623"/>
      <c r="N36" s="623"/>
      <c r="O36" s="623"/>
      <c r="P36" s="623"/>
      <c r="Q36" s="623"/>
      <c r="R36" s="623"/>
      <c r="S36" s="623"/>
      <c r="T36" s="623"/>
      <c r="U36" s="623"/>
      <c r="V36" s="623"/>
      <c r="W36" s="623"/>
      <c r="X36" s="623"/>
      <c r="Y36" s="623"/>
      <c r="Z36" s="623"/>
      <c r="AA36" s="623"/>
      <c r="AB36" s="623"/>
      <c r="AC36" s="623"/>
      <c r="AD36" s="623"/>
      <c r="AE36" s="623"/>
      <c r="AF36" s="623"/>
      <c r="AG36" s="623"/>
      <c r="AH36" s="623"/>
      <c r="AI36" s="623"/>
      <c r="AJ36" s="623"/>
      <c r="AK36" s="623"/>
      <c r="AL36" s="623"/>
      <c r="AM36" s="623"/>
      <c r="AN36" s="623"/>
      <c r="AO36" s="623"/>
      <c r="AP36" s="623"/>
      <c r="AQ36" s="623"/>
      <c r="AR36" s="623"/>
      <c r="AS36" s="623"/>
      <c r="AT36" s="623"/>
      <c r="AU36" s="623"/>
      <c r="AV36" s="623"/>
      <c r="AW36" s="623"/>
      <c r="AX36" s="623"/>
      <c r="AY36" s="623"/>
      <c r="AZ36" s="623"/>
      <c r="BA36" s="623"/>
      <c r="BB36" s="623"/>
      <c r="BC36" s="623"/>
      <c r="BD36" s="623"/>
      <c r="BE36" s="623"/>
      <c r="BF36" s="623"/>
      <c r="BG36" s="623"/>
      <c r="BH36" s="623"/>
      <c r="BI36" s="623"/>
      <c r="BJ36" s="623"/>
      <c r="BK36" s="623"/>
      <c r="BL36" s="623"/>
      <c r="BM36" s="623"/>
      <c r="BN36" s="623"/>
      <c r="BO36" s="623"/>
      <c r="BP36" s="623"/>
      <c r="BQ36" s="623"/>
      <c r="BR36" s="623"/>
      <c r="BS36" s="623"/>
      <c r="BT36" s="623"/>
      <c r="BU36" s="623"/>
      <c r="BV36" s="623"/>
      <c r="BW36" s="623"/>
      <c r="BX36" s="623"/>
      <c r="BY36" s="623"/>
      <c r="BZ36" s="623"/>
      <c r="CA36" s="623"/>
      <c r="CB36" s="623"/>
      <c r="CC36" s="623"/>
      <c r="CD36" s="623"/>
      <c r="CE36" s="623"/>
      <c r="CF36" s="623"/>
      <c r="CG36" s="623"/>
      <c r="CH36" s="623"/>
      <c r="CI36" s="623"/>
      <c r="CJ36" s="623"/>
      <c r="CK36" s="623"/>
      <c r="CL36" s="623"/>
      <c r="CM36" s="623"/>
      <c r="CN36" s="623"/>
      <c r="CO36" s="623"/>
      <c r="CP36" s="623"/>
      <c r="CQ36" s="623"/>
      <c r="CR36" s="623"/>
      <c r="CS36" s="623"/>
      <c r="CT36" s="623"/>
      <c r="CU36" s="623"/>
      <c r="CV36" s="623"/>
      <c r="CW36" s="623"/>
      <c r="CX36" s="623"/>
      <c r="CY36" s="623"/>
      <c r="CZ36" s="623"/>
      <c r="DA36" s="623"/>
      <c r="DB36" s="623"/>
      <c r="DC36" s="623"/>
      <c r="DD36" s="623"/>
      <c r="DE36" s="623"/>
      <c r="DF36" s="623"/>
      <c r="DG36" s="623"/>
      <c r="DH36" s="623"/>
      <c r="DI36" s="623"/>
      <c r="DJ36" s="623"/>
      <c r="DK36" s="623"/>
      <c r="DL36" s="623"/>
      <c r="DM36" s="623"/>
      <c r="DN36" s="623"/>
      <c r="DO36" s="623"/>
      <c r="DP36" s="623"/>
      <c r="DQ36" s="623"/>
      <c r="DR36" s="623"/>
      <c r="DS36" s="623"/>
      <c r="DT36" s="623"/>
      <c r="DU36" s="623"/>
      <c r="DV36" s="623"/>
      <c r="DW36" s="623"/>
      <c r="DX36" s="623"/>
      <c r="DY36" s="623"/>
      <c r="DZ36" s="623"/>
      <c r="EA36" s="623"/>
      <c r="EB36" s="623"/>
      <c r="EC36" s="623"/>
      <c r="ED36" s="623"/>
      <c r="EE36" s="623"/>
      <c r="EF36" s="623"/>
      <c r="EG36" s="623"/>
      <c r="EH36" s="623"/>
      <c r="EI36" s="623"/>
      <c r="EJ36" s="623"/>
      <c r="EK36" s="623"/>
      <c r="EL36" s="623"/>
      <c r="EM36" s="623"/>
      <c r="EN36" s="623"/>
      <c r="EO36" s="623"/>
      <c r="EP36" s="623"/>
      <c r="EQ36" s="623"/>
      <c r="ER36" s="623"/>
      <c r="ES36" s="623"/>
      <c r="ET36" s="623"/>
      <c r="EU36" s="623"/>
      <c r="EV36" s="623"/>
      <c r="EW36" s="623"/>
      <c r="EX36" s="623"/>
      <c r="EY36" s="623"/>
      <c r="EZ36" s="623"/>
      <c r="FA36" s="623"/>
      <c r="FB36" s="623"/>
      <c r="FC36" s="623"/>
      <c r="FD36" s="623"/>
      <c r="FE36" s="623"/>
      <c r="FF36" s="623"/>
      <c r="FG36" s="623"/>
      <c r="FH36" s="623"/>
    </row>
    <row r="37" spans="1:164">
      <c r="A37" s="623" t="s">
        <v>5029</v>
      </c>
      <c r="B37" s="623" t="s">
        <v>2290</v>
      </c>
      <c r="C37" s="623" t="s">
        <v>2291</v>
      </c>
      <c r="D37" s="623" t="s">
        <v>2292</v>
      </c>
      <c r="E37" s="623" t="s">
        <v>2293</v>
      </c>
      <c r="F37" s="623" t="s">
        <v>2294</v>
      </c>
      <c r="G37" s="623" t="s">
        <v>2295</v>
      </c>
      <c r="H37" s="623" t="s">
        <v>202</v>
      </c>
      <c r="I37" s="623"/>
      <c r="J37" s="623"/>
      <c r="K37" s="623"/>
      <c r="L37" s="623"/>
      <c r="M37" s="623"/>
      <c r="N37" s="623"/>
      <c r="O37" s="623"/>
      <c r="P37" s="623"/>
      <c r="Q37" s="623"/>
      <c r="R37" s="623"/>
      <c r="S37" s="623"/>
      <c r="T37" s="623"/>
      <c r="U37" s="623"/>
      <c r="V37" s="623"/>
      <c r="W37" s="623"/>
      <c r="X37" s="623"/>
      <c r="Y37" s="623"/>
      <c r="Z37" s="623"/>
      <c r="AA37" s="623"/>
      <c r="AB37" s="623"/>
      <c r="AC37" s="623"/>
      <c r="AD37" s="623"/>
      <c r="AE37" s="623"/>
      <c r="AF37" s="623"/>
      <c r="AG37" s="623"/>
      <c r="AH37" s="623"/>
      <c r="AI37" s="623"/>
      <c r="AJ37" s="623"/>
      <c r="AK37" s="623"/>
      <c r="AL37" s="623"/>
      <c r="AM37" s="623"/>
      <c r="AN37" s="623"/>
      <c r="AO37" s="623"/>
      <c r="AP37" s="623"/>
      <c r="AQ37" s="623"/>
      <c r="AR37" s="623"/>
      <c r="AS37" s="623"/>
      <c r="AT37" s="623"/>
      <c r="AU37" s="623"/>
      <c r="AV37" s="623"/>
      <c r="AW37" s="623"/>
      <c r="AX37" s="623"/>
      <c r="AY37" s="623"/>
      <c r="AZ37" s="623"/>
      <c r="BA37" s="623"/>
      <c r="BB37" s="623"/>
      <c r="BC37" s="623"/>
      <c r="BD37" s="623"/>
      <c r="BE37" s="623"/>
      <c r="BF37" s="623"/>
      <c r="BG37" s="623"/>
      <c r="BH37" s="623"/>
      <c r="BI37" s="623"/>
      <c r="BJ37" s="623"/>
      <c r="BK37" s="623"/>
      <c r="BL37" s="623"/>
      <c r="BM37" s="623"/>
      <c r="BN37" s="623"/>
      <c r="BO37" s="623"/>
      <c r="BP37" s="623"/>
      <c r="BQ37" s="623"/>
      <c r="BR37" s="623"/>
      <c r="BS37" s="623"/>
      <c r="BT37" s="623"/>
      <c r="BU37" s="623"/>
      <c r="BV37" s="623"/>
      <c r="BW37" s="623"/>
      <c r="BX37" s="623"/>
      <c r="BY37" s="623"/>
      <c r="BZ37" s="623"/>
      <c r="CA37" s="623"/>
      <c r="CB37" s="623"/>
      <c r="CC37" s="623"/>
      <c r="CD37" s="623"/>
      <c r="CE37" s="623"/>
      <c r="CF37" s="623"/>
      <c r="CG37" s="623"/>
      <c r="CH37" s="623"/>
      <c r="CI37" s="623"/>
      <c r="CJ37" s="623"/>
      <c r="CK37" s="623"/>
      <c r="CL37" s="623"/>
      <c r="CM37" s="623"/>
      <c r="CN37" s="623"/>
      <c r="CO37" s="623"/>
      <c r="CP37" s="623"/>
      <c r="CQ37" s="623"/>
      <c r="CR37" s="623"/>
      <c r="CS37" s="623"/>
      <c r="CT37" s="623"/>
      <c r="CU37" s="623"/>
      <c r="CV37" s="623"/>
      <c r="CW37" s="623"/>
      <c r="CX37" s="623"/>
      <c r="CY37" s="623"/>
      <c r="CZ37" s="623"/>
      <c r="DA37" s="623"/>
      <c r="DB37" s="623"/>
      <c r="DC37" s="623"/>
      <c r="DD37" s="623"/>
      <c r="DE37" s="623"/>
      <c r="DF37" s="623"/>
      <c r="DG37" s="623"/>
      <c r="DH37" s="623"/>
      <c r="DI37" s="623"/>
      <c r="DJ37" s="623"/>
      <c r="DK37" s="623"/>
      <c r="DL37" s="623"/>
      <c r="DM37" s="623"/>
      <c r="DN37" s="623"/>
      <c r="DO37" s="623"/>
      <c r="DP37" s="623"/>
      <c r="DQ37" s="623"/>
      <c r="DR37" s="623"/>
      <c r="DS37" s="623"/>
      <c r="DT37" s="623"/>
      <c r="DU37" s="623"/>
      <c r="DV37" s="623"/>
      <c r="DW37" s="623"/>
      <c r="DX37" s="623"/>
      <c r="DY37" s="623"/>
      <c r="DZ37" s="623"/>
      <c r="EA37" s="623"/>
      <c r="EB37" s="623"/>
      <c r="EC37" s="623"/>
      <c r="ED37" s="623"/>
      <c r="EE37" s="623"/>
      <c r="EF37" s="623"/>
      <c r="EG37" s="623"/>
      <c r="EH37" s="623"/>
      <c r="EI37" s="623"/>
      <c r="EJ37" s="623"/>
      <c r="EK37" s="623"/>
      <c r="EL37" s="623"/>
      <c r="EM37" s="623"/>
      <c r="EN37" s="623"/>
      <c r="EO37" s="623"/>
      <c r="EP37" s="623"/>
      <c r="EQ37" s="623"/>
      <c r="ER37" s="623"/>
      <c r="ES37" s="623"/>
      <c r="ET37" s="623"/>
      <c r="EU37" s="623"/>
      <c r="EV37" s="623"/>
      <c r="EW37" s="623"/>
      <c r="EX37" s="623"/>
      <c r="EY37" s="623"/>
      <c r="EZ37" s="623"/>
      <c r="FA37" s="623"/>
      <c r="FB37" s="623"/>
      <c r="FC37" s="623"/>
      <c r="FD37" s="623"/>
      <c r="FE37" s="623"/>
      <c r="FF37" s="623"/>
      <c r="FG37" s="623"/>
      <c r="FH37" s="623"/>
    </row>
    <row r="38" spans="1:164">
      <c r="A38" s="623" t="s">
        <v>5030</v>
      </c>
      <c r="B38" s="623" t="s">
        <v>103</v>
      </c>
      <c r="C38" s="623" t="s">
        <v>106</v>
      </c>
      <c r="D38" s="623" t="s">
        <v>105</v>
      </c>
      <c r="E38" s="623" t="s">
        <v>553</v>
      </c>
      <c r="F38" s="623" t="s">
        <v>108</v>
      </c>
      <c r="G38" s="623" t="s">
        <v>554</v>
      </c>
      <c r="H38" s="623" t="s">
        <v>555</v>
      </c>
      <c r="I38" s="623" t="s">
        <v>679</v>
      </c>
      <c r="J38" s="623" t="s">
        <v>2296</v>
      </c>
      <c r="K38" s="623" t="s">
        <v>1929</v>
      </c>
      <c r="L38" s="623" t="s">
        <v>2297</v>
      </c>
      <c r="M38" s="623" t="s">
        <v>5031</v>
      </c>
      <c r="N38" s="623" t="s">
        <v>1930</v>
      </c>
      <c r="O38" s="623" t="s">
        <v>5032</v>
      </c>
      <c r="P38" s="623" t="s">
        <v>5033</v>
      </c>
      <c r="Q38" s="623" t="s">
        <v>5034</v>
      </c>
      <c r="R38" s="623" t="s">
        <v>2298</v>
      </c>
      <c r="S38" s="623" t="s">
        <v>5035</v>
      </c>
      <c r="T38" s="623" t="s">
        <v>5036</v>
      </c>
      <c r="U38" s="623" t="s">
        <v>1931</v>
      </c>
      <c r="V38" s="623" t="s">
        <v>5037</v>
      </c>
      <c r="W38" s="623" t="s">
        <v>1932</v>
      </c>
      <c r="X38" s="623" t="s">
        <v>5038</v>
      </c>
      <c r="Y38" s="623" t="s">
        <v>5039</v>
      </c>
      <c r="Z38" s="623" t="s">
        <v>5040</v>
      </c>
      <c r="AA38" s="623" t="s">
        <v>202</v>
      </c>
      <c r="AB38" s="623" t="s">
        <v>104</v>
      </c>
      <c r="AC38" s="623" t="s">
        <v>680</v>
      </c>
      <c r="AD38" s="623"/>
      <c r="AE38" s="623"/>
      <c r="AF38" s="623"/>
      <c r="AG38" s="623"/>
      <c r="AH38" s="623"/>
      <c r="AI38" s="623"/>
      <c r="AJ38" s="623"/>
      <c r="AK38" s="623"/>
      <c r="AL38" s="623"/>
      <c r="AM38" s="623"/>
      <c r="AN38" s="623"/>
      <c r="AO38" s="623"/>
      <c r="AP38" s="623"/>
      <c r="AQ38" s="623"/>
      <c r="AR38" s="623"/>
      <c r="AS38" s="623"/>
      <c r="AT38" s="623"/>
      <c r="AU38" s="623"/>
      <c r="AV38" s="623"/>
      <c r="AW38" s="623"/>
      <c r="AX38" s="623"/>
      <c r="AY38" s="623"/>
      <c r="AZ38" s="623"/>
      <c r="BA38" s="623"/>
      <c r="BB38" s="623"/>
      <c r="BC38" s="623"/>
      <c r="BD38" s="623"/>
      <c r="BE38" s="623"/>
      <c r="BF38" s="623"/>
      <c r="BG38" s="623"/>
      <c r="BH38" s="623"/>
      <c r="BI38" s="623"/>
      <c r="BJ38" s="623"/>
      <c r="BK38" s="623"/>
      <c r="BL38" s="623"/>
      <c r="BM38" s="623"/>
      <c r="BN38" s="623"/>
      <c r="BO38" s="623"/>
      <c r="BP38" s="623"/>
      <c r="BQ38" s="623"/>
      <c r="BR38" s="623"/>
      <c r="BS38" s="623"/>
      <c r="BT38" s="623"/>
      <c r="BU38" s="623"/>
      <c r="BV38" s="623"/>
      <c r="BW38" s="623"/>
      <c r="BX38" s="623"/>
      <c r="BY38" s="623"/>
      <c r="BZ38" s="623"/>
      <c r="CA38" s="623"/>
      <c r="CB38" s="623"/>
      <c r="CC38" s="623"/>
      <c r="CD38" s="623"/>
      <c r="CE38" s="623"/>
      <c r="CF38" s="623"/>
      <c r="CG38" s="623"/>
      <c r="CH38" s="623"/>
      <c r="CI38" s="623"/>
      <c r="CJ38" s="623"/>
      <c r="CK38" s="623"/>
      <c r="CL38" s="623"/>
      <c r="CM38" s="623"/>
      <c r="CN38" s="623"/>
      <c r="CO38" s="623"/>
      <c r="CP38" s="623"/>
      <c r="CQ38" s="623"/>
      <c r="CR38" s="623"/>
      <c r="CS38" s="623"/>
      <c r="CT38" s="623"/>
      <c r="CU38" s="623"/>
      <c r="CV38" s="623"/>
      <c r="CW38" s="623"/>
      <c r="CX38" s="623"/>
      <c r="CY38" s="623"/>
      <c r="CZ38" s="623"/>
      <c r="DA38" s="623"/>
      <c r="DB38" s="623"/>
      <c r="DC38" s="623"/>
      <c r="DD38" s="623"/>
      <c r="DE38" s="623"/>
      <c r="DF38" s="623"/>
      <c r="DG38" s="623"/>
      <c r="DH38" s="623"/>
      <c r="DI38" s="623"/>
      <c r="DJ38" s="623"/>
      <c r="DK38" s="623"/>
      <c r="DL38" s="623"/>
      <c r="DM38" s="623"/>
      <c r="DN38" s="623"/>
      <c r="DO38" s="623"/>
      <c r="DP38" s="623"/>
      <c r="DQ38" s="623"/>
      <c r="DR38" s="623"/>
      <c r="DS38" s="623"/>
      <c r="DT38" s="623"/>
      <c r="DU38" s="623"/>
      <c r="DV38" s="623"/>
      <c r="DW38" s="623"/>
      <c r="DX38" s="623"/>
      <c r="DY38" s="623"/>
      <c r="DZ38" s="623"/>
      <c r="EA38" s="623"/>
      <c r="EB38" s="623"/>
      <c r="EC38" s="623"/>
      <c r="ED38" s="623"/>
      <c r="EE38" s="623"/>
      <c r="EF38" s="623"/>
      <c r="EG38" s="623"/>
      <c r="EH38" s="623"/>
      <c r="EI38" s="623"/>
      <c r="EJ38" s="623"/>
      <c r="EK38" s="623"/>
      <c r="EL38" s="623"/>
      <c r="EM38" s="623"/>
      <c r="EN38" s="623"/>
      <c r="EO38" s="623"/>
      <c r="EP38" s="623"/>
      <c r="EQ38" s="623"/>
      <c r="ER38" s="623"/>
      <c r="ES38" s="623"/>
      <c r="ET38" s="623"/>
      <c r="EU38" s="623"/>
      <c r="EV38" s="623"/>
      <c r="EW38" s="623"/>
      <c r="EX38" s="623"/>
      <c r="EY38" s="623"/>
      <c r="EZ38" s="623"/>
      <c r="FA38" s="623"/>
      <c r="FB38" s="623"/>
      <c r="FC38" s="623"/>
      <c r="FD38" s="623"/>
      <c r="FE38" s="623"/>
      <c r="FF38" s="623"/>
      <c r="FG38" s="623"/>
      <c r="FH38" s="623"/>
    </row>
    <row r="39" spans="1:164">
      <c r="A39" s="623" t="s">
        <v>5041</v>
      </c>
      <c r="B39" s="623" t="s">
        <v>561</v>
      </c>
      <c r="C39" s="623" t="s">
        <v>2299</v>
      </c>
      <c r="D39" s="623" t="s">
        <v>562</v>
      </c>
      <c r="E39" s="623" t="s">
        <v>2300</v>
      </c>
      <c r="F39" s="623" t="s">
        <v>2301</v>
      </c>
      <c r="G39" s="623" t="s">
        <v>563</v>
      </c>
      <c r="H39" s="623" t="s">
        <v>2302</v>
      </c>
      <c r="I39" s="623" t="s">
        <v>2303</v>
      </c>
      <c r="J39" s="623" t="s">
        <v>2304</v>
      </c>
      <c r="K39" s="623" t="s">
        <v>202</v>
      </c>
      <c r="L39" s="623" t="s">
        <v>5042</v>
      </c>
      <c r="M39" s="623"/>
      <c r="N39" s="623"/>
      <c r="O39" s="623"/>
      <c r="P39" s="623"/>
      <c r="Q39" s="623"/>
      <c r="R39" s="623"/>
      <c r="S39" s="623"/>
      <c r="T39" s="623"/>
      <c r="U39" s="623"/>
      <c r="V39" s="623"/>
      <c r="W39" s="623"/>
      <c r="X39" s="623"/>
      <c r="Y39" s="623"/>
      <c r="Z39" s="623"/>
      <c r="AA39" s="623"/>
      <c r="AB39" s="623"/>
      <c r="AC39" s="623"/>
      <c r="AD39" s="623"/>
      <c r="AE39" s="623"/>
      <c r="AF39" s="623"/>
      <c r="AG39" s="623"/>
      <c r="AH39" s="623"/>
      <c r="AI39" s="623"/>
      <c r="AJ39" s="623"/>
      <c r="AK39" s="623"/>
      <c r="AL39" s="623"/>
      <c r="AM39" s="623"/>
      <c r="AN39" s="623"/>
      <c r="AO39" s="623"/>
      <c r="AP39" s="623"/>
      <c r="AQ39" s="623"/>
      <c r="AR39" s="623"/>
      <c r="AS39" s="623"/>
      <c r="AT39" s="623"/>
      <c r="AU39" s="623"/>
      <c r="AV39" s="623"/>
      <c r="AW39" s="623"/>
      <c r="AX39" s="623"/>
      <c r="AY39" s="623"/>
      <c r="AZ39" s="623"/>
      <c r="BA39" s="623"/>
      <c r="BB39" s="623"/>
      <c r="BC39" s="623"/>
      <c r="BD39" s="623"/>
      <c r="BE39" s="623"/>
      <c r="BF39" s="623"/>
      <c r="BG39" s="623"/>
      <c r="BH39" s="623"/>
      <c r="BI39" s="623"/>
      <c r="BJ39" s="623"/>
      <c r="BK39" s="623"/>
      <c r="BL39" s="623"/>
      <c r="BM39" s="623"/>
      <c r="BN39" s="623"/>
      <c r="BO39" s="623"/>
      <c r="BP39" s="623"/>
      <c r="BQ39" s="623"/>
      <c r="BR39" s="623"/>
      <c r="BS39" s="623"/>
      <c r="BT39" s="623"/>
      <c r="BU39" s="623"/>
      <c r="BV39" s="623"/>
      <c r="BW39" s="623"/>
      <c r="BX39" s="623"/>
      <c r="BY39" s="623"/>
      <c r="BZ39" s="623"/>
      <c r="CA39" s="623"/>
      <c r="CB39" s="623"/>
      <c r="CC39" s="623"/>
      <c r="CD39" s="623"/>
      <c r="CE39" s="623"/>
      <c r="CF39" s="623"/>
      <c r="CG39" s="623"/>
      <c r="CH39" s="623"/>
      <c r="CI39" s="623"/>
      <c r="CJ39" s="623"/>
      <c r="CK39" s="623"/>
      <c r="CL39" s="623"/>
      <c r="CM39" s="623"/>
      <c r="CN39" s="623"/>
      <c r="CO39" s="623"/>
      <c r="CP39" s="623"/>
      <c r="CQ39" s="623"/>
      <c r="CR39" s="623"/>
      <c r="CS39" s="623"/>
      <c r="CT39" s="623"/>
      <c r="CU39" s="623"/>
      <c r="CV39" s="623"/>
      <c r="CW39" s="623"/>
      <c r="CX39" s="623"/>
      <c r="CY39" s="623"/>
      <c r="CZ39" s="623"/>
      <c r="DA39" s="623"/>
      <c r="DB39" s="623"/>
      <c r="DC39" s="623"/>
      <c r="DD39" s="623"/>
      <c r="DE39" s="623"/>
      <c r="DF39" s="623"/>
      <c r="DG39" s="623"/>
      <c r="DH39" s="623"/>
      <c r="DI39" s="623"/>
      <c r="DJ39" s="623"/>
      <c r="DK39" s="623"/>
      <c r="DL39" s="623"/>
      <c r="DM39" s="623"/>
      <c r="DN39" s="623"/>
      <c r="DO39" s="623"/>
      <c r="DP39" s="623"/>
      <c r="DQ39" s="623"/>
      <c r="DR39" s="623"/>
      <c r="DS39" s="623"/>
      <c r="DT39" s="623"/>
      <c r="DU39" s="623"/>
      <c r="DV39" s="623"/>
      <c r="DW39" s="623"/>
      <c r="DX39" s="623"/>
      <c r="DY39" s="623"/>
      <c r="DZ39" s="623"/>
      <c r="EA39" s="623"/>
      <c r="EB39" s="623"/>
      <c r="EC39" s="623"/>
      <c r="ED39" s="623"/>
      <c r="EE39" s="623"/>
      <c r="EF39" s="623"/>
      <c r="EG39" s="623"/>
      <c r="EH39" s="623"/>
      <c r="EI39" s="623"/>
      <c r="EJ39" s="623"/>
      <c r="EK39" s="623"/>
      <c r="EL39" s="623"/>
      <c r="EM39" s="623"/>
      <c r="EN39" s="623"/>
      <c r="EO39" s="623"/>
      <c r="EP39" s="623"/>
      <c r="EQ39" s="623"/>
      <c r="ER39" s="623"/>
      <c r="ES39" s="623"/>
      <c r="ET39" s="623"/>
      <c r="EU39" s="623"/>
      <c r="EV39" s="623"/>
      <c r="EW39" s="623"/>
      <c r="EX39" s="623"/>
      <c r="EY39" s="623"/>
      <c r="EZ39" s="623"/>
      <c r="FA39" s="623"/>
      <c r="FB39" s="623"/>
      <c r="FC39" s="623"/>
      <c r="FD39" s="623"/>
      <c r="FE39" s="623"/>
      <c r="FF39" s="623"/>
      <c r="FG39" s="623"/>
      <c r="FH39" s="623"/>
    </row>
    <row r="40" spans="1:164">
      <c r="A40" s="623" t="s">
        <v>5043</v>
      </c>
      <c r="B40" s="623" t="s">
        <v>567</v>
      </c>
      <c r="C40" s="623" t="s">
        <v>568</v>
      </c>
      <c r="D40" s="623" t="s">
        <v>569</v>
      </c>
      <c r="E40" s="623" t="s">
        <v>2305</v>
      </c>
      <c r="F40" s="623" t="s">
        <v>2306</v>
      </c>
      <c r="G40" s="623" t="s">
        <v>202</v>
      </c>
      <c r="H40" s="623"/>
      <c r="I40" s="623"/>
      <c r="J40" s="623"/>
      <c r="K40" s="623"/>
      <c r="L40" s="623"/>
      <c r="M40" s="623"/>
      <c r="N40" s="623"/>
      <c r="O40" s="623"/>
      <c r="P40" s="623"/>
      <c r="Q40" s="623"/>
      <c r="R40" s="623"/>
      <c r="S40" s="623"/>
      <c r="T40" s="623"/>
      <c r="U40" s="623"/>
      <c r="V40" s="623"/>
      <c r="W40" s="623"/>
      <c r="X40" s="623"/>
      <c r="Y40" s="623"/>
      <c r="Z40" s="623"/>
      <c r="AA40" s="623"/>
      <c r="AB40" s="623"/>
      <c r="AC40" s="623"/>
      <c r="AD40" s="623"/>
      <c r="AE40" s="623"/>
      <c r="AF40" s="623"/>
      <c r="AG40" s="623"/>
      <c r="AH40" s="623"/>
      <c r="AI40" s="623"/>
      <c r="AJ40" s="623"/>
      <c r="AK40" s="623"/>
      <c r="AL40" s="623"/>
      <c r="AM40" s="623"/>
      <c r="AN40" s="623"/>
      <c r="AO40" s="623"/>
      <c r="AP40" s="623"/>
      <c r="AQ40" s="623"/>
      <c r="AR40" s="623"/>
      <c r="AS40" s="623"/>
      <c r="AT40" s="623"/>
      <c r="AU40" s="623"/>
      <c r="AV40" s="623"/>
      <c r="AW40" s="623"/>
      <c r="AX40" s="623"/>
      <c r="AY40" s="623"/>
      <c r="AZ40" s="623"/>
      <c r="BA40" s="623"/>
      <c r="BB40" s="623"/>
      <c r="BC40" s="623"/>
      <c r="BD40" s="623"/>
      <c r="BE40" s="623"/>
      <c r="BF40" s="623"/>
      <c r="BG40" s="623"/>
      <c r="BH40" s="623"/>
      <c r="BI40" s="623"/>
      <c r="BJ40" s="623"/>
      <c r="BK40" s="623"/>
      <c r="BL40" s="623"/>
      <c r="BM40" s="623"/>
      <c r="BN40" s="623"/>
      <c r="BO40" s="623"/>
      <c r="BP40" s="623"/>
      <c r="BQ40" s="623"/>
      <c r="BR40" s="623"/>
      <c r="BS40" s="623"/>
      <c r="BT40" s="623"/>
      <c r="BU40" s="623"/>
      <c r="BV40" s="623"/>
      <c r="BW40" s="623"/>
      <c r="BX40" s="623"/>
      <c r="BY40" s="623"/>
      <c r="BZ40" s="623"/>
      <c r="CA40" s="623"/>
      <c r="CB40" s="623"/>
      <c r="CC40" s="623"/>
      <c r="CD40" s="623"/>
      <c r="CE40" s="623"/>
      <c r="CF40" s="623"/>
      <c r="CG40" s="623"/>
      <c r="CH40" s="623"/>
      <c r="CI40" s="623"/>
      <c r="CJ40" s="623"/>
      <c r="CK40" s="623"/>
      <c r="CL40" s="623"/>
      <c r="CM40" s="623"/>
      <c r="CN40" s="623"/>
      <c r="CO40" s="623"/>
      <c r="CP40" s="623"/>
      <c r="CQ40" s="623"/>
      <c r="CR40" s="623"/>
      <c r="CS40" s="623"/>
      <c r="CT40" s="623"/>
      <c r="CU40" s="623"/>
      <c r="CV40" s="623"/>
      <c r="CW40" s="623"/>
      <c r="CX40" s="623"/>
      <c r="CY40" s="623"/>
      <c r="CZ40" s="623"/>
      <c r="DA40" s="623"/>
      <c r="DB40" s="623"/>
      <c r="DC40" s="623"/>
      <c r="DD40" s="623"/>
      <c r="DE40" s="623"/>
      <c r="DF40" s="623"/>
      <c r="DG40" s="623"/>
      <c r="DH40" s="623"/>
      <c r="DI40" s="623"/>
      <c r="DJ40" s="623"/>
      <c r="DK40" s="623"/>
      <c r="DL40" s="623"/>
      <c r="DM40" s="623"/>
      <c r="DN40" s="623"/>
      <c r="DO40" s="623"/>
      <c r="DP40" s="623"/>
      <c r="DQ40" s="623"/>
      <c r="DR40" s="623"/>
      <c r="DS40" s="623"/>
      <c r="DT40" s="623"/>
      <c r="DU40" s="623"/>
      <c r="DV40" s="623"/>
      <c r="DW40" s="623"/>
      <c r="DX40" s="623"/>
      <c r="DY40" s="623"/>
      <c r="DZ40" s="623"/>
      <c r="EA40" s="623"/>
      <c r="EB40" s="623"/>
      <c r="EC40" s="623"/>
      <c r="ED40" s="623"/>
      <c r="EE40" s="623"/>
      <c r="EF40" s="623"/>
      <c r="EG40" s="623"/>
      <c r="EH40" s="623"/>
      <c r="EI40" s="623"/>
      <c r="EJ40" s="623"/>
      <c r="EK40" s="623"/>
      <c r="EL40" s="623"/>
      <c r="EM40" s="623"/>
      <c r="EN40" s="623"/>
      <c r="EO40" s="623"/>
      <c r="EP40" s="623"/>
      <c r="EQ40" s="623"/>
      <c r="ER40" s="623"/>
      <c r="ES40" s="623"/>
      <c r="ET40" s="623"/>
      <c r="EU40" s="623"/>
      <c r="EV40" s="623"/>
      <c r="EW40" s="623"/>
      <c r="EX40" s="623"/>
      <c r="EY40" s="623"/>
      <c r="EZ40" s="623"/>
      <c r="FA40" s="623"/>
      <c r="FB40" s="623"/>
      <c r="FC40" s="623"/>
      <c r="FD40" s="623"/>
      <c r="FE40" s="623"/>
      <c r="FF40" s="623"/>
      <c r="FG40" s="623"/>
      <c r="FH40" s="623"/>
    </row>
    <row r="41" spans="1:164">
      <c r="A41" s="623" t="s">
        <v>5044</v>
      </c>
      <c r="B41" s="623" t="s">
        <v>2307</v>
      </c>
      <c r="C41" s="623" t="s">
        <v>2308</v>
      </c>
      <c r="D41" s="623" t="s">
        <v>2272</v>
      </c>
      <c r="E41" s="623" t="s">
        <v>2309</v>
      </c>
      <c r="F41" s="623" t="s">
        <v>2310</v>
      </c>
      <c r="G41" s="623" t="s">
        <v>2311</v>
      </c>
      <c r="H41" s="623" t="s">
        <v>2312</v>
      </c>
      <c r="I41" s="623" t="s">
        <v>2313</v>
      </c>
      <c r="J41" s="623" t="s">
        <v>1073</v>
      </c>
      <c r="K41" s="623" t="s">
        <v>2314</v>
      </c>
      <c r="L41" s="623" t="s">
        <v>2315</v>
      </c>
      <c r="M41" s="623" t="s">
        <v>2316</v>
      </c>
      <c r="N41" s="623" t="s">
        <v>2317</v>
      </c>
      <c r="O41" s="623" t="s">
        <v>2318</v>
      </c>
      <c r="P41" s="623" t="s">
        <v>2319</v>
      </c>
      <c r="Q41" s="623" t="s">
        <v>2320</v>
      </c>
      <c r="R41" s="623" t="s">
        <v>202</v>
      </c>
      <c r="S41" s="623"/>
      <c r="T41" s="623"/>
      <c r="U41" s="623"/>
      <c r="V41" s="623"/>
      <c r="W41" s="623"/>
      <c r="X41" s="623"/>
      <c r="Y41" s="623"/>
      <c r="Z41" s="623"/>
      <c r="AA41" s="623"/>
      <c r="AB41" s="623"/>
      <c r="AC41" s="623"/>
      <c r="AD41" s="623"/>
      <c r="AE41" s="623"/>
      <c r="AF41" s="623"/>
      <c r="AG41" s="623"/>
      <c r="AH41" s="623"/>
      <c r="AI41" s="623"/>
      <c r="AJ41" s="623"/>
      <c r="AK41" s="623"/>
      <c r="AL41" s="623"/>
      <c r="AM41" s="623"/>
      <c r="AN41" s="623"/>
      <c r="AO41" s="623"/>
      <c r="AP41" s="623"/>
      <c r="AQ41" s="623"/>
      <c r="AR41" s="623"/>
      <c r="AS41" s="623"/>
      <c r="AT41" s="623"/>
      <c r="AU41" s="623"/>
      <c r="AV41" s="623"/>
      <c r="AW41" s="623"/>
      <c r="AX41" s="623"/>
      <c r="AY41" s="623"/>
      <c r="AZ41" s="623"/>
      <c r="BA41" s="623"/>
      <c r="BB41" s="623"/>
      <c r="BC41" s="623"/>
      <c r="BD41" s="623"/>
      <c r="BE41" s="623"/>
      <c r="BF41" s="623"/>
      <c r="BG41" s="623"/>
      <c r="BH41" s="623"/>
      <c r="BI41" s="623"/>
      <c r="BJ41" s="623"/>
      <c r="BK41" s="623"/>
      <c r="BL41" s="623"/>
      <c r="BM41" s="623"/>
      <c r="BN41" s="623"/>
      <c r="BO41" s="623"/>
      <c r="BP41" s="623"/>
      <c r="BQ41" s="623"/>
      <c r="BR41" s="623"/>
      <c r="BS41" s="623"/>
      <c r="BT41" s="623"/>
      <c r="BU41" s="623"/>
      <c r="BV41" s="623"/>
      <c r="BW41" s="623"/>
      <c r="BX41" s="623"/>
      <c r="BY41" s="623"/>
      <c r="BZ41" s="623"/>
      <c r="CA41" s="623"/>
      <c r="CB41" s="623"/>
      <c r="CC41" s="623"/>
      <c r="CD41" s="623"/>
      <c r="CE41" s="623"/>
      <c r="CF41" s="623"/>
      <c r="CG41" s="623"/>
      <c r="CH41" s="623"/>
      <c r="CI41" s="623"/>
      <c r="CJ41" s="623"/>
      <c r="CK41" s="623"/>
      <c r="CL41" s="623"/>
      <c r="CM41" s="623"/>
      <c r="CN41" s="623"/>
      <c r="CO41" s="623"/>
      <c r="CP41" s="623"/>
      <c r="CQ41" s="623"/>
      <c r="CR41" s="623"/>
      <c r="CS41" s="623"/>
      <c r="CT41" s="623"/>
      <c r="CU41" s="623"/>
      <c r="CV41" s="623"/>
      <c r="CW41" s="623"/>
      <c r="CX41" s="623"/>
      <c r="CY41" s="623"/>
      <c r="CZ41" s="623"/>
      <c r="DA41" s="623"/>
      <c r="DB41" s="623"/>
      <c r="DC41" s="623"/>
      <c r="DD41" s="623"/>
      <c r="DE41" s="623"/>
      <c r="DF41" s="623"/>
      <c r="DG41" s="623"/>
      <c r="DH41" s="623"/>
      <c r="DI41" s="623"/>
      <c r="DJ41" s="623"/>
      <c r="DK41" s="623"/>
      <c r="DL41" s="623"/>
      <c r="DM41" s="623"/>
      <c r="DN41" s="623"/>
      <c r="DO41" s="623"/>
      <c r="DP41" s="623"/>
      <c r="DQ41" s="623"/>
      <c r="DR41" s="623"/>
      <c r="DS41" s="623"/>
      <c r="DT41" s="623"/>
      <c r="DU41" s="623"/>
      <c r="DV41" s="623"/>
      <c r="DW41" s="623"/>
      <c r="DX41" s="623"/>
      <c r="DY41" s="623"/>
      <c r="DZ41" s="623"/>
      <c r="EA41" s="623"/>
      <c r="EB41" s="623"/>
      <c r="EC41" s="623"/>
      <c r="ED41" s="623"/>
      <c r="EE41" s="623"/>
      <c r="EF41" s="623"/>
      <c r="EG41" s="623"/>
      <c r="EH41" s="623"/>
      <c r="EI41" s="623"/>
      <c r="EJ41" s="623"/>
      <c r="EK41" s="623"/>
      <c r="EL41" s="623"/>
      <c r="EM41" s="623"/>
      <c r="EN41" s="623"/>
      <c r="EO41" s="623"/>
      <c r="EP41" s="623"/>
      <c r="EQ41" s="623"/>
      <c r="ER41" s="623"/>
      <c r="ES41" s="623"/>
      <c r="ET41" s="623"/>
      <c r="EU41" s="623"/>
      <c r="EV41" s="623"/>
      <c r="EW41" s="623"/>
      <c r="EX41" s="623"/>
      <c r="EY41" s="623"/>
      <c r="EZ41" s="623"/>
      <c r="FA41" s="623"/>
      <c r="FB41" s="623"/>
      <c r="FC41" s="623"/>
      <c r="FD41" s="623"/>
      <c r="FE41" s="623"/>
      <c r="FF41" s="623"/>
      <c r="FG41" s="623"/>
      <c r="FH41" s="623"/>
    </row>
    <row r="42" spans="1:164">
      <c r="A42" s="623" t="s">
        <v>5045</v>
      </c>
      <c r="B42" s="623" t="s">
        <v>2321</v>
      </c>
      <c r="C42" s="623" t="s">
        <v>2322</v>
      </c>
      <c r="D42" s="623" t="s">
        <v>2323</v>
      </c>
      <c r="E42" s="623" t="s">
        <v>2324</v>
      </c>
      <c r="F42" s="623" t="s">
        <v>2325</v>
      </c>
      <c r="G42" s="623" t="s">
        <v>2326</v>
      </c>
      <c r="H42" s="623" t="s">
        <v>306</v>
      </c>
      <c r="I42" s="623" t="s">
        <v>2327</v>
      </c>
      <c r="J42" s="623" t="s">
        <v>2328</v>
      </c>
      <c r="K42" s="623" t="s">
        <v>2329</v>
      </c>
      <c r="L42" s="623" t="s">
        <v>202</v>
      </c>
      <c r="M42" s="623"/>
      <c r="N42" s="623"/>
      <c r="O42" s="623"/>
      <c r="P42" s="623"/>
      <c r="Q42" s="623"/>
      <c r="R42" s="623"/>
      <c r="S42" s="623"/>
      <c r="T42" s="623"/>
      <c r="U42" s="623"/>
      <c r="V42" s="623"/>
      <c r="W42" s="623"/>
      <c r="X42" s="623"/>
      <c r="Y42" s="623"/>
      <c r="Z42" s="623"/>
      <c r="AA42" s="623"/>
      <c r="AB42" s="623"/>
      <c r="AC42" s="623"/>
      <c r="AD42" s="623"/>
      <c r="AE42" s="623"/>
      <c r="AF42" s="623"/>
      <c r="AG42" s="623"/>
      <c r="AH42" s="623"/>
      <c r="AI42" s="623"/>
      <c r="AJ42" s="623"/>
      <c r="AK42" s="623"/>
      <c r="AL42" s="623"/>
      <c r="AM42" s="623"/>
      <c r="AN42" s="623"/>
      <c r="AO42" s="623"/>
      <c r="AP42" s="623"/>
      <c r="AQ42" s="623"/>
      <c r="AR42" s="623"/>
      <c r="AS42" s="623"/>
      <c r="AT42" s="623"/>
      <c r="AU42" s="623"/>
      <c r="AV42" s="623"/>
      <c r="AW42" s="623"/>
      <c r="AX42" s="623"/>
      <c r="AY42" s="623"/>
      <c r="AZ42" s="623"/>
      <c r="BA42" s="623"/>
      <c r="BB42" s="623"/>
      <c r="BC42" s="623"/>
      <c r="BD42" s="623"/>
      <c r="BE42" s="623"/>
      <c r="BF42" s="623"/>
      <c r="BG42" s="623"/>
      <c r="BH42" s="623"/>
      <c r="BI42" s="623"/>
      <c r="BJ42" s="623"/>
      <c r="BK42" s="623"/>
      <c r="BL42" s="623"/>
      <c r="BM42" s="623"/>
      <c r="BN42" s="623"/>
      <c r="BO42" s="623"/>
      <c r="BP42" s="623"/>
      <c r="BQ42" s="623"/>
      <c r="BR42" s="623"/>
      <c r="BS42" s="623"/>
      <c r="BT42" s="623"/>
      <c r="BU42" s="623"/>
      <c r="BV42" s="623"/>
      <c r="BW42" s="623"/>
      <c r="BX42" s="623"/>
      <c r="BY42" s="623"/>
      <c r="BZ42" s="623"/>
      <c r="CA42" s="623"/>
      <c r="CB42" s="623"/>
      <c r="CC42" s="623"/>
      <c r="CD42" s="623"/>
      <c r="CE42" s="623"/>
      <c r="CF42" s="623"/>
      <c r="CG42" s="623"/>
      <c r="CH42" s="623"/>
      <c r="CI42" s="623"/>
      <c r="CJ42" s="623"/>
      <c r="CK42" s="623"/>
      <c r="CL42" s="623"/>
      <c r="CM42" s="623"/>
      <c r="CN42" s="623"/>
      <c r="CO42" s="623"/>
      <c r="CP42" s="623"/>
      <c r="CQ42" s="623"/>
      <c r="CR42" s="623"/>
      <c r="CS42" s="623"/>
      <c r="CT42" s="623"/>
      <c r="CU42" s="623"/>
      <c r="CV42" s="623"/>
      <c r="CW42" s="623"/>
      <c r="CX42" s="623"/>
      <c r="CY42" s="623"/>
      <c r="CZ42" s="623"/>
      <c r="DA42" s="623"/>
      <c r="DB42" s="623"/>
      <c r="DC42" s="623"/>
      <c r="DD42" s="623"/>
      <c r="DE42" s="623"/>
      <c r="DF42" s="623"/>
      <c r="DG42" s="623"/>
      <c r="DH42" s="623"/>
      <c r="DI42" s="623"/>
      <c r="DJ42" s="623"/>
      <c r="DK42" s="623"/>
      <c r="DL42" s="623"/>
      <c r="DM42" s="623"/>
      <c r="DN42" s="623"/>
      <c r="DO42" s="623"/>
      <c r="DP42" s="623"/>
      <c r="DQ42" s="623"/>
      <c r="DR42" s="623"/>
      <c r="DS42" s="623"/>
      <c r="DT42" s="623"/>
      <c r="DU42" s="623"/>
      <c r="DV42" s="623"/>
      <c r="DW42" s="623"/>
      <c r="DX42" s="623"/>
      <c r="DY42" s="623"/>
      <c r="DZ42" s="623"/>
      <c r="EA42" s="623"/>
      <c r="EB42" s="623"/>
      <c r="EC42" s="623"/>
      <c r="ED42" s="623"/>
      <c r="EE42" s="623"/>
      <c r="EF42" s="623"/>
      <c r="EG42" s="623"/>
      <c r="EH42" s="623"/>
      <c r="EI42" s="623"/>
      <c r="EJ42" s="623"/>
      <c r="EK42" s="623"/>
      <c r="EL42" s="623"/>
      <c r="EM42" s="623"/>
      <c r="EN42" s="623"/>
      <c r="EO42" s="623"/>
      <c r="EP42" s="623"/>
      <c r="EQ42" s="623"/>
      <c r="ER42" s="623"/>
      <c r="ES42" s="623"/>
      <c r="ET42" s="623"/>
      <c r="EU42" s="623"/>
      <c r="EV42" s="623"/>
      <c r="EW42" s="623"/>
      <c r="EX42" s="623"/>
      <c r="EY42" s="623"/>
      <c r="EZ42" s="623"/>
      <c r="FA42" s="623"/>
      <c r="FB42" s="623"/>
      <c r="FC42" s="623"/>
      <c r="FD42" s="623"/>
      <c r="FE42" s="623"/>
      <c r="FF42" s="623"/>
      <c r="FG42" s="623"/>
      <c r="FH42" s="623"/>
    </row>
    <row r="43" spans="1:164">
      <c r="A43" s="623" t="s">
        <v>5046</v>
      </c>
      <c r="B43" s="623" t="s">
        <v>626</v>
      </c>
      <c r="C43" s="623" t="s">
        <v>2330</v>
      </c>
      <c r="D43" s="623" t="s">
        <v>202</v>
      </c>
      <c r="E43" s="623"/>
      <c r="F43" s="623"/>
      <c r="G43" s="623"/>
      <c r="H43" s="623"/>
      <c r="I43" s="623"/>
      <c r="J43" s="623"/>
      <c r="K43" s="623"/>
      <c r="L43" s="623"/>
      <c r="M43" s="623"/>
      <c r="N43" s="623"/>
      <c r="O43" s="623"/>
      <c r="P43" s="623"/>
      <c r="Q43" s="623"/>
      <c r="R43" s="623"/>
      <c r="S43" s="623"/>
      <c r="T43" s="623"/>
      <c r="U43" s="623"/>
      <c r="V43" s="623"/>
      <c r="W43" s="623"/>
      <c r="X43" s="623"/>
      <c r="Y43" s="623"/>
      <c r="Z43" s="623"/>
      <c r="AA43" s="623"/>
      <c r="AB43" s="623"/>
      <c r="AC43" s="623"/>
      <c r="AD43" s="623"/>
      <c r="AE43" s="623"/>
      <c r="AF43" s="623"/>
      <c r="AG43" s="623"/>
      <c r="AH43" s="623"/>
      <c r="AI43" s="623"/>
      <c r="AJ43" s="623"/>
      <c r="AK43" s="623"/>
      <c r="AL43" s="623"/>
      <c r="AM43" s="623"/>
      <c r="AN43" s="623"/>
      <c r="AO43" s="623"/>
      <c r="AP43" s="623"/>
      <c r="AQ43" s="623"/>
      <c r="AR43" s="623"/>
      <c r="AS43" s="623"/>
      <c r="AT43" s="623"/>
      <c r="AU43" s="623"/>
      <c r="AV43" s="623"/>
      <c r="AW43" s="623"/>
      <c r="AX43" s="623"/>
      <c r="AY43" s="623"/>
      <c r="AZ43" s="623"/>
      <c r="BA43" s="623"/>
      <c r="BB43" s="623"/>
      <c r="BC43" s="623"/>
      <c r="BD43" s="623"/>
      <c r="BE43" s="623"/>
      <c r="BF43" s="623"/>
      <c r="BG43" s="623"/>
      <c r="BH43" s="623"/>
      <c r="BI43" s="623"/>
      <c r="BJ43" s="623"/>
      <c r="BK43" s="623"/>
      <c r="BL43" s="623"/>
      <c r="BM43" s="623"/>
      <c r="BN43" s="623"/>
      <c r="BO43" s="623"/>
      <c r="BP43" s="623"/>
      <c r="BQ43" s="623"/>
      <c r="BR43" s="623"/>
      <c r="BS43" s="623"/>
      <c r="BT43" s="623"/>
      <c r="BU43" s="623"/>
      <c r="BV43" s="623"/>
      <c r="BW43" s="623"/>
      <c r="BX43" s="623"/>
      <c r="BY43" s="623"/>
      <c r="BZ43" s="623"/>
      <c r="CA43" s="623"/>
      <c r="CB43" s="623"/>
      <c r="CC43" s="623"/>
      <c r="CD43" s="623"/>
      <c r="CE43" s="623"/>
      <c r="CF43" s="623"/>
      <c r="CG43" s="623"/>
      <c r="CH43" s="623"/>
      <c r="CI43" s="623"/>
      <c r="CJ43" s="623"/>
      <c r="CK43" s="623"/>
      <c r="CL43" s="623"/>
      <c r="CM43" s="623"/>
      <c r="CN43" s="623"/>
      <c r="CO43" s="623"/>
      <c r="CP43" s="623"/>
      <c r="CQ43" s="623"/>
      <c r="CR43" s="623"/>
      <c r="CS43" s="623"/>
      <c r="CT43" s="623"/>
      <c r="CU43" s="623"/>
      <c r="CV43" s="623"/>
      <c r="CW43" s="623"/>
      <c r="CX43" s="623"/>
      <c r="CY43" s="623"/>
      <c r="CZ43" s="623"/>
      <c r="DA43" s="623"/>
      <c r="DB43" s="623"/>
      <c r="DC43" s="623"/>
      <c r="DD43" s="623"/>
      <c r="DE43" s="623"/>
      <c r="DF43" s="623"/>
      <c r="DG43" s="623"/>
      <c r="DH43" s="623"/>
      <c r="DI43" s="623"/>
      <c r="DJ43" s="623"/>
      <c r="DK43" s="623"/>
      <c r="DL43" s="623"/>
      <c r="DM43" s="623"/>
      <c r="DN43" s="623"/>
      <c r="DO43" s="623"/>
      <c r="DP43" s="623"/>
      <c r="DQ43" s="623"/>
      <c r="DR43" s="623"/>
      <c r="DS43" s="623"/>
      <c r="DT43" s="623"/>
      <c r="DU43" s="623"/>
      <c r="DV43" s="623"/>
      <c r="DW43" s="623"/>
      <c r="DX43" s="623"/>
      <c r="DY43" s="623"/>
      <c r="DZ43" s="623"/>
      <c r="EA43" s="623"/>
      <c r="EB43" s="623"/>
      <c r="EC43" s="623"/>
      <c r="ED43" s="623"/>
      <c r="EE43" s="623"/>
      <c r="EF43" s="623"/>
      <c r="EG43" s="623"/>
      <c r="EH43" s="623"/>
      <c r="EI43" s="623"/>
      <c r="EJ43" s="623"/>
      <c r="EK43" s="623"/>
      <c r="EL43" s="623"/>
      <c r="EM43" s="623"/>
      <c r="EN43" s="623"/>
      <c r="EO43" s="623"/>
      <c r="EP43" s="623"/>
      <c r="EQ43" s="623"/>
      <c r="ER43" s="623"/>
      <c r="ES43" s="623"/>
      <c r="ET43" s="623"/>
      <c r="EU43" s="623"/>
      <c r="EV43" s="623"/>
      <c r="EW43" s="623"/>
      <c r="EX43" s="623"/>
      <c r="EY43" s="623"/>
      <c r="EZ43" s="623"/>
      <c r="FA43" s="623"/>
      <c r="FB43" s="623"/>
      <c r="FC43" s="623"/>
      <c r="FD43" s="623"/>
      <c r="FE43" s="623"/>
      <c r="FF43" s="623"/>
      <c r="FG43" s="623"/>
      <c r="FH43" s="623"/>
    </row>
    <row r="44" spans="1:164">
      <c r="A44" s="623" t="s">
        <v>5047</v>
      </c>
      <c r="B44" s="623" t="s">
        <v>5048</v>
      </c>
      <c r="C44" s="623"/>
      <c r="D44" s="623"/>
      <c r="E44" s="623"/>
      <c r="F44" s="623"/>
      <c r="G44" s="623"/>
      <c r="H44" s="623"/>
      <c r="I44" s="623"/>
      <c r="J44" s="623"/>
      <c r="K44" s="623"/>
      <c r="L44" s="623"/>
      <c r="M44" s="623"/>
      <c r="N44" s="623"/>
      <c r="O44" s="623"/>
      <c r="P44" s="623"/>
      <c r="Q44" s="623"/>
      <c r="R44" s="623"/>
      <c r="S44" s="623"/>
      <c r="T44" s="623"/>
      <c r="U44" s="623"/>
      <c r="V44" s="623"/>
      <c r="W44" s="623"/>
      <c r="X44" s="623"/>
      <c r="Y44" s="623"/>
      <c r="Z44" s="623"/>
      <c r="AA44" s="623"/>
      <c r="AB44" s="623"/>
      <c r="AC44" s="623"/>
      <c r="AD44" s="623"/>
      <c r="AE44" s="623"/>
      <c r="AF44" s="623"/>
      <c r="AG44" s="623"/>
      <c r="AH44" s="623"/>
      <c r="AI44" s="623"/>
      <c r="AJ44" s="623"/>
      <c r="AK44" s="623"/>
      <c r="AL44" s="623"/>
      <c r="AM44" s="623"/>
      <c r="AN44" s="623"/>
      <c r="AO44" s="623"/>
      <c r="AP44" s="623"/>
      <c r="AQ44" s="623"/>
      <c r="AR44" s="623"/>
      <c r="AS44" s="623"/>
      <c r="AT44" s="623"/>
      <c r="AU44" s="623"/>
      <c r="AV44" s="623"/>
      <c r="AW44" s="623"/>
      <c r="AX44" s="623"/>
      <c r="AY44" s="623"/>
      <c r="AZ44" s="623"/>
      <c r="BA44" s="623"/>
      <c r="BB44" s="623"/>
      <c r="BC44" s="623"/>
      <c r="BD44" s="623"/>
      <c r="BE44" s="623"/>
      <c r="BF44" s="623"/>
      <c r="BG44" s="623"/>
      <c r="BH44" s="623"/>
      <c r="BI44" s="623"/>
      <c r="BJ44" s="623"/>
      <c r="BK44" s="623"/>
      <c r="BL44" s="623"/>
      <c r="BM44" s="623"/>
      <c r="BN44" s="623"/>
      <c r="BO44" s="623"/>
      <c r="BP44" s="623"/>
      <c r="BQ44" s="623"/>
      <c r="BR44" s="623"/>
      <c r="BS44" s="623"/>
      <c r="BT44" s="623"/>
      <c r="BU44" s="623"/>
      <c r="BV44" s="623"/>
      <c r="BW44" s="623"/>
      <c r="BX44" s="623"/>
      <c r="BY44" s="623"/>
      <c r="BZ44" s="623"/>
      <c r="CA44" s="623"/>
      <c r="CB44" s="623"/>
      <c r="CC44" s="623"/>
      <c r="CD44" s="623"/>
      <c r="CE44" s="623"/>
      <c r="CF44" s="623"/>
      <c r="CG44" s="623"/>
      <c r="CH44" s="623"/>
      <c r="CI44" s="623"/>
      <c r="CJ44" s="623"/>
      <c r="CK44" s="623"/>
      <c r="CL44" s="623"/>
      <c r="CM44" s="623"/>
      <c r="CN44" s="623"/>
      <c r="CO44" s="623"/>
      <c r="CP44" s="623"/>
      <c r="CQ44" s="623"/>
      <c r="CR44" s="623"/>
      <c r="CS44" s="623"/>
      <c r="CT44" s="623"/>
      <c r="CU44" s="623"/>
      <c r="CV44" s="623"/>
      <c r="CW44" s="623"/>
      <c r="CX44" s="623"/>
      <c r="CY44" s="623"/>
      <c r="CZ44" s="623"/>
      <c r="DA44" s="623"/>
      <c r="DB44" s="623"/>
      <c r="DC44" s="623"/>
      <c r="DD44" s="623"/>
      <c r="DE44" s="623"/>
      <c r="DF44" s="623"/>
      <c r="DG44" s="623"/>
      <c r="DH44" s="623"/>
      <c r="DI44" s="623"/>
      <c r="DJ44" s="623"/>
      <c r="DK44" s="623"/>
      <c r="DL44" s="623"/>
      <c r="DM44" s="623"/>
      <c r="DN44" s="623"/>
      <c r="DO44" s="623"/>
      <c r="DP44" s="623"/>
      <c r="DQ44" s="623"/>
      <c r="DR44" s="623"/>
      <c r="DS44" s="623"/>
      <c r="DT44" s="623"/>
      <c r="DU44" s="623"/>
      <c r="DV44" s="623"/>
      <c r="DW44" s="623"/>
      <c r="DX44" s="623"/>
      <c r="DY44" s="623"/>
      <c r="DZ44" s="623"/>
      <c r="EA44" s="623"/>
      <c r="EB44" s="623"/>
      <c r="EC44" s="623"/>
      <c r="ED44" s="623"/>
      <c r="EE44" s="623"/>
      <c r="EF44" s="623"/>
      <c r="EG44" s="623"/>
      <c r="EH44" s="623"/>
      <c r="EI44" s="623"/>
      <c r="EJ44" s="623"/>
      <c r="EK44" s="623"/>
      <c r="EL44" s="623"/>
      <c r="EM44" s="623"/>
      <c r="EN44" s="623"/>
      <c r="EO44" s="623"/>
      <c r="EP44" s="623"/>
      <c r="EQ44" s="623"/>
      <c r="ER44" s="623"/>
      <c r="ES44" s="623"/>
      <c r="ET44" s="623"/>
      <c r="EU44" s="623"/>
      <c r="EV44" s="623"/>
      <c r="EW44" s="623"/>
      <c r="EX44" s="623"/>
      <c r="EY44" s="623"/>
      <c r="EZ44" s="623"/>
      <c r="FA44" s="623"/>
      <c r="FB44" s="623"/>
      <c r="FC44" s="623"/>
      <c r="FD44" s="623"/>
      <c r="FE44" s="623"/>
      <c r="FF44" s="623"/>
      <c r="FG44" s="623"/>
      <c r="FH44" s="623"/>
    </row>
    <row r="45" spans="1:164">
      <c r="A45" s="623" t="s">
        <v>5049</v>
      </c>
      <c r="B45" s="623" t="s">
        <v>5050</v>
      </c>
      <c r="C45" s="623" t="s">
        <v>934</v>
      </c>
      <c r="D45" s="623" t="s">
        <v>5051</v>
      </c>
      <c r="E45" s="623" t="s">
        <v>5052</v>
      </c>
      <c r="F45" s="623" t="s">
        <v>5053</v>
      </c>
      <c r="G45" s="623" t="s">
        <v>2331</v>
      </c>
      <c r="H45" s="623" t="s">
        <v>2869</v>
      </c>
      <c r="I45" s="623" t="s">
        <v>5054</v>
      </c>
      <c r="J45" s="623" t="s">
        <v>5055</v>
      </c>
      <c r="K45" s="623" t="s">
        <v>2870</v>
      </c>
      <c r="L45" s="623" t="s">
        <v>5056</v>
      </c>
      <c r="M45" s="623" t="s">
        <v>2864</v>
      </c>
      <c r="N45" s="623" t="s">
        <v>2865</v>
      </c>
      <c r="O45" s="623" t="s">
        <v>2866</v>
      </c>
      <c r="P45" s="623" t="s">
        <v>2867</v>
      </c>
      <c r="Q45" s="623" t="s">
        <v>2868</v>
      </c>
      <c r="R45" s="623"/>
      <c r="S45" s="623"/>
      <c r="T45" s="623"/>
      <c r="U45" s="623"/>
      <c r="V45" s="623"/>
      <c r="W45" s="623"/>
      <c r="X45" s="623"/>
      <c r="Y45" s="623"/>
      <c r="Z45" s="623"/>
      <c r="AA45" s="623"/>
      <c r="AB45" s="623"/>
      <c r="AC45" s="623"/>
      <c r="AD45" s="623"/>
      <c r="AE45" s="623"/>
      <c r="AF45" s="623"/>
      <c r="AG45" s="623"/>
      <c r="AH45" s="623"/>
      <c r="AI45" s="623"/>
      <c r="AJ45" s="623"/>
      <c r="AK45" s="623"/>
      <c r="AL45" s="623"/>
      <c r="AM45" s="623"/>
      <c r="AN45" s="623"/>
      <c r="AO45" s="623"/>
      <c r="AP45" s="623"/>
      <c r="AQ45" s="623"/>
      <c r="AR45" s="623"/>
      <c r="AS45" s="623"/>
      <c r="AT45" s="623"/>
      <c r="AU45" s="623"/>
      <c r="AV45" s="623"/>
      <c r="AW45" s="623"/>
      <c r="AX45" s="623"/>
      <c r="AY45" s="623"/>
      <c r="AZ45" s="623"/>
      <c r="BA45" s="623"/>
      <c r="BB45" s="623"/>
      <c r="BC45" s="623"/>
      <c r="BD45" s="623"/>
      <c r="BE45" s="623"/>
      <c r="BF45" s="623"/>
      <c r="BG45" s="623"/>
      <c r="BH45" s="623"/>
      <c r="BI45" s="623"/>
      <c r="BJ45" s="623"/>
      <c r="BK45" s="623"/>
      <c r="BL45" s="623"/>
      <c r="BM45" s="623"/>
      <c r="BN45" s="623"/>
      <c r="BO45" s="623"/>
      <c r="BP45" s="623"/>
      <c r="BQ45" s="623"/>
      <c r="BR45" s="623"/>
      <c r="BS45" s="623"/>
      <c r="BT45" s="623"/>
      <c r="BU45" s="623"/>
      <c r="BV45" s="623"/>
      <c r="BW45" s="623"/>
      <c r="BX45" s="623"/>
      <c r="BY45" s="623"/>
      <c r="BZ45" s="623"/>
      <c r="CA45" s="623"/>
      <c r="CB45" s="623"/>
      <c r="CC45" s="623"/>
      <c r="CD45" s="623"/>
      <c r="CE45" s="623"/>
      <c r="CF45" s="623"/>
      <c r="CG45" s="623"/>
      <c r="CH45" s="623"/>
      <c r="CI45" s="623"/>
      <c r="CJ45" s="623"/>
      <c r="CK45" s="623"/>
      <c r="CL45" s="623"/>
      <c r="CM45" s="623"/>
      <c r="CN45" s="623"/>
      <c r="CO45" s="623"/>
      <c r="CP45" s="623"/>
      <c r="CQ45" s="623"/>
      <c r="CR45" s="623"/>
      <c r="CS45" s="623"/>
      <c r="CT45" s="623"/>
      <c r="CU45" s="623"/>
      <c r="CV45" s="623"/>
      <c r="CW45" s="623"/>
      <c r="CX45" s="623"/>
      <c r="CY45" s="623"/>
      <c r="CZ45" s="623"/>
      <c r="DA45" s="623"/>
      <c r="DB45" s="623"/>
      <c r="DC45" s="623"/>
      <c r="DD45" s="623"/>
      <c r="DE45" s="623"/>
      <c r="DF45" s="623"/>
      <c r="DG45" s="623"/>
      <c r="DH45" s="623"/>
      <c r="DI45" s="623"/>
      <c r="DJ45" s="623"/>
      <c r="DK45" s="623"/>
      <c r="DL45" s="623"/>
      <c r="DM45" s="623"/>
      <c r="DN45" s="623"/>
      <c r="DO45" s="623"/>
      <c r="DP45" s="623"/>
      <c r="DQ45" s="623"/>
      <c r="DR45" s="623"/>
      <c r="DS45" s="623"/>
      <c r="DT45" s="623"/>
      <c r="DU45" s="623"/>
      <c r="DV45" s="623"/>
      <c r="DW45" s="623"/>
      <c r="DX45" s="623"/>
      <c r="DY45" s="623"/>
      <c r="DZ45" s="623"/>
      <c r="EA45" s="623"/>
      <c r="EB45" s="623"/>
      <c r="EC45" s="623"/>
      <c r="ED45" s="623"/>
      <c r="EE45" s="623"/>
      <c r="EF45" s="623"/>
      <c r="EG45" s="623"/>
      <c r="EH45" s="623"/>
      <c r="EI45" s="623"/>
      <c r="EJ45" s="623"/>
      <c r="EK45" s="623"/>
      <c r="EL45" s="623"/>
      <c r="EM45" s="623"/>
      <c r="EN45" s="623"/>
      <c r="EO45" s="623"/>
      <c r="EP45" s="623"/>
      <c r="EQ45" s="623"/>
      <c r="ER45" s="623"/>
      <c r="ES45" s="623"/>
      <c r="ET45" s="623"/>
      <c r="EU45" s="623"/>
      <c r="EV45" s="623"/>
      <c r="EW45" s="623"/>
      <c r="EX45" s="623"/>
      <c r="EY45" s="623"/>
      <c r="EZ45" s="623"/>
      <c r="FA45" s="623"/>
      <c r="FB45" s="623"/>
      <c r="FC45" s="623"/>
      <c r="FD45" s="623"/>
      <c r="FE45" s="623"/>
      <c r="FF45" s="623"/>
      <c r="FG45" s="623"/>
      <c r="FH45" s="623"/>
    </row>
    <row r="46" spans="1:164">
      <c r="A46" s="623" t="s">
        <v>5057</v>
      </c>
      <c r="B46" s="623" t="s">
        <v>801</v>
      </c>
      <c r="C46" s="623" t="s">
        <v>806</v>
      </c>
      <c r="D46" s="623" t="s">
        <v>802</v>
      </c>
      <c r="E46" s="623" t="s">
        <v>807</v>
      </c>
      <c r="F46" s="623"/>
      <c r="G46" s="623"/>
      <c r="H46" s="623"/>
      <c r="I46" s="623"/>
      <c r="J46" s="623"/>
      <c r="K46" s="623"/>
      <c r="L46" s="623"/>
      <c r="M46" s="623"/>
      <c r="N46" s="623"/>
      <c r="O46" s="623"/>
      <c r="P46" s="623"/>
      <c r="Q46" s="623"/>
      <c r="R46" s="623"/>
      <c r="S46" s="623"/>
      <c r="T46" s="623"/>
      <c r="U46" s="623"/>
      <c r="V46" s="623"/>
      <c r="W46" s="623"/>
      <c r="X46" s="623"/>
      <c r="Y46" s="623"/>
      <c r="Z46" s="623"/>
      <c r="AA46" s="623"/>
      <c r="AB46" s="623"/>
      <c r="AC46" s="623"/>
      <c r="AD46" s="623"/>
      <c r="AE46" s="623"/>
      <c r="AF46" s="623"/>
      <c r="AG46" s="623"/>
      <c r="AH46" s="623"/>
      <c r="AI46" s="623"/>
      <c r="AJ46" s="623"/>
      <c r="AK46" s="623"/>
      <c r="AL46" s="623"/>
      <c r="AM46" s="623"/>
      <c r="AN46" s="623"/>
      <c r="AO46" s="623"/>
      <c r="AP46" s="623"/>
      <c r="AQ46" s="623"/>
      <c r="AR46" s="623"/>
      <c r="AS46" s="623"/>
      <c r="AT46" s="623"/>
      <c r="AU46" s="623"/>
      <c r="AV46" s="623"/>
      <c r="AW46" s="623"/>
      <c r="AX46" s="623"/>
      <c r="AY46" s="623"/>
      <c r="AZ46" s="623"/>
      <c r="BA46" s="623"/>
      <c r="BB46" s="623"/>
      <c r="BC46" s="623"/>
      <c r="BD46" s="623"/>
      <c r="BE46" s="623"/>
      <c r="BF46" s="623"/>
      <c r="BG46" s="623"/>
      <c r="BH46" s="623"/>
      <c r="BI46" s="623"/>
      <c r="BJ46" s="623"/>
      <c r="BK46" s="623"/>
      <c r="BL46" s="623"/>
      <c r="BM46" s="623"/>
      <c r="BN46" s="623"/>
      <c r="BO46" s="623"/>
      <c r="BP46" s="623"/>
      <c r="BQ46" s="623"/>
      <c r="BR46" s="623"/>
      <c r="BS46" s="623"/>
      <c r="BT46" s="623"/>
      <c r="BU46" s="623"/>
      <c r="BV46" s="623"/>
      <c r="BW46" s="623"/>
      <c r="BX46" s="623"/>
      <c r="BY46" s="623"/>
      <c r="BZ46" s="623"/>
      <c r="CA46" s="623"/>
      <c r="CB46" s="623"/>
      <c r="CC46" s="623"/>
      <c r="CD46" s="623"/>
      <c r="CE46" s="623"/>
      <c r="CF46" s="623"/>
      <c r="CG46" s="623"/>
      <c r="CH46" s="623"/>
      <c r="CI46" s="623"/>
      <c r="CJ46" s="623"/>
      <c r="CK46" s="623"/>
      <c r="CL46" s="623"/>
      <c r="CM46" s="623"/>
      <c r="CN46" s="623"/>
      <c r="CO46" s="623"/>
      <c r="CP46" s="623"/>
      <c r="CQ46" s="623"/>
      <c r="CR46" s="623"/>
      <c r="CS46" s="623"/>
      <c r="CT46" s="623"/>
      <c r="CU46" s="623"/>
      <c r="CV46" s="623"/>
      <c r="CW46" s="623"/>
      <c r="CX46" s="623"/>
      <c r="CY46" s="623"/>
      <c r="CZ46" s="623"/>
      <c r="DA46" s="623"/>
      <c r="DB46" s="623"/>
      <c r="DC46" s="623"/>
      <c r="DD46" s="623"/>
      <c r="DE46" s="623"/>
      <c r="DF46" s="623"/>
      <c r="DG46" s="623"/>
      <c r="DH46" s="623"/>
      <c r="DI46" s="623"/>
      <c r="DJ46" s="623"/>
      <c r="DK46" s="623"/>
      <c r="DL46" s="623"/>
      <c r="DM46" s="623"/>
      <c r="DN46" s="623"/>
      <c r="DO46" s="623"/>
      <c r="DP46" s="623"/>
      <c r="DQ46" s="623"/>
      <c r="DR46" s="623"/>
      <c r="DS46" s="623"/>
      <c r="DT46" s="623"/>
      <c r="DU46" s="623"/>
      <c r="DV46" s="623"/>
      <c r="DW46" s="623"/>
      <c r="DX46" s="623"/>
      <c r="DY46" s="623"/>
      <c r="DZ46" s="623"/>
      <c r="EA46" s="623"/>
      <c r="EB46" s="623"/>
      <c r="EC46" s="623"/>
      <c r="ED46" s="623"/>
      <c r="EE46" s="623"/>
      <c r="EF46" s="623"/>
      <c r="EG46" s="623"/>
      <c r="EH46" s="623"/>
      <c r="EI46" s="623"/>
      <c r="EJ46" s="623"/>
      <c r="EK46" s="623"/>
      <c r="EL46" s="623"/>
      <c r="EM46" s="623"/>
      <c r="EN46" s="623"/>
      <c r="EO46" s="623"/>
      <c r="EP46" s="623"/>
      <c r="EQ46" s="623"/>
      <c r="ER46" s="623"/>
      <c r="ES46" s="623"/>
      <c r="ET46" s="623"/>
      <c r="EU46" s="623"/>
      <c r="EV46" s="623"/>
      <c r="EW46" s="623"/>
      <c r="EX46" s="623"/>
      <c r="EY46" s="623"/>
      <c r="EZ46" s="623"/>
      <c r="FA46" s="623"/>
      <c r="FB46" s="623"/>
      <c r="FC46" s="623"/>
      <c r="FD46" s="623"/>
      <c r="FE46" s="623"/>
      <c r="FF46" s="623"/>
      <c r="FG46" s="623"/>
      <c r="FH46" s="623"/>
    </row>
    <row r="47" spans="1:164">
      <c r="A47" s="623" t="s">
        <v>5058</v>
      </c>
      <c r="B47" s="623" t="s">
        <v>5059</v>
      </c>
      <c r="C47" s="623" t="s">
        <v>5060</v>
      </c>
      <c r="D47" s="623"/>
      <c r="E47" s="623"/>
      <c r="F47" s="623"/>
      <c r="G47" s="623"/>
      <c r="H47" s="623"/>
      <c r="I47" s="623"/>
      <c r="J47" s="623"/>
      <c r="K47" s="623"/>
      <c r="L47" s="623"/>
      <c r="M47" s="623"/>
      <c r="N47" s="623"/>
      <c r="O47" s="623"/>
      <c r="P47" s="623"/>
      <c r="Q47" s="623"/>
      <c r="R47" s="623"/>
      <c r="S47" s="623"/>
      <c r="T47" s="623"/>
      <c r="U47" s="623"/>
      <c r="V47" s="623"/>
      <c r="W47" s="623"/>
      <c r="X47" s="623"/>
      <c r="Y47" s="623"/>
      <c r="Z47" s="623"/>
      <c r="AA47" s="623"/>
      <c r="AB47" s="623"/>
      <c r="AC47" s="623"/>
      <c r="AD47" s="623"/>
      <c r="AE47" s="623"/>
      <c r="AF47" s="623"/>
      <c r="AG47" s="623"/>
      <c r="AH47" s="623"/>
      <c r="AI47" s="623"/>
      <c r="AJ47" s="623"/>
      <c r="AK47" s="623"/>
      <c r="AL47" s="623"/>
      <c r="AM47" s="623"/>
      <c r="AN47" s="623"/>
      <c r="AO47" s="623"/>
      <c r="AP47" s="623"/>
      <c r="AQ47" s="623"/>
      <c r="AR47" s="623"/>
      <c r="AS47" s="623"/>
      <c r="AT47" s="623"/>
      <c r="AU47" s="623"/>
      <c r="AV47" s="623"/>
      <c r="AW47" s="623"/>
      <c r="AX47" s="623"/>
      <c r="AY47" s="623"/>
      <c r="AZ47" s="623"/>
      <c r="BA47" s="623"/>
      <c r="BB47" s="623"/>
      <c r="BC47" s="623"/>
      <c r="BD47" s="623"/>
      <c r="BE47" s="623"/>
      <c r="BF47" s="623"/>
      <c r="BG47" s="623"/>
      <c r="BH47" s="623"/>
      <c r="BI47" s="623"/>
      <c r="BJ47" s="623"/>
      <c r="BK47" s="623"/>
      <c r="BL47" s="623"/>
      <c r="BM47" s="623"/>
      <c r="BN47" s="623"/>
      <c r="BO47" s="623"/>
      <c r="BP47" s="623"/>
      <c r="BQ47" s="623"/>
      <c r="BR47" s="623"/>
      <c r="BS47" s="623"/>
      <c r="BT47" s="623"/>
      <c r="BU47" s="623"/>
      <c r="BV47" s="623"/>
      <c r="BW47" s="623"/>
      <c r="BX47" s="623"/>
      <c r="BY47" s="623"/>
      <c r="BZ47" s="623"/>
      <c r="CA47" s="623"/>
      <c r="CB47" s="623"/>
      <c r="CC47" s="623"/>
      <c r="CD47" s="623"/>
      <c r="CE47" s="623"/>
      <c r="CF47" s="623"/>
      <c r="CG47" s="623"/>
      <c r="CH47" s="623"/>
      <c r="CI47" s="623"/>
      <c r="CJ47" s="623"/>
      <c r="CK47" s="623"/>
      <c r="CL47" s="623"/>
      <c r="CM47" s="623"/>
      <c r="CN47" s="623"/>
      <c r="CO47" s="623"/>
      <c r="CP47" s="623"/>
      <c r="CQ47" s="623"/>
      <c r="CR47" s="623"/>
      <c r="CS47" s="623"/>
      <c r="CT47" s="623"/>
      <c r="CU47" s="623"/>
      <c r="CV47" s="623"/>
      <c r="CW47" s="623"/>
      <c r="CX47" s="623"/>
      <c r="CY47" s="623"/>
      <c r="CZ47" s="623"/>
      <c r="DA47" s="623"/>
      <c r="DB47" s="623"/>
      <c r="DC47" s="623"/>
      <c r="DD47" s="623"/>
      <c r="DE47" s="623"/>
      <c r="DF47" s="623"/>
      <c r="DG47" s="623"/>
      <c r="DH47" s="623"/>
      <c r="DI47" s="623"/>
      <c r="DJ47" s="623"/>
      <c r="DK47" s="623"/>
      <c r="DL47" s="623"/>
      <c r="DM47" s="623"/>
      <c r="DN47" s="623"/>
      <c r="DO47" s="623"/>
      <c r="DP47" s="623"/>
      <c r="DQ47" s="623"/>
      <c r="DR47" s="623"/>
      <c r="DS47" s="623"/>
      <c r="DT47" s="623"/>
      <c r="DU47" s="623"/>
      <c r="DV47" s="623"/>
      <c r="DW47" s="623"/>
      <c r="DX47" s="623"/>
      <c r="DY47" s="623"/>
      <c r="DZ47" s="623"/>
      <c r="EA47" s="623"/>
      <c r="EB47" s="623"/>
      <c r="EC47" s="623"/>
      <c r="ED47" s="623"/>
      <c r="EE47" s="623"/>
      <c r="EF47" s="623"/>
      <c r="EG47" s="623"/>
      <c r="EH47" s="623"/>
      <c r="EI47" s="623"/>
      <c r="EJ47" s="623"/>
      <c r="EK47" s="623"/>
      <c r="EL47" s="623"/>
      <c r="EM47" s="623"/>
      <c r="EN47" s="623"/>
      <c r="EO47" s="623"/>
      <c r="EP47" s="623"/>
      <c r="EQ47" s="623"/>
      <c r="ER47" s="623"/>
      <c r="ES47" s="623"/>
      <c r="ET47" s="623"/>
      <c r="EU47" s="623"/>
      <c r="EV47" s="623"/>
      <c r="EW47" s="623"/>
      <c r="EX47" s="623"/>
      <c r="EY47" s="623"/>
      <c r="EZ47" s="623"/>
      <c r="FA47" s="623"/>
      <c r="FB47" s="623"/>
      <c r="FC47" s="623"/>
      <c r="FD47" s="623"/>
      <c r="FE47" s="623"/>
      <c r="FF47" s="623"/>
      <c r="FG47" s="623"/>
      <c r="FH47" s="623"/>
    </row>
    <row r="48" spans="1:164">
      <c r="A48" s="623" t="s">
        <v>5061</v>
      </c>
      <c r="B48" s="623" t="s">
        <v>104</v>
      </c>
      <c r="C48" s="623" t="s">
        <v>2334</v>
      </c>
      <c r="D48" s="623" t="s">
        <v>105</v>
      </c>
      <c r="E48" s="623" t="s">
        <v>679</v>
      </c>
      <c r="F48" s="623" t="s">
        <v>107</v>
      </c>
      <c r="G48" s="623" t="s">
        <v>108</v>
      </c>
      <c r="H48" s="623" t="s">
        <v>553</v>
      </c>
      <c r="I48" s="623" t="s">
        <v>554</v>
      </c>
      <c r="J48" s="623" t="s">
        <v>1930</v>
      </c>
      <c r="K48" s="623" t="s">
        <v>680</v>
      </c>
      <c r="L48" s="623"/>
      <c r="M48" s="623"/>
      <c r="N48" s="623"/>
      <c r="O48" s="623"/>
      <c r="P48" s="623"/>
      <c r="Q48" s="623"/>
      <c r="R48" s="623"/>
      <c r="S48" s="623"/>
      <c r="T48" s="623"/>
      <c r="U48" s="623"/>
      <c r="V48" s="623"/>
      <c r="W48" s="623"/>
      <c r="X48" s="623"/>
      <c r="Y48" s="623"/>
      <c r="Z48" s="623"/>
      <c r="AA48" s="623"/>
      <c r="AB48" s="623"/>
      <c r="AC48" s="623"/>
      <c r="AD48" s="623"/>
      <c r="AE48" s="623"/>
      <c r="AF48" s="623"/>
      <c r="AG48" s="623"/>
      <c r="AH48" s="623"/>
      <c r="AI48" s="623"/>
      <c r="AJ48" s="623"/>
      <c r="AK48" s="623"/>
      <c r="AL48" s="623"/>
      <c r="AM48" s="623"/>
      <c r="AN48" s="623"/>
      <c r="AO48" s="623"/>
      <c r="AP48" s="623"/>
      <c r="AQ48" s="623"/>
      <c r="AR48" s="623"/>
      <c r="AS48" s="623"/>
      <c r="AT48" s="623"/>
      <c r="AU48" s="623"/>
      <c r="AV48" s="623"/>
      <c r="AW48" s="623"/>
      <c r="AX48" s="623"/>
      <c r="AY48" s="623"/>
      <c r="AZ48" s="623"/>
      <c r="BA48" s="623"/>
      <c r="BB48" s="623"/>
      <c r="BC48" s="623"/>
      <c r="BD48" s="623"/>
      <c r="BE48" s="623"/>
      <c r="BF48" s="623"/>
      <c r="BG48" s="623"/>
      <c r="BH48" s="623"/>
      <c r="BI48" s="623"/>
      <c r="BJ48" s="623"/>
      <c r="BK48" s="623"/>
      <c r="BL48" s="623"/>
      <c r="BM48" s="623"/>
      <c r="BN48" s="623"/>
      <c r="BO48" s="623"/>
      <c r="BP48" s="623"/>
      <c r="BQ48" s="623"/>
      <c r="BR48" s="623"/>
      <c r="BS48" s="623"/>
      <c r="BT48" s="623"/>
      <c r="BU48" s="623"/>
      <c r="BV48" s="623"/>
      <c r="BW48" s="623"/>
      <c r="BX48" s="623"/>
      <c r="BY48" s="623"/>
      <c r="BZ48" s="623"/>
      <c r="CA48" s="623"/>
      <c r="CB48" s="623"/>
      <c r="CC48" s="623"/>
      <c r="CD48" s="623"/>
      <c r="CE48" s="623"/>
      <c r="CF48" s="623"/>
      <c r="CG48" s="623"/>
      <c r="CH48" s="623"/>
      <c r="CI48" s="623"/>
      <c r="CJ48" s="623"/>
      <c r="CK48" s="623"/>
      <c r="CL48" s="623"/>
      <c r="CM48" s="623"/>
      <c r="CN48" s="623"/>
      <c r="CO48" s="623"/>
      <c r="CP48" s="623"/>
      <c r="CQ48" s="623"/>
      <c r="CR48" s="623"/>
      <c r="CS48" s="623"/>
      <c r="CT48" s="623"/>
      <c r="CU48" s="623"/>
      <c r="CV48" s="623"/>
      <c r="CW48" s="623"/>
      <c r="CX48" s="623"/>
      <c r="CY48" s="623"/>
      <c r="CZ48" s="623"/>
      <c r="DA48" s="623"/>
      <c r="DB48" s="623"/>
      <c r="DC48" s="623"/>
      <c r="DD48" s="623"/>
      <c r="DE48" s="623"/>
      <c r="DF48" s="623"/>
      <c r="DG48" s="623"/>
      <c r="DH48" s="623"/>
      <c r="DI48" s="623"/>
      <c r="DJ48" s="623"/>
      <c r="DK48" s="623"/>
      <c r="DL48" s="623"/>
      <c r="DM48" s="623"/>
      <c r="DN48" s="623"/>
      <c r="DO48" s="623"/>
      <c r="DP48" s="623"/>
      <c r="DQ48" s="623"/>
      <c r="DR48" s="623"/>
      <c r="DS48" s="623"/>
      <c r="DT48" s="623"/>
      <c r="DU48" s="623"/>
      <c r="DV48" s="623"/>
      <c r="DW48" s="623"/>
      <c r="DX48" s="623"/>
      <c r="DY48" s="623"/>
      <c r="DZ48" s="623"/>
      <c r="EA48" s="623"/>
      <c r="EB48" s="623"/>
      <c r="EC48" s="623"/>
      <c r="ED48" s="623"/>
      <c r="EE48" s="623"/>
      <c r="EF48" s="623"/>
      <c r="EG48" s="623"/>
      <c r="EH48" s="623"/>
      <c r="EI48" s="623"/>
      <c r="EJ48" s="623"/>
      <c r="EK48" s="623"/>
      <c r="EL48" s="623"/>
      <c r="EM48" s="623"/>
      <c r="EN48" s="623"/>
      <c r="EO48" s="623"/>
      <c r="EP48" s="623"/>
      <c r="EQ48" s="623"/>
      <c r="ER48" s="623"/>
      <c r="ES48" s="623"/>
      <c r="ET48" s="623"/>
      <c r="EU48" s="623"/>
      <c r="EV48" s="623"/>
      <c r="EW48" s="623"/>
      <c r="EX48" s="623"/>
      <c r="EY48" s="623"/>
      <c r="EZ48" s="623"/>
      <c r="FA48" s="623"/>
      <c r="FB48" s="623"/>
      <c r="FC48" s="623"/>
      <c r="FD48" s="623"/>
      <c r="FE48" s="623"/>
      <c r="FF48" s="623"/>
      <c r="FG48" s="623"/>
      <c r="FH48" s="623"/>
    </row>
    <row r="49" spans="1:164">
      <c r="A49" s="623" t="s">
        <v>5062</v>
      </c>
      <c r="B49" s="623" t="s">
        <v>2335</v>
      </c>
      <c r="C49" s="623" t="s">
        <v>2207</v>
      </c>
      <c r="D49" s="623" t="s">
        <v>2336</v>
      </c>
      <c r="E49" s="623" t="s">
        <v>2337</v>
      </c>
      <c r="F49" s="623" t="s">
        <v>2338</v>
      </c>
      <c r="G49" s="623" t="s">
        <v>2339</v>
      </c>
      <c r="H49" s="623" t="s">
        <v>2340</v>
      </c>
      <c r="I49" s="623" t="s">
        <v>2341</v>
      </c>
      <c r="J49" s="623" t="s">
        <v>2342</v>
      </c>
      <c r="K49" s="623" t="s">
        <v>2343</v>
      </c>
      <c r="L49" s="623" t="s">
        <v>2344</v>
      </c>
      <c r="M49" s="623" t="s">
        <v>2356</v>
      </c>
      <c r="N49" s="623" t="s">
        <v>2345</v>
      </c>
      <c r="O49" s="623" t="s">
        <v>734</v>
      </c>
      <c r="P49" s="623" t="s">
        <v>2346</v>
      </c>
      <c r="Q49" s="623" t="s">
        <v>2347</v>
      </c>
      <c r="R49" s="623" t="s">
        <v>2348</v>
      </c>
      <c r="S49" s="623"/>
      <c r="T49" s="623"/>
      <c r="U49" s="623"/>
      <c r="V49" s="623"/>
      <c r="W49" s="623"/>
      <c r="X49" s="623"/>
      <c r="Y49" s="623"/>
      <c r="Z49" s="623"/>
      <c r="AA49" s="623"/>
      <c r="AB49" s="623"/>
      <c r="AC49" s="623"/>
      <c r="AD49" s="623"/>
      <c r="AE49" s="623"/>
      <c r="AF49" s="623"/>
      <c r="AG49" s="623"/>
      <c r="AH49" s="623"/>
      <c r="AI49" s="623"/>
      <c r="AJ49" s="623"/>
      <c r="AK49" s="623"/>
      <c r="AL49" s="623"/>
      <c r="AM49" s="623"/>
      <c r="AN49" s="623"/>
      <c r="AO49" s="623"/>
      <c r="AP49" s="623"/>
      <c r="AQ49" s="623"/>
      <c r="AR49" s="623"/>
      <c r="AS49" s="623"/>
      <c r="AT49" s="623"/>
      <c r="AU49" s="623"/>
      <c r="AV49" s="623"/>
      <c r="AW49" s="623"/>
      <c r="AX49" s="623"/>
      <c r="AY49" s="623"/>
      <c r="AZ49" s="623"/>
      <c r="BA49" s="623"/>
      <c r="BB49" s="623"/>
      <c r="BC49" s="623"/>
      <c r="BD49" s="623"/>
      <c r="BE49" s="623"/>
      <c r="BF49" s="623"/>
      <c r="BG49" s="623"/>
      <c r="BH49" s="623"/>
      <c r="BI49" s="623"/>
      <c r="BJ49" s="623"/>
      <c r="BK49" s="623"/>
      <c r="BL49" s="623"/>
      <c r="BM49" s="623"/>
      <c r="BN49" s="623"/>
      <c r="BO49" s="623"/>
      <c r="BP49" s="623"/>
      <c r="BQ49" s="623"/>
      <c r="BR49" s="623"/>
      <c r="BS49" s="623"/>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623"/>
      <c r="DA49" s="623"/>
      <c r="DB49" s="623"/>
      <c r="DC49" s="623"/>
      <c r="DD49" s="623"/>
      <c r="DE49" s="623"/>
      <c r="DF49" s="623"/>
      <c r="DG49" s="623"/>
      <c r="DH49" s="623"/>
      <c r="DI49" s="623"/>
      <c r="DJ49" s="623"/>
      <c r="DK49" s="623"/>
      <c r="DL49" s="623"/>
      <c r="DM49" s="623"/>
      <c r="DN49" s="623"/>
      <c r="DO49" s="623"/>
      <c r="DP49" s="623"/>
      <c r="DQ49" s="623"/>
      <c r="DR49" s="623"/>
      <c r="DS49" s="623"/>
      <c r="DT49" s="623"/>
      <c r="DU49" s="623"/>
      <c r="DV49" s="623"/>
      <c r="DW49" s="623"/>
      <c r="DX49" s="623"/>
      <c r="DY49" s="623"/>
      <c r="DZ49" s="623"/>
      <c r="EA49" s="623"/>
      <c r="EB49" s="623"/>
      <c r="EC49" s="623"/>
      <c r="ED49" s="623"/>
      <c r="EE49" s="623"/>
      <c r="EF49" s="623"/>
      <c r="EG49" s="623"/>
      <c r="EH49" s="623"/>
      <c r="EI49" s="623"/>
      <c r="EJ49" s="623"/>
      <c r="EK49" s="623"/>
      <c r="EL49" s="623"/>
      <c r="EM49" s="623"/>
      <c r="EN49" s="623"/>
      <c r="EO49" s="623"/>
      <c r="EP49" s="623"/>
      <c r="EQ49" s="623"/>
      <c r="ER49" s="623"/>
      <c r="ES49" s="623"/>
      <c r="ET49" s="623"/>
      <c r="EU49" s="623"/>
      <c r="EV49" s="623"/>
      <c r="EW49" s="623"/>
      <c r="EX49" s="623"/>
      <c r="EY49" s="623"/>
      <c r="EZ49" s="623"/>
      <c r="FA49" s="623"/>
      <c r="FB49" s="623"/>
      <c r="FC49" s="623"/>
      <c r="FD49" s="623"/>
      <c r="FE49" s="623"/>
      <c r="FF49" s="623"/>
      <c r="FG49" s="623"/>
      <c r="FH49" s="623"/>
    </row>
    <row r="50" spans="1:164">
      <c r="A50" s="623" t="s">
        <v>5063</v>
      </c>
      <c r="B50" s="623" t="s">
        <v>661</v>
      </c>
      <c r="C50" s="623" t="s">
        <v>2335</v>
      </c>
      <c r="D50" s="623" t="s">
        <v>2207</v>
      </c>
      <c r="E50" s="623" t="s">
        <v>2336</v>
      </c>
      <c r="F50" s="623" t="s">
        <v>2349</v>
      </c>
      <c r="G50" s="623" t="s">
        <v>2350</v>
      </c>
      <c r="H50" s="623" t="s">
        <v>2338</v>
      </c>
      <c r="I50" s="623" t="s">
        <v>2339</v>
      </c>
      <c r="J50" s="623" t="s">
        <v>2351</v>
      </c>
      <c r="K50" s="623" t="s">
        <v>2352</v>
      </c>
      <c r="L50" s="623" t="s">
        <v>2353</v>
      </c>
      <c r="M50" s="623" t="s">
        <v>2354</v>
      </c>
      <c r="N50" s="623" t="s">
        <v>2341</v>
      </c>
      <c r="O50" s="623" t="s">
        <v>2355</v>
      </c>
      <c r="P50" s="623" t="s">
        <v>2342</v>
      </c>
      <c r="Q50" s="623" t="s">
        <v>733</v>
      </c>
      <c r="R50" s="623" t="s">
        <v>2343</v>
      </c>
      <c r="S50" s="623" t="s">
        <v>2344</v>
      </c>
      <c r="T50" s="623" t="s">
        <v>2356</v>
      </c>
      <c r="U50" s="623" t="s">
        <v>734</v>
      </c>
      <c r="V50" s="623" t="s">
        <v>2357</v>
      </c>
      <c r="W50" s="623" t="s">
        <v>2346</v>
      </c>
      <c r="X50" s="623" t="s">
        <v>2347</v>
      </c>
      <c r="Y50" s="623" t="s">
        <v>2348</v>
      </c>
      <c r="Z50" s="623"/>
      <c r="AA50" s="623"/>
      <c r="AB50" s="623"/>
      <c r="AC50" s="623"/>
      <c r="AD50" s="623"/>
      <c r="AE50" s="623"/>
      <c r="AF50" s="623"/>
      <c r="AG50" s="623"/>
      <c r="AH50" s="623"/>
      <c r="AI50" s="623"/>
      <c r="AJ50" s="623"/>
      <c r="AK50" s="623"/>
      <c r="AL50" s="623"/>
      <c r="AM50" s="623"/>
      <c r="AN50" s="623"/>
      <c r="AO50" s="623"/>
      <c r="AP50" s="623"/>
      <c r="AQ50" s="623"/>
      <c r="AR50" s="623"/>
      <c r="AS50" s="623"/>
      <c r="AT50" s="623"/>
      <c r="AU50" s="623"/>
      <c r="AV50" s="623"/>
      <c r="AW50" s="623"/>
      <c r="AX50" s="623"/>
      <c r="AY50" s="623"/>
      <c r="AZ50" s="623"/>
      <c r="BA50" s="623"/>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c r="BY50" s="623"/>
      <c r="BZ50" s="623"/>
      <c r="CA50" s="623"/>
      <c r="CB50" s="623"/>
      <c r="CC50" s="623"/>
      <c r="CD50" s="623"/>
      <c r="CE50" s="623"/>
      <c r="CF50" s="623"/>
      <c r="CG50" s="623"/>
      <c r="CH50" s="623"/>
      <c r="CI50" s="623"/>
      <c r="CJ50" s="623"/>
      <c r="CK50" s="623"/>
      <c r="CL50" s="623"/>
      <c r="CM50" s="623"/>
      <c r="CN50" s="623"/>
      <c r="CO50" s="623"/>
      <c r="CP50" s="623"/>
      <c r="CQ50" s="623"/>
      <c r="CR50" s="623"/>
      <c r="CS50" s="623"/>
      <c r="CT50" s="623"/>
      <c r="CU50" s="623"/>
      <c r="CV50" s="623"/>
      <c r="CW50" s="623"/>
      <c r="CX50" s="623"/>
      <c r="CY50" s="623"/>
      <c r="CZ50" s="623"/>
      <c r="DA50" s="623"/>
      <c r="DB50" s="623"/>
      <c r="DC50" s="623"/>
      <c r="DD50" s="623"/>
      <c r="DE50" s="623"/>
      <c r="DF50" s="623"/>
      <c r="DG50" s="623"/>
      <c r="DH50" s="623"/>
      <c r="DI50" s="623"/>
      <c r="DJ50" s="623"/>
      <c r="DK50" s="623"/>
      <c r="DL50" s="623"/>
      <c r="DM50" s="623"/>
      <c r="DN50" s="623"/>
      <c r="DO50" s="623"/>
      <c r="DP50" s="623"/>
      <c r="DQ50" s="623"/>
      <c r="DR50" s="623"/>
      <c r="DS50" s="623"/>
      <c r="DT50" s="623"/>
      <c r="DU50" s="623"/>
      <c r="DV50" s="623"/>
      <c r="DW50" s="623"/>
      <c r="DX50" s="623"/>
      <c r="DY50" s="623"/>
      <c r="DZ50" s="623"/>
      <c r="EA50" s="623"/>
      <c r="EB50" s="623"/>
      <c r="EC50" s="623"/>
      <c r="ED50" s="623"/>
      <c r="EE50" s="623"/>
      <c r="EF50" s="623"/>
      <c r="EG50" s="623"/>
      <c r="EH50" s="623"/>
      <c r="EI50" s="623"/>
      <c r="EJ50" s="623"/>
      <c r="EK50" s="623"/>
      <c r="EL50" s="623"/>
      <c r="EM50" s="623"/>
      <c r="EN50" s="623"/>
      <c r="EO50" s="623"/>
      <c r="EP50" s="623"/>
      <c r="EQ50" s="623"/>
      <c r="ER50" s="623"/>
      <c r="ES50" s="623"/>
      <c r="ET50" s="623"/>
      <c r="EU50" s="623"/>
      <c r="EV50" s="623"/>
      <c r="EW50" s="623"/>
      <c r="EX50" s="623"/>
      <c r="EY50" s="623"/>
      <c r="EZ50" s="623"/>
      <c r="FA50" s="623"/>
      <c r="FB50" s="623"/>
      <c r="FC50" s="623"/>
      <c r="FD50" s="623"/>
      <c r="FE50" s="623"/>
      <c r="FF50" s="623"/>
      <c r="FG50" s="623"/>
      <c r="FH50" s="623"/>
    </row>
    <row r="51" spans="1:164">
      <c r="A51" s="623" t="s">
        <v>5064</v>
      </c>
      <c r="B51" s="623" t="s">
        <v>2347</v>
      </c>
      <c r="C51" s="623" t="s">
        <v>2346</v>
      </c>
      <c r="D51" s="623" t="s">
        <v>2336</v>
      </c>
      <c r="E51" s="623" t="s">
        <v>2348</v>
      </c>
      <c r="F51" s="623" t="s">
        <v>4763</v>
      </c>
      <c r="G51" s="623" t="s">
        <v>2287</v>
      </c>
      <c r="H51" s="623" t="s">
        <v>2288</v>
      </c>
      <c r="I51" s="623" t="s">
        <v>4762</v>
      </c>
      <c r="J51" s="623"/>
      <c r="K51" s="623"/>
      <c r="L51" s="623"/>
      <c r="M51" s="623"/>
      <c r="N51" s="623"/>
      <c r="O51" s="623"/>
      <c r="P51" s="623"/>
      <c r="Q51" s="623"/>
      <c r="R51" s="623"/>
      <c r="S51" s="623"/>
      <c r="T51" s="623"/>
      <c r="U51" s="623"/>
      <c r="V51" s="623"/>
      <c r="W51" s="623"/>
      <c r="X51" s="623"/>
      <c r="Y51" s="623"/>
      <c r="Z51" s="623"/>
      <c r="AA51" s="623"/>
      <c r="AB51" s="623"/>
      <c r="AC51" s="623"/>
      <c r="AD51" s="623"/>
      <c r="AE51" s="623"/>
      <c r="AF51" s="623"/>
      <c r="AG51" s="623"/>
      <c r="AH51" s="623"/>
      <c r="AI51" s="623"/>
      <c r="AJ51" s="623"/>
      <c r="AK51" s="623"/>
      <c r="AL51" s="623"/>
      <c r="AM51" s="623"/>
      <c r="AN51" s="623"/>
      <c r="AO51" s="623"/>
      <c r="AP51" s="623"/>
      <c r="AQ51" s="623"/>
      <c r="AR51" s="623"/>
      <c r="AS51" s="623"/>
      <c r="AT51" s="623"/>
      <c r="AU51" s="623"/>
      <c r="AV51" s="623"/>
      <c r="AW51" s="623"/>
      <c r="AX51" s="623"/>
      <c r="AY51" s="623"/>
      <c r="AZ51" s="623"/>
      <c r="BA51" s="623"/>
      <c r="BB51" s="623"/>
      <c r="BC51" s="623"/>
      <c r="BD51" s="623"/>
      <c r="BE51" s="623"/>
      <c r="BF51" s="623"/>
      <c r="BG51" s="623"/>
      <c r="BH51" s="623"/>
      <c r="BI51" s="623"/>
      <c r="BJ51" s="623"/>
      <c r="BK51" s="623"/>
      <c r="BL51" s="623"/>
      <c r="BM51" s="623"/>
      <c r="BN51" s="623"/>
      <c r="BO51" s="623"/>
      <c r="BP51" s="623"/>
      <c r="BQ51" s="623"/>
      <c r="BR51" s="623"/>
      <c r="BS51" s="623"/>
      <c r="BT51" s="623"/>
      <c r="BU51" s="623"/>
      <c r="BV51" s="623"/>
      <c r="BW51" s="623"/>
      <c r="BX51" s="623"/>
      <c r="BY51" s="623"/>
      <c r="BZ51" s="623"/>
      <c r="CA51" s="623"/>
      <c r="CB51" s="623"/>
      <c r="CC51" s="623"/>
      <c r="CD51" s="623"/>
      <c r="CE51" s="623"/>
      <c r="CF51" s="623"/>
      <c r="CG51" s="623"/>
      <c r="CH51" s="623"/>
      <c r="CI51" s="623"/>
      <c r="CJ51" s="623"/>
      <c r="CK51" s="623"/>
      <c r="CL51" s="623"/>
      <c r="CM51" s="623"/>
      <c r="CN51" s="623"/>
      <c r="CO51" s="623"/>
      <c r="CP51" s="623"/>
      <c r="CQ51" s="623"/>
      <c r="CR51" s="623"/>
      <c r="CS51" s="623"/>
      <c r="CT51" s="623"/>
      <c r="CU51" s="623"/>
      <c r="CV51" s="623"/>
      <c r="CW51" s="623"/>
      <c r="CX51" s="623"/>
      <c r="CY51" s="623"/>
      <c r="CZ51" s="623"/>
      <c r="DA51" s="623"/>
      <c r="DB51" s="623"/>
      <c r="DC51" s="623"/>
      <c r="DD51" s="623"/>
      <c r="DE51" s="623"/>
      <c r="DF51" s="623"/>
      <c r="DG51" s="623"/>
      <c r="DH51" s="623"/>
      <c r="DI51" s="623"/>
      <c r="DJ51" s="623"/>
      <c r="DK51" s="623"/>
      <c r="DL51" s="623"/>
      <c r="DM51" s="623"/>
      <c r="DN51" s="623"/>
      <c r="DO51" s="623"/>
      <c r="DP51" s="623"/>
      <c r="DQ51" s="623"/>
      <c r="DR51" s="623"/>
      <c r="DS51" s="623"/>
      <c r="DT51" s="623"/>
      <c r="DU51" s="623"/>
      <c r="DV51" s="623"/>
      <c r="DW51" s="623"/>
      <c r="DX51" s="623"/>
      <c r="DY51" s="623"/>
      <c r="DZ51" s="623"/>
      <c r="EA51" s="623"/>
      <c r="EB51" s="623"/>
      <c r="EC51" s="623"/>
      <c r="ED51" s="623"/>
      <c r="EE51" s="623"/>
      <c r="EF51" s="623"/>
      <c r="EG51" s="623"/>
      <c r="EH51" s="623"/>
      <c r="EI51" s="623"/>
      <c r="EJ51" s="623"/>
      <c r="EK51" s="623"/>
      <c r="EL51" s="623"/>
      <c r="EM51" s="623"/>
      <c r="EN51" s="623"/>
      <c r="EO51" s="623"/>
      <c r="EP51" s="623"/>
      <c r="EQ51" s="623"/>
      <c r="ER51" s="623"/>
      <c r="ES51" s="623"/>
      <c r="ET51" s="623"/>
      <c r="EU51" s="623"/>
      <c r="EV51" s="623"/>
      <c r="EW51" s="623"/>
      <c r="EX51" s="623"/>
      <c r="EY51" s="623"/>
      <c r="EZ51" s="623"/>
      <c r="FA51" s="623"/>
      <c r="FB51" s="623"/>
      <c r="FC51" s="623"/>
      <c r="FD51" s="623"/>
      <c r="FE51" s="623"/>
      <c r="FF51" s="623"/>
      <c r="FG51" s="623"/>
      <c r="FH51" s="623"/>
    </row>
    <row r="52" spans="1:164">
      <c r="A52" s="623" t="s">
        <v>5065</v>
      </c>
      <c r="B52" s="623" t="s">
        <v>2884</v>
      </c>
      <c r="C52" s="623" t="s">
        <v>5066</v>
      </c>
      <c r="D52" s="623" t="s">
        <v>5067</v>
      </c>
      <c r="E52" s="623" t="s">
        <v>202</v>
      </c>
      <c r="F52" s="623"/>
      <c r="G52" s="623"/>
      <c r="H52" s="623"/>
      <c r="I52" s="623"/>
      <c r="J52" s="623"/>
      <c r="K52" s="623"/>
      <c r="L52" s="623"/>
      <c r="M52" s="623"/>
      <c r="N52" s="623"/>
      <c r="O52" s="623"/>
      <c r="P52" s="623"/>
      <c r="Q52" s="623"/>
      <c r="R52" s="623"/>
      <c r="S52" s="623"/>
      <c r="T52" s="623"/>
      <c r="U52" s="623"/>
      <c r="V52" s="623"/>
      <c r="W52" s="623"/>
      <c r="X52" s="623"/>
      <c r="Y52" s="623"/>
      <c r="Z52" s="623"/>
      <c r="AA52" s="623"/>
      <c r="AB52" s="623"/>
      <c r="AC52" s="623"/>
      <c r="AD52" s="623"/>
      <c r="AE52" s="623"/>
      <c r="AF52" s="623"/>
      <c r="AG52" s="623"/>
      <c r="AH52" s="623"/>
      <c r="AI52" s="623"/>
      <c r="AJ52" s="623"/>
      <c r="AK52" s="623"/>
      <c r="AL52" s="623"/>
      <c r="AM52" s="623"/>
      <c r="AN52" s="623"/>
      <c r="AO52" s="623"/>
      <c r="AP52" s="623"/>
      <c r="AQ52" s="623"/>
      <c r="AR52" s="623"/>
      <c r="AS52" s="623"/>
      <c r="AT52" s="623"/>
      <c r="AU52" s="623"/>
      <c r="AV52" s="623"/>
      <c r="AW52" s="623"/>
      <c r="AX52" s="623"/>
      <c r="AY52" s="623"/>
      <c r="AZ52" s="623"/>
      <c r="BA52" s="623"/>
      <c r="BB52" s="623"/>
      <c r="BC52" s="623"/>
      <c r="BD52" s="623"/>
      <c r="BE52" s="623"/>
      <c r="BF52" s="623"/>
      <c r="BG52" s="623"/>
      <c r="BH52" s="623"/>
      <c r="BI52" s="623"/>
      <c r="BJ52" s="623"/>
      <c r="BK52" s="623"/>
      <c r="BL52" s="623"/>
      <c r="BM52" s="623"/>
      <c r="BN52" s="623"/>
      <c r="BO52" s="623"/>
      <c r="BP52" s="623"/>
      <c r="BQ52" s="623"/>
      <c r="BR52" s="623"/>
      <c r="BS52" s="623"/>
      <c r="BT52" s="623"/>
      <c r="BU52" s="623"/>
      <c r="BV52" s="623"/>
      <c r="BW52" s="623"/>
      <c r="BX52" s="623"/>
      <c r="BY52" s="623"/>
      <c r="BZ52" s="623"/>
      <c r="CA52" s="623"/>
      <c r="CB52" s="623"/>
      <c r="CC52" s="623"/>
      <c r="CD52" s="623"/>
      <c r="CE52" s="623"/>
      <c r="CF52" s="623"/>
      <c r="CG52" s="623"/>
      <c r="CH52" s="623"/>
      <c r="CI52" s="623"/>
      <c r="CJ52" s="623"/>
      <c r="CK52" s="623"/>
      <c r="CL52" s="623"/>
      <c r="CM52" s="623"/>
      <c r="CN52" s="623"/>
      <c r="CO52" s="623"/>
      <c r="CP52" s="623"/>
      <c r="CQ52" s="623"/>
      <c r="CR52" s="623"/>
      <c r="CS52" s="623"/>
      <c r="CT52" s="623"/>
      <c r="CU52" s="623"/>
      <c r="CV52" s="623"/>
      <c r="CW52" s="623"/>
      <c r="CX52" s="623"/>
      <c r="CY52" s="623"/>
      <c r="CZ52" s="623"/>
      <c r="DA52" s="623"/>
      <c r="DB52" s="623"/>
      <c r="DC52" s="623"/>
      <c r="DD52" s="623"/>
      <c r="DE52" s="623"/>
      <c r="DF52" s="623"/>
      <c r="DG52" s="623"/>
      <c r="DH52" s="623"/>
      <c r="DI52" s="623"/>
      <c r="DJ52" s="623"/>
      <c r="DK52" s="623"/>
      <c r="DL52" s="623"/>
      <c r="DM52" s="623"/>
      <c r="DN52" s="623"/>
      <c r="DO52" s="623"/>
      <c r="DP52" s="623"/>
      <c r="DQ52" s="623"/>
      <c r="DR52" s="623"/>
      <c r="DS52" s="623"/>
      <c r="DT52" s="623"/>
      <c r="DU52" s="623"/>
      <c r="DV52" s="623"/>
      <c r="DW52" s="623"/>
      <c r="DX52" s="623"/>
      <c r="DY52" s="623"/>
      <c r="DZ52" s="623"/>
      <c r="EA52" s="623"/>
      <c r="EB52" s="623"/>
      <c r="EC52" s="623"/>
      <c r="ED52" s="623"/>
      <c r="EE52" s="623"/>
      <c r="EF52" s="623"/>
      <c r="EG52" s="623"/>
      <c r="EH52" s="623"/>
      <c r="EI52" s="623"/>
      <c r="EJ52" s="623"/>
      <c r="EK52" s="623"/>
      <c r="EL52" s="623"/>
      <c r="EM52" s="623"/>
      <c r="EN52" s="623"/>
      <c r="EO52" s="623"/>
      <c r="EP52" s="623"/>
      <c r="EQ52" s="623"/>
      <c r="ER52" s="623"/>
      <c r="ES52" s="623"/>
      <c r="ET52" s="623"/>
      <c r="EU52" s="623"/>
      <c r="EV52" s="623"/>
      <c r="EW52" s="623"/>
      <c r="EX52" s="623"/>
      <c r="EY52" s="623"/>
      <c r="EZ52" s="623"/>
      <c r="FA52" s="623"/>
      <c r="FB52" s="623"/>
      <c r="FC52" s="623"/>
      <c r="FD52" s="623"/>
      <c r="FE52" s="623"/>
      <c r="FF52" s="623"/>
      <c r="FG52" s="623"/>
      <c r="FH52" s="623"/>
    </row>
    <row r="53" spans="1:164">
      <c r="A53" s="623" t="s">
        <v>5068</v>
      </c>
      <c r="B53" s="623" t="s">
        <v>699</v>
      </c>
      <c r="C53" s="623" t="s">
        <v>702</v>
      </c>
      <c r="D53" s="623" t="s">
        <v>714</v>
      </c>
      <c r="E53" s="623" t="s">
        <v>703</v>
      </c>
      <c r="F53" s="623" t="s">
        <v>704</v>
      </c>
      <c r="G53" s="623" t="s">
        <v>705</v>
      </c>
      <c r="H53" s="623" t="s">
        <v>706</v>
      </c>
      <c r="I53" s="623" t="s">
        <v>707</v>
      </c>
      <c r="J53" s="623" t="s">
        <v>708</v>
      </c>
      <c r="K53" s="623" t="s">
        <v>709</v>
      </c>
      <c r="L53" s="623" t="s">
        <v>710</v>
      </c>
      <c r="M53" s="623" t="s">
        <v>711</v>
      </c>
      <c r="N53" s="623" t="s">
        <v>712</v>
      </c>
      <c r="O53" s="623" t="s">
        <v>713</v>
      </c>
      <c r="P53" s="623" t="s">
        <v>2358</v>
      </c>
      <c r="Q53" s="623"/>
      <c r="R53" s="623"/>
      <c r="S53" s="623"/>
      <c r="T53" s="623"/>
      <c r="U53" s="623"/>
      <c r="V53" s="623"/>
      <c r="W53" s="623"/>
      <c r="X53" s="623"/>
      <c r="Y53" s="623"/>
      <c r="Z53" s="623"/>
      <c r="AA53" s="623"/>
      <c r="AB53" s="623"/>
      <c r="AC53" s="623"/>
      <c r="AD53" s="623"/>
      <c r="AE53" s="623"/>
      <c r="AF53" s="623"/>
      <c r="AG53" s="623"/>
      <c r="AH53" s="623"/>
      <c r="AI53" s="623"/>
      <c r="AJ53" s="623"/>
      <c r="AK53" s="623"/>
      <c r="AL53" s="623"/>
      <c r="AM53" s="623"/>
      <c r="AN53" s="623"/>
      <c r="AO53" s="623"/>
      <c r="AP53" s="623"/>
      <c r="AQ53" s="623"/>
      <c r="AR53" s="623"/>
      <c r="AS53" s="623"/>
      <c r="AT53" s="623"/>
      <c r="AU53" s="623"/>
      <c r="AV53" s="623"/>
      <c r="AW53" s="623"/>
      <c r="AX53" s="623"/>
      <c r="AY53" s="623"/>
      <c r="AZ53" s="623"/>
      <c r="BA53" s="623"/>
      <c r="BB53" s="623"/>
      <c r="BC53" s="623"/>
      <c r="BD53" s="623"/>
      <c r="BE53" s="623"/>
      <c r="BF53" s="623"/>
      <c r="BG53" s="623"/>
      <c r="BH53" s="623"/>
      <c r="BI53" s="623"/>
      <c r="BJ53" s="623"/>
      <c r="BK53" s="623"/>
      <c r="BL53" s="623"/>
      <c r="BM53" s="623"/>
      <c r="BN53" s="623"/>
      <c r="BO53" s="623"/>
      <c r="BP53" s="623"/>
      <c r="BQ53" s="623"/>
      <c r="BR53" s="623"/>
      <c r="BS53" s="623"/>
      <c r="BT53" s="623"/>
      <c r="BU53" s="623"/>
      <c r="BV53" s="623"/>
      <c r="BW53" s="623"/>
      <c r="BX53" s="623"/>
      <c r="BY53" s="623"/>
      <c r="BZ53" s="623"/>
      <c r="CA53" s="623"/>
      <c r="CB53" s="623"/>
      <c r="CC53" s="623"/>
      <c r="CD53" s="623"/>
      <c r="CE53" s="623"/>
      <c r="CF53" s="623"/>
      <c r="CG53" s="623"/>
      <c r="CH53" s="623"/>
      <c r="CI53" s="623"/>
      <c r="CJ53" s="623"/>
      <c r="CK53" s="623"/>
      <c r="CL53" s="623"/>
      <c r="CM53" s="623"/>
      <c r="CN53" s="623"/>
      <c r="CO53" s="623"/>
      <c r="CP53" s="623"/>
      <c r="CQ53" s="623"/>
      <c r="CR53" s="623"/>
      <c r="CS53" s="623"/>
      <c r="CT53" s="623"/>
      <c r="CU53" s="623"/>
      <c r="CV53" s="623"/>
      <c r="CW53" s="623"/>
      <c r="CX53" s="623"/>
      <c r="CY53" s="623"/>
      <c r="CZ53" s="623"/>
      <c r="DA53" s="623"/>
      <c r="DB53" s="623"/>
      <c r="DC53" s="623"/>
      <c r="DD53" s="623"/>
      <c r="DE53" s="623"/>
      <c r="DF53" s="623"/>
      <c r="DG53" s="623"/>
      <c r="DH53" s="623"/>
      <c r="DI53" s="623"/>
      <c r="DJ53" s="623"/>
      <c r="DK53" s="623"/>
      <c r="DL53" s="623"/>
      <c r="DM53" s="623"/>
      <c r="DN53" s="623"/>
      <c r="DO53" s="623"/>
      <c r="DP53" s="623"/>
      <c r="DQ53" s="623"/>
      <c r="DR53" s="623"/>
      <c r="DS53" s="623"/>
      <c r="DT53" s="623"/>
      <c r="DU53" s="623"/>
      <c r="DV53" s="623"/>
      <c r="DW53" s="623"/>
      <c r="DX53" s="623"/>
      <c r="DY53" s="623"/>
      <c r="DZ53" s="623"/>
      <c r="EA53" s="623"/>
      <c r="EB53" s="623"/>
      <c r="EC53" s="623"/>
      <c r="ED53" s="623"/>
      <c r="EE53" s="623"/>
      <c r="EF53" s="623"/>
      <c r="EG53" s="623"/>
      <c r="EH53" s="623"/>
      <c r="EI53" s="623"/>
      <c r="EJ53" s="623"/>
      <c r="EK53" s="623"/>
      <c r="EL53" s="623"/>
      <c r="EM53" s="623"/>
      <c r="EN53" s="623"/>
      <c r="EO53" s="623"/>
      <c r="EP53" s="623"/>
      <c r="EQ53" s="623"/>
      <c r="ER53" s="623"/>
      <c r="ES53" s="623"/>
      <c r="ET53" s="623"/>
      <c r="EU53" s="623"/>
      <c r="EV53" s="623"/>
      <c r="EW53" s="623"/>
      <c r="EX53" s="623"/>
      <c r="EY53" s="623"/>
      <c r="EZ53" s="623"/>
      <c r="FA53" s="623"/>
      <c r="FB53" s="623"/>
      <c r="FC53" s="623"/>
      <c r="FD53" s="623"/>
      <c r="FE53" s="623"/>
      <c r="FF53" s="623"/>
      <c r="FG53" s="623"/>
      <c r="FH53" s="623"/>
    </row>
    <row r="54" spans="1:164">
      <c r="A54" s="623" t="s">
        <v>5069</v>
      </c>
      <c r="B54" s="623" t="s">
        <v>5070</v>
      </c>
      <c r="C54" s="623" t="s">
        <v>2359</v>
      </c>
      <c r="D54" s="623" t="s">
        <v>2360</v>
      </c>
      <c r="E54" s="623" t="s">
        <v>2361</v>
      </c>
      <c r="F54" s="623" t="s">
        <v>2362</v>
      </c>
      <c r="G54" s="623" t="s">
        <v>2363</v>
      </c>
      <c r="H54" s="623" t="s">
        <v>2364</v>
      </c>
      <c r="I54" s="623"/>
      <c r="J54" s="623"/>
      <c r="K54" s="623"/>
      <c r="L54" s="623"/>
      <c r="M54" s="623"/>
      <c r="N54" s="623"/>
      <c r="O54" s="623"/>
      <c r="P54" s="623"/>
      <c r="Q54" s="623"/>
      <c r="R54" s="623"/>
      <c r="S54" s="623"/>
      <c r="T54" s="623"/>
      <c r="U54" s="623"/>
      <c r="V54" s="623"/>
      <c r="W54" s="623"/>
      <c r="X54" s="623"/>
      <c r="Y54" s="623"/>
      <c r="Z54" s="623"/>
      <c r="AA54" s="623"/>
      <c r="AB54" s="623"/>
      <c r="AC54" s="623"/>
      <c r="AD54" s="623"/>
      <c r="AE54" s="623"/>
      <c r="AF54" s="623"/>
      <c r="AG54" s="623"/>
      <c r="AH54" s="623"/>
      <c r="AI54" s="623"/>
      <c r="AJ54" s="623"/>
      <c r="AK54" s="623"/>
      <c r="AL54" s="623"/>
      <c r="AM54" s="623"/>
      <c r="AN54" s="623"/>
      <c r="AO54" s="623"/>
      <c r="AP54" s="623"/>
      <c r="AQ54" s="623"/>
      <c r="AR54" s="623"/>
      <c r="AS54" s="623"/>
      <c r="AT54" s="623"/>
      <c r="AU54" s="623"/>
      <c r="AV54" s="623"/>
      <c r="AW54" s="623"/>
      <c r="AX54" s="623"/>
      <c r="AY54" s="623"/>
      <c r="AZ54" s="623"/>
      <c r="BA54" s="623"/>
      <c r="BB54" s="623"/>
      <c r="BC54" s="623"/>
      <c r="BD54" s="623"/>
      <c r="BE54" s="623"/>
      <c r="BF54" s="623"/>
      <c r="BG54" s="623"/>
      <c r="BH54" s="623"/>
      <c r="BI54" s="623"/>
      <c r="BJ54" s="623"/>
      <c r="BK54" s="623"/>
      <c r="BL54" s="623"/>
      <c r="BM54" s="623"/>
      <c r="BN54" s="623"/>
      <c r="BO54" s="623"/>
      <c r="BP54" s="623"/>
      <c r="BQ54" s="623"/>
      <c r="BR54" s="623"/>
      <c r="BS54" s="623"/>
      <c r="BT54" s="623"/>
      <c r="BU54" s="623"/>
      <c r="BV54" s="623"/>
      <c r="BW54" s="623"/>
      <c r="BX54" s="623"/>
      <c r="BY54" s="623"/>
      <c r="BZ54" s="623"/>
      <c r="CA54" s="623"/>
      <c r="CB54" s="623"/>
      <c r="CC54" s="623"/>
      <c r="CD54" s="623"/>
      <c r="CE54" s="623"/>
      <c r="CF54" s="623"/>
      <c r="CG54" s="623"/>
      <c r="CH54" s="623"/>
      <c r="CI54" s="623"/>
      <c r="CJ54" s="623"/>
      <c r="CK54" s="623"/>
      <c r="CL54" s="623"/>
      <c r="CM54" s="623"/>
      <c r="CN54" s="623"/>
      <c r="CO54" s="623"/>
      <c r="CP54" s="623"/>
      <c r="CQ54" s="623"/>
      <c r="CR54" s="623"/>
      <c r="CS54" s="623"/>
      <c r="CT54" s="623"/>
      <c r="CU54" s="623"/>
      <c r="CV54" s="623"/>
      <c r="CW54" s="623"/>
      <c r="CX54" s="623"/>
      <c r="CY54" s="623"/>
      <c r="CZ54" s="623"/>
      <c r="DA54" s="623"/>
      <c r="DB54" s="623"/>
      <c r="DC54" s="623"/>
      <c r="DD54" s="623"/>
      <c r="DE54" s="623"/>
      <c r="DF54" s="623"/>
      <c r="DG54" s="623"/>
      <c r="DH54" s="623"/>
      <c r="DI54" s="623"/>
      <c r="DJ54" s="623"/>
      <c r="DK54" s="623"/>
      <c r="DL54" s="623"/>
      <c r="DM54" s="623"/>
      <c r="DN54" s="623"/>
      <c r="DO54" s="623"/>
      <c r="DP54" s="623"/>
      <c r="DQ54" s="623"/>
      <c r="DR54" s="623"/>
      <c r="DS54" s="623"/>
      <c r="DT54" s="623"/>
      <c r="DU54" s="623"/>
      <c r="DV54" s="623"/>
      <c r="DW54" s="623"/>
      <c r="DX54" s="623"/>
      <c r="DY54" s="623"/>
      <c r="DZ54" s="623"/>
      <c r="EA54" s="623"/>
      <c r="EB54" s="623"/>
      <c r="EC54" s="623"/>
      <c r="ED54" s="623"/>
      <c r="EE54" s="623"/>
      <c r="EF54" s="623"/>
      <c r="EG54" s="623"/>
      <c r="EH54" s="623"/>
      <c r="EI54" s="623"/>
      <c r="EJ54" s="623"/>
      <c r="EK54" s="623"/>
      <c r="EL54" s="623"/>
      <c r="EM54" s="623"/>
      <c r="EN54" s="623"/>
      <c r="EO54" s="623"/>
      <c r="EP54" s="623"/>
      <c r="EQ54" s="623"/>
      <c r="ER54" s="623"/>
      <c r="ES54" s="623"/>
      <c r="ET54" s="623"/>
      <c r="EU54" s="623"/>
      <c r="EV54" s="623"/>
      <c r="EW54" s="623"/>
      <c r="EX54" s="623"/>
      <c r="EY54" s="623"/>
      <c r="EZ54" s="623"/>
      <c r="FA54" s="623"/>
      <c r="FB54" s="623"/>
      <c r="FC54" s="623"/>
      <c r="FD54" s="623"/>
      <c r="FE54" s="623"/>
      <c r="FF54" s="623"/>
      <c r="FG54" s="623"/>
      <c r="FH54" s="623"/>
    </row>
    <row r="55" spans="1:164">
      <c r="A55" s="623" t="s">
        <v>2945</v>
      </c>
      <c r="B55" s="623" t="s">
        <v>683</v>
      </c>
      <c r="C55" s="623" t="s">
        <v>2365</v>
      </c>
      <c r="D55" s="623" t="s">
        <v>686</v>
      </c>
      <c r="E55" s="623" t="s">
        <v>2366</v>
      </c>
      <c r="F55" s="623" t="s">
        <v>2367</v>
      </c>
      <c r="G55" s="623" t="s">
        <v>684</v>
      </c>
      <c r="H55" s="623" t="s">
        <v>686</v>
      </c>
      <c r="I55" s="623" t="s">
        <v>687</v>
      </c>
      <c r="J55" s="623" t="s">
        <v>688</v>
      </c>
      <c r="K55" s="623" t="s">
        <v>2368</v>
      </c>
      <c r="L55" s="623" t="s">
        <v>689</v>
      </c>
      <c r="M55" s="623" t="s">
        <v>690</v>
      </c>
      <c r="N55" s="623" t="s">
        <v>685</v>
      </c>
      <c r="O55" s="623" t="s">
        <v>5071</v>
      </c>
      <c r="P55" s="623" t="s">
        <v>5072</v>
      </c>
      <c r="Q55" s="623" t="s">
        <v>5073</v>
      </c>
      <c r="R55" s="623" t="s">
        <v>5074</v>
      </c>
      <c r="S55" s="623" t="s">
        <v>5075</v>
      </c>
      <c r="T55" s="623" t="s">
        <v>2944</v>
      </c>
      <c r="U55" s="623" t="s">
        <v>5076</v>
      </c>
      <c r="V55" s="623"/>
      <c r="W55" s="623"/>
      <c r="X55" s="623"/>
      <c r="Y55" s="623"/>
      <c r="Z55" s="623"/>
      <c r="AA55" s="623"/>
      <c r="AB55" s="623"/>
      <c r="AC55" s="623"/>
      <c r="AD55" s="623"/>
      <c r="AE55" s="623"/>
      <c r="AF55" s="623"/>
      <c r="AG55" s="623"/>
      <c r="AH55" s="623"/>
      <c r="AI55" s="623"/>
      <c r="AJ55" s="623"/>
      <c r="AK55" s="623"/>
      <c r="AL55" s="623"/>
      <c r="AM55" s="623"/>
      <c r="AN55" s="623"/>
      <c r="AO55" s="623"/>
      <c r="AP55" s="623"/>
      <c r="AQ55" s="623"/>
      <c r="AR55" s="623"/>
      <c r="AS55" s="623"/>
      <c r="AT55" s="623"/>
      <c r="AU55" s="623"/>
      <c r="AV55" s="623"/>
      <c r="AW55" s="623"/>
      <c r="AX55" s="623"/>
      <c r="AY55" s="623"/>
      <c r="AZ55" s="623"/>
      <c r="BA55" s="623"/>
      <c r="BB55" s="623"/>
      <c r="BC55" s="623"/>
      <c r="BD55" s="623"/>
      <c r="BE55" s="623"/>
      <c r="BF55" s="623"/>
      <c r="BG55" s="623"/>
      <c r="BH55" s="623"/>
      <c r="BI55" s="623"/>
      <c r="BJ55" s="623"/>
      <c r="BK55" s="623"/>
      <c r="BL55" s="623"/>
      <c r="BM55" s="623"/>
      <c r="BN55" s="623"/>
      <c r="BO55" s="623"/>
      <c r="BP55" s="623"/>
      <c r="BQ55" s="623"/>
      <c r="BR55" s="623"/>
      <c r="BS55" s="623"/>
      <c r="BT55" s="623"/>
      <c r="BU55" s="623"/>
      <c r="BV55" s="623"/>
      <c r="BW55" s="623"/>
      <c r="BX55" s="623"/>
      <c r="BY55" s="623"/>
      <c r="BZ55" s="623"/>
      <c r="CA55" s="623"/>
      <c r="CB55" s="623"/>
      <c r="CC55" s="623"/>
      <c r="CD55" s="623"/>
      <c r="CE55" s="623"/>
      <c r="CF55" s="623"/>
      <c r="CG55" s="623"/>
      <c r="CH55" s="623"/>
      <c r="CI55" s="623"/>
      <c r="CJ55" s="623"/>
      <c r="CK55" s="623"/>
      <c r="CL55" s="623"/>
      <c r="CM55" s="623"/>
      <c r="CN55" s="623"/>
      <c r="CO55" s="623"/>
      <c r="CP55" s="623"/>
      <c r="CQ55" s="623"/>
      <c r="CR55" s="623"/>
      <c r="CS55" s="623"/>
      <c r="CT55" s="623"/>
      <c r="CU55" s="623"/>
      <c r="CV55" s="623"/>
      <c r="CW55" s="623"/>
      <c r="CX55" s="623"/>
      <c r="CY55" s="623"/>
      <c r="CZ55" s="623"/>
      <c r="DA55" s="623"/>
      <c r="DB55" s="623"/>
      <c r="DC55" s="623"/>
      <c r="DD55" s="623"/>
      <c r="DE55" s="623"/>
      <c r="DF55" s="623"/>
      <c r="DG55" s="623"/>
      <c r="DH55" s="623"/>
      <c r="DI55" s="623"/>
      <c r="DJ55" s="623"/>
      <c r="DK55" s="623"/>
      <c r="DL55" s="623"/>
      <c r="DM55" s="623"/>
      <c r="DN55" s="623"/>
      <c r="DO55" s="623"/>
      <c r="DP55" s="623"/>
      <c r="DQ55" s="623"/>
      <c r="DR55" s="623"/>
      <c r="DS55" s="623"/>
      <c r="DT55" s="623"/>
      <c r="DU55" s="623"/>
      <c r="DV55" s="623"/>
      <c r="DW55" s="623"/>
      <c r="DX55" s="623"/>
      <c r="DY55" s="623"/>
      <c r="DZ55" s="623"/>
      <c r="EA55" s="623"/>
      <c r="EB55" s="623"/>
      <c r="EC55" s="623"/>
      <c r="ED55" s="623"/>
      <c r="EE55" s="623"/>
      <c r="EF55" s="623"/>
      <c r="EG55" s="623"/>
      <c r="EH55" s="623"/>
      <c r="EI55" s="623"/>
      <c r="EJ55" s="623"/>
      <c r="EK55" s="623"/>
      <c r="EL55" s="623"/>
      <c r="EM55" s="623"/>
      <c r="EN55" s="623"/>
      <c r="EO55" s="623"/>
      <c r="EP55" s="623"/>
      <c r="EQ55" s="623"/>
      <c r="ER55" s="623"/>
      <c r="ES55" s="623"/>
      <c r="ET55" s="623"/>
      <c r="EU55" s="623"/>
      <c r="EV55" s="623"/>
      <c r="EW55" s="623"/>
      <c r="EX55" s="623"/>
      <c r="EY55" s="623"/>
      <c r="EZ55" s="623"/>
      <c r="FA55" s="623"/>
      <c r="FB55" s="623"/>
      <c r="FC55" s="623"/>
      <c r="FD55" s="623"/>
      <c r="FE55" s="623"/>
      <c r="FF55" s="623"/>
      <c r="FG55" s="623"/>
      <c r="FH55" s="623"/>
    </row>
    <row r="56" spans="1:164">
      <c r="A56" s="623" t="s">
        <v>5077</v>
      </c>
      <c r="B56" s="623" t="s">
        <v>89</v>
      </c>
      <c r="C56" s="623" t="s">
        <v>90</v>
      </c>
      <c r="D56" s="623" t="s">
        <v>455</v>
      </c>
      <c r="E56" s="623" t="s">
        <v>778</v>
      </c>
      <c r="F56" s="623" t="s">
        <v>80</v>
      </c>
      <c r="G56" s="623"/>
      <c r="H56" s="623"/>
      <c r="I56" s="623"/>
      <c r="J56" s="623"/>
      <c r="K56" s="623"/>
      <c r="L56" s="623"/>
      <c r="M56" s="623"/>
      <c r="N56" s="623"/>
      <c r="O56" s="623"/>
      <c r="P56" s="623"/>
      <c r="Q56" s="623"/>
      <c r="R56" s="623"/>
      <c r="S56" s="623"/>
      <c r="T56" s="623"/>
      <c r="U56" s="623"/>
      <c r="V56" s="623"/>
      <c r="W56" s="623"/>
      <c r="X56" s="623"/>
      <c r="Y56" s="623"/>
      <c r="Z56" s="623"/>
      <c r="AA56" s="623"/>
      <c r="AB56" s="623"/>
      <c r="AC56" s="623"/>
      <c r="AD56" s="623"/>
      <c r="AE56" s="623"/>
      <c r="AF56" s="623"/>
      <c r="AG56" s="623"/>
      <c r="AH56" s="623"/>
      <c r="AI56" s="623"/>
      <c r="AJ56" s="623"/>
      <c r="AK56" s="623"/>
      <c r="AL56" s="623"/>
      <c r="AM56" s="623"/>
      <c r="AN56" s="623"/>
      <c r="AO56" s="623"/>
      <c r="AP56" s="623"/>
      <c r="AQ56" s="623"/>
      <c r="AR56" s="623"/>
      <c r="AS56" s="623"/>
      <c r="AT56" s="623"/>
      <c r="AU56" s="623"/>
      <c r="AV56" s="623"/>
      <c r="AW56" s="623"/>
      <c r="AX56" s="623"/>
      <c r="AY56" s="623"/>
      <c r="AZ56" s="623"/>
      <c r="BA56" s="623"/>
      <c r="BB56" s="623"/>
      <c r="BC56" s="623"/>
      <c r="BD56" s="623"/>
      <c r="BE56" s="623"/>
      <c r="BF56" s="623"/>
      <c r="BG56" s="623"/>
      <c r="BH56" s="623"/>
      <c r="BI56" s="623"/>
      <c r="BJ56" s="623"/>
      <c r="BK56" s="623"/>
      <c r="BL56" s="623"/>
      <c r="BM56" s="623"/>
      <c r="BN56" s="623"/>
      <c r="BO56" s="623"/>
      <c r="BP56" s="623"/>
      <c r="BQ56" s="623"/>
      <c r="BR56" s="623"/>
      <c r="BS56" s="623"/>
      <c r="BT56" s="623"/>
      <c r="BU56" s="623"/>
      <c r="BV56" s="623"/>
      <c r="BW56" s="623"/>
      <c r="BX56" s="623"/>
      <c r="BY56" s="623"/>
      <c r="BZ56" s="623"/>
      <c r="CA56" s="623"/>
      <c r="CB56" s="623"/>
      <c r="CC56" s="623"/>
      <c r="CD56" s="623"/>
      <c r="CE56" s="623"/>
      <c r="CF56" s="623"/>
      <c r="CG56" s="623"/>
      <c r="CH56" s="623"/>
      <c r="CI56" s="623"/>
      <c r="CJ56" s="623"/>
      <c r="CK56" s="623"/>
      <c r="CL56" s="623"/>
      <c r="CM56" s="623"/>
      <c r="CN56" s="623"/>
      <c r="CO56" s="623"/>
      <c r="CP56" s="623"/>
      <c r="CQ56" s="623"/>
      <c r="CR56" s="623"/>
      <c r="CS56" s="623"/>
      <c r="CT56" s="623"/>
      <c r="CU56" s="623"/>
      <c r="CV56" s="623"/>
      <c r="CW56" s="623"/>
      <c r="CX56" s="623"/>
      <c r="CY56" s="623"/>
      <c r="CZ56" s="623"/>
      <c r="DA56" s="623"/>
      <c r="DB56" s="623"/>
      <c r="DC56" s="623"/>
      <c r="DD56" s="623"/>
      <c r="DE56" s="623"/>
      <c r="DF56" s="623"/>
      <c r="DG56" s="623"/>
      <c r="DH56" s="623"/>
      <c r="DI56" s="623"/>
      <c r="DJ56" s="623"/>
      <c r="DK56" s="623"/>
      <c r="DL56" s="623"/>
      <c r="DM56" s="623"/>
      <c r="DN56" s="623"/>
      <c r="DO56" s="623"/>
      <c r="DP56" s="623"/>
      <c r="DQ56" s="623"/>
      <c r="DR56" s="623"/>
      <c r="DS56" s="623"/>
      <c r="DT56" s="623"/>
      <c r="DU56" s="623"/>
      <c r="DV56" s="623"/>
      <c r="DW56" s="623"/>
      <c r="DX56" s="623"/>
      <c r="DY56" s="623"/>
      <c r="DZ56" s="623"/>
      <c r="EA56" s="623"/>
      <c r="EB56" s="623"/>
      <c r="EC56" s="623"/>
      <c r="ED56" s="623"/>
      <c r="EE56" s="623"/>
      <c r="EF56" s="623"/>
      <c r="EG56" s="623"/>
      <c r="EH56" s="623"/>
      <c r="EI56" s="623"/>
      <c r="EJ56" s="623"/>
      <c r="EK56" s="623"/>
      <c r="EL56" s="623"/>
      <c r="EM56" s="623"/>
      <c r="EN56" s="623"/>
      <c r="EO56" s="623"/>
      <c r="EP56" s="623"/>
      <c r="EQ56" s="623"/>
      <c r="ER56" s="623"/>
      <c r="ES56" s="623"/>
      <c r="ET56" s="623"/>
      <c r="EU56" s="623"/>
      <c r="EV56" s="623"/>
      <c r="EW56" s="623"/>
      <c r="EX56" s="623"/>
      <c r="EY56" s="623"/>
      <c r="EZ56" s="623"/>
      <c r="FA56" s="623"/>
      <c r="FB56" s="623"/>
      <c r="FC56" s="623"/>
      <c r="FD56" s="623"/>
      <c r="FE56" s="623"/>
      <c r="FF56" s="623"/>
      <c r="FG56" s="623"/>
      <c r="FH56" s="623"/>
    </row>
    <row r="57" spans="1:164">
      <c r="A57" s="623" t="s">
        <v>5078</v>
      </c>
      <c r="B57" s="623" t="s">
        <v>2369</v>
      </c>
      <c r="C57" s="623" t="s">
        <v>2370</v>
      </c>
      <c r="D57" s="623" t="s">
        <v>2371</v>
      </c>
      <c r="E57" s="623" t="s">
        <v>2372</v>
      </c>
      <c r="F57" s="623" t="s">
        <v>2373</v>
      </c>
      <c r="G57" s="623" t="s">
        <v>202</v>
      </c>
      <c r="H57" s="623" t="s">
        <v>720</v>
      </c>
      <c r="I57" s="623" t="s">
        <v>721</v>
      </c>
      <c r="J57" s="623"/>
      <c r="K57" s="623"/>
      <c r="L57" s="623"/>
      <c r="M57" s="623"/>
      <c r="N57" s="623"/>
      <c r="O57" s="623"/>
      <c r="P57" s="623"/>
      <c r="Q57" s="623"/>
      <c r="R57" s="623"/>
      <c r="S57" s="623"/>
      <c r="T57" s="623"/>
      <c r="U57" s="623"/>
      <c r="V57" s="623"/>
      <c r="W57" s="623"/>
      <c r="X57" s="623"/>
      <c r="Y57" s="623"/>
      <c r="Z57" s="623"/>
      <c r="AA57" s="623"/>
      <c r="AB57" s="623"/>
      <c r="AC57" s="623"/>
      <c r="AD57" s="623"/>
      <c r="AE57" s="623"/>
      <c r="AF57" s="623"/>
      <c r="AG57" s="623"/>
      <c r="AH57" s="623"/>
      <c r="AI57" s="623"/>
      <c r="AJ57" s="623"/>
      <c r="AK57" s="623"/>
      <c r="AL57" s="623"/>
      <c r="AM57" s="623"/>
      <c r="AN57" s="623"/>
      <c r="AO57" s="623"/>
      <c r="AP57" s="623"/>
      <c r="AQ57" s="623"/>
      <c r="AR57" s="623"/>
      <c r="AS57" s="623"/>
      <c r="AT57" s="623"/>
      <c r="AU57" s="623"/>
      <c r="AV57" s="623"/>
      <c r="AW57" s="623"/>
      <c r="AX57" s="623"/>
      <c r="AY57" s="623"/>
      <c r="AZ57" s="623"/>
      <c r="BA57" s="623"/>
      <c r="BB57" s="623"/>
      <c r="BC57" s="623"/>
      <c r="BD57" s="623"/>
      <c r="BE57" s="623"/>
      <c r="BF57" s="623"/>
      <c r="BG57" s="623"/>
      <c r="BH57" s="623"/>
      <c r="BI57" s="623"/>
      <c r="BJ57" s="623"/>
      <c r="BK57" s="623"/>
      <c r="BL57" s="623"/>
      <c r="BM57" s="623"/>
      <c r="BN57" s="623"/>
      <c r="BO57" s="623"/>
      <c r="BP57" s="623"/>
      <c r="BQ57" s="623"/>
      <c r="BR57" s="623"/>
      <c r="BS57" s="623"/>
      <c r="BT57" s="623"/>
      <c r="BU57" s="623"/>
      <c r="BV57" s="623"/>
      <c r="BW57" s="623"/>
      <c r="BX57" s="623"/>
      <c r="BY57" s="623"/>
      <c r="BZ57" s="623"/>
      <c r="CA57" s="623"/>
      <c r="CB57" s="623"/>
      <c r="CC57" s="623"/>
      <c r="CD57" s="623"/>
      <c r="CE57" s="623"/>
      <c r="CF57" s="623"/>
      <c r="CG57" s="623"/>
      <c r="CH57" s="623"/>
      <c r="CI57" s="623"/>
      <c r="CJ57" s="623"/>
      <c r="CK57" s="623"/>
      <c r="CL57" s="623"/>
      <c r="CM57" s="623"/>
      <c r="CN57" s="623"/>
      <c r="CO57" s="623"/>
      <c r="CP57" s="623"/>
      <c r="CQ57" s="623"/>
      <c r="CR57" s="623"/>
      <c r="CS57" s="623"/>
      <c r="CT57" s="623"/>
      <c r="CU57" s="623"/>
      <c r="CV57" s="623"/>
      <c r="CW57" s="623"/>
      <c r="CX57" s="623"/>
      <c r="CY57" s="623"/>
      <c r="CZ57" s="623"/>
      <c r="DA57" s="623"/>
      <c r="DB57" s="623"/>
      <c r="DC57" s="623"/>
      <c r="DD57" s="623"/>
      <c r="DE57" s="623"/>
      <c r="DF57" s="623"/>
      <c r="DG57" s="623"/>
      <c r="DH57" s="623"/>
      <c r="DI57" s="623"/>
      <c r="DJ57" s="623"/>
      <c r="DK57" s="623"/>
      <c r="DL57" s="623"/>
      <c r="DM57" s="623"/>
      <c r="DN57" s="623"/>
      <c r="DO57" s="623"/>
      <c r="DP57" s="623"/>
      <c r="DQ57" s="623"/>
      <c r="DR57" s="623"/>
      <c r="DS57" s="623"/>
      <c r="DT57" s="623"/>
      <c r="DU57" s="623"/>
      <c r="DV57" s="623"/>
      <c r="DW57" s="623"/>
      <c r="DX57" s="623"/>
      <c r="DY57" s="623"/>
      <c r="DZ57" s="623"/>
      <c r="EA57" s="623"/>
      <c r="EB57" s="623"/>
      <c r="EC57" s="623"/>
      <c r="ED57" s="623"/>
      <c r="EE57" s="623"/>
      <c r="EF57" s="623"/>
      <c r="EG57" s="623"/>
      <c r="EH57" s="623"/>
      <c r="EI57" s="623"/>
      <c r="EJ57" s="623"/>
      <c r="EK57" s="623"/>
      <c r="EL57" s="623"/>
      <c r="EM57" s="623"/>
      <c r="EN57" s="623"/>
      <c r="EO57" s="623"/>
      <c r="EP57" s="623"/>
      <c r="EQ57" s="623"/>
      <c r="ER57" s="623"/>
      <c r="ES57" s="623"/>
      <c r="ET57" s="623"/>
      <c r="EU57" s="623"/>
      <c r="EV57" s="623"/>
      <c r="EW57" s="623"/>
      <c r="EX57" s="623"/>
      <c r="EY57" s="623"/>
      <c r="EZ57" s="623"/>
      <c r="FA57" s="623"/>
      <c r="FB57" s="623"/>
      <c r="FC57" s="623"/>
      <c r="FD57" s="623"/>
      <c r="FE57" s="623"/>
      <c r="FF57" s="623"/>
      <c r="FG57" s="623"/>
      <c r="FH57" s="623"/>
    </row>
    <row r="58" spans="1:164">
      <c r="A58" s="623" t="s">
        <v>5079</v>
      </c>
      <c r="B58" s="623" t="s">
        <v>5080</v>
      </c>
      <c r="C58" s="623" t="s">
        <v>5081</v>
      </c>
      <c r="D58" s="623"/>
      <c r="E58" s="623"/>
      <c r="F58" s="623"/>
      <c r="G58" s="623"/>
      <c r="H58" s="623"/>
      <c r="I58" s="623"/>
      <c r="J58" s="623"/>
      <c r="K58" s="623"/>
      <c r="L58" s="623"/>
      <c r="M58" s="623"/>
      <c r="N58" s="623"/>
      <c r="O58" s="623"/>
      <c r="P58" s="623"/>
      <c r="Q58" s="623"/>
      <c r="R58" s="623"/>
      <c r="S58" s="623"/>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c r="BC58" s="623"/>
      <c r="BD58" s="623"/>
      <c r="BE58" s="623"/>
      <c r="BF58" s="623"/>
      <c r="BG58" s="623"/>
      <c r="BH58" s="623"/>
      <c r="BI58" s="623"/>
      <c r="BJ58" s="623"/>
      <c r="BK58" s="623"/>
      <c r="BL58" s="623"/>
      <c r="BM58" s="623"/>
      <c r="BN58" s="623"/>
      <c r="BO58" s="623"/>
      <c r="BP58" s="623"/>
      <c r="BQ58" s="623"/>
      <c r="BR58" s="623"/>
      <c r="BS58" s="623"/>
      <c r="BT58" s="623"/>
      <c r="BU58" s="623"/>
      <c r="BV58" s="623"/>
      <c r="BW58" s="623"/>
      <c r="BX58" s="623"/>
      <c r="BY58" s="623"/>
      <c r="BZ58" s="623"/>
      <c r="CA58" s="623"/>
      <c r="CB58" s="623"/>
      <c r="CC58" s="623"/>
      <c r="CD58" s="623"/>
      <c r="CE58" s="623"/>
      <c r="CF58" s="623"/>
      <c r="CG58" s="623"/>
      <c r="CH58" s="623"/>
      <c r="CI58" s="623"/>
      <c r="CJ58" s="623"/>
      <c r="CK58" s="623"/>
      <c r="CL58" s="623"/>
      <c r="CM58" s="623"/>
      <c r="CN58" s="623"/>
      <c r="CO58" s="623"/>
      <c r="CP58" s="623"/>
      <c r="CQ58" s="623"/>
      <c r="CR58" s="623"/>
      <c r="CS58" s="623"/>
      <c r="CT58" s="623"/>
      <c r="CU58" s="623"/>
      <c r="CV58" s="623"/>
      <c r="CW58" s="623"/>
      <c r="CX58" s="623"/>
      <c r="CY58" s="623"/>
      <c r="CZ58" s="623"/>
      <c r="DA58" s="623"/>
      <c r="DB58" s="623"/>
      <c r="DC58" s="623"/>
      <c r="DD58" s="623"/>
      <c r="DE58" s="623"/>
      <c r="DF58" s="623"/>
      <c r="DG58" s="623"/>
      <c r="DH58" s="623"/>
      <c r="DI58" s="623"/>
      <c r="DJ58" s="623"/>
      <c r="DK58" s="623"/>
      <c r="DL58" s="623"/>
      <c r="DM58" s="623"/>
      <c r="DN58" s="623"/>
      <c r="DO58" s="623"/>
      <c r="DP58" s="623"/>
      <c r="DQ58" s="623"/>
      <c r="DR58" s="623"/>
      <c r="DS58" s="623"/>
      <c r="DT58" s="623"/>
      <c r="DU58" s="623"/>
      <c r="DV58" s="623"/>
      <c r="DW58" s="623"/>
      <c r="DX58" s="623"/>
      <c r="DY58" s="623"/>
      <c r="DZ58" s="623"/>
      <c r="EA58" s="623"/>
      <c r="EB58" s="623"/>
      <c r="EC58" s="623"/>
      <c r="ED58" s="623"/>
      <c r="EE58" s="623"/>
      <c r="EF58" s="623"/>
      <c r="EG58" s="623"/>
      <c r="EH58" s="623"/>
      <c r="EI58" s="623"/>
      <c r="EJ58" s="623"/>
      <c r="EK58" s="623"/>
      <c r="EL58" s="623"/>
      <c r="EM58" s="623"/>
      <c r="EN58" s="623"/>
      <c r="EO58" s="623"/>
      <c r="EP58" s="623"/>
      <c r="EQ58" s="623"/>
      <c r="ER58" s="623"/>
      <c r="ES58" s="623"/>
      <c r="ET58" s="623"/>
      <c r="EU58" s="623"/>
      <c r="EV58" s="623"/>
      <c r="EW58" s="623"/>
      <c r="EX58" s="623"/>
      <c r="EY58" s="623"/>
      <c r="EZ58" s="623"/>
      <c r="FA58" s="623"/>
      <c r="FB58" s="623"/>
      <c r="FC58" s="623"/>
      <c r="FD58" s="623"/>
      <c r="FE58" s="623"/>
      <c r="FF58" s="623"/>
      <c r="FG58" s="623"/>
      <c r="FH58" s="623"/>
    </row>
    <row r="59" spans="1:164">
      <c r="A59" s="623" t="s">
        <v>5082</v>
      </c>
      <c r="B59" s="623" t="s">
        <v>723</v>
      </c>
      <c r="C59" s="623" t="s">
        <v>2374</v>
      </c>
      <c r="D59" s="623" t="s">
        <v>2375</v>
      </c>
      <c r="E59" s="623" t="s">
        <v>2376</v>
      </c>
      <c r="F59" s="623" t="s">
        <v>202</v>
      </c>
      <c r="G59" s="623"/>
      <c r="H59" s="623"/>
      <c r="I59" s="623"/>
      <c r="J59" s="623"/>
      <c r="K59" s="623"/>
      <c r="L59" s="623"/>
      <c r="M59" s="623"/>
      <c r="N59" s="623"/>
      <c r="O59" s="623"/>
      <c r="P59" s="623"/>
      <c r="Q59" s="623"/>
      <c r="R59" s="623"/>
      <c r="S59" s="623"/>
      <c r="T59" s="623"/>
      <c r="U59" s="623"/>
      <c r="V59" s="623"/>
      <c r="W59" s="623"/>
      <c r="X59" s="623"/>
      <c r="Y59" s="623"/>
      <c r="Z59" s="623"/>
      <c r="AA59" s="623"/>
      <c r="AB59" s="623"/>
      <c r="AC59" s="623"/>
      <c r="AD59" s="623"/>
      <c r="AE59" s="623"/>
      <c r="AF59" s="623"/>
      <c r="AG59" s="623"/>
      <c r="AH59" s="623"/>
      <c r="AI59" s="623"/>
      <c r="AJ59" s="623"/>
      <c r="AK59" s="623"/>
      <c r="AL59" s="623"/>
      <c r="AM59" s="623"/>
      <c r="AN59" s="623"/>
      <c r="AO59" s="623"/>
      <c r="AP59" s="623"/>
      <c r="AQ59" s="623"/>
      <c r="AR59" s="623"/>
      <c r="AS59" s="623"/>
      <c r="AT59" s="623"/>
      <c r="AU59" s="623"/>
      <c r="AV59" s="623"/>
      <c r="AW59" s="623"/>
      <c r="AX59" s="623"/>
      <c r="AY59" s="623"/>
      <c r="AZ59" s="623"/>
      <c r="BA59" s="623"/>
      <c r="BB59" s="623"/>
      <c r="BC59" s="623"/>
      <c r="BD59" s="623"/>
      <c r="BE59" s="623"/>
      <c r="BF59" s="623"/>
      <c r="BG59" s="623"/>
      <c r="BH59" s="623"/>
      <c r="BI59" s="623"/>
      <c r="BJ59" s="623"/>
      <c r="BK59" s="623"/>
      <c r="BL59" s="623"/>
      <c r="BM59" s="623"/>
      <c r="BN59" s="623"/>
      <c r="BO59" s="623"/>
      <c r="BP59" s="623"/>
      <c r="BQ59" s="623"/>
      <c r="BR59" s="623"/>
      <c r="BS59" s="623"/>
      <c r="BT59" s="623"/>
      <c r="BU59" s="623"/>
      <c r="BV59" s="623"/>
      <c r="BW59" s="623"/>
      <c r="BX59" s="623"/>
      <c r="BY59" s="623"/>
      <c r="BZ59" s="623"/>
      <c r="CA59" s="623"/>
      <c r="CB59" s="623"/>
      <c r="CC59" s="623"/>
      <c r="CD59" s="623"/>
      <c r="CE59" s="623"/>
      <c r="CF59" s="623"/>
      <c r="CG59" s="623"/>
      <c r="CH59" s="623"/>
      <c r="CI59" s="623"/>
      <c r="CJ59" s="623"/>
      <c r="CK59" s="623"/>
      <c r="CL59" s="623"/>
      <c r="CM59" s="623"/>
      <c r="CN59" s="623"/>
      <c r="CO59" s="623"/>
      <c r="CP59" s="623"/>
      <c r="CQ59" s="623"/>
      <c r="CR59" s="623"/>
      <c r="CS59" s="623"/>
      <c r="CT59" s="623"/>
      <c r="CU59" s="623"/>
      <c r="CV59" s="623"/>
      <c r="CW59" s="623"/>
      <c r="CX59" s="623"/>
      <c r="CY59" s="623"/>
      <c r="CZ59" s="623"/>
      <c r="DA59" s="623"/>
      <c r="DB59" s="623"/>
      <c r="DC59" s="623"/>
      <c r="DD59" s="623"/>
      <c r="DE59" s="623"/>
      <c r="DF59" s="623"/>
      <c r="DG59" s="623"/>
      <c r="DH59" s="623"/>
      <c r="DI59" s="623"/>
      <c r="DJ59" s="623"/>
      <c r="DK59" s="623"/>
      <c r="DL59" s="623"/>
      <c r="DM59" s="623"/>
      <c r="DN59" s="623"/>
      <c r="DO59" s="623"/>
      <c r="DP59" s="623"/>
      <c r="DQ59" s="623"/>
      <c r="DR59" s="623"/>
      <c r="DS59" s="623"/>
      <c r="DT59" s="623"/>
      <c r="DU59" s="623"/>
      <c r="DV59" s="623"/>
      <c r="DW59" s="623"/>
      <c r="DX59" s="623"/>
      <c r="DY59" s="623"/>
      <c r="DZ59" s="623"/>
      <c r="EA59" s="623"/>
      <c r="EB59" s="623"/>
      <c r="EC59" s="623"/>
      <c r="ED59" s="623"/>
      <c r="EE59" s="623"/>
      <c r="EF59" s="623"/>
      <c r="EG59" s="623"/>
      <c r="EH59" s="623"/>
      <c r="EI59" s="623"/>
      <c r="EJ59" s="623"/>
      <c r="EK59" s="623"/>
      <c r="EL59" s="623"/>
      <c r="EM59" s="623"/>
      <c r="EN59" s="623"/>
      <c r="EO59" s="623"/>
      <c r="EP59" s="623"/>
      <c r="EQ59" s="623"/>
      <c r="ER59" s="623"/>
      <c r="ES59" s="623"/>
      <c r="ET59" s="623"/>
      <c r="EU59" s="623"/>
      <c r="EV59" s="623"/>
      <c r="EW59" s="623"/>
      <c r="EX59" s="623"/>
      <c r="EY59" s="623"/>
      <c r="EZ59" s="623"/>
      <c r="FA59" s="623"/>
      <c r="FB59" s="623"/>
      <c r="FC59" s="623"/>
      <c r="FD59" s="623"/>
      <c r="FE59" s="623"/>
      <c r="FF59" s="623"/>
      <c r="FG59" s="623"/>
      <c r="FH59" s="623"/>
    </row>
    <row r="60" spans="1:164">
      <c r="A60" s="623" t="s">
        <v>5083</v>
      </c>
      <c r="B60" s="623" t="s">
        <v>724</v>
      </c>
      <c r="C60" s="623" t="s">
        <v>725</v>
      </c>
      <c r="D60" s="623" t="s">
        <v>202</v>
      </c>
      <c r="E60" s="623"/>
      <c r="F60" s="623"/>
      <c r="G60" s="623"/>
      <c r="H60" s="623"/>
      <c r="I60" s="623"/>
      <c r="J60" s="623"/>
      <c r="K60" s="623"/>
      <c r="L60" s="623"/>
      <c r="M60" s="623"/>
      <c r="N60" s="623"/>
      <c r="O60" s="623"/>
      <c r="P60" s="623"/>
      <c r="Q60" s="623"/>
      <c r="R60" s="623"/>
      <c r="S60" s="623"/>
      <c r="T60" s="623"/>
      <c r="U60" s="623"/>
      <c r="V60" s="623"/>
      <c r="W60" s="623"/>
      <c r="X60" s="623"/>
      <c r="Y60" s="623"/>
      <c r="Z60" s="623"/>
      <c r="AA60" s="623"/>
      <c r="AB60" s="623"/>
      <c r="AC60" s="623"/>
      <c r="AD60" s="623"/>
      <c r="AE60" s="623"/>
      <c r="AF60" s="623"/>
      <c r="AG60" s="623"/>
      <c r="AH60" s="623"/>
      <c r="AI60" s="623"/>
      <c r="AJ60" s="623"/>
      <c r="AK60" s="623"/>
      <c r="AL60" s="623"/>
      <c r="AM60" s="623"/>
      <c r="AN60" s="623"/>
      <c r="AO60" s="623"/>
      <c r="AP60" s="623"/>
      <c r="AQ60" s="623"/>
      <c r="AR60" s="623"/>
      <c r="AS60" s="623"/>
      <c r="AT60" s="623"/>
      <c r="AU60" s="623"/>
      <c r="AV60" s="623"/>
      <c r="AW60" s="623"/>
      <c r="AX60" s="623"/>
      <c r="AY60" s="623"/>
      <c r="AZ60" s="623"/>
      <c r="BA60" s="623"/>
      <c r="BB60" s="623"/>
      <c r="BC60" s="623"/>
      <c r="BD60" s="623"/>
      <c r="BE60" s="623"/>
      <c r="BF60" s="623"/>
      <c r="BG60" s="623"/>
      <c r="BH60" s="623"/>
      <c r="BI60" s="623"/>
      <c r="BJ60" s="623"/>
      <c r="BK60" s="623"/>
      <c r="BL60" s="623"/>
      <c r="BM60" s="623"/>
      <c r="BN60" s="623"/>
      <c r="BO60" s="623"/>
      <c r="BP60" s="623"/>
      <c r="BQ60" s="623"/>
      <c r="BR60" s="623"/>
      <c r="BS60" s="623"/>
      <c r="BT60" s="623"/>
      <c r="BU60" s="623"/>
      <c r="BV60" s="623"/>
      <c r="BW60" s="623"/>
      <c r="BX60" s="623"/>
      <c r="BY60" s="623"/>
      <c r="BZ60" s="623"/>
      <c r="CA60" s="623"/>
      <c r="CB60" s="623"/>
      <c r="CC60" s="623"/>
      <c r="CD60" s="623"/>
      <c r="CE60" s="623"/>
      <c r="CF60" s="623"/>
      <c r="CG60" s="623"/>
      <c r="CH60" s="623"/>
      <c r="CI60" s="623"/>
      <c r="CJ60" s="623"/>
      <c r="CK60" s="623"/>
      <c r="CL60" s="623"/>
      <c r="CM60" s="623"/>
      <c r="CN60" s="623"/>
      <c r="CO60" s="623"/>
      <c r="CP60" s="623"/>
      <c r="CQ60" s="623"/>
      <c r="CR60" s="623"/>
      <c r="CS60" s="623"/>
      <c r="CT60" s="623"/>
      <c r="CU60" s="623"/>
      <c r="CV60" s="623"/>
      <c r="CW60" s="623"/>
      <c r="CX60" s="623"/>
      <c r="CY60" s="623"/>
      <c r="CZ60" s="623"/>
      <c r="DA60" s="623"/>
      <c r="DB60" s="623"/>
      <c r="DC60" s="623"/>
      <c r="DD60" s="623"/>
      <c r="DE60" s="623"/>
      <c r="DF60" s="623"/>
      <c r="DG60" s="623"/>
      <c r="DH60" s="623"/>
      <c r="DI60" s="623"/>
      <c r="DJ60" s="623"/>
      <c r="DK60" s="623"/>
      <c r="DL60" s="623"/>
      <c r="DM60" s="623"/>
      <c r="DN60" s="623"/>
      <c r="DO60" s="623"/>
      <c r="DP60" s="623"/>
      <c r="DQ60" s="623"/>
      <c r="DR60" s="623"/>
      <c r="DS60" s="623"/>
      <c r="DT60" s="623"/>
      <c r="DU60" s="623"/>
      <c r="DV60" s="623"/>
      <c r="DW60" s="623"/>
      <c r="DX60" s="623"/>
      <c r="DY60" s="623"/>
      <c r="DZ60" s="623"/>
      <c r="EA60" s="623"/>
      <c r="EB60" s="623"/>
      <c r="EC60" s="623"/>
      <c r="ED60" s="623"/>
      <c r="EE60" s="623"/>
      <c r="EF60" s="623"/>
      <c r="EG60" s="623"/>
      <c r="EH60" s="623"/>
      <c r="EI60" s="623"/>
      <c r="EJ60" s="623"/>
      <c r="EK60" s="623"/>
      <c r="EL60" s="623"/>
      <c r="EM60" s="623"/>
      <c r="EN60" s="623"/>
      <c r="EO60" s="623"/>
      <c r="EP60" s="623"/>
      <c r="EQ60" s="623"/>
      <c r="ER60" s="623"/>
      <c r="ES60" s="623"/>
      <c r="ET60" s="623"/>
      <c r="EU60" s="623"/>
      <c r="EV60" s="623"/>
      <c r="EW60" s="623"/>
      <c r="EX60" s="623"/>
      <c r="EY60" s="623"/>
      <c r="EZ60" s="623"/>
      <c r="FA60" s="623"/>
      <c r="FB60" s="623"/>
      <c r="FC60" s="623"/>
      <c r="FD60" s="623"/>
      <c r="FE60" s="623"/>
      <c r="FF60" s="623"/>
      <c r="FG60" s="623"/>
      <c r="FH60" s="623"/>
    </row>
    <row r="61" spans="1:164">
      <c r="A61" s="623" t="s">
        <v>5084</v>
      </c>
      <c r="B61" s="623" t="s">
        <v>5085</v>
      </c>
      <c r="C61" s="623" t="s">
        <v>5086</v>
      </c>
      <c r="D61" s="623" t="s">
        <v>5087</v>
      </c>
      <c r="E61" s="623" t="s">
        <v>5088</v>
      </c>
      <c r="F61" s="623" t="s">
        <v>5089</v>
      </c>
      <c r="G61" s="623" t="s">
        <v>4151</v>
      </c>
      <c r="H61" s="623" t="s">
        <v>5090</v>
      </c>
      <c r="I61" s="623" t="s">
        <v>5091</v>
      </c>
      <c r="J61" s="623" t="s">
        <v>5092</v>
      </c>
      <c r="K61" s="623" t="s">
        <v>5093</v>
      </c>
      <c r="L61" s="623" t="s">
        <v>202</v>
      </c>
      <c r="M61" s="623"/>
      <c r="N61" s="623"/>
      <c r="O61" s="623"/>
      <c r="P61" s="623"/>
      <c r="Q61" s="623"/>
      <c r="R61" s="623"/>
      <c r="S61" s="623"/>
      <c r="T61" s="623"/>
      <c r="U61" s="623"/>
      <c r="V61" s="623"/>
      <c r="W61" s="623"/>
      <c r="X61" s="623"/>
      <c r="Y61" s="623"/>
      <c r="Z61" s="623"/>
      <c r="AA61" s="623"/>
      <c r="AB61" s="623"/>
      <c r="AC61" s="623"/>
      <c r="AD61" s="623"/>
      <c r="AE61" s="623"/>
      <c r="AF61" s="623"/>
      <c r="AG61" s="623"/>
      <c r="AH61" s="623"/>
      <c r="AI61" s="623"/>
      <c r="AJ61" s="623"/>
      <c r="AK61" s="623"/>
      <c r="AL61" s="623"/>
      <c r="AM61" s="623"/>
      <c r="AN61" s="623"/>
      <c r="AO61" s="623"/>
      <c r="AP61" s="623"/>
      <c r="AQ61" s="623"/>
      <c r="AR61" s="623"/>
      <c r="AS61" s="623"/>
      <c r="AT61" s="623"/>
      <c r="AU61" s="623"/>
      <c r="AV61" s="623"/>
      <c r="AW61" s="623"/>
      <c r="AX61" s="623"/>
      <c r="AY61" s="623"/>
      <c r="AZ61" s="623"/>
      <c r="BA61" s="623"/>
      <c r="BB61" s="623"/>
      <c r="BC61" s="623"/>
      <c r="BD61" s="623"/>
      <c r="BE61" s="623"/>
      <c r="BF61" s="623"/>
      <c r="BG61" s="623"/>
      <c r="BH61" s="623"/>
      <c r="BI61" s="623"/>
      <c r="BJ61" s="623"/>
      <c r="BK61" s="623"/>
      <c r="BL61" s="623"/>
      <c r="BM61" s="623"/>
      <c r="BN61" s="623"/>
      <c r="BO61" s="623"/>
      <c r="BP61" s="623"/>
      <c r="BQ61" s="623"/>
      <c r="BR61" s="623"/>
      <c r="BS61" s="623"/>
      <c r="BT61" s="623"/>
      <c r="BU61" s="623"/>
      <c r="BV61" s="623"/>
      <c r="BW61" s="623"/>
      <c r="BX61" s="623"/>
      <c r="BY61" s="623"/>
      <c r="BZ61" s="623"/>
      <c r="CA61" s="623"/>
      <c r="CB61" s="623"/>
      <c r="CC61" s="623"/>
      <c r="CD61" s="623"/>
      <c r="CE61" s="623"/>
      <c r="CF61" s="623"/>
      <c r="CG61" s="623"/>
      <c r="CH61" s="623"/>
      <c r="CI61" s="623"/>
      <c r="CJ61" s="623"/>
      <c r="CK61" s="623"/>
      <c r="CL61" s="623"/>
      <c r="CM61" s="623"/>
      <c r="CN61" s="623"/>
      <c r="CO61" s="623"/>
      <c r="CP61" s="623"/>
      <c r="CQ61" s="623"/>
      <c r="CR61" s="623"/>
      <c r="CS61" s="623"/>
      <c r="CT61" s="623"/>
      <c r="CU61" s="623"/>
      <c r="CV61" s="623"/>
      <c r="CW61" s="623"/>
      <c r="CX61" s="623"/>
      <c r="CY61" s="623"/>
      <c r="CZ61" s="623"/>
      <c r="DA61" s="623"/>
      <c r="DB61" s="623"/>
      <c r="DC61" s="623"/>
      <c r="DD61" s="623"/>
      <c r="DE61" s="623"/>
      <c r="DF61" s="623"/>
      <c r="DG61" s="623"/>
      <c r="DH61" s="623"/>
      <c r="DI61" s="623"/>
      <c r="DJ61" s="623"/>
      <c r="DK61" s="623"/>
      <c r="DL61" s="623"/>
      <c r="DM61" s="623"/>
      <c r="DN61" s="623"/>
      <c r="DO61" s="623"/>
      <c r="DP61" s="623"/>
      <c r="DQ61" s="623"/>
      <c r="DR61" s="623"/>
      <c r="DS61" s="623"/>
      <c r="DT61" s="623"/>
      <c r="DU61" s="623"/>
      <c r="DV61" s="623"/>
      <c r="DW61" s="623"/>
      <c r="DX61" s="623"/>
      <c r="DY61" s="623"/>
      <c r="DZ61" s="623"/>
      <c r="EA61" s="623"/>
      <c r="EB61" s="623"/>
      <c r="EC61" s="623"/>
      <c r="ED61" s="623"/>
      <c r="EE61" s="623"/>
      <c r="EF61" s="623"/>
      <c r="EG61" s="623"/>
      <c r="EH61" s="623"/>
      <c r="EI61" s="623"/>
      <c r="EJ61" s="623"/>
      <c r="EK61" s="623"/>
      <c r="EL61" s="623"/>
      <c r="EM61" s="623"/>
      <c r="EN61" s="623"/>
      <c r="EO61" s="623"/>
      <c r="EP61" s="623"/>
      <c r="EQ61" s="623"/>
      <c r="ER61" s="623"/>
      <c r="ES61" s="623"/>
      <c r="ET61" s="623"/>
      <c r="EU61" s="623"/>
      <c r="EV61" s="623"/>
      <c r="EW61" s="623"/>
      <c r="EX61" s="623"/>
      <c r="EY61" s="623"/>
      <c r="EZ61" s="623"/>
      <c r="FA61" s="623"/>
      <c r="FB61" s="623"/>
      <c r="FC61" s="623"/>
      <c r="FD61" s="623"/>
      <c r="FE61" s="623"/>
      <c r="FF61" s="623"/>
      <c r="FG61" s="623"/>
      <c r="FH61" s="623"/>
    </row>
    <row r="62" spans="1:164">
      <c r="A62" s="623" t="s">
        <v>5094</v>
      </c>
      <c r="B62" s="623" t="s">
        <v>5095</v>
      </c>
      <c r="C62" s="623" t="s">
        <v>812</v>
      </c>
      <c r="D62" s="623"/>
      <c r="E62" s="623"/>
      <c r="F62" s="623"/>
      <c r="G62" s="623"/>
      <c r="H62" s="623"/>
      <c r="I62" s="623"/>
      <c r="J62" s="623"/>
      <c r="K62" s="623"/>
      <c r="L62" s="623"/>
      <c r="M62" s="623"/>
      <c r="N62" s="623"/>
      <c r="O62" s="623"/>
      <c r="P62" s="623"/>
      <c r="Q62" s="623"/>
      <c r="R62" s="623"/>
      <c r="S62" s="623"/>
      <c r="T62" s="623"/>
      <c r="U62" s="623"/>
      <c r="V62" s="623"/>
      <c r="W62" s="623"/>
      <c r="X62" s="623"/>
      <c r="Y62" s="623"/>
      <c r="Z62" s="623"/>
      <c r="AA62" s="623"/>
      <c r="AB62" s="623"/>
      <c r="AC62" s="623"/>
      <c r="AD62" s="623"/>
      <c r="AE62" s="623"/>
      <c r="AF62" s="623"/>
      <c r="AG62" s="623"/>
      <c r="AH62" s="623"/>
      <c r="AI62" s="623"/>
      <c r="AJ62" s="623"/>
      <c r="AK62" s="623"/>
      <c r="AL62" s="623"/>
      <c r="AM62" s="623"/>
      <c r="AN62" s="623"/>
      <c r="AO62" s="623"/>
      <c r="AP62" s="623"/>
      <c r="AQ62" s="623"/>
      <c r="AR62" s="623"/>
      <c r="AS62" s="623"/>
      <c r="AT62" s="623"/>
      <c r="AU62" s="623"/>
      <c r="AV62" s="623"/>
      <c r="AW62" s="623"/>
      <c r="AX62" s="623"/>
      <c r="AY62" s="623"/>
      <c r="AZ62" s="623"/>
      <c r="BA62" s="623"/>
      <c r="BB62" s="623"/>
      <c r="BC62" s="623"/>
      <c r="BD62" s="623"/>
      <c r="BE62" s="623"/>
      <c r="BF62" s="623"/>
      <c r="BG62" s="623"/>
      <c r="BH62" s="623"/>
      <c r="BI62" s="623"/>
      <c r="BJ62" s="623"/>
      <c r="BK62" s="623"/>
      <c r="BL62" s="623"/>
      <c r="BM62" s="623"/>
      <c r="BN62" s="623"/>
      <c r="BO62" s="623"/>
      <c r="BP62" s="623"/>
      <c r="BQ62" s="623"/>
      <c r="BR62" s="623"/>
      <c r="BS62" s="623"/>
      <c r="BT62" s="623"/>
      <c r="BU62" s="623"/>
      <c r="BV62" s="623"/>
      <c r="BW62" s="623"/>
      <c r="BX62" s="623"/>
      <c r="BY62" s="623"/>
      <c r="BZ62" s="623"/>
      <c r="CA62" s="623"/>
      <c r="CB62" s="623"/>
      <c r="CC62" s="623"/>
      <c r="CD62" s="623"/>
      <c r="CE62" s="623"/>
      <c r="CF62" s="623"/>
      <c r="CG62" s="623"/>
      <c r="CH62" s="623"/>
      <c r="CI62" s="623"/>
      <c r="CJ62" s="623"/>
      <c r="CK62" s="623"/>
      <c r="CL62" s="623"/>
      <c r="CM62" s="623"/>
      <c r="CN62" s="623"/>
      <c r="CO62" s="623"/>
      <c r="CP62" s="623"/>
      <c r="CQ62" s="623"/>
      <c r="CR62" s="623"/>
      <c r="CS62" s="623"/>
      <c r="CT62" s="623"/>
      <c r="CU62" s="623"/>
      <c r="CV62" s="623"/>
      <c r="CW62" s="623"/>
      <c r="CX62" s="623"/>
      <c r="CY62" s="623"/>
      <c r="CZ62" s="623"/>
      <c r="DA62" s="623"/>
      <c r="DB62" s="623"/>
      <c r="DC62" s="623"/>
      <c r="DD62" s="623"/>
      <c r="DE62" s="623"/>
      <c r="DF62" s="623"/>
      <c r="DG62" s="623"/>
      <c r="DH62" s="623"/>
      <c r="DI62" s="623"/>
      <c r="DJ62" s="623"/>
      <c r="DK62" s="623"/>
      <c r="DL62" s="623"/>
      <c r="DM62" s="623"/>
      <c r="DN62" s="623"/>
      <c r="DO62" s="623"/>
      <c r="DP62" s="623"/>
      <c r="DQ62" s="623"/>
      <c r="DR62" s="623"/>
      <c r="DS62" s="623"/>
      <c r="DT62" s="623"/>
      <c r="DU62" s="623"/>
      <c r="DV62" s="623"/>
      <c r="DW62" s="623"/>
      <c r="DX62" s="623"/>
      <c r="DY62" s="623"/>
      <c r="DZ62" s="623"/>
      <c r="EA62" s="623"/>
      <c r="EB62" s="623"/>
      <c r="EC62" s="623"/>
      <c r="ED62" s="623"/>
      <c r="EE62" s="623"/>
      <c r="EF62" s="623"/>
      <c r="EG62" s="623"/>
      <c r="EH62" s="623"/>
      <c r="EI62" s="623"/>
      <c r="EJ62" s="623"/>
      <c r="EK62" s="623"/>
      <c r="EL62" s="623"/>
      <c r="EM62" s="623"/>
      <c r="EN62" s="623"/>
      <c r="EO62" s="623"/>
      <c r="EP62" s="623"/>
      <c r="EQ62" s="623"/>
      <c r="ER62" s="623"/>
      <c r="ES62" s="623"/>
      <c r="ET62" s="623"/>
      <c r="EU62" s="623"/>
      <c r="EV62" s="623"/>
      <c r="EW62" s="623"/>
      <c r="EX62" s="623"/>
      <c r="EY62" s="623"/>
      <c r="EZ62" s="623"/>
      <c r="FA62" s="623"/>
      <c r="FB62" s="623"/>
      <c r="FC62" s="623"/>
      <c r="FD62" s="623"/>
      <c r="FE62" s="623"/>
      <c r="FF62" s="623"/>
      <c r="FG62" s="623"/>
      <c r="FH62" s="623"/>
    </row>
    <row r="63" spans="1:164">
      <c r="A63" s="623" t="s">
        <v>5096</v>
      </c>
      <c r="B63" s="623"/>
      <c r="C63" s="623"/>
      <c r="D63" s="623"/>
      <c r="E63" s="623"/>
      <c r="F63" s="623"/>
      <c r="G63" s="623"/>
      <c r="H63" s="623"/>
      <c r="I63" s="623"/>
      <c r="J63" s="623"/>
      <c r="K63" s="623"/>
      <c r="L63" s="623"/>
      <c r="M63" s="623"/>
      <c r="N63" s="623"/>
      <c r="O63" s="623"/>
      <c r="P63" s="623"/>
      <c r="Q63" s="623"/>
      <c r="R63" s="623"/>
      <c r="S63" s="623"/>
      <c r="T63" s="623"/>
      <c r="U63" s="623"/>
      <c r="V63" s="623"/>
      <c r="W63" s="623"/>
      <c r="X63" s="623"/>
      <c r="Y63" s="623"/>
      <c r="Z63" s="623"/>
      <c r="AA63" s="623"/>
      <c r="AB63" s="623"/>
      <c r="AC63" s="623"/>
      <c r="AD63" s="623"/>
      <c r="AE63" s="623"/>
      <c r="AF63" s="623"/>
      <c r="AG63" s="623"/>
      <c r="AH63" s="623"/>
      <c r="AI63" s="623"/>
      <c r="AJ63" s="623"/>
      <c r="AK63" s="623"/>
      <c r="AL63" s="623"/>
      <c r="AM63" s="623"/>
      <c r="AN63" s="623"/>
      <c r="AO63" s="623"/>
      <c r="AP63" s="623"/>
      <c r="AQ63" s="623"/>
      <c r="AR63" s="623"/>
      <c r="AS63" s="623"/>
      <c r="AT63" s="623"/>
      <c r="AU63" s="623"/>
      <c r="AV63" s="623"/>
      <c r="AW63" s="623"/>
      <c r="AX63" s="623"/>
      <c r="AY63" s="623"/>
      <c r="AZ63" s="623"/>
      <c r="BA63" s="623"/>
      <c r="BB63" s="623"/>
      <c r="BC63" s="623"/>
      <c r="BD63" s="623"/>
      <c r="BE63" s="623"/>
      <c r="BF63" s="623"/>
      <c r="BG63" s="623"/>
      <c r="BH63" s="623"/>
      <c r="BI63" s="623"/>
      <c r="BJ63" s="623"/>
      <c r="BK63" s="623"/>
      <c r="BL63" s="623"/>
      <c r="BM63" s="623"/>
      <c r="BN63" s="623"/>
      <c r="BO63" s="623"/>
      <c r="BP63" s="623"/>
      <c r="BQ63" s="623"/>
      <c r="BR63" s="623"/>
      <c r="BS63" s="623"/>
      <c r="BT63" s="623"/>
      <c r="BU63" s="623"/>
      <c r="BV63" s="623"/>
      <c r="BW63" s="623"/>
      <c r="BX63" s="623"/>
      <c r="BY63" s="623"/>
      <c r="BZ63" s="623"/>
      <c r="CA63" s="623"/>
      <c r="CB63" s="623"/>
      <c r="CC63" s="623"/>
      <c r="CD63" s="623"/>
      <c r="CE63" s="623"/>
      <c r="CF63" s="623"/>
      <c r="CG63" s="623"/>
      <c r="CH63" s="623"/>
      <c r="CI63" s="623"/>
      <c r="CJ63" s="623"/>
      <c r="CK63" s="623"/>
      <c r="CL63" s="623"/>
      <c r="CM63" s="623"/>
      <c r="CN63" s="623"/>
      <c r="CO63" s="623"/>
      <c r="CP63" s="623"/>
      <c r="CQ63" s="623"/>
      <c r="CR63" s="623"/>
      <c r="CS63" s="623"/>
      <c r="CT63" s="623"/>
      <c r="CU63" s="623"/>
      <c r="CV63" s="623"/>
      <c r="CW63" s="623"/>
      <c r="CX63" s="623"/>
      <c r="CY63" s="623"/>
      <c r="CZ63" s="623"/>
      <c r="DA63" s="623"/>
      <c r="DB63" s="623"/>
      <c r="DC63" s="623"/>
      <c r="DD63" s="623"/>
      <c r="DE63" s="623"/>
      <c r="DF63" s="623"/>
      <c r="DG63" s="623"/>
      <c r="DH63" s="623"/>
      <c r="DI63" s="623"/>
      <c r="DJ63" s="623"/>
      <c r="DK63" s="623"/>
      <c r="DL63" s="623"/>
      <c r="DM63" s="623"/>
      <c r="DN63" s="623"/>
      <c r="DO63" s="623"/>
      <c r="DP63" s="623"/>
      <c r="DQ63" s="623"/>
      <c r="DR63" s="623"/>
      <c r="DS63" s="623"/>
      <c r="DT63" s="623"/>
      <c r="DU63" s="623"/>
      <c r="DV63" s="623"/>
      <c r="DW63" s="623"/>
      <c r="DX63" s="623"/>
      <c r="DY63" s="623"/>
      <c r="DZ63" s="623"/>
      <c r="EA63" s="623"/>
      <c r="EB63" s="623"/>
      <c r="EC63" s="623"/>
      <c r="ED63" s="623"/>
      <c r="EE63" s="623"/>
      <c r="EF63" s="623"/>
      <c r="EG63" s="623"/>
      <c r="EH63" s="623"/>
      <c r="EI63" s="623"/>
      <c r="EJ63" s="623"/>
      <c r="EK63" s="623"/>
      <c r="EL63" s="623"/>
      <c r="EM63" s="623"/>
      <c r="EN63" s="623"/>
      <c r="EO63" s="623"/>
      <c r="EP63" s="623"/>
      <c r="EQ63" s="623"/>
      <c r="ER63" s="623"/>
      <c r="ES63" s="623"/>
      <c r="ET63" s="623"/>
      <c r="EU63" s="623"/>
      <c r="EV63" s="623"/>
      <c r="EW63" s="623"/>
      <c r="EX63" s="623"/>
      <c r="EY63" s="623"/>
      <c r="EZ63" s="623"/>
      <c r="FA63" s="623"/>
      <c r="FB63" s="623"/>
      <c r="FC63" s="623"/>
      <c r="FD63" s="623"/>
      <c r="FE63" s="623"/>
      <c r="FF63" s="623"/>
      <c r="FG63" s="623"/>
      <c r="FH63" s="623"/>
    </row>
    <row r="64" spans="1:164">
      <c r="A64" s="623" t="s">
        <v>5097</v>
      </c>
      <c r="B64" s="623" t="s">
        <v>5098</v>
      </c>
      <c r="C64" s="623" t="s">
        <v>5099</v>
      </c>
      <c r="D64" s="623" t="s">
        <v>5100</v>
      </c>
      <c r="E64" s="623" t="s">
        <v>202</v>
      </c>
      <c r="F64" s="623"/>
      <c r="G64" s="623"/>
      <c r="H64" s="623"/>
      <c r="I64" s="623"/>
      <c r="J64" s="623"/>
      <c r="K64" s="623"/>
      <c r="L64" s="623"/>
      <c r="M64" s="623"/>
      <c r="N64" s="623"/>
      <c r="O64" s="623"/>
      <c r="P64" s="623"/>
      <c r="Q64" s="623"/>
      <c r="R64" s="623"/>
      <c r="S64" s="623"/>
      <c r="T64" s="623"/>
      <c r="U64" s="623"/>
      <c r="V64" s="623"/>
      <c r="W64" s="623"/>
      <c r="X64" s="623"/>
      <c r="Y64" s="623"/>
      <c r="Z64" s="623"/>
      <c r="AA64" s="623"/>
      <c r="AB64" s="623"/>
      <c r="AC64" s="623"/>
      <c r="AD64" s="623"/>
      <c r="AE64" s="623"/>
      <c r="AF64" s="623"/>
      <c r="AG64" s="623"/>
      <c r="AH64" s="623"/>
      <c r="AI64" s="623"/>
      <c r="AJ64" s="623"/>
      <c r="AK64" s="623"/>
      <c r="AL64" s="623"/>
      <c r="AM64" s="623"/>
      <c r="AN64" s="623"/>
      <c r="AO64" s="623"/>
      <c r="AP64" s="623"/>
      <c r="AQ64" s="623"/>
      <c r="AR64" s="623"/>
      <c r="AS64" s="623"/>
      <c r="AT64" s="623"/>
      <c r="AU64" s="623"/>
      <c r="AV64" s="623"/>
      <c r="AW64" s="623"/>
      <c r="AX64" s="623"/>
      <c r="AY64" s="623"/>
      <c r="AZ64" s="623"/>
      <c r="BA64" s="623"/>
      <c r="BB64" s="623"/>
      <c r="BC64" s="623"/>
      <c r="BD64" s="623"/>
      <c r="BE64" s="623"/>
      <c r="BF64" s="623"/>
      <c r="BG64" s="623"/>
      <c r="BH64" s="623"/>
      <c r="BI64" s="623"/>
      <c r="BJ64" s="623"/>
      <c r="BK64" s="623"/>
      <c r="BL64" s="623"/>
      <c r="BM64" s="623"/>
      <c r="BN64" s="623"/>
      <c r="BO64" s="623"/>
      <c r="BP64" s="623"/>
      <c r="BQ64" s="623"/>
      <c r="BR64" s="623"/>
      <c r="BS64" s="623"/>
      <c r="BT64" s="623"/>
      <c r="BU64" s="623"/>
      <c r="BV64" s="623"/>
      <c r="BW64" s="623"/>
      <c r="BX64" s="623"/>
      <c r="BY64" s="623"/>
      <c r="BZ64" s="623"/>
      <c r="CA64" s="623"/>
      <c r="CB64" s="623"/>
      <c r="CC64" s="623"/>
      <c r="CD64" s="623"/>
      <c r="CE64" s="623"/>
      <c r="CF64" s="623"/>
      <c r="CG64" s="623"/>
      <c r="CH64" s="623"/>
      <c r="CI64" s="623"/>
      <c r="CJ64" s="623"/>
      <c r="CK64" s="623"/>
      <c r="CL64" s="623"/>
      <c r="CM64" s="623"/>
      <c r="CN64" s="623"/>
      <c r="CO64" s="623"/>
      <c r="CP64" s="623"/>
      <c r="CQ64" s="623"/>
      <c r="CR64" s="623"/>
      <c r="CS64" s="623"/>
      <c r="CT64" s="623"/>
      <c r="CU64" s="623"/>
      <c r="CV64" s="623"/>
      <c r="CW64" s="623"/>
      <c r="CX64" s="623"/>
      <c r="CY64" s="623"/>
      <c r="CZ64" s="623"/>
      <c r="DA64" s="623"/>
      <c r="DB64" s="623"/>
      <c r="DC64" s="623"/>
      <c r="DD64" s="623"/>
      <c r="DE64" s="623"/>
      <c r="DF64" s="623"/>
      <c r="DG64" s="623"/>
      <c r="DH64" s="623"/>
      <c r="DI64" s="623"/>
      <c r="DJ64" s="623"/>
      <c r="DK64" s="623"/>
      <c r="DL64" s="623"/>
      <c r="DM64" s="623"/>
      <c r="DN64" s="623"/>
      <c r="DO64" s="623"/>
      <c r="DP64" s="623"/>
      <c r="DQ64" s="623"/>
      <c r="DR64" s="623"/>
      <c r="DS64" s="623"/>
      <c r="DT64" s="623"/>
      <c r="DU64" s="623"/>
      <c r="DV64" s="623"/>
      <c r="DW64" s="623"/>
      <c r="DX64" s="623"/>
      <c r="DY64" s="623"/>
      <c r="DZ64" s="623"/>
      <c r="EA64" s="623"/>
      <c r="EB64" s="623"/>
      <c r="EC64" s="623"/>
      <c r="ED64" s="623"/>
      <c r="EE64" s="623"/>
      <c r="EF64" s="623"/>
      <c r="EG64" s="623"/>
      <c r="EH64" s="623"/>
      <c r="EI64" s="623"/>
      <c r="EJ64" s="623"/>
      <c r="EK64" s="623"/>
      <c r="EL64" s="623"/>
      <c r="EM64" s="623"/>
      <c r="EN64" s="623"/>
      <c r="EO64" s="623"/>
      <c r="EP64" s="623"/>
      <c r="EQ64" s="623"/>
      <c r="ER64" s="623"/>
      <c r="ES64" s="623"/>
      <c r="ET64" s="623"/>
      <c r="EU64" s="623"/>
      <c r="EV64" s="623"/>
      <c r="EW64" s="623"/>
      <c r="EX64" s="623"/>
      <c r="EY64" s="623"/>
      <c r="EZ64" s="623"/>
      <c r="FA64" s="623"/>
      <c r="FB64" s="623"/>
      <c r="FC64" s="623"/>
      <c r="FD64" s="623"/>
      <c r="FE64" s="623"/>
      <c r="FF64" s="623"/>
      <c r="FG64" s="623"/>
      <c r="FH64" s="623"/>
    </row>
    <row r="65" spans="1:164">
      <c r="A65" s="623" t="s">
        <v>5101</v>
      </c>
      <c r="B65" s="623" t="s">
        <v>2273</v>
      </c>
      <c r="C65" s="623" t="s">
        <v>5102</v>
      </c>
      <c r="D65" s="623" t="s">
        <v>5103</v>
      </c>
      <c r="E65" s="623" t="s">
        <v>5104</v>
      </c>
      <c r="F65" s="623" t="s">
        <v>2377</v>
      </c>
      <c r="G65" s="623" t="s">
        <v>62</v>
      </c>
      <c r="H65" s="623" t="s">
        <v>2922</v>
      </c>
      <c r="I65" s="623" t="s">
        <v>943</v>
      </c>
      <c r="J65" s="623" t="s">
        <v>2380</v>
      </c>
      <c r="K65" s="623" t="s">
        <v>5105</v>
      </c>
      <c r="L65" s="623" t="s">
        <v>780</v>
      </c>
      <c r="M65" s="623" t="s">
        <v>781</v>
      </c>
      <c r="N65" s="623" t="s">
        <v>1021</v>
      </c>
      <c r="O65" s="623" t="s">
        <v>988</v>
      </c>
      <c r="P65" s="623" t="s">
        <v>777</v>
      </c>
      <c r="Q65" s="623"/>
      <c r="R65" s="623" t="s">
        <v>1030</v>
      </c>
      <c r="S65" s="623"/>
      <c r="T65" s="623"/>
      <c r="U65" s="623"/>
      <c r="V65" s="623"/>
      <c r="W65" s="623"/>
      <c r="X65" s="623"/>
      <c r="Y65" s="623"/>
      <c r="Z65" s="623"/>
      <c r="AA65" s="623"/>
      <c r="AB65" s="623"/>
      <c r="AC65" s="623"/>
      <c r="AD65" s="623"/>
      <c r="AE65" s="623"/>
      <c r="AF65" s="623"/>
      <c r="AG65" s="623"/>
      <c r="AH65" s="623"/>
      <c r="AI65" s="623"/>
      <c r="AJ65" s="623"/>
      <c r="AK65" s="623"/>
      <c r="AL65" s="623"/>
      <c r="AM65" s="623"/>
      <c r="AN65" s="623"/>
      <c r="AO65" s="623"/>
      <c r="AP65" s="623"/>
      <c r="AQ65" s="623"/>
      <c r="AR65" s="623"/>
      <c r="AS65" s="623"/>
      <c r="AT65" s="623"/>
      <c r="AU65" s="623"/>
      <c r="AV65" s="623"/>
      <c r="AW65" s="623"/>
      <c r="AX65" s="623"/>
      <c r="AY65" s="623"/>
      <c r="AZ65" s="623"/>
      <c r="BA65" s="623"/>
      <c r="BB65" s="623"/>
      <c r="BC65" s="623"/>
      <c r="BD65" s="623"/>
      <c r="BE65" s="623"/>
      <c r="BF65" s="623"/>
      <c r="BG65" s="623"/>
      <c r="BH65" s="623"/>
      <c r="BI65" s="623"/>
      <c r="BJ65" s="623"/>
      <c r="BK65" s="623"/>
      <c r="BL65" s="623"/>
      <c r="BM65" s="623"/>
      <c r="BN65" s="623"/>
      <c r="BO65" s="623"/>
      <c r="BP65" s="623"/>
      <c r="BQ65" s="623"/>
      <c r="BR65" s="623"/>
      <c r="BS65" s="623"/>
      <c r="BT65" s="623"/>
      <c r="BU65" s="623"/>
      <c r="BV65" s="623"/>
      <c r="BW65" s="623"/>
      <c r="BX65" s="623"/>
      <c r="BY65" s="623"/>
      <c r="BZ65" s="623"/>
      <c r="CA65" s="623"/>
      <c r="CB65" s="623"/>
      <c r="CC65" s="623"/>
      <c r="CD65" s="623"/>
      <c r="CE65" s="623"/>
      <c r="CF65" s="623"/>
      <c r="CG65" s="623"/>
      <c r="CH65" s="623"/>
      <c r="CI65" s="623"/>
      <c r="CJ65" s="623"/>
      <c r="CK65" s="623"/>
      <c r="CL65" s="623"/>
      <c r="CM65" s="623"/>
      <c r="CN65" s="623"/>
      <c r="CO65" s="623"/>
      <c r="CP65" s="623"/>
      <c r="CQ65" s="623"/>
      <c r="CR65" s="623"/>
      <c r="CS65" s="623"/>
      <c r="CT65" s="623"/>
      <c r="CU65" s="623"/>
      <c r="CV65" s="623"/>
      <c r="CW65" s="623"/>
      <c r="CX65" s="623"/>
      <c r="CY65" s="623"/>
      <c r="CZ65" s="623"/>
      <c r="DA65" s="623"/>
      <c r="DB65" s="623"/>
      <c r="DC65" s="623"/>
      <c r="DD65" s="623"/>
      <c r="DE65" s="623"/>
      <c r="DF65" s="623"/>
      <c r="DG65" s="623"/>
      <c r="DH65" s="623"/>
      <c r="DI65" s="623"/>
      <c r="DJ65" s="623"/>
      <c r="DK65" s="623"/>
      <c r="DL65" s="623"/>
      <c r="DM65" s="623"/>
      <c r="DN65" s="623"/>
      <c r="DO65" s="623"/>
      <c r="DP65" s="623"/>
      <c r="DQ65" s="623"/>
      <c r="DR65" s="623"/>
      <c r="DS65" s="623"/>
      <c r="DT65" s="623"/>
      <c r="DU65" s="623"/>
      <c r="DV65" s="623"/>
      <c r="DW65" s="623"/>
      <c r="DX65" s="623"/>
      <c r="DY65" s="623"/>
      <c r="DZ65" s="623"/>
      <c r="EA65" s="623"/>
      <c r="EB65" s="623"/>
      <c r="EC65" s="623"/>
      <c r="ED65" s="623"/>
      <c r="EE65" s="623"/>
      <c r="EF65" s="623"/>
      <c r="EG65" s="623"/>
      <c r="EH65" s="623"/>
      <c r="EI65" s="623"/>
      <c r="EJ65" s="623"/>
      <c r="EK65" s="623"/>
      <c r="EL65" s="623"/>
      <c r="EM65" s="623"/>
      <c r="EN65" s="623"/>
      <c r="EO65" s="623"/>
      <c r="EP65" s="623"/>
      <c r="EQ65" s="623"/>
      <c r="ER65" s="623"/>
      <c r="ES65" s="623"/>
      <c r="ET65" s="623"/>
      <c r="EU65" s="623"/>
      <c r="EV65" s="623"/>
      <c r="EW65" s="623"/>
      <c r="EX65" s="623"/>
      <c r="EY65" s="623"/>
      <c r="EZ65" s="623"/>
      <c r="FA65" s="623"/>
      <c r="FB65" s="623"/>
      <c r="FC65" s="623"/>
      <c r="FD65" s="623"/>
      <c r="FE65" s="623"/>
      <c r="FF65" s="623"/>
      <c r="FG65" s="623"/>
      <c r="FH65" s="623"/>
    </row>
    <row r="66" spans="1:164">
      <c r="A66" s="623" t="s">
        <v>5106</v>
      </c>
      <c r="B66" s="623" t="s">
        <v>5107</v>
      </c>
      <c r="C66" s="623" t="s">
        <v>5108</v>
      </c>
      <c r="D66" s="623" t="s">
        <v>5109</v>
      </c>
      <c r="E66" s="623" t="s">
        <v>5110</v>
      </c>
      <c r="F66" s="623" t="s">
        <v>5111</v>
      </c>
      <c r="G66" s="623" t="s">
        <v>5112</v>
      </c>
      <c r="H66" s="623" t="s">
        <v>5113</v>
      </c>
      <c r="I66" s="623" t="s">
        <v>5114</v>
      </c>
      <c r="J66" s="623"/>
      <c r="K66" s="623"/>
      <c r="L66" s="623"/>
      <c r="M66" s="623"/>
      <c r="N66" s="623"/>
      <c r="O66" s="623"/>
      <c r="P66" s="623"/>
      <c r="Q66" s="623"/>
      <c r="R66" s="623"/>
      <c r="S66" s="623"/>
      <c r="T66" s="623"/>
      <c r="U66" s="623"/>
      <c r="V66" s="623"/>
      <c r="W66" s="623"/>
      <c r="X66" s="623"/>
      <c r="Y66" s="623"/>
      <c r="Z66" s="623"/>
      <c r="AA66" s="623"/>
      <c r="AB66" s="623"/>
      <c r="AC66" s="623"/>
      <c r="AD66" s="623"/>
      <c r="AE66" s="623"/>
      <c r="AF66" s="623"/>
      <c r="AG66" s="623"/>
      <c r="AH66" s="623"/>
      <c r="AI66" s="623"/>
      <c r="AJ66" s="623"/>
      <c r="AK66" s="623"/>
      <c r="AL66" s="623"/>
      <c r="AM66" s="623"/>
      <c r="AN66" s="623"/>
      <c r="AO66" s="623"/>
      <c r="AP66" s="623"/>
      <c r="AQ66" s="623"/>
      <c r="AR66" s="623"/>
      <c r="AS66" s="623"/>
      <c r="AT66" s="623"/>
      <c r="AU66" s="623"/>
      <c r="AV66" s="623"/>
      <c r="AW66" s="623"/>
      <c r="AX66" s="623"/>
      <c r="AY66" s="623"/>
      <c r="AZ66" s="623"/>
      <c r="BA66" s="623"/>
      <c r="BB66" s="623"/>
      <c r="BC66" s="623"/>
      <c r="BD66" s="623"/>
      <c r="BE66" s="623"/>
      <c r="BF66" s="623"/>
      <c r="BG66" s="623"/>
      <c r="BH66" s="623"/>
      <c r="BI66" s="623"/>
      <c r="BJ66" s="623"/>
      <c r="BK66" s="623"/>
      <c r="BL66" s="623"/>
      <c r="BM66" s="623"/>
      <c r="BN66" s="623"/>
      <c r="BO66" s="623"/>
      <c r="BP66" s="623"/>
      <c r="BQ66" s="623"/>
      <c r="BR66" s="623"/>
      <c r="BS66" s="623"/>
      <c r="BT66" s="623"/>
      <c r="BU66" s="623"/>
      <c r="BV66" s="623"/>
      <c r="BW66" s="623"/>
      <c r="BX66" s="623"/>
      <c r="BY66" s="623"/>
      <c r="BZ66" s="623"/>
      <c r="CA66" s="623"/>
      <c r="CB66" s="623"/>
      <c r="CC66" s="623"/>
      <c r="CD66" s="623"/>
      <c r="CE66" s="623"/>
      <c r="CF66" s="623"/>
      <c r="CG66" s="623"/>
      <c r="CH66" s="623"/>
      <c r="CI66" s="623"/>
      <c r="CJ66" s="623"/>
      <c r="CK66" s="623"/>
      <c r="CL66" s="623"/>
      <c r="CM66" s="623"/>
      <c r="CN66" s="623"/>
      <c r="CO66" s="623"/>
      <c r="CP66" s="623"/>
      <c r="CQ66" s="623"/>
      <c r="CR66" s="623"/>
      <c r="CS66" s="623"/>
      <c r="CT66" s="623"/>
      <c r="CU66" s="623"/>
      <c r="CV66" s="623"/>
      <c r="CW66" s="623"/>
      <c r="CX66" s="623"/>
      <c r="CY66" s="623"/>
      <c r="CZ66" s="623"/>
      <c r="DA66" s="623"/>
      <c r="DB66" s="623"/>
      <c r="DC66" s="623"/>
      <c r="DD66" s="623"/>
      <c r="DE66" s="623"/>
      <c r="DF66" s="623"/>
      <c r="DG66" s="623"/>
      <c r="DH66" s="623"/>
      <c r="DI66" s="623"/>
      <c r="DJ66" s="623"/>
      <c r="DK66" s="623"/>
      <c r="DL66" s="623"/>
      <c r="DM66" s="623"/>
      <c r="DN66" s="623"/>
      <c r="DO66" s="623"/>
      <c r="DP66" s="623"/>
      <c r="DQ66" s="623"/>
      <c r="DR66" s="623"/>
      <c r="DS66" s="623"/>
      <c r="DT66" s="623"/>
      <c r="DU66" s="623"/>
      <c r="DV66" s="623"/>
      <c r="DW66" s="623"/>
      <c r="DX66" s="623"/>
      <c r="DY66" s="623"/>
      <c r="DZ66" s="623"/>
      <c r="EA66" s="623"/>
      <c r="EB66" s="623"/>
      <c r="EC66" s="623"/>
      <c r="ED66" s="623"/>
      <c r="EE66" s="623"/>
      <c r="EF66" s="623"/>
      <c r="EG66" s="623"/>
      <c r="EH66" s="623"/>
      <c r="EI66" s="623"/>
      <c r="EJ66" s="623"/>
      <c r="EK66" s="623"/>
      <c r="EL66" s="623"/>
      <c r="EM66" s="623"/>
      <c r="EN66" s="623"/>
      <c r="EO66" s="623"/>
      <c r="EP66" s="623"/>
      <c r="EQ66" s="623"/>
      <c r="ER66" s="623"/>
      <c r="ES66" s="623"/>
      <c r="ET66" s="623"/>
      <c r="EU66" s="623"/>
      <c r="EV66" s="623"/>
      <c r="EW66" s="623"/>
      <c r="EX66" s="623"/>
      <c r="EY66" s="623"/>
      <c r="EZ66" s="623"/>
      <c r="FA66" s="623"/>
      <c r="FB66" s="623"/>
      <c r="FC66" s="623"/>
      <c r="FD66" s="623"/>
      <c r="FE66" s="623"/>
      <c r="FF66" s="623"/>
      <c r="FG66" s="623"/>
      <c r="FH66" s="623"/>
    </row>
    <row r="67" spans="1:164">
      <c r="A67" s="623" t="s">
        <v>5115</v>
      </c>
      <c r="B67" s="623" t="s">
        <v>5116</v>
      </c>
      <c r="C67" s="623" t="s">
        <v>5117</v>
      </c>
      <c r="D67" s="623" t="s">
        <v>5118</v>
      </c>
      <c r="E67" s="623" t="s">
        <v>5119</v>
      </c>
      <c r="F67" s="623" t="s">
        <v>5120</v>
      </c>
      <c r="G67" s="623" t="s">
        <v>5121</v>
      </c>
      <c r="H67" s="623" t="s">
        <v>5122</v>
      </c>
      <c r="I67" s="623" t="s">
        <v>5123</v>
      </c>
      <c r="J67" s="623" t="s">
        <v>2884</v>
      </c>
      <c r="K67" s="623" t="s">
        <v>5066</v>
      </c>
      <c r="L67" s="623" t="s">
        <v>5124</v>
      </c>
      <c r="M67" s="623" t="s">
        <v>5125</v>
      </c>
      <c r="N67" s="623" t="s">
        <v>4980</v>
      </c>
      <c r="O67" s="623"/>
      <c r="P67" s="623"/>
      <c r="Q67" s="623"/>
      <c r="R67" s="623"/>
      <c r="S67" s="623"/>
      <c r="T67" s="623"/>
      <c r="U67" s="623"/>
      <c r="V67" s="623"/>
      <c r="W67" s="623"/>
      <c r="X67" s="623"/>
      <c r="Y67" s="623"/>
      <c r="Z67" s="623"/>
      <c r="AA67" s="623"/>
      <c r="AB67" s="623"/>
      <c r="AC67" s="623"/>
      <c r="AD67" s="623"/>
      <c r="AE67" s="623"/>
      <c r="AF67" s="623"/>
      <c r="AG67" s="623"/>
      <c r="AH67" s="623"/>
      <c r="AI67" s="623"/>
      <c r="AJ67" s="623"/>
      <c r="AK67" s="623"/>
      <c r="AL67" s="623"/>
      <c r="AM67" s="623"/>
      <c r="AN67" s="623"/>
      <c r="AO67" s="623"/>
      <c r="AP67" s="623"/>
      <c r="AQ67" s="623"/>
      <c r="AR67" s="623"/>
      <c r="AS67" s="623"/>
      <c r="AT67" s="623"/>
      <c r="AU67" s="623"/>
      <c r="AV67" s="623"/>
      <c r="AW67" s="623"/>
      <c r="AX67" s="623"/>
      <c r="AY67" s="623"/>
      <c r="AZ67" s="623"/>
      <c r="BA67" s="623"/>
      <c r="BB67" s="623"/>
      <c r="BC67" s="623"/>
      <c r="BD67" s="623"/>
      <c r="BE67" s="623"/>
      <c r="BF67" s="623"/>
      <c r="BG67" s="623"/>
      <c r="BH67" s="623"/>
      <c r="BI67" s="623"/>
      <c r="BJ67" s="623"/>
      <c r="BK67" s="623"/>
      <c r="BL67" s="623"/>
      <c r="BM67" s="623"/>
      <c r="BN67" s="623"/>
      <c r="BO67" s="623"/>
      <c r="BP67" s="623"/>
      <c r="BQ67" s="623"/>
      <c r="BR67" s="623"/>
      <c r="BS67" s="623"/>
      <c r="BT67" s="623"/>
      <c r="BU67" s="623"/>
      <c r="BV67" s="623"/>
      <c r="BW67" s="623"/>
      <c r="BX67" s="623"/>
      <c r="BY67" s="623"/>
      <c r="BZ67" s="623"/>
      <c r="CA67" s="623"/>
      <c r="CB67" s="623"/>
      <c r="CC67" s="623"/>
      <c r="CD67" s="623"/>
      <c r="CE67" s="623"/>
      <c r="CF67" s="623"/>
      <c r="CG67" s="623"/>
      <c r="CH67" s="623"/>
      <c r="CI67" s="623"/>
      <c r="CJ67" s="623"/>
      <c r="CK67" s="623"/>
      <c r="CL67" s="623"/>
      <c r="CM67" s="623"/>
      <c r="CN67" s="623"/>
      <c r="CO67" s="623"/>
      <c r="CP67" s="623"/>
      <c r="CQ67" s="623"/>
      <c r="CR67" s="623"/>
      <c r="CS67" s="623"/>
      <c r="CT67" s="623"/>
      <c r="CU67" s="623"/>
      <c r="CV67" s="623"/>
      <c r="CW67" s="623"/>
      <c r="CX67" s="623"/>
      <c r="CY67" s="623"/>
      <c r="CZ67" s="623"/>
      <c r="DA67" s="623"/>
      <c r="DB67" s="623"/>
      <c r="DC67" s="623"/>
      <c r="DD67" s="623"/>
      <c r="DE67" s="623"/>
      <c r="DF67" s="623"/>
      <c r="DG67" s="623"/>
      <c r="DH67" s="623"/>
      <c r="DI67" s="623"/>
      <c r="DJ67" s="623"/>
      <c r="DK67" s="623"/>
      <c r="DL67" s="623"/>
      <c r="DM67" s="623"/>
      <c r="DN67" s="623"/>
      <c r="DO67" s="623"/>
      <c r="DP67" s="623"/>
      <c r="DQ67" s="623"/>
      <c r="DR67" s="623"/>
      <c r="DS67" s="623"/>
      <c r="DT67" s="623"/>
      <c r="DU67" s="623"/>
      <c r="DV67" s="623"/>
      <c r="DW67" s="623"/>
      <c r="DX67" s="623"/>
      <c r="DY67" s="623"/>
      <c r="DZ67" s="623"/>
      <c r="EA67" s="623"/>
      <c r="EB67" s="623"/>
      <c r="EC67" s="623"/>
      <c r="ED67" s="623"/>
      <c r="EE67" s="623"/>
      <c r="EF67" s="623"/>
      <c r="EG67" s="623"/>
      <c r="EH67" s="623"/>
      <c r="EI67" s="623"/>
      <c r="EJ67" s="623"/>
      <c r="EK67" s="623"/>
      <c r="EL67" s="623"/>
      <c r="EM67" s="623"/>
      <c r="EN67" s="623"/>
      <c r="EO67" s="623"/>
      <c r="EP67" s="623"/>
      <c r="EQ67" s="623"/>
      <c r="ER67" s="623"/>
      <c r="ES67" s="623"/>
      <c r="ET67" s="623"/>
      <c r="EU67" s="623"/>
      <c r="EV67" s="623"/>
      <c r="EW67" s="623"/>
      <c r="EX67" s="623"/>
      <c r="EY67" s="623"/>
      <c r="EZ67" s="623"/>
      <c r="FA67" s="623"/>
      <c r="FB67" s="623"/>
      <c r="FC67" s="623"/>
      <c r="FD67" s="623"/>
      <c r="FE67" s="623"/>
      <c r="FF67" s="623"/>
      <c r="FG67" s="623"/>
      <c r="FH67" s="623"/>
    </row>
    <row r="68" spans="1:164">
      <c r="A68" s="623" t="s">
        <v>5126</v>
      </c>
      <c r="B68" s="623" t="s">
        <v>9</v>
      </c>
      <c r="C68" s="623" t="s">
        <v>1917</v>
      </c>
      <c r="D68" s="623" t="s">
        <v>93</v>
      </c>
      <c r="E68" s="623" t="s">
        <v>88</v>
      </c>
      <c r="F68" s="623" t="s">
        <v>10</v>
      </c>
      <c r="G68" s="623" t="s">
        <v>560</v>
      </c>
      <c r="H68" s="623"/>
      <c r="I68" s="623"/>
      <c r="J68" s="623"/>
      <c r="K68" s="623"/>
      <c r="L68" s="623"/>
      <c r="M68" s="623"/>
      <c r="N68" s="623"/>
      <c r="O68" s="623"/>
      <c r="P68" s="623"/>
      <c r="Q68" s="623"/>
      <c r="R68" s="623"/>
      <c r="S68" s="623"/>
      <c r="T68" s="623"/>
      <c r="U68" s="623"/>
      <c r="V68" s="623"/>
      <c r="W68" s="623"/>
      <c r="X68" s="623"/>
      <c r="Y68" s="623"/>
      <c r="Z68" s="623"/>
      <c r="AA68" s="623"/>
      <c r="AB68" s="623"/>
      <c r="AC68" s="623"/>
      <c r="AD68" s="623"/>
      <c r="AE68" s="623"/>
      <c r="AF68" s="623"/>
      <c r="AG68" s="623"/>
      <c r="AH68" s="623"/>
      <c r="AI68" s="623"/>
      <c r="AJ68" s="623"/>
      <c r="AK68" s="623"/>
      <c r="AL68" s="623"/>
      <c r="AM68" s="623"/>
      <c r="AN68" s="623"/>
      <c r="AO68" s="623"/>
      <c r="AP68" s="623"/>
      <c r="AQ68" s="623"/>
      <c r="AR68" s="623"/>
      <c r="AS68" s="623"/>
      <c r="AT68" s="623"/>
      <c r="AU68" s="623"/>
      <c r="AV68" s="623"/>
      <c r="AW68" s="623"/>
      <c r="AX68" s="623"/>
      <c r="AY68" s="623"/>
      <c r="AZ68" s="623"/>
      <c r="BA68" s="623"/>
      <c r="BB68" s="623"/>
      <c r="BC68" s="623"/>
      <c r="BD68" s="623"/>
      <c r="BE68" s="623"/>
      <c r="BF68" s="623"/>
      <c r="BG68" s="623"/>
      <c r="BH68" s="623"/>
      <c r="BI68" s="623"/>
      <c r="BJ68" s="623"/>
      <c r="BK68" s="623"/>
      <c r="BL68" s="623"/>
      <c r="BM68" s="623"/>
      <c r="BN68" s="623"/>
      <c r="BO68" s="623"/>
      <c r="BP68" s="623"/>
      <c r="BQ68" s="623"/>
      <c r="BR68" s="623"/>
      <c r="BS68" s="623"/>
      <c r="BT68" s="623"/>
      <c r="BU68" s="623"/>
      <c r="BV68" s="623"/>
      <c r="BW68" s="623"/>
      <c r="BX68" s="623"/>
      <c r="BY68" s="623"/>
      <c r="BZ68" s="623"/>
      <c r="CA68" s="623"/>
      <c r="CB68" s="623"/>
      <c r="CC68" s="623"/>
      <c r="CD68" s="623"/>
      <c r="CE68" s="623"/>
      <c r="CF68" s="623"/>
      <c r="CG68" s="623"/>
      <c r="CH68" s="623"/>
      <c r="CI68" s="623"/>
      <c r="CJ68" s="623"/>
      <c r="CK68" s="623"/>
      <c r="CL68" s="623"/>
      <c r="CM68" s="623"/>
      <c r="CN68" s="623"/>
      <c r="CO68" s="623"/>
      <c r="CP68" s="623"/>
      <c r="CQ68" s="623"/>
      <c r="CR68" s="623"/>
      <c r="CS68" s="623"/>
      <c r="CT68" s="623"/>
      <c r="CU68" s="623"/>
      <c r="CV68" s="623"/>
      <c r="CW68" s="623"/>
      <c r="CX68" s="623"/>
      <c r="CY68" s="623"/>
      <c r="CZ68" s="623"/>
      <c r="DA68" s="623"/>
      <c r="DB68" s="623"/>
      <c r="DC68" s="623"/>
      <c r="DD68" s="623"/>
      <c r="DE68" s="623"/>
      <c r="DF68" s="623"/>
      <c r="DG68" s="623"/>
      <c r="DH68" s="623"/>
      <c r="DI68" s="623"/>
      <c r="DJ68" s="623"/>
      <c r="DK68" s="623"/>
      <c r="DL68" s="623"/>
      <c r="DM68" s="623"/>
      <c r="DN68" s="623"/>
      <c r="DO68" s="623"/>
      <c r="DP68" s="623"/>
      <c r="DQ68" s="623"/>
      <c r="DR68" s="623"/>
      <c r="DS68" s="623"/>
      <c r="DT68" s="623"/>
      <c r="DU68" s="623"/>
      <c r="DV68" s="623"/>
      <c r="DW68" s="623"/>
      <c r="DX68" s="623"/>
      <c r="DY68" s="623"/>
      <c r="DZ68" s="623"/>
      <c r="EA68" s="623"/>
      <c r="EB68" s="623"/>
      <c r="EC68" s="623"/>
      <c r="ED68" s="623"/>
      <c r="EE68" s="623"/>
      <c r="EF68" s="623"/>
      <c r="EG68" s="623"/>
      <c r="EH68" s="623"/>
      <c r="EI68" s="623"/>
      <c r="EJ68" s="623"/>
      <c r="EK68" s="623"/>
      <c r="EL68" s="623"/>
      <c r="EM68" s="623"/>
      <c r="EN68" s="623"/>
      <c r="EO68" s="623"/>
      <c r="EP68" s="623"/>
      <c r="EQ68" s="623"/>
      <c r="ER68" s="623"/>
      <c r="ES68" s="623"/>
      <c r="ET68" s="623"/>
      <c r="EU68" s="623"/>
      <c r="EV68" s="623"/>
      <c r="EW68" s="623"/>
      <c r="EX68" s="623"/>
      <c r="EY68" s="623"/>
      <c r="EZ68" s="623"/>
      <c r="FA68" s="623"/>
      <c r="FB68" s="623"/>
      <c r="FC68" s="623"/>
      <c r="FD68" s="623"/>
      <c r="FE68" s="623"/>
      <c r="FF68" s="623"/>
      <c r="FG68" s="623"/>
      <c r="FH68" s="623"/>
    </row>
    <row r="69" spans="1:164">
      <c r="A69" s="623" t="s">
        <v>5127</v>
      </c>
      <c r="B69" s="623" t="s">
        <v>89</v>
      </c>
      <c r="C69" s="623" t="s">
        <v>778</v>
      </c>
      <c r="D69" s="623" t="s">
        <v>90</v>
      </c>
      <c r="E69" s="623"/>
      <c r="F69" s="623"/>
      <c r="G69" s="623"/>
      <c r="H69" s="623"/>
      <c r="I69" s="623"/>
      <c r="J69" s="623"/>
      <c r="K69" s="623"/>
      <c r="L69" s="623"/>
      <c r="M69" s="623"/>
      <c r="N69" s="623"/>
      <c r="O69" s="623"/>
      <c r="P69" s="623"/>
      <c r="Q69" s="623"/>
      <c r="R69" s="623"/>
      <c r="S69" s="623"/>
      <c r="T69" s="623"/>
      <c r="U69" s="623"/>
      <c r="V69" s="623"/>
      <c r="W69" s="623"/>
      <c r="X69" s="623"/>
      <c r="Y69" s="623"/>
      <c r="Z69" s="623"/>
      <c r="AA69" s="623"/>
      <c r="AB69" s="623"/>
      <c r="AC69" s="623"/>
      <c r="AD69" s="623"/>
      <c r="AE69" s="623"/>
      <c r="AF69" s="623"/>
      <c r="AG69" s="623"/>
      <c r="AH69" s="623"/>
      <c r="AI69" s="623"/>
      <c r="AJ69" s="623"/>
      <c r="AK69" s="623"/>
      <c r="AL69" s="623"/>
      <c r="AM69" s="623"/>
      <c r="AN69" s="623"/>
      <c r="AO69" s="623"/>
      <c r="AP69" s="623"/>
      <c r="AQ69" s="623"/>
      <c r="AR69" s="623"/>
      <c r="AS69" s="623"/>
      <c r="AT69" s="623"/>
      <c r="AU69" s="623"/>
      <c r="AV69" s="623"/>
      <c r="AW69" s="623"/>
      <c r="AX69" s="623"/>
      <c r="AY69" s="623"/>
      <c r="AZ69" s="623"/>
      <c r="BA69" s="623"/>
      <c r="BB69" s="623"/>
      <c r="BC69" s="623"/>
      <c r="BD69" s="623"/>
      <c r="BE69" s="623"/>
      <c r="BF69" s="623"/>
      <c r="BG69" s="623"/>
      <c r="BH69" s="623"/>
      <c r="BI69" s="623"/>
      <c r="BJ69" s="623"/>
      <c r="BK69" s="623"/>
      <c r="BL69" s="623"/>
      <c r="BM69" s="623"/>
      <c r="BN69" s="623"/>
      <c r="BO69" s="623"/>
      <c r="BP69" s="623"/>
      <c r="BQ69" s="623"/>
      <c r="BR69" s="623"/>
      <c r="BS69" s="623"/>
      <c r="BT69" s="623"/>
      <c r="BU69" s="623"/>
      <c r="BV69" s="623"/>
      <c r="BW69" s="623"/>
      <c r="BX69" s="623"/>
      <c r="BY69" s="623"/>
      <c r="BZ69" s="623"/>
      <c r="CA69" s="623"/>
      <c r="CB69" s="623"/>
      <c r="CC69" s="623"/>
      <c r="CD69" s="623"/>
      <c r="CE69" s="623"/>
      <c r="CF69" s="623"/>
      <c r="CG69" s="623"/>
      <c r="CH69" s="623"/>
      <c r="CI69" s="623"/>
      <c r="CJ69" s="623"/>
      <c r="CK69" s="623"/>
      <c r="CL69" s="623"/>
      <c r="CM69" s="623"/>
      <c r="CN69" s="623"/>
      <c r="CO69" s="623"/>
      <c r="CP69" s="623"/>
      <c r="CQ69" s="623"/>
      <c r="CR69" s="623"/>
      <c r="CS69" s="623"/>
      <c r="CT69" s="623"/>
      <c r="CU69" s="623"/>
      <c r="CV69" s="623"/>
      <c r="CW69" s="623"/>
      <c r="CX69" s="623"/>
      <c r="CY69" s="623"/>
      <c r="CZ69" s="623"/>
      <c r="DA69" s="623"/>
      <c r="DB69" s="623"/>
      <c r="DC69" s="623"/>
      <c r="DD69" s="623"/>
      <c r="DE69" s="623"/>
      <c r="DF69" s="623"/>
      <c r="DG69" s="623"/>
      <c r="DH69" s="623"/>
      <c r="DI69" s="623"/>
      <c r="DJ69" s="623"/>
      <c r="DK69" s="623"/>
      <c r="DL69" s="623"/>
      <c r="DM69" s="623"/>
      <c r="DN69" s="623"/>
      <c r="DO69" s="623"/>
      <c r="DP69" s="623"/>
      <c r="DQ69" s="623"/>
      <c r="DR69" s="623"/>
      <c r="DS69" s="623"/>
      <c r="DT69" s="623"/>
      <c r="DU69" s="623"/>
      <c r="DV69" s="623"/>
      <c r="DW69" s="623"/>
      <c r="DX69" s="623"/>
      <c r="DY69" s="623"/>
      <c r="DZ69" s="623"/>
      <c r="EA69" s="623"/>
      <c r="EB69" s="623"/>
      <c r="EC69" s="623"/>
      <c r="ED69" s="623"/>
      <c r="EE69" s="623"/>
      <c r="EF69" s="623"/>
      <c r="EG69" s="623"/>
      <c r="EH69" s="623"/>
      <c r="EI69" s="623"/>
      <c r="EJ69" s="623"/>
      <c r="EK69" s="623"/>
      <c r="EL69" s="623"/>
      <c r="EM69" s="623"/>
      <c r="EN69" s="623"/>
      <c r="EO69" s="623"/>
      <c r="EP69" s="623"/>
      <c r="EQ69" s="623"/>
      <c r="ER69" s="623"/>
      <c r="ES69" s="623"/>
      <c r="ET69" s="623"/>
      <c r="EU69" s="623"/>
      <c r="EV69" s="623"/>
      <c r="EW69" s="623"/>
      <c r="EX69" s="623"/>
      <c r="EY69" s="623"/>
      <c r="EZ69" s="623"/>
      <c r="FA69" s="623"/>
      <c r="FB69" s="623"/>
      <c r="FC69" s="623"/>
      <c r="FD69" s="623"/>
      <c r="FE69" s="623"/>
      <c r="FF69" s="623"/>
      <c r="FG69" s="623"/>
      <c r="FH69" s="623"/>
    </row>
    <row r="70" spans="1:164">
      <c r="A70" s="623" t="s">
        <v>5128</v>
      </c>
      <c r="B70" s="623" t="s">
        <v>0</v>
      </c>
      <c r="C70" s="623" t="s">
        <v>5</v>
      </c>
      <c r="D70" s="623" t="s">
        <v>6</v>
      </c>
      <c r="E70" s="623" t="s">
        <v>9</v>
      </c>
      <c r="F70" s="623" t="s">
        <v>88</v>
      </c>
      <c r="G70" s="623" t="s">
        <v>10</v>
      </c>
      <c r="H70" s="623" t="s">
        <v>78</v>
      </c>
      <c r="I70" s="623" t="s">
        <v>776</v>
      </c>
      <c r="J70" s="623" t="s">
        <v>778</v>
      </c>
      <c r="K70" s="623" t="s">
        <v>89</v>
      </c>
      <c r="L70" s="623" t="s">
        <v>455</v>
      </c>
      <c r="M70" s="623" t="s">
        <v>90</v>
      </c>
      <c r="N70" s="623" t="s">
        <v>783</v>
      </c>
      <c r="O70" s="623"/>
      <c r="P70" s="623"/>
      <c r="Q70" s="623"/>
      <c r="R70" s="623"/>
      <c r="S70" s="623"/>
      <c r="T70" s="623"/>
      <c r="U70" s="623"/>
      <c r="V70" s="623"/>
      <c r="W70" s="623"/>
      <c r="X70" s="623"/>
      <c r="Y70" s="623"/>
      <c r="Z70" s="623"/>
      <c r="AA70" s="623"/>
      <c r="AB70" s="623"/>
      <c r="AC70" s="623"/>
      <c r="AD70" s="623"/>
      <c r="AE70" s="623"/>
      <c r="AF70" s="623"/>
      <c r="AG70" s="623"/>
      <c r="AH70" s="623"/>
      <c r="AI70" s="623"/>
      <c r="AJ70" s="623"/>
      <c r="AK70" s="623"/>
      <c r="AL70" s="623"/>
      <c r="AM70" s="623"/>
      <c r="AN70" s="623"/>
      <c r="AO70" s="623"/>
      <c r="AP70" s="623"/>
      <c r="AQ70" s="623"/>
      <c r="AR70" s="623"/>
      <c r="AS70" s="623"/>
      <c r="AT70" s="623"/>
      <c r="AU70" s="623"/>
      <c r="AV70" s="623"/>
      <c r="AW70" s="623"/>
      <c r="AX70" s="623"/>
      <c r="AY70" s="623"/>
      <c r="AZ70" s="623"/>
      <c r="BA70" s="623"/>
      <c r="BB70" s="623"/>
      <c r="BC70" s="623"/>
      <c r="BD70" s="623"/>
      <c r="BE70" s="623"/>
      <c r="BF70" s="623"/>
      <c r="BG70" s="623"/>
      <c r="BH70" s="623"/>
      <c r="BI70" s="623"/>
      <c r="BJ70" s="623"/>
      <c r="BK70" s="623"/>
      <c r="BL70" s="623"/>
      <c r="BM70" s="623"/>
      <c r="BN70" s="623"/>
      <c r="BO70" s="623"/>
      <c r="BP70" s="623"/>
      <c r="BQ70" s="623"/>
      <c r="BR70" s="623"/>
      <c r="BS70" s="623"/>
      <c r="BT70" s="623"/>
      <c r="BU70" s="623"/>
      <c r="BV70" s="623"/>
      <c r="BW70" s="623"/>
      <c r="BX70" s="623"/>
      <c r="BY70" s="623"/>
      <c r="BZ70" s="623"/>
      <c r="CA70" s="623"/>
      <c r="CB70" s="623"/>
      <c r="CC70" s="623"/>
      <c r="CD70" s="623"/>
      <c r="CE70" s="623"/>
      <c r="CF70" s="623"/>
      <c r="CG70" s="623"/>
      <c r="CH70" s="623"/>
      <c r="CI70" s="623"/>
      <c r="CJ70" s="623"/>
      <c r="CK70" s="623"/>
      <c r="CL70" s="623"/>
      <c r="CM70" s="623"/>
      <c r="CN70" s="623"/>
      <c r="CO70" s="623"/>
      <c r="CP70" s="623"/>
      <c r="CQ70" s="623"/>
      <c r="CR70" s="623"/>
      <c r="CS70" s="623"/>
      <c r="CT70" s="623"/>
      <c r="CU70" s="623"/>
      <c r="CV70" s="623"/>
      <c r="CW70" s="623"/>
      <c r="CX70" s="623"/>
      <c r="CY70" s="623"/>
      <c r="CZ70" s="623"/>
      <c r="DA70" s="623"/>
      <c r="DB70" s="623"/>
      <c r="DC70" s="623"/>
      <c r="DD70" s="623"/>
      <c r="DE70" s="623"/>
      <c r="DF70" s="623"/>
      <c r="DG70" s="623"/>
      <c r="DH70" s="623"/>
      <c r="DI70" s="623"/>
      <c r="DJ70" s="623"/>
      <c r="DK70" s="623"/>
      <c r="DL70" s="623"/>
      <c r="DM70" s="623"/>
      <c r="DN70" s="623"/>
      <c r="DO70" s="623"/>
      <c r="DP70" s="623"/>
      <c r="DQ70" s="623"/>
      <c r="DR70" s="623"/>
      <c r="DS70" s="623"/>
      <c r="DT70" s="623"/>
      <c r="DU70" s="623"/>
      <c r="DV70" s="623"/>
      <c r="DW70" s="623"/>
      <c r="DX70" s="623"/>
      <c r="DY70" s="623"/>
      <c r="DZ70" s="623"/>
      <c r="EA70" s="623"/>
      <c r="EB70" s="623"/>
      <c r="EC70" s="623"/>
      <c r="ED70" s="623"/>
      <c r="EE70" s="623"/>
      <c r="EF70" s="623"/>
      <c r="EG70" s="623"/>
      <c r="EH70" s="623"/>
      <c r="EI70" s="623"/>
      <c r="EJ70" s="623"/>
      <c r="EK70" s="623"/>
      <c r="EL70" s="623"/>
      <c r="EM70" s="623"/>
      <c r="EN70" s="623"/>
      <c r="EO70" s="623"/>
      <c r="EP70" s="623"/>
      <c r="EQ70" s="623"/>
      <c r="ER70" s="623"/>
      <c r="ES70" s="623"/>
      <c r="ET70" s="623"/>
      <c r="EU70" s="623"/>
      <c r="EV70" s="623"/>
      <c r="EW70" s="623"/>
      <c r="EX70" s="623"/>
      <c r="EY70" s="623"/>
      <c r="EZ70" s="623"/>
      <c r="FA70" s="623"/>
      <c r="FB70" s="623"/>
      <c r="FC70" s="623"/>
      <c r="FD70" s="623"/>
      <c r="FE70" s="623"/>
      <c r="FF70" s="623"/>
      <c r="FG70" s="623"/>
      <c r="FH70" s="623"/>
    </row>
    <row r="71" spans="1:164">
      <c r="A71" s="623" t="s">
        <v>5129</v>
      </c>
      <c r="B71" s="623" t="s">
        <v>5130</v>
      </c>
      <c r="C71" s="623" t="s">
        <v>5131</v>
      </c>
      <c r="D71" s="623"/>
      <c r="E71" s="623"/>
      <c r="F71" s="623"/>
      <c r="G71" s="623"/>
      <c r="H71" s="623"/>
      <c r="I71" s="623"/>
      <c r="J71" s="623"/>
      <c r="K71" s="623"/>
      <c r="L71" s="623"/>
      <c r="M71" s="623"/>
      <c r="N71" s="623"/>
      <c r="O71" s="623"/>
      <c r="P71" s="623"/>
      <c r="Q71" s="623"/>
      <c r="R71" s="623"/>
      <c r="S71" s="623"/>
      <c r="T71" s="623"/>
      <c r="U71" s="623"/>
      <c r="V71" s="623"/>
      <c r="W71" s="623"/>
      <c r="X71" s="623"/>
      <c r="Y71" s="623"/>
      <c r="Z71" s="623"/>
      <c r="AA71" s="623"/>
      <c r="AB71" s="623"/>
      <c r="AC71" s="623"/>
      <c r="AD71" s="623"/>
      <c r="AE71" s="623"/>
      <c r="AF71" s="623"/>
      <c r="AG71" s="623"/>
      <c r="AH71" s="623"/>
      <c r="AI71" s="623"/>
      <c r="AJ71" s="623"/>
      <c r="AK71" s="623"/>
      <c r="AL71" s="623"/>
      <c r="AM71" s="623"/>
      <c r="AN71" s="623"/>
      <c r="AO71" s="623"/>
      <c r="AP71" s="623"/>
      <c r="AQ71" s="623"/>
      <c r="AR71" s="623"/>
      <c r="AS71" s="623"/>
      <c r="AT71" s="623"/>
      <c r="AU71" s="623"/>
      <c r="AV71" s="623"/>
      <c r="AW71" s="623"/>
      <c r="AX71" s="623"/>
      <c r="AY71" s="623"/>
      <c r="AZ71" s="623"/>
      <c r="BA71" s="623"/>
      <c r="BB71" s="623"/>
      <c r="BC71" s="623"/>
      <c r="BD71" s="623"/>
      <c r="BE71" s="623"/>
      <c r="BF71" s="623"/>
      <c r="BG71" s="623"/>
      <c r="BH71" s="623"/>
      <c r="BI71" s="623"/>
      <c r="BJ71" s="623"/>
      <c r="BK71" s="623"/>
      <c r="BL71" s="623"/>
      <c r="BM71" s="623"/>
      <c r="BN71" s="623"/>
      <c r="BO71" s="623"/>
      <c r="BP71" s="623"/>
      <c r="BQ71" s="623"/>
      <c r="BR71" s="623"/>
      <c r="BS71" s="623"/>
      <c r="BT71" s="623"/>
      <c r="BU71" s="623"/>
      <c r="BV71" s="623"/>
      <c r="BW71" s="623"/>
      <c r="BX71" s="623"/>
      <c r="BY71" s="623"/>
      <c r="BZ71" s="623"/>
      <c r="CA71" s="623"/>
      <c r="CB71" s="623"/>
      <c r="CC71" s="623"/>
      <c r="CD71" s="623"/>
      <c r="CE71" s="623"/>
      <c r="CF71" s="623"/>
      <c r="CG71" s="623"/>
      <c r="CH71" s="623"/>
      <c r="CI71" s="623"/>
      <c r="CJ71" s="623"/>
      <c r="CK71" s="623"/>
      <c r="CL71" s="623"/>
      <c r="CM71" s="623"/>
      <c r="CN71" s="623"/>
      <c r="CO71" s="623"/>
      <c r="CP71" s="623"/>
      <c r="CQ71" s="623"/>
      <c r="CR71" s="623"/>
      <c r="CS71" s="623"/>
      <c r="CT71" s="623"/>
      <c r="CU71" s="623"/>
      <c r="CV71" s="623"/>
      <c r="CW71" s="623"/>
      <c r="CX71" s="623"/>
      <c r="CY71" s="623"/>
      <c r="CZ71" s="623"/>
      <c r="DA71" s="623"/>
      <c r="DB71" s="623"/>
      <c r="DC71" s="623"/>
      <c r="DD71" s="623"/>
      <c r="DE71" s="623"/>
      <c r="DF71" s="623"/>
      <c r="DG71" s="623"/>
      <c r="DH71" s="623"/>
      <c r="DI71" s="623"/>
      <c r="DJ71" s="623"/>
      <c r="DK71" s="623"/>
      <c r="DL71" s="623"/>
      <c r="DM71" s="623"/>
      <c r="DN71" s="623"/>
      <c r="DO71" s="623"/>
      <c r="DP71" s="623"/>
      <c r="DQ71" s="623"/>
      <c r="DR71" s="623"/>
      <c r="DS71" s="623"/>
      <c r="DT71" s="623"/>
      <c r="DU71" s="623"/>
      <c r="DV71" s="623"/>
      <c r="DW71" s="623"/>
      <c r="DX71" s="623"/>
      <c r="DY71" s="623"/>
      <c r="DZ71" s="623"/>
      <c r="EA71" s="623"/>
      <c r="EB71" s="623"/>
      <c r="EC71" s="623"/>
      <c r="ED71" s="623"/>
      <c r="EE71" s="623"/>
      <c r="EF71" s="623"/>
      <c r="EG71" s="623"/>
      <c r="EH71" s="623"/>
      <c r="EI71" s="623"/>
      <c r="EJ71" s="623"/>
      <c r="EK71" s="623"/>
      <c r="EL71" s="623"/>
      <c r="EM71" s="623"/>
      <c r="EN71" s="623"/>
      <c r="EO71" s="623"/>
      <c r="EP71" s="623"/>
      <c r="EQ71" s="623"/>
      <c r="ER71" s="623"/>
      <c r="ES71" s="623"/>
      <c r="ET71" s="623"/>
      <c r="EU71" s="623"/>
      <c r="EV71" s="623"/>
      <c r="EW71" s="623"/>
      <c r="EX71" s="623"/>
      <c r="EY71" s="623"/>
      <c r="EZ71" s="623"/>
      <c r="FA71" s="623"/>
      <c r="FB71" s="623"/>
      <c r="FC71" s="623"/>
      <c r="FD71" s="623"/>
      <c r="FE71" s="623"/>
      <c r="FF71" s="623"/>
      <c r="FG71" s="623"/>
      <c r="FH71" s="623"/>
    </row>
    <row r="72" spans="1:164">
      <c r="A72" s="623" t="s">
        <v>5132</v>
      </c>
      <c r="B72" s="623" t="s">
        <v>5003</v>
      </c>
      <c r="C72" s="623" t="s">
        <v>5133</v>
      </c>
      <c r="D72" s="623"/>
      <c r="E72" s="623"/>
      <c r="F72" s="623"/>
      <c r="G72" s="623"/>
      <c r="H72" s="623"/>
      <c r="I72" s="623"/>
      <c r="J72" s="623"/>
      <c r="K72" s="623"/>
      <c r="L72" s="623"/>
      <c r="M72" s="623"/>
      <c r="N72" s="623"/>
      <c r="O72" s="623"/>
      <c r="P72" s="623"/>
      <c r="Q72" s="623"/>
      <c r="R72" s="623"/>
      <c r="S72" s="623"/>
      <c r="T72" s="623"/>
      <c r="U72" s="623"/>
      <c r="V72" s="623"/>
      <c r="W72" s="623"/>
      <c r="X72" s="623"/>
      <c r="Y72" s="623"/>
      <c r="Z72" s="623"/>
      <c r="AA72" s="623"/>
      <c r="AB72" s="623"/>
      <c r="AC72" s="623"/>
      <c r="AD72" s="623"/>
      <c r="AE72" s="623"/>
      <c r="AF72" s="623"/>
      <c r="AG72" s="623"/>
      <c r="AH72" s="623"/>
      <c r="AI72" s="623"/>
      <c r="AJ72" s="623"/>
      <c r="AK72" s="623"/>
      <c r="AL72" s="623"/>
      <c r="AM72" s="623"/>
      <c r="AN72" s="623"/>
      <c r="AO72" s="623"/>
      <c r="AP72" s="623"/>
      <c r="AQ72" s="623"/>
      <c r="AR72" s="623"/>
      <c r="AS72" s="623"/>
      <c r="AT72" s="623"/>
      <c r="AU72" s="623"/>
      <c r="AV72" s="623"/>
      <c r="AW72" s="623"/>
      <c r="AX72" s="623"/>
      <c r="AY72" s="623"/>
      <c r="AZ72" s="623"/>
      <c r="BA72" s="623"/>
      <c r="BB72" s="623"/>
      <c r="BC72" s="623"/>
      <c r="BD72" s="623"/>
      <c r="BE72" s="623"/>
      <c r="BF72" s="623"/>
      <c r="BG72" s="623"/>
      <c r="BH72" s="623"/>
      <c r="BI72" s="623"/>
      <c r="BJ72" s="623"/>
      <c r="BK72" s="623"/>
      <c r="BL72" s="623"/>
      <c r="BM72" s="623"/>
      <c r="BN72" s="623"/>
      <c r="BO72" s="623"/>
      <c r="BP72" s="623"/>
      <c r="BQ72" s="623"/>
      <c r="BR72" s="623"/>
      <c r="BS72" s="623"/>
      <c r="BT72" s="623"/>
      <c r="BU72" s="623"/>
      <c r="BV72" s="623"/>
      <c r="BW72" s="623"/>
      <c r="BX72" s="623"/>
      <c r="BY72" s="623"/>
      <c r="BZ72" s="623"/>
      <c r="CA72" s="623"/>
      <c r="CB72" s="623"/>
      <c r="CC72" s="623"/>
      <c r="CD72" s="623"/>
      <c r="CE72" s="623"/>
      <c r="CF72" s="623"/>
      <c r="CG72" s="623"/>
      <c r="CH72" s="623"/>
      <c r="CI72" s="623"/>
      <c r="CJ72" s="623"/>
      <c r="CK72" s="623"/>
      <c r="CL72" s="623"/>
      <c r="CM72" s="623"/>
      <c r="CN72" s="623"/>
      <c r="CO72" s="623"/>
      <c r="CP72" s="623"/>
      <c r="CQ72" s="623"/>
      <c r="CR72" s="623"/>
      <c r="CS72" s="623"/>
      <c r="CT72" s="623"/>
      <c r="CU72" s="623"/>
      <c r="CV72" s="623"/>
      <c r="CW72" s="623"/>
      <c r="CX72" s="623"/>
      <c r="CY72" s="623"/>
      <c r="CZ72" s="623"/>
      <c r="DA72" s="623"/>
      <c r="DB72" s="623"/>
      <c r="DC72" s="623"/>
      <c r="DD72" s="623"/>
      <c r="DE72" s="623"/>
      <c r="DF72" s="623"/>
      <c r="DG72" s="623"/>
      <c r="DH72" s="623"/>
      <c r="DI72" s="623"/>
      <c r="DJ72" s="623"/>
      <c r="DK72" s="623"/>
      <c r="DL72" s="623"/>
      <c r="DM72" s="623"/>
      <c r="DN72" s="623"/>
      <c r="DO72" s="623"/>
      <c r="DP72" s="623"/>
      <c r="DQ72" s="623"/>
      <c r="DR72" s="623"/>
      <c r="DS72" s="623"/>
      <c r="DT72" s="623"/>
      <c r="DU72" s="623"/>
      <c r="DV72" s="623"/>
      <c r="DW72" s="623"/>
      <c r="DX72" s="623"/>
      <c r="DY72" s="623"/>
      <c r="DZ72" s="623"/>
      <c r="EA72" s="623"/>
      <c r="EB72" s="623"/>
      <c r="EC72" s="623"/>
      <c r="ED72" s="623"/>
      <c r="EE72" s="623"/>
      <c r="EF72" s="623"/>
      <c r="EG72" s="623"/>
      <c r="EH72" s="623"/>
      <c r="EI72" s="623"/>
      <c r="EJ72" s="623"/>
      <c r="EK72" s="623"/>
      <c r="EL72" s="623"/>
      <c r="EM72" s="623"/>
      <c r="EN72" s="623"/>
      <c r="EO72" s="623"/>
      <c r="EP72" s="623"/>
      <c r="EQ72" s="623"/>
      <c r="ER72" s="623"/>
      <c r="ES72" s="623"/>
      <c r="ET72" s="623"/>
      <c r="EU72" s="623"/>
      <c r="EV72" s="623"/>
      <c r="EW72" s="623"/>
      <c r="EX72" s="623"/>
      <c r="EY72" s="623"/>
      <c r="EZ72" s="623"/>
      <c r="FA72" s="623"/>
      <c r="FB72" s="623"/>
      <c r="FC72" s="623"/>
      <c r="FD72" s="623"/>
      <c r="FE72" s="623"/>
      <c r="FF72" s="623"/>
      <c r="FG72" s="623"/>
      <c r="FH72" s="623"/>
    </row>
    <row r="73" spans="1:164">
      <c r="A73" s="623" t="s">
        <v>5134</v>
      </c>
      <c r="B73" s="623" t="s">
        <v>285</v>
      </c>
      <c r="C73" s="623" t="s">
        <v>391</v>
      </c>
      <c r="D73" s="623" t="s">
        <v>509</v>
      </c>
      <c r="E73" s="623" t="s">
        <v>203</v>
      </c>
      <c r="F73" s="623"/>
      <c r="G73" s="623"/>
      <c r="H73" s="623"/>
      <c r="I73" s="623"/>
      <c r="J73" s="623"/>
      <c r="K73" s="623"/>
      <c r="L73" s="623"/>
      <c r="M73" s="623"/>
      <c r="N73" s="623"/>
      <c r="O73" s="623"/>
      <c r="P73" s="623"/>
      <c r="Q73" s="623"/>
      <c r="R73" s="623"/>
      <c r="S73" s="623"/>
      <c r="T73" s="623"/>
      <c r="U73" s="623"/>
      <c r="V73" s="623"/>
      <c r="W73" s="623"/>
      <c r="X73" s="623"/>
      <c r="Y73" s="623"/>
      <c r="Z73" s="623"/>
      <c r="AA73" s="623"/>
      <c r="AB73" s="623"/>
      <c r="AC73" s="623"/>
      <c r="AD73" s="623"/>
      <c r="AE73" s="623"/>
      <c r="AF73" s="623"/>
      <c r="AG73" s="623"/>
      <c r="AH73" s="623"/>
      <c r="AI73" s="623"/>
      <c r="AJ73" s="623"/>
      <c r="AK73" s="623"/>
      <c r="AL73" s="623"/>
      <c r="AM73" s="623"/>
      <c r="AN73" s="623"/>
      <c r="AO73" s="623"/>
      <c r="AP73" s="623"/>
      <c r="AQ73" s="623"/>
      <c r="AR73" s="623"/>
      <c r="AS73" s="623"/>
      <c r="AT73" s="623"/>
      <c r="AU73" s="623"/>
      <c r="AV73" s="623"/>
      <c r="AW73" s="623"/>
      <c r="AX73" s="623"/>
      <c r="AY73" s="623"/>
      <c r="AZ73" s="623"/>
      <c r="BA73" s="623"/>
      <c r="BB73" s="623"/>
      <c r="BC73" s="623"/>
      <c r="BD73" s="623"/>
      <c r="BE73" s="623"/>
      <c r="BF73" s="623"/>
      <c r="BG73" s="623"/>
      <c r="BH73" s="623"/>
      <c r="BI73" s="623"/>
      <c r="BJ73" s="623"/>
      <c r="BK73" s="623"/>
      <c r="BL73" s="623"/>
      <c r="BM73" s="623"/>
      <c r="BN73" s="623"/>
      <c r="BO73" s="623"/>
      <c r="BP73" s="623"/>
      <c r="BQ73" s="623"/>
      <c r="BR73" s="623"/>
      <c r="BS73" s="623"/>
      <c r="BT73" s="623"/>
      <c r="BU73" s="623"/>
      <c r="BV73" s="623"/>
      <c r="BW73" s="623"/>
      <c r="BX73" s="623"/>
      <c r="BY73" s="623"/>
      <c r="BZ73" s="623"/>
      <c r="CA73" s="623"/>
      <c r="CB73" s="623"/>
      <c r="CC73" s="623"/>
      <c r="CD73" s="623"/>
      <c r="CE73" s="623"/>
      <c r="CF73" s="623"/>
      <c r="CG73" s="623"/>
      <c r="CH73" s="623"/>
      <c r="CI73" s="623"/>
      <c r="CJ73" s="623"/>
      <c r="CK73" s="623"/>
      <c r="CL73" s="623"/>
      <c r="CM73" s="623"/>
      <c r="CN73" s="623"/>
      <c r="CO73" s="623"/>
      <c r="CP73" s="623"/>
      <c r="CQ73" s="623"/>
      <c r="CR73" s="623"/>
      <c r="CS73" s="623"/>
      <c r="CT73" s="623"/>
      <c r="CU73" s="623"/>
      <c r="CV73" s="623"/>
      <c r="CW73" s="623"/>
      <c r="CX73" s="623"/>
      <c r="CY73" s="623"/>
      <c r="CZ73" s="623"/>
      <c r="DA73" s="623"/>
      <c r="DB73" s="623"/>
      <c r="DC73" s="623"/>
      <c r="DD73" s="623"/>
      <c r="DE73" s="623"/>
      <c r="DF73" s="623"/>
      <c r="DG73" s="623"/>
      <c r="DH73" s="623"/>
      <c r="DI73" s="623"/>
      <c r="DJ73" s="623"/>
      <c r="DK73" s="623"/>
      <c r="DL73" s="623"/>
      <c r="DM73" s="623"/>
      <c r="DN73" s="623"/>
      <c r="DO73" s="623"/>
      <c r="DP73" s="623"/>
      <c r="DQ73" s="623"/>
      <c r="DR73" s="623"/>
      <c r="DS73" s="623"/>
      <c r="DT73" s="623"/>
      <c r="DU73" s="623"/>
      <c r="DV73" s="623"/>
      <c r="DW73" s="623"/>
      <c r="DX73" s="623"/>
      <c r="DY73" s="623"/>
      <c r="DZ73" s="623"/>
      <c r="EA73" s="623"/>
      <c r="EB73" s="623"/>
      <c r="EC73" s="623"/>
      <c r="ED73" s="623"/>
      <c r="EE73" s="623"/>
      <c r="EF73" s="623"/>
      <c r="EG73" s="623"/>
      <c r="EH73" s="623"/>
      <c r="EI73" s="623"/>
      <c r="EJ73" s="623"/>
      <c r="EK73" s="623"/>
      <c r="EL73" s="623"/>
      <c r="EM73" s="623"/>
      <c r="EN73" s="623"/>
      <c r="EO73" s="623"/>
      <c r="EP73" s="623"/>
      <c r="EQ73" s="623"/>
      <c r="ER73" s="623"/>
      <c r="ES73" s="623"/>
      <c r="ET73" s="623"/>
      <c r="EU73" s="623"/>
      <c r="EV73" s="623"/>
      <c r="EW73" s="623"/>
      <c r="EX73" s="623"/>
      <c r="EY73" s="623"/>
      <c r="EZ73" s="623"/>
      <c r="FA73" s="623"/>
      <c r="FB73" s="623"/>
      <c r="FC73" s="623"/>
      <c r="FD73" s="623"/>
      <c r="FE73" s="623"/>
      <c r="FF73" s="623"/>
      <c r="FG73" s="623"/>
      <c r="FH73" s="623"/>
    </row>
    <row r="74" spans="1:164">
      <c r="A74" s="623" t="s">
        <v>5135</v>
      </c>
      <c r="B74" s="623" t="s">
        <v>2517</v>
      </c>
      <c r="C74" s="623" t="s">
        <v>5136</v>
      </c>
      <c r="D74" s="623" t="s">
        <v>3125</v>
      </c>
      <c r="E74" s="623" t="s">
        <v>2507</v>
      </c>
      <c r="F74" s="623" t="s">
        <v>2502</v>
      </c>
      <c r="G74" s="623" t="s">
        <v>2496</v>
      </c>
      <c r="H74" s="623" t="s">
        <v>2509</v>
      </c>
      <c r="I74" s="623" t="s">
        <v>3124</v>
      </c>
      <c r="J74" s="623" t="s">
        <v>4426</v>
      </c>
      <c r="K74" s="623" t="s">
        <v>2518</v>
      </c>
      <c r="L74" s="623" t="s">
        <v>2519</v>
      </c>
      <c r="M74" s="623" t="s">
        <v>2499</v>
      </c>
      <c r="N74" s="623" t="s">
        <v>2508</v>
      </c>
      <c r="O74" s="623" t="s">
        <v>2503</v>
      </c>
      <c r="P74" s="623" t="s">
        <v>2514</v>
      </c>
      <c r="Q74" s="623" t="s">
        <v>202</v>
      </c>
      <c r="R74" s="623" t="s">
        <v>2516</v>
      </c>
      <c r="S74" s="623" t="s">
        <v>2495</v>
      </c>
      <c r="T74" s="623" t="s">
        <v>2504</v>
      </c>
      <c r="U74" s="623" t="s">
        <v>2497</v>
      </c>
      <c r="V74" s="623" t="s">
        <v>2511</v>
      </c>
      <c r="W74" s="623" t="s">
        <v>2505</v>
      </c>
      <c r="X74" s="623" t="s">
        <v>3123</v>
      </c>
      <c r="Y74" s="623" t="s">
        <v>2501</v>
      </c>
      <c r="Z74" s="623" t="s">
        <v>2493</v>
      </c>
      <c r="AA74" s="623" t="s">
        <v>2498</v>
      </c>
      <c r="AB74" s="623" t="s">
        <v>2510</v>
      </c>
      <c r="AC74" s="623" t="s">
        <v>2500</v>
      </c>
      <c r="AD74" s="623" t="s">
        <v>2513</v>
      </c>
      <c r="AE74" s="623" t="s">
        <v>479</v>
      </c>
      <c r="AF74" s="623" t="s">
        <v>2512</v>
      </c>
      <c r="AG74" s="623" t="s">
        <v>2515</v>
      </c>
      <c r="AH74" s="623" t="s">
        <v>5137</v>
      </c>
      <c r="AI74" s="623" t="s">
        <v>5138</v>
      </c>
      <c r="AJ74" s="623" t="s">
        <v>3132</v>
      </c>
      <c r="AK74" s="623" t="s">
        <v>2463</v>
      </c>
      <c r="AL74" s="623"/>
      <c r="AM74" s="623"/>
      <c r="AN74" s="623"/>
      <c r="AO74" s="623"/>
      <c r="AP74" s="623"/>
      <c r="AQ74" s="623"/>
      <c r="AR74" s="623"/>
      <c r="AS74" s="623"/>
      <c r="AT74" s="623"/>
      <c r="AU74" s="623"/>
      <c r="AV74" s="623"/>
      <c r="AW74" s="623"/>
      <c r="AX74" s="623"/>
      <c r="AY74" s="623"/>
      <c r="AZ74" s="623"/>
      <c r="BA74" s="623"/>
      <c r="BB74" s="623"/>
      <c r="BC74" s="623"/>
      <c r="BD74" s="623"/>
      <c r="BE74" s="623"/>
      <c r="BF74" s="623"/>
      <c r="BG74" s="623"/>
      <c r="BH74" s="623"/>
      <c r="BI74" s="623"/>
      <c r="BJ74" s="623"/>
      <c r="BK74" s="623"/>
      <c r="BL74" s="623"/>
      <c r="BM74" s="623"/>
      <c r="BN74" s="623"/>
      <c r="BO74" s="623"/>
      <c r="BP74" s="623"/>
      <c r="BQ74" s="623"/>
      <c r="BR74" s="623"/>
      <c r="BS74" s="623"/>
      <c r="BT74" s="623"/>
      <c r="BU74" s="623"/>
      <c r="BV74" s="623"/>
      <c r="BW74" s="623"/>
      <c r="BX74" s="623"/>
      <c r="BY74" s="623"/>
      <c r="BZ74" s="623"/>
      <c r="CA74" s="623"/>
      <c r="CB74" s="623"/>
      <c r="CC74" s="623"/>
      <c r="CD74" s="623"/>
      <c r="CE74" s="623"/>
      <c r="CF74" s="623"/>
      <c r="CG74" s="623"/>
      <c r="CH74" s="623"/>
      <c r="CI74" s="623"/>
      <c r="CJ74" s="623"/>
      <c r="CK74" s="623"/>
      <c r="CL74" s="623"/>
      <c r="CM74" s="623"/>
      <c r="CN74" s="623"/>
      <c r="CO74" s="623"/>
      <c r="CP74" s="623"/>
      <c r="CQ74" s="623"/>
      <c r="CR74" s="623"/>
      <c r="CS74" s="623"/>
      <c r="CT74" s="623"/>
      <c r="CU74" s="623"/>
      <c r="CV74" s="623"/>
      <c r="CW74" s="623"/>
      <c r="CX74" s="623"/>
      <c r="CY74" s="623"/>
      <c r="CZ74" s="623"/>
      <c r="DA74" s="623"/>
      <c r="DB74" s="623"/>
      <c r="DC74" s="623"/>
      <c r="DD74" s="623"/>
      <c r="DE74" s="623"/>
      <c r="DF74" s="623"/>
      <c r="DG74" s="623"/>
      <c r="DH74" s="623"/>
      <c r="DI74" s="623"/>
      <c r="DJ74" s="623"/>
      <c r="DK74" s="623"/>
      <c r="DL74" s="623"/>
      <c r="DM74" s="623"/>
      <c r="DN74" s="623"/>
      <c r="DO74" s="623"/>
      <c r="DP74" s="623"/>
      <c r="DQ74" s="623"/>
      <c r="DR74" s="623"/>
      <c r="DS74" s="623"/>
      <c r="DT74" s="623"/>
      <c r="DU74" s="623"/>
      <c r="DV74" s="623"/>
      <c r="DW74" s="623"/>
      <c r="DX74" s="623"/>
      <c r="DY74" s="623"/>
      <c r="DZ74" s="623"/>
      <c r="EA74" s="623"/>
      <c r="EB74" s="623"/>
      <c r="EC74" s="623"/>
      <c r="ED74" s="623"/>
      <c r="EE74" s="623"/>
      <c r="EF74" s="623"/>
      <c r="EG74" s="623"/>
      <c r="EH74" s="623"/>
      <c r="EI74" s="623"/>
      <c r="EJ74" s="623"/>
      <c r="EK74" s="623"/>
      <c r="EL74" s="623"/>
      <c r="EM74" s="623"/>
      <c r="EN74" s="623"/>
      <c r="EO74" s="623"/>
      <c r="EP74" s="623"/>
      <c r="EQ74" s="623"/>
      <c r="ER74" s="623"/>
      <c r="ES74" s="623"/>
      <c r="ET74" s="623"/>
      <c r="EU74" s="623"/>
      <c r="EV74" s="623"/>
      <c r="EW74" s="623"/>
      <c r="EX74" s="623"/>
      <c r="EY74" s="623"/>
      <c r="EZ74" s="623"/>
      <c r="FA74" s="623"/>
      <c r="FB74" s="623"/>
      <c r="FC74" s="623"/>
      <c r="FD74" s="623"/>
      <c r="FE74" s="623"/>
      <c r="FF74" s="623"/>
      <c r="FG74" s="623"/>
      <c r="FH74" s="623"/>
    </row>
    <row r="75" spans="1:164">
      <c r="A75" s="623" t="s">
        <v>5139</v>
      </c>
      <c r="B75" s="623" t="s">
        <v>3125</v>
      </c>
      <c r="C75" s="623" t="s">
        <v>2507</v>
      </c>
      <c r="D75" s="623" t="s">
        <v>2529</v>
      </c>
      <c r="E75" s="623" t="s">
        <v>2496</v>
      </c>
      <c r="F75" s="623" t="s">
        <v>2509</v>
      </c>
      <c r="G75" s="623" t="s">
        <v>2494</v>
      </c>
      <c r="H75" s="623" t="s">
        <v>2530</v>
      </c>
      <c r="I75" s="623" t="s">
        <v>2518</v>
      </c>
      <c r="J75" s="623" t="s">
        <v>2519</v>
      </c>
      <c r="K75" s="623" t="s">
        <v>2499</v>
      </c>
      <c r="L75" s="623" t="s">
        <v>2508</v>
      </c>
      <c r="M75" s="623" t="s">
        <v>2503</v>
      </c>
      <c r="N75" s="623" t="s">
        <v>2514</v>
      </c>
      <c r="O75" s="623" t="s">
        <v>202</v>
      </c>
      <c r="P75" s="623" t="s">
        <v>2517</v>
      </c>
      <c r="Q75" s="623" t="s">
        <v>3132</v>
      </c>
      <c r="R75" s="623" t="s">
        <v>3123</v>
      </c>
      <c r="S75" s="623" t="s">
        <v>2516</v>
      </c>
      <c r="T75" s="623" t="s">
        <v>2495</v>
      </c>
      <c r="U75" s="623" t="s">
        <v>2528</v>
      </c>
      <c r="V75" s="623" t="s">
        <v>2497</v>
      </c>
      <c r="W75" s="623" t="s">
        <v>2511</v>
      </c>
      <c r="X75" s="623" t="s">
        <v>2505</v>
      </c>
      <c r="Y75" s="623" t="s">
        <v>2501</v>
      </c>
      <c r="Z75" s="623" t="s">
        <v>2493</v>
      </c>
      <c r="AA75" s="623" t="s">
        <v>2498</v>
      </c>
      <c r="AB75" s="623" t="s">
        <v>2510</v>
      </c>
      <c r="AC75" s="623" t="s">
        <v>2500</v>
      </c>
      <c r="AD75" s="623" t="s">
        <v>2532</v>
      </c>
      <c r="AE75" s="623" t="s">
        <v>2531</v>
      </c>
      <c r="AF75" s="623" t="s">
        <v>2512</v>
      </c>
      <c r="AG75" s="623" t="s">
        <v>2515</v>
      </c>
      <c r="AH75" s="623"/>
      <c r="AI75" s="623"/>
      <c r="AJ75" s="623"/>
      <c r="AK75" s="623"/>
      <c r="AL75" s="623"/>
      <c r="AM75" s="623"/>
      <c r="AN75" s="623"/>
      <c r="AO75" s="623"/>
      <c r="AP75" s="623"/>
      <c r="AQ75" s="623"/>
      <c r="AR75" s="623"/>
      <c r="AS75" s="623"/>
      <c r="AT75" s="623"/>
      <c r="AU75" s="623"/>
      <c r="AV75" s="623"/>
      <c r="AW75" s="623"/>
      <c r="AX75" s="623"/>
      <c r="AY75" s="623"/>
      <c r="AZ75" s="623"/>
      <c r="BA75" s="623"/>
      <c r="BB75" s="623"/>
      <c r="BC75" s="623"/>
      <c r="BD75" s="623"/>
      <c r="BE75" s="623"/>
      <c r="BF75" s="623"/>
      <c r="BG75" s="623"/>
      <c r="BH75" s="623"/>
      <c r="BI75" s="623"/>
      <c r="BJ75" s="623"/>
      <c r="BK75" s="623"/>
      <c r="BL75" s="623"/>
      <c r="BM75" s="623"/>
      <c r="BN75" s="623"/>
      <c r="BO75" s="623"/>
      <c r="BP75" s="623"/>
      <c r="BQ75" s="623"/>
      <c r="BR75" s="623"/>
      <c r="BS75" s="623"/>
      <c r="BT75" s="623"/>
      <c r="BU75" s="623"/>
      <c r="BV75" s="623"/>
      <c r="BW75" s="623"/>
      <c r="BX75" s="623"/>
      <c r="BY75" s="623"/>
      <c r="BZ75" s="623"/>
      <c r="CA75" s="623"/>
      <c r="CB75" s="623"/>
      <c r="CC75" s="623"/>
      <c r="CD75" s="623"/>
      <c r="CE75" s="623"/>
      <c r="CF75" s="623"/>
      <c r="CG75" s="623"/>
      <c r="CH75" s="623"/>
      <c r="CI75" s="623"/>
      <c r="CJ75" s="623"/>
      <c r="CK75" s="623"/>
      <c r="CL75" s="623"/>
      <c r="CM75" s="623"/>
      <c r="CN75" s="623"/>
      <c r="CO75" s="623"/>
      <c r="CP75" s="623"/>
      <c r="CQ75" s="623"/>
      <c r="CR75" s="623"/>
      <c r="CS75" s="623"/>
      <c r="CT75" s="623"/>
      <c r="CU75" s="623"/>
      <c r="CV75" s="623"/>
      <c r="CW75" s="623"/>
      <c r="CX75" s="623"/>
      <c r="CY75" s="623"/>
      <c r="CZ75" s="623"/>
      <c r="DA75" s="623"/>
      <c r="DB75" s="623"/>
      <c r="DC75" s="623"/>
      <c r="DD75" s="623"/>
      <c r="DE75" s="623"/>
      <c r="DF75" s="623"/>
      <c r="DG75" s="623"/>
      <c r="DH75" s="623"/>
      <c r="DI75" s="623"/>
      <c r="DJ75" s="623"/>
      <c r="DK75" s="623"/>
      <c r="DL75" s="623"/>
      <c r="DM75" s="623"/>
      <c r="DN75" s="623"/>
      <c r="DO75" s="623"/>
      <c r="DP75" s="623"/>
      <c r="DQ75" s="623"/>
      <c r="DR75" s="623"/>
      <c r="DS75" s="623"/>
      <c r="DT75" s="623"/>
      <c r="DU75" s="623"/>
      <c r="DV75" s="623"/>
      <c r="DW75" s="623"/>
      <c r="DX75" s="623"/>
      <c r="DY75" s="623"/>
      <c r="DZ75" s="623"/>
      <c r="EA75" s="623"/>
      <c r="EB75" s="623"/>
      <c r="EC75" s="623"/>
      <c r="ED75" s="623"/>
      <c r="EE75" s="623"/>
      <c r="EF75" s="623"/>
      <c r="EG75" s="623"/>
      <c r="EH75" s="623"/>
      <c r="EI75" s="623"/>
      <c r="EJ75" s="623"/>
      <c r="EK75" s="623"/>
      <c r="EL75" s="623"/>
      <c r="EM75" s="623"/>
      <c r="EN75" s="623"/>
      <c r="EO75" s="623"/>
      <c r="EP75" s="623"/>
      <c r="EQ75" s="623"/>
      <c r="ER75" s="623"/>
      <c r="ES75" s="623"/>
      <c r="ET75" s="623"/>
      <c r="EU75" s="623"/>
      <c r="EV75" s="623"/>
      <c r="EW75" s="623"/>
      <c r="EX75" s="623"/>
      <c r="EY75" s="623"/>
      <c r="EZ75" s="623"/>
      <c r="FA75" s="623"/>
      <c r="FB75" s="623"/>
      <c r="FC75" s="623"/>
      <c r="FD75" s="623"/>
      <c r="FE75" s="623"/>
      <c r="FF75" s="623"/>
      <c r="FG75" s="623"/>
      <c r="FH75" s="623"/>
    </row>
    <row r="76" spans="1:164">
      <c r="A76" s="623" t="s">
        <v>5140</v>
      </c>
      <c r="B76" s="623" t="s">
        <v>2506</v>
      </c>
      <c r="C76" s="623" t="s">
        <v>2507</v>
      </c>
      <c r="D76" s="623" t="s">
        <v>2529</v>
      </c>
      <c r="E76" s="623" t="s">
        <v>2496</v>
      </c>
      <c r="F76" s="623" t="s">
        <v>2509</v>
      </c>
      <c r="G76" s="623" t="s">
        <v>2494</v>
      </c>
      <c r="H76" s="623" t="s">
        <v>2530</v>
      </c>
      <c r="I76" s="623" t="s">
        <v>2518</v>
      </c>
      <c r="J76" s="623" t="s">
        <v>2519</v>
      </c>
      <c r="K76" s="623" t="s">
        <v>2499</v>
      </c>
      <c r="L76" s="623" t="s">
        <v>2508</v>
      </c>
      <c r="M76" s="623" t="s">
        <v>2503</v>
      </c>
      <c r="N76" s="623" t="s">
        <v>2514</v>
      </c>
      <c r="O76" s="623" t="s">
        <v>202</v>
      </c>
      <c r="P76" s="623" t="s">
        <v>2517</v>
      </c>
      <c r="Q76" s="623" t="s">
        <v>3132</v>
      </c>
      <c r="R76" s="623" t="s">
        <v>3123</v>
      </c>
      <c r="S76" s="623" t="s">
        <v>2516</v>
      </c>
      <c r="T76" s="623" t="s">
        <v>2495</v>
      </c>
      <c r="U76" s="623" t="s">
        <v>2528</v>
      </c>
      <c r="V76" s="623" t="s">
        <v>2497</v>
      </c>
      <c r="W76" s="623" t="s">
        <v>2511</v>
      </c>
      <c r="X76" s="623" t="s">
        <v>2505</v>
      </c>
      <c r="Y76" s="623" t="s">
        <v>2501</v>
      </c>
      <c r="Z76" s="623" t="s">
        <v>2493</v>
      </c>
      <c r="AA76" s="623" t="s">
        <v>2498</v>
      </c>
      <c r="AB76" s="623" t="s">
        <v>2510</v>
      </c>
      <c r="AC76" s="623" t="s">
        <v>2500</v>
      </c>
      <c r="AD76" s="623" t="s">
        <v>2532</v>
      </c>
      <c r="AE76" s="623" t="s">
        <v>2531</v>
      </c>
      <c r="AF76" s="623" t="s">
        <v>2512</v>
      </c>
      <c r="AG76" s="623" t="s">
        <v>2515</v>
      </c>
      <c r="AH76" s="623"/>
      <c r="AI76" s="623"/>
      <c r="AJ76" s="623"/>
      <c r="AK76" s="623"/>
      <c r="AL76" s="623"/>
      <c r="AM76" s="623"/>
      <c r="AN76" s="623"/>
      <c r="AO76" s="623"/>
      <c r="AP76" s="623"/>
      <c r="AQ76" s="623"/>
      <c r="AR76" s="623"/>
      <c r="AS76" s="623"/>
      <c r="AT76" s="623"/>
      <c r="AU76" s="623"/>
      <c r="AV76" s="623"/>
      <c r="AW76" s="623"/>
      <c r="AX76" s="623"/>
      <c r="AY76" s="623"/>
      <c r="AZ76" s="623"/>
      <c r="BA76" s="623"/>
      <c r="BB76" s="623"/>
      <c r="BC76" s="623"/>
      <c r="BD76" s="623"/>
      <c r="BE76" s="623"/>
      <c r="BF76" s="623"/>
      <c r="BG76" s="623"/>
      <c r="BH76" s="623"/>
      <c r="BI76" s="623"/>
      <c r="BJ76" s="623"/>
      <c r="BK76" s="623"/>
      <c r="BL76" s="623"/>
      <c r="BM76" s="623"/>
      <c r="BN76" s="623"/>
      <c r="BO76" s="623"/>
      <c r="BP76" s="623"/>
      <c r="BQ76" s="623"/>
      <c r="BR76" s="623"/>
      <c r="BS76" s="623"/>
      <c r="BT76" s="623"/>
      <c r="BU76" s="623"/>
      <c r="BV76" s="623"/>
      <c r="BW76" s="623"/>
      <c r="BX76" s="623"/>
      <c r="BY76" s="623"/>
      <c r="BZ76" s="623"/>
      <c r="CA76" s="623"/>
      <c r="CB76" s="623"/>
      <c r="CC76" s="623"/>
      <c r="CD76" s="623"/>
      <c r="CE76" s="623"/>
      <c r="CF76" s="623"/>
      <c r="CG76" s="623"/>
      <c r="CH76" s="623"/>
      <c r="CI76" s="623"/>
      <c r="CJ76" s="623"/>
      <c r="CK76" s="623"/>
      <c r="CL76" s="623"/>
      <c r="CM76" s="623"/>
      <c r="CN76" s="623"/>
      <c r="CO76" s="623"/>
      <c r="CP76" s="623"/>
      <c r="CQ76" s="623"/>
      <c r="CR76" s="623"/>
      <c r="CS76" s="623"/>
      <c r="CT76" s="623"/>
      <c r="CU76" s="623"/>
      <c r="CV76" s="623"/>
      <c r="CW76" s="623"/>
      <c r="CX76" s="623"/>
      <c r="CY76" s="623"/>
      <c r="CZ76" s="623"/>
      <c r="DA76" s="623"/>
      <c r="DB76" s="623"/>
      <c r="DC76" s="623"/>
      <c r="DD76" s="623"/>
      <c r="DE76" s="623"/>
      <c r="DF76" s="623"/>
      <c r="DG76" s="623"/>
      <c r="DH76" s="623"/>
      <c r="DI76" s="623"/>
      <c r="DJ76" s="623"/>
      <c r="DK76" s="623"/>
      <c r="DL76" s="623"/>
      <c r="DM76" s="623"/>
      <c r="DN76" s="623"/>
      <c r="DO76" s="623"/>
      <c r="DP76" s="623"/>
      <c r="DQ76" s="623"/>
      <c r="DR76" s="623"/>
      <c r="DS76" s="623"/>
      <c r="DT76" s="623"/>
      <c r="DU76" s="623"/>
      <c r="DV76" s="623"/>
      <c r="DW76" s="623"/>
      <c r="DX76" s="623"/>
      <c r="DY76" s="623"/>
      <c r="DZ76" s="623"/>
      <c r="EA76" s="623"/>
      <c r="EB76" s="623"/>
      <c r="EC76" s="623"/>
      <c r="ED76" s="623"/>
      <c r="EE76" s="623"/>
      <c r="EF76" s="623"/>
      <c r="EG76" s="623"/>
      <c r="EH76" s="623"/>
      <c r="EI76" s="623"/>
      <c r="EJ76" s="623"/>
      <c r="EK76" s="623"/>
      <c r="EL76" s="623"/>
      <c r="EM76" s="623"/>
      <c r="EN76" s="623"/>
      <c r="EO76" s="623"/>
      <c r="EP76" s="623"/>
      <c r="EQ76" s="623"/>
      <c r="ER76" s="623"/>
      <c r="ES76" s="623"/>
      <c r="ET76" s="623"/>
      <c r="EU76" s="623"/>
      <c r="EV76" s="623"/>
      <c r="EW76" s="623"/>
      <c r="EX76" s="623"/>
      <c r="EY76" s="623"/>
      <c r="EZ76" s="623"/>
      <c r="FA76" s="623"/>
      <c r="FB76" s="623"/>
      <c r="FC76" s="623"/>
      <c r="FD76" s="623"/>
      <c r="FE76" s="623"/>
      <c r="FF76" s="623"/>
      <c r="FG76" s="623"/>
      <c r="FH76" s="623"/>
    </row>
    <row r="77" spans="1:164">
      <c r="A77" s="623" t="s">
        <v>5141</v>
      </c>
      <c r="B77" s="623" t="s">
        <v>3142</v>
      </c>
      <c r="C77" s="623" t="s">
        <v>3123</v>
      </c>
      <c r="D77" s="623" t="s">
        <v>202</v>
      </c>
      <c r="E77" s="623" t="s">
        <v>3132</v>
      </c>
      <c r="F77" s="623" t="s">
        <v>3125</v>
      </c>
      <c r="G77" s="623"/>
      <c r="H77" s="623"/>
      <c r="I77" s="623"/>
      <c r="J77" s="623"/>
      <c r="K77" s="623"/>
      <c r="L77" s="623"/>
      <c r="M77" s="623"/>
      <c r="N77" s="623"/>
      <c r="O77" s="623"/>
      <c r="P77" s="623"/>
      <c r="Q77" s="623"/>
      <c r="R77" s="623"/>
      <c r="S77" s="623"/>
      <c r="T77" s="623"/>
      <c r="U77" s="623"/>
      <c r="V77" s="623"/>
      <c r="W77" s="623"/>
      <c r="X77" s="623"/>
      <c r="Y77" s="623"/>
      <c r="Z77" s="623"/>
      <c r="AA77" s="623"/>
      <c r="AB77" s="623"/>
      <c r="AC77" s="623"/>
      <c r="AD77" s="623"/>
      <c r="AE77" s="623"/>
      <c r="AF77" s="623"/>
      <c r="AG77" s="623"/>
      <c r="AH77" s="623"/>
      <c r="AI77" s="623"/>
      <c r="AJ77" s="623"/>
      <c r="AK77" s="623"/>
      <c r="AL77" s="623"/>
      <c r="AM77" s="623"/>
      <c r="AN77" s="623"/>
      <c r="AO77" s="623"/>
      <c r="AP77" s="623"/>
      <c r="AQ77" s="623"/>
      <c r="AR77" s="623"/>
      <c r="AS77" s="623"/>
      <c r="AT77" s="623"/>
      <c r="AU77" s="623"/>
      <c r="AV77" s="623"/>
      <c r="AW77" s="623"/>
      <c r="AX77" s="623"/>
      <c r="AY77" s="623"/>
      <c r="AZ77" s="623"/>
      <c r="BA77" s="623"/>
      <c r="BB77" s="623"/>
      <c r="BC77" s="623"/>
      <c r="BD77" s="623"/>
      <c r="BE77" s="623"/>
      <c r="BF77" s="623"/>
      <c r="BG77" s="623"/>
      <c r="BH77" s="623"/>
      <c r="BI77" s="623"/>
      <c r="BJ77" s="623"/>
      <c r="BK77" s="623"/>
      <c r="BL77" s="623"/>
      <c r="BM77" s="623"/>
      <c r="BN77" s="623"/>
      <c r="BO77" s="623"/>
      <c r="BP77" s="623"/>
      <c r="BQ77" s="623"/>
      <c r="BR77" s="623"/>
      <c r="BS77" s="623"/>
      <c r="BT77" s="623"/>
      <c r="BU77" s="623"/>
      <c r="BV77" s="623"/>
      <c r="BW77" s="623"/>
      <c r="BX77" s="623"/>
      <c r="BY77" s="623"/>
      <c r="BZ77" s="623"/>
      <c r="CA77" s="623"/>
      <c r="CB77" s="623"/>
      <c r="CC77" s="623"/>
      <c r="CD77" s="623"/>
      <c r="CE77" s="623"/>
      <c r="CF77" s="623"/>
      <c r="CG77" s="623"/>
      <c r="CH77" s="623"/>
      <c r="CI77" s="623"/>
      <c r="CJ77" s="623"/>
      <c r="CK77" s="623"/>
      <c r="CL77" s="623"/>
      <c r="CM77" s="623"/>
      <c r="CN77" s="623"/>
      <c r="CO77" s="623"/>
      <c r="CP77" s="623"/>
      <c r="CQ77" s="623"/>
      <c r="CR77" s="623"/>
      <c r="CS77" s="623"/>
      <c r="CT77" s="623"/>
      <c r="CU77" s="623"/>
      <c r="CV77" s="623"/>
      <c r="CW77" s="623"/>
      <c r="CX77" s="623"/>
      <c r="CY77" s="623"/>
      <c r="CZ77" s="623"/>
      <c r="DA77" s="623"/>
      <c r="DB77" s="623"/>
      <c r="DC77" s="623"/>
      <c r="DD77" s="623"/>
      <c r="DE77" s="623"/>
      <c r="DF77" s="623"/>
      <c r="DG77" s="623"/>
      <c r="DH77" s="623"/>
      <c r="DI77" s="623"/>
      <c r="DJ77" s="623"/>
      <c r="DK77" s="623"/>
      <c r="DL77" s="623"/>
      <c r="DM77" s="623"/>
      <c r="DN77" s="623"/>
      <c r="DO77" s="623"/>
      <c r="DP77" s="623"/>
      <c r="DQ77" s="623"/>
      <c r="DR77" s="623"/>
      <c r="DS77" s="623"/>
      <c r="DT77" s="623"/>
      <c r="DU77" s="623"/>
      <c r="DV77" s="623"/>
      <c r="DW77" s="623"/>
      <c r="DX77" s="623"/>
      <c r="DY77" s="623"/>
      <c r="DZ77" s="623"/>
      <c r="EA77" s="623"/>
      <c r="EB77" s="623"/>
      <c r="EC77" s="623"/>
      <c r="ED77" s="623"/>
      <c r="EE77" s="623"/>
      <c r="EF77" s="623"/>
      <c r="EG77" s="623"/>
      <c r="EH77" s="623"/>
      <c r="EI77" s="623"/>
      <c r="EJ77" s="623"/>
      <c r="EK77" s="623"/>
      <c r="EL77" s="623"/>
      <c r="EM77" s="623"/>
      <c r="EN77" s="623"/>
      <c r="EO77" s="623"/>
      <c r="EP77" s="623"/>
      <c r="EQ77" s="623"/>
      <c r="ER77" s="623"/>
      <c r="ES77" s="623"/>
      <c r="ET77" s="623"/>
      <c r="EU77" s="623"/>
      <c r="EV77" s="623"/>
      <c r="EW77" s="623"/>
      <c r="EX77" s="623"/>
      <c r="EY77" s="623"/>
      <c r="EZ77" s="623"/>
      <c r="FA77" s="623"/>
      <c r="FB77" s="623"/>
      <c r="FC77" s="623"/>
      <c r="FD77" s="623"/>
      <c r="FE77" s="623"/>
      <c r="FF77" s="623"/>
      <c r="FG77" s="623"/>
      <c r="FH77" s="623"/>
    </row>
    <row r="78" spans="1:164">
      <c r="A78" s="623" t="s">
        <v>5142</v>
      </c>
      <c r="B78" s="623" t="s">
        <v>5143</v>
      </c>
      <c r="C78" s="623" t="s">
        <v>3123</v>
      </c>
      <c r="D78" s="623" t="s">
        <v>202</v>
      </c>
      <c r="E78" s="623" t="s">
        <v>3132</v>
      </c>
      <c r="F78" s="623" t="s">
        <v>3125</v>
      </c>
      <c r="G78" s="623"/>
      <c r="H78" s="623"/>
      <c r="I78" s="623"/>
      <c r="J78" s="623"/>
      <c r="K78" s="623"/>
      <c r="L78" s="623"/>
      <c r="M78" s="623"/>
      <c r="N78" s="623"/>
      <c r="O78" s="623"/>
      <c r="P78" s="623"/>
      <c r="Q78" s="623"/>
      <c r="R78" s="623"/>
      <c r="S78" s="623"/>
      <c r="T78" s="623"/>
      <c r="U78" s="623"/>
      <c r="V78" s="623"/>
      <c r="W78" s="623"/>
      <c r="X78" s="623"/>
      <c r="Y78" s="623"/>
      <c r="Z78" s="623"/>
      <c r="AA78" s="623"/>
      <c r="AB78" s="623"/>
      <c r="AC78" s="623"/>
      <c r="AD78" s="623"/>
      <c r="AE78" s="623"/>
      <c r="AF78" s="623"/>
      <c r="AG78" s="623"/>
      <c r="AH78" s="623"/>
      <c r="AI78" s="623"/>
      <c r="AJ78" s="623"/>
      <c r="AK78" s="623"/>
      <c r="AL78" s="623"/>
      <c r="AM78" s="623"/>
      <c r="AN78" s="623"/>
      <c r="AO78" s="623"/>
      <c r="AP78" s="623"/>
      <c r="AQ78" s="623"/>
      <c r="AR78" s="623"/>
      <c r="AS78" s="623"/>
      <c r="AT78" s="623"/>
      <c r="AU78" s="623"/>
      <c r="AV78" s="623"/>
      <c r="AW78" s="623"/>
      <c r="AX78" s="623"/>
      <c r="AY78" s="623"/>
      <c r="AZ78" s="623"/>
      <c r="BA78" s="623"/>
      <c r="BB78" s="623"/>
      <c r="BC78" s="623"/>
      <c r="BD78" s="623"/>
      <c r="BE78" s="623"/>
      <c r="BF78" s="623"/>
      <c r="BG78" s="623"/>
      <c r="BH78" s="623"/>
      <c r="BI78" s="623"/>
      <c r="BJ78" s="623"/>
      <c r="BK78" s="623"/>
      <c r="BL78" s="623"/>
      <c r="BM78" s="623"/>
      <c r="BN78" s="623"/>
      <c r="BO78" s="623"/>
      <c r="BP78" s="623"/>
      <c r="BQ78" s="623"/>
      <c r="BR78" s="623"/>
      <c r="BS78" s="623"/>
      <c r="BT78" s="623"/>
      <c r="BU78" s="623"/>
      <c r="BV78" s="623"/>
      <c r="BW78" s="623"/>
      <c r="BX78" s="623"/>
      <c r="BY78" s="623"/>
      <c r="BZ78" s="623"/>
      <c r="CA78" s="623"/>
      <c r="CB78" s="623"/>
      <c r="CC78" s="623"/>
      <c r="CD78" s="623"/>
      <c r="CE78" s="623"/>
      <c r="CF78" s="623"/>
      <c r="CG78" s="623"/>
      <c r="CH78" s="623"/>
      <c r="CI78" s="623"/>
      <c r="CJ78" s="623"/>
      <c r="CK78" s="623"/>
      <c r="CL78" s="623"/>
      <c r="CM78" s="623"/>
      <c r="CN78" s="623"/>
      <c r="CO78" s="623"/>
      <c r="CP78" s="623"/>
      <c r="CQ78" s="623"/>
      <c r="CR78" s="623"/>
      <c r="CS78" s="623"/>
      <c r="CT78" s="623"/>
      <c r="CU78" s="623"/>
      <c r="CV78" s="623"/>
      <c r="CW78" s="623"/>
      <c r="CX78" s="623"/>
      <c r="CY78" s="623"/>
      <c r="CZ78" s="623"/>
      <c r="DA78" s="623"/>
      <c r="DB78" s="623"/>
      <c r="DC78" s="623"/>
      <c r="DD78" s="623"/>
      <c r="DE78" s="623"/>
      <c r="DF78" s="623"/>
      <c r="DG78" s="623"/>
      <c r="DH78" s="623"/>
      <c r="DI78" s="623"/>
      <c r="DJ78" s="623"/>
      <c r="DK78" s="623"/>
      <c r="DL78" s="623"/>
      <c r="DM78" s="623"/>
      <c r="DN78" s="623"/>
      <c r="DO78" s="623"/>
      <c r="DP78" s="623"/>
      <c r="DQ78" s="623"/>
      <c r="DR78" s="623"/>
      <c r="DS78" s="623"/>
      <c r="DT78" s="623"/>
      <c r="DU78" s="623"/>
      <c r="DV78" s="623"/>
      <c r="DW78" s="623"/>
      <c r="DX78" s="623"/>
      <c r="DY78" s="623"/>
      <c r="DZ78" s="623"/>
      <c r="EA78" s="623"/>
      <c r="EB78" s="623"/>
      <c r="EC78" s="623"/>
      <c r="ED78" s="623"/>
      <c r="EE78" s="623"/>
      <c r="EF78" s="623"/>
      <c r="EG78" s="623"/>
      <c r="EH78" s="623"/>
      <c r="EI78" s="623"/>
      <c r="EJ78" s="623"/>
      <c r="EK78" s="623"/>
      <c r="EL78" s="623"/>
      <c r="EM78" s="623"/>
      <c r="EN78" s="623"/>
      <c r="EO78" s="623"/>
      <c r="EP78" s="623"/>
      <c r="EQ78" s="623"/>
      <c r="ER78" s="623"/>
      <c r="ES78" s="623"/>
      <c r="ET78" s="623"/>
      <c r="EU78" s="623"/>
      <c r="EV78" s="623"/>
      <c r="EW78" s="623"/>
      <c r="EX78" s="623"/>
      <c r="EY78" s="623"/>
      <c r="EZ78" s="623"/>
      <c r="FA78" s="623"/>
      <c r="FB78" s="623"/>
      <c r="FC78" s="623"/>
      <c r="FD78" s="623"/>
      <c r="FE78" s="623"/>
      <c r="FF78" s="623"/>
      <c r="FG78" s="623"/>
      <c r="FH78" s="623"/>
    </row>
    <row r="79" spans="1:164">
      <c r="A79" s="623" t="s">
        <v>5144</v>
      </c>
      <c r="B79" s="623" t="s">
        <v>3146</v>
      </c>
      <c r="C79" s="623" t="s">
        <v>3132</v>
      </c>
      <c r="D79" s="623" t="s">
        <v>202</v>
      </c>
      <c r="E79" s="623" t="s">
        <v>3131</v>
      </c>
      <c r="F79" s="623" t="s">
        <v>3147</v>
      </c>
      <c r="G79" s="623"/>
      <c r="H79" s="623"/>
      <c r="I79" s="623"/>
      <c r="J79" s="623"/>
      <c r="K79" s="623"/>
      <c r="L79" s="623"/>
      <c r="M79" s="623"/>
      <c r="N79" s="623"/>
      <c r="O79" s="623"/>
      <c r="P79" s="623"/>
      <c r="Q79" s="623"/>
      <c r="R79" s="623"/>
      <c r="S79" s="623"/>
      <c r="T79" s="623"/>
      <c r="U79" s="623"/>
      <c r="V79" s="623"/>
      <c r="W79" s="623"/>
      <c r="X79" s="623"/>
      <c r="Y79" s="623"/>
      <c r="Z79" s="623"/>
      <c r="AA79" s="623"/>
      <c r="AB79" s="623"/>
      <c r="AC79" s="623"/>
      <c r="AD79" s="623"/>
      <c r="AE79" s="623"/>
      <c r="AF79" s="623"/>
      <c r="AG79" s="623"/>
      <c r="AH79" s="623"/>
      <c r="AI79" s="623"/>
      <c r="AJ79" s="623"/>
      <c r="AK79" s="623"/>
      <c r="AL79" s="623"/>
      <c r="AM79" s="623"/>
      <c r="AN79" s="623"/>
      <c r="AO79" s="623"/>
      <c r="AP79" s="623"/>
      <c r="AQ79" s="623"/>
      <c r="AR79" s="623"/>
      <c r="AS79" s="623"/>
      <c r="AT79" s="623"/>
      <c r="AU79" s="623"/>
      <c r="AV79" s="623"/>
      <c r="AW79" s="623"/>
      <c r="AX79" s="623"/>
      <c r="AY79" s="623"/>
      <c r="AZ79" s="623"/>
      <c r="BA79" s="623"/>
      <c r="BB79" s="623"/>
      <c r="BC79" s="623"/>
      <c r="BD79" s="623"/>
      <c r="BE79" s="623"/>
      <c r="BF79" s="623"/>
      <c r="BG79" s="623"/>
      <c r="BH79" s="623"/>
      <c r="BI79" s="623"/>
      <c r="BJ79" s="623"/>
      <c r="BK79" s="623"/>
      <c r="BL79" s="623"/>
      <c r="BM79" s="623"/>
      <c r="BN79" s="623"/>
      <c r="BO79" s="623"/>
      <c r="BP79" s="623"/>
      <c r="BQ79" s="623"/>
      <c r="BR79" s="623"/>
      <c r="BS79" s="623"/>
      <c r="BT79" s="623"/>
      <c r="BU79" s="623"/>
      <c r="BV79" s="623"/>
      <c r="BW79" s="623"/>
      <c r="BX79" s="623"/>
      <c r="BY79" s="623"/>
      <c r="BZ79" s="623"/>
      <c r="CA79" s="623"/>
      <c r="CB79" s="623"/>
      <c r="CC79" s="623"/>
      <c r="CD79" s="623"/>
      <c r="CE79" s="623"/>
      <c r="CF79" s="623"/>
      <c r="CG79" s="623"/>
      <c r="CH79" s="623"/>
      <c r="CI79" s="623"/>
      <c r="CJ79" s="623"/>
      <c r="CK79" s="623"/>
      <c r="CL79" s="623"/>
      <c r="CM79" s="623"/>
      <c r="CN79" s="623"/>
      <c r="CO79" s="623"/>
      <c r="CP79" s="623"/>
      <c r="CQ79" s="623"/>
      <c r="CR79" s="623"/>
      <c r="CS79" s="623"/>
      <c r="CT79" s="623"/>
      <c r="CU79" s="623"/>
      <c r="CV79" s="623"/>
      <c r="CW79" s="623"/>
      <c r="CX79" s="623"/>
      <c r="CY79" s="623"/>
      <c r="CZ79" s="623"/>
      <c r="DA79" s="623"/>
      <c r="DB79" s="623"/>
      <c r="DC79" s="623"/>
      <c r="DD79" s="623"/>
      <c r="DE79" s="623"/>
      <c r="DF79" s="623"/>
      <c r="DG79" s="623"/>
      <c r="DH79" s="623"/>
      <c r="DI79" s="623"/>
      <c r="DJ79" s="623"/>
      <c r="DK79" s="623"/>
      <c r="DL79" s="623"/>
      <c r="DM79" s="623"/>
      <c r="DN79" s="623"/>
      <c r="DO79" s="623"/>
      <c r="DP79" s="623"/>
      <c r="DQ79" s="623"/>
      <c r="DR79" s="623"/>
      <c r="DS79" s="623"/>
      <c r="DT79" s="623"/>
      <c r="DU79" s="623"/>
      <c r="DV79" s="623"/>
      <c r="DW79" s="623"/>
      <c r="DX79" s="623"/>
      <c r="DY79" s="623"/>
      <c r="DZ79" s="623"/>
      <c r="EA79" s="623"/>
      <c r="EB79" s="623"/>
      <c r="EC79" s="623"/>
      <c r="ED79" s="623"/>
      <c r="EE79" s="623"/>
      <c r="EF79" s="623"/>
      <c r="EG79" s="623"/>
      <c r="EH79" s="623"/>
      <c r="EI79" s="623"/>
      <c r="EJ79" s="623"/>
      <c r="EK79" s="623"/>
      <c r="EL79" s="623"/>
      <c r="EM79" s="623"/>
      <c r="EN79" s="623"/>
      <c r="EO79" s="623"/>
      <c r="EP79" s="623"/>
      <c r="EQ79" s="623"/>
      <c r="ER79" s="623"/>
      <c r="ES79" s="623"/>
      <c r="ET79" s="623"/>
      <c r="EU79" s="623"/>
      <c r="EV79" s="623"/>
      <c r="EW79" s="623"/>
      <c r="EX79" s="623"/>
      <c r="EY79" s="623"/>
      <c r="EZ79" s="623"/>
      <c r="FA79" s="623"/>
      <c r="FB79" s="623"/>
      <c r="FC79" s="623"/>
      <c r="FD79" s="623"/>
      <c r="FE79" s="623"/>
      <c r="FF79" s="623"/>
      <c r="FG79" s="623"/>
      <c r="FH79" s="623"/>
    </row>
    <row r="80" spans="1:164">
      <c r="A80" s="623" t="s">
        <v>5140</v>
      </c>
      <c r="B80" s="623" t="s">
        <v>3148</v>
      </c>
      <c r="C80" s="623" t="s">
        <v>3150</v>
      </c>
      <c r="D80" s="623" t="s">
        <v>3124</v>
      </c>
      <c r="E80" s="623" t="s">
        <v>202</v>
      </c>
      <c r="F80" s="623" t="s">
        <v>3149</v>
      </c>
      <c r="G80" s="623" t="s">
        <v>3132</v>
      </c>
      <c r="H80" s="623" t="s">
        <v>3125</v>
      </c>
      <c r="I80" s="623"/>
      <c r="J80" s="623"/>
      <c r="K80" s="623"/>
      <c r="L80" s="623"/>
      <c r="M80" s="623"/>
      <c r="N80" s="623"/>
      <c r="O80" s="623"/>
      <c r="P80" s="623"/>
      <c r="Q80" s="623"/>
      <c r="R80" s="623"/>
      <c r="S80" s="623"/>
      <c r="T80" s="623"/>
      <c r="U80" s="623"/>
      <c r="V80" s="623"/>
      <c r="W80" s="623"/>
      <c r="X80" s="623"/>
      <c r="Y80" s="623"/>
      <c r="Z80" s="623"/>
      <c r="AA80" s="623"/>
      <c r="AB80" s="623"/>
      <c r="AC80" s="623"/>
      <c r="AD80" s="623"/>
      <c r="AE80" s="623"/>
      <c r="AF80" s="623"/>
      <c r="AG80" s="623"/>
      <c r="AH80" s="623"/>
      <c r="AI80" s="623"/>
      <c r="AJ80" s="623"/>
      <c r="AK80" s="623"/>
      <c r="AL80" s="623"/>
      <c r="AM80" s="623"/>
      <c r="AN80" s="623"/>
      <c r="AO80" s="623"/>
      <c r="AP80" s="623"/>
      <c r="AQ80" s="623"/>
      <c r="AR80" s="623"/>
      <c r="AS80" s="623"/>
      <c r="AT80" s="623"/>
      <c r="AU80" s="623"/>
      <c r="AV80" s="623"/>
      <c r="AW80" s="623"/>
      <c r="AX80" s="623"/>
      <c r="AY80" s="623"/>
      <c r="AZ80" s="623"/>
      <c r="BA80" s="623"/>
      <c r="BB80" s="623"/>
      <c r="BC80" s="623"/>
      <c r="BD80" s="623"/>
      <c r="BE80" s="623"/>
      <c r="BF80" s="623"/>
      <c r="BG80" s="623"/>
      <c r="BH80" s="623"/>
      <c r="BI80" s="623"/>
      <c r="BJ80" s="623"/>
      <c r="BK80" s="623"/>
      <c r="BL80" s="623"/>
      <c r="BM80" s="623"/>
      <c r="BN80" s="623"/>
      <c r="BO80" s="623"/>
      <c r="BP80" s="623"/>
      <c r="BQ80" s="623"/>
      <c r="BR80" s="623"/>
      <c r="BS80" s="623"/>
      <c r="BT80" s="623"/>
      <c r="BU80" s="623"/>
      <c r="BV80" s="623"/>
      <c r="BW80" s="623"/>
      <c r="BX80" s="623"/>
      <c r="BY80" s="623"/>
      <c r="BZ80" s="623"/>
      <c r="CA80" s="623"/>
      <c r="CB80" s="623"/>
      <c r="CC80" s="623"/>
      <c r="CD80" s="623"/>
      <c r="CE80" s="623"/>
      <c r="CF80" s="623"/>
      <c r="CG80" s="623"/>
      <c r="CH80" s="623"/>
      <c r="CI80" s="623"/>
      <c r="CJ80" s="623"/>
      <c r="CK80" s="623"/>
      <c r="CL80" s="623"/>
      <c r="CM80" s="623"/>
      <c r="CN80" s="623"/>
      <c r="CO80" s="623"/>
      <c r="CP80" s="623"/>
      <c r="CQ80" s="623"/>
      <c r="CR80" s="623"/>
      <c r="CS80" s="623"/>
      <c r="CT80" s="623"/>
      <c r="CU80" s="623"/>
      <c r="CV80" s="623"/>
      <c r="CW80" s="623"/>
      <c r="CX80" s="623"/>
      <c r="CY80" s="623"/>
      <c r="CZ80" s="623"/>
      <c r="DA80" s="623"/>
      <c r="DB80" s="623"/>
      <c r="DC80" s="623"/>
      <c r="DD80" s="623"/>
      <c r="DE80" s="623"/>
      <c r="DF80" s="623"/>
      <c r="DG80" s="623"/>
      <c r="DH80" s="623"/>
      <c r="DI80" s="623"/>
      <c r="DJ80" s="623"/>
      <c r="DK80" s="623"/>
      <c r="DL80" s="623"/>
      <c r="DM80" s="623"/>
      <c r="DN80" s="623"/>
      <c r="DO80" s="623"/>
      <c r="DP80" s="623"/>
      <c r="DQ80" s="623"/>
      <c r="DR80" s="623"/>
      <c r="DS80" s="623"/>
      <c r="DT80" s="623"/>
      <c r="DU80" s="623"/>
      <c r="DV80" s="623"/>
      <c r="DW80" s="623"/>
      <c r="DX80" s="623"/>
      <c r="DY80" s="623"/>
      <c r="DZ80" s="623"/>
      <c r="EA80" s="623"/>
      <c r="EB80" s="623"/>
      <c r="EC80" s="623"/>
      <c r="ED80" s="623"/>
      <c r="EE80" s="623"/>
      <c r="EF80" s="623"/>
      <c r="EG80" s="623"/>
      <c r="EH80" s="623"/>
      <c r="EI80" s="623"/>
      <c r="EJ80" s="623"/>
      <c r="EK80" s="623"/>
      <c r="EL80" s="623"/>
      <c r="EM80" s="623"/>
      <c r="EN80" s="623"/>
      <c r="EO80" s="623"/>
      <c r="EP80" s="623"/>
      <c r="EQ80" s="623"/>
      <c r="ER80" s="623"/>
      <c r="ES80" s="623"/>
      <c r="ET80" s="623"/>
      <c r="EU80" s="623"/>
      <c r="EV80" s="623"/>
      <c r="EW80" s="623"/>
      <c r="EX80" s="623"/>
      <c r="EY80" s="623"/>
      <c r="EZ80" s="623"/>
      <c r="FA80" s="623"/>
      <c r="FB80" s="623"/>
      <c r="FC80" s="623"/>
      <c r="FD80" s="623"/>
      <c r="FE80" s="623"/>
      <c r="FF80" s="623"/>
      <c r="FG80" s="623"/>
      <c r="FH80" s="623"/>
    </row>
    <row r="81" spans="1:164">
      <c r="A81" s="623" t="s">
        <v>5145</v>
      </c>
      <c r="B81" s="623" t="s">
        <v>2884</v>
      </c>
      <c r="C81" s="623" t="s">
        <v>626</v>
      </c>
      <c r="D81" s="623" t="s">
        <v>2885</v>
      </c>
      <c r="E81" s="623"/>
      <c r="F81" s="623"/>
      <c r="G81" s="623"/>
      <c r="H81" s="623"/>
      <c r="I81" s="623"/>
      <c r="J81" s="623"/>
      <c r="K81" s="623"/>
      <c r="L81" s="623"/>
      <c r="M81" s="623"/>
      <c r="N81" s="623"/>
      <c r="O81" s="623"/>
      <c r="P81" s="623"/>
      <c r="Q81" s="623"/>
      <c r="R81" s="623"/>
      <c r="S81" s="623"/>
      <c r="T81" s="623"/>
      <c r="U81" s="623"/>
      <c r="V81" s="623"/>
      <c r="W81" s="623"/>
      <c r="X81" s="623"/>
      <c r="Y81" s="623"/>
      <c r="Z81" s="623"/>
      <c r="AA81" s="623"/>
      <c r="AB81" s="623"/>
      <c r="AC81" s="623"/>
      <c r="AD81" s="623"/>
      <c r="AE81" s="623"/>
      <c r="AF81" s="623"/>
      <c r="AG81" s="623"/>
      <c r="AH81" s="623"/>
      <c r="AI81" s="623"/>
      <c r="AJ81" s="623"/>
      <c r="AK81" s="623"/>
      <c r="AL81" s="623"/>
      <c r="AM81" s="623"/>
      <c r="AN81" s="623"/>
      <c r="AO81" s="623"/>
      <c r="AP81" s="623"/>
      <c r="AQ81" s="623"/>
      <c r="AR81" s="623"/>
      <c r="AS81" s="623"/>
      <c r="AT81" s="623"/>
      <c r="AU81" s="623"/>
      <c r="AV81" s="623"/>
      <c r="AW81" s="623"/>
      <c r="AX81" s="623"/>
      <c r="AY81" s="623"/>
      <c r="AZ81" s="623"/>
      <c r="BA81" s="623"/>
      <c r="BB81" s="623"/>
      <c r="BC81" s="623"/>
      <c r="BD81" s="623"/>
      <c r="BE81" s="623"/>
      <c r="BF81" s="623"/>
      <c r="BG81" s="623"/>
      <c r="BH81" s="623"/>
      <c r="BI81" s="623"/>
      <c r="BJ81" s="623"/>
      <c r="BK81" s="623"/>
      <c r="BL81" s="623"/>
      <c r="BM81" s="623"/>
      <c r="BN81" s="623"/>
      <c r="BO81" s="623"/>
      <c r="BP81" s="623"/>
      <c r="BQ81" s="623"/>
      <c r="BR81" s="623"/>
      <c r="BS81" s="623"/>
      <c r="BT81" s="623"/>
      <c r="BU81" s="623"/>
      <c r="BV81" s="623"/>
      <c r="BW81" s="623"/>
      <c r="BX81" s="623"/>
      <c r="BY81" s="623"/>
      <c r="BZ81" s="623"/>
      <c r="CA81" s="623"/>
      <c r="CB81" s="623"/>
      <c r="CC81" s="623"/>
      <c r="CD81" s="623"/>
      <c r="CE81" s="623"/>
      <c r="CF81" s="623"/>
      <c r="CG81" s="623"/>
      <c r="CH81" s="623"/>
      <c r="CI81" s="623"/>
      <c r="CJ81" s="623"/>
      <c r="CK81" s="623"/>
      <c r="CL81" s="623"/>
      <c r="CM81" s="623"/>
      <c r="CN81" s="623"/>
      <c r="CO81" s="623"/>
      <c r="CP81" s="623"/>
      <c r="CQ81" s="623"/>
      <c r="CR81" s="623"/>
      <c r="CS81" s="623"/>
      <c r="CT81" s="623"/>
      <c r="CU81" s="623"/>
      <c r="CV81" s="623"/>
      <c r="CW81" s="623"/>
      <c r="CX81" s="623"/>
      <c r="CY81" s="623"/>
      <c r="CZ81" s="623"/>
      <c r="DA81" s="623"/>
      <c r="DB81" s="623"/>
      <c r="DC81" s="623"/>
      <c r="DD81" s="623"/>
      <c r="DE81" s="623"/>
      <c r="DF81" s="623"/>
      <c r="DG81" s="623"/>
      <c r="DH81" s="623"/>
      <c r="DI81" s="623"/>
      <c r="DJ81" s="623"/>
      <c r="DK81" s="623"/>
      <c r="DL81" s="623"/>
      <c r="DM81" s="623"/>
      <c r="DN81" s="623"/>
      <c r="DO81" s="623"/>
      <c r="DP81" s="623"/>
      <c r="DQ81" s="623"/>
      <c r="DR81" s="623"/>
      <c r="DS81" s="623"/>
      <c r="DT81" s="623"/>
      <c r="DU81" s="623"/>
      <c r="DV81" s="623"/>
      <c r="DW81" s="623"/>
      <c r="DX81" s="623"/>
      <c r="DY81" s="623"/>
      <c r="DZ81" s="623"/>
      <c r="EA81" s="623"/>
      <c r="EB81" s="623"/>
      <c r="EC81" s="623"/>
      <c r="ED81" s="623"/>
      <c r="EE81" s="623"/>
      <c r="EF81" s="623"/>
      <c r="EG81" s="623"/>
      <c r="EH81" s="623"/>
      <c r="EI81" s="623"/>
      <c r="EJ81" s="623"/>
      <c r="EK81" s="623"/>
      <c r="EL81" s="623"/>
      <c r="EM81" s="623"/>
      <c r="EN81" s="623"/>
      <c r="EO81" s="623"/>
      <c r="EP81" s="623"/>
      <c r="EQ81" s="623"/>
      <c r="ER81" s="623"/>
      <c r="ES81" s="623"/>
      <c r="ET81" s="623"/>
      <c r="EU81" s="623"/>
      <c r="EV81" s="623"/>
      <c r="EW81" s="623"/>
      <c r="EX81" s="623"/>
      <c r="EY81" s="623"/>
      <c r="EZ81" s="623"/>
      <c r="FA81" s="623"/>
      <c r="FB81" s="623"/>
      <c r="FC81" s="623"/>
      <c r="FD81" s="623"/>
      <c r="FE81" s="623"/>
      <c r="FF81" s="623"/>
      <c r="FG81" s="623"/>
      <c r="FH81" s="623"/>
    </row>
    <row r="82" spans="1:164">
      <c r="A82" s="623" t="s">
        <v>5146</v>
      </c>
      <c r="B82" s="623"/>
      <c r="C82" s="623"/>
      <c r="D82" s="623"/>
      <c r="E82" s="623"/>
      <c r="F82" s="623"/>
      <c r="G82" s="623"/>
      <c r="H82" s="623"/>
      <c r="I82" s="623"/>
      <c r="J82" s="623"/>
      <c r="K82" s="623"/>
      <c r="L82" s="623"/>
      <c r="M82" s="623"/>
      <c r="N82" s="623"/>
      <c r="O82" s="623"/>
      <c r="P82" s="623"/>
      <c r="Q82" s="623"/>
      <c r="R82" s="623"/>
      <c r="S82" s="623"/>
      <c r="T82" s="623"/>
      <c r="U82" s="623"/>
      <c r="V82" s="623"/>
      <c r="W82" s="623"/>
      <c r="X82" s="623"/>
      <c r="Y82" s="623"/>
      <c r="Z82" s="623"/>
      <c r="AA82" s="623"/>
      <c r="AB82" s="623"/>
      <c r="AC82" s="623"/>
      <c r="AD82" s="623"/>
      <c r="AE82" s="623"/>
      <c r="AF82" s="623"/>
      <c r="AG82" s="623"/>
      <c r="AH82" s="623"/>
      <c r="AI82" s="623"/>
      <c r="AJ82" s="623"/>
      <c r="AK82" s="623"/>
      <c r="AL82" s="623"/>
      <c r="AM82" s="623"/>
      <c r="AN82" s="623"/>
      <c r="AO82" s="623"/>
      <c r="AP82" s="623"/>
      <c r="AQ82" s="623"/>
      <c r="AR82" s="623"/>
      <c r="AS82" s="623"/>
      <c r="AT82" s="623"/>
      <c r="AU82" s="623"/>
      <c r="AV82" s="623"/>
      <c r="AW82" s="623"/>
      <c r="AX82" s="623"/>
      <c r="AY82" s="623"/>
      <c r="AZ82" s="623"/>
      <c r="BA82" s="623"/>
      <c r="BB82" s="623"/>
      <c r="BC82" s="623"/>
      <c r="BD82" s="623"/>
      <c r="BE82" s="623"/>
      <c r="BF82" s="623"/>
      <c r="BG82" s="623"/>
      <c r="BH82" s="623"/>
      <c r="BI82" s="623"/>
      <c r="BJ82" s="623"/>
      <c r="BK82" s="623"/>
      <c r="BL82" s="623"/>
      <c r="BM82" s="623"/>
      <c r="BN82" s="623"/>
      <c r="BO82" s="623"/>
      <c r="BP82" s="623"/>
      <c r="BQ82" s="623"/>
      <c r="BR82" s="623"/>
      <c r="BS82" s="623"/>
      <c r="BT82" s="623"/>
      <c r="BU82" s="623"/>
      <c r="BV82" s="623"/>
      <c r="BW82" s="623"/>
      <c r="BX82" s="623"/>
      <c r="BY82" s="623"/>
      <c r="BZ82" s="623"/>
      <c r="CA82" s="623"/>
      <c r="CB82" s="623"/>
      <c r="CC82" s="623"/>
      <c r="CD82" s="623"/>
      <c r="CE82" s="623"/>
      <c r="CF82" s="623"/>
      <c r="CG82" s="623"/>
      <c r="CH82" s="623"/>
      <c r="CI82" s="623"/>
      <c r="CJ82" s="623"/>
      <c r="CK82" s="623"/>
      <c r="CL82" s="623"/>
      <c r="CM82" s="623"/>
      <c r="CN82" s="623"/>
      <c r="CO82" s="623"/>
      <c r="CP82" s="623"/>
      <c r="CQ82" s="623"/>
      <c r="CR82" s="623"/>
      <c r="CS82" s="623"/>
      <c r="CT82" s="623"/>
      <c r="CU82" s="623"/>
      <c r="CV82" s="623"/>
      <c r="CW82" s="623"/>
      <c r="CX82" s="623"/>
      <c r="CY82" s="623"/>
      <c r="CZ82" s="623"/>
      <c r="DA82" s="623"/>
      <c r="DB82" s="623"/>
      <c r="DC82" s="623"/>
      <c r="DD82" s="623"/>
      <c r="DE82" s="623"/>
      <c r="DF82" s="623"/>
      <c r="DG82" s="623"/>
      <c r="DH82" s="623"/>
      <c r="DI82" s="623"/>
      <c r="DJ82" s="623"/>
      <c r="DK82" s="623"/>
      <c r="DL82" s="623"/>
      <c r="DM82" s="623"/>
      <c r="DN82" s="623"/>
      <c r="DO82" s="623"/>
      <c r="DP82" s="623"/>
      <c r="DQ82" s="623"/>
      <c r="DR82" s="623"/>
      <c r="DS82" s="623"/>
      <c r="DT82" s="623"/>
      <c r="DU82" s="623"/>
      <c r="DV82" s="623"/>
      <c r="DW82" s="623"/>
      <c r="DX82" s="623"/>
      <c r="DY82" s="623"/>
      <c r="DZ82" s="623"/>
      <c r="EA82" s="623"/>
      <c r="EB82" s="623"/>
      <c r="EC82" s="623"/>
      <c r="ED82" s="623"/>
      <c r="EE82" s="623"/>
      <c r="EF82" s="623"/>
      <c r="EG82" s="623"/>
      <c r="EH82" s="623"/>
      <c r="EI82" s="623"/>
      <c r="EJ82" s="623"/>
      <c r="EK82" s="623"/>
      <c r="EL82" s="623"/>
      <c r="EM82" s="623"/>
      <c r="EN82" s="623"/>
      <c r="EO82" s="623"/>
      <c r="EP82" s="623"/>
      <c r="EQ82" s="623"/>
      <c r="ER82" s="623"/>
      <c r="ES82" s="623"/>
      <c r="ET82" s="623"/>
      <c r="EU82" s="623"/>
      <c r="EV82" s="623"/>
      <c r="EW82" s="623"/>
      <c r="EX82" s="623"/>
      <c r="EY82" s="623"/>
      <c r="EZ82" s="623"/>
      <c r="FA82" s="623"/>
      <c r="FB82" s="623"/>
      <c r="FC82" s="623"/>
      <c r="FD82" s="623"/>
      <c r="FE82" s="623"/>
      <c r="FF82" s="623"/>
      <c r="FG82" s="623"/>
      <c r="FH82" s="623"/>
    </row>
    <row r="83" spans="1:164">
      <c r="A83" s="623" t="s">
        <v>5147</v>
      </c>
      <c r="B83" s="623"/>
      <c r="C83" s="623"/>
      <c r="D83" s="623"/>
      <c r="E83" s="623"/>
      <c r="F83" s="623"/>
      <c r="G83" s="623"/>
      <c r="H83" s="623"/>
      <c r="I83" s="623"/>
      <c r="J83" s="623"/>
      <c r="K83" s="623"/>
      <c r="L83" s="623"/>
      <c r="M83" s="623"/>
      <c r="N83" s="623"/>
      <c r="O83" s="623"/>
      <c r="P83" s="623"/>
      <c r="Q83" s="623"/>
      <c r="R83" s="623"/>
      <c r="S83" s="623"/>
      <c r="T83" s="623"/>
      <c r="U83" s="623"/>
      <c r="V83" s="623"/>
      <c r="W83" s="623"/>
      <c r="X83" s="623"/>
      <c r="Y83" s="623"/>
      <c r="Z83" s="623"/>
      <c r="AA83" s="623"/>
      <c r="AB83" s="623"/>
      <c r="AC83" s="623"/>
      <c r="AD83" s="623"/>
      <c r="AE83" s="623"/>
      <c r="AF83" s="623"/>
      <c r="AG83" s="623"/>
      <c r="AH83" s="623"/>
      <c r="AI83" s="623"/>
      <c r="AJ83" s="623"/>
      <c r="AK83" s="623"/>
      <c r="AL83" s="623"/>
      <c r="AM83" s="623"/>
      <c r="AN83" s="623"/>
      <c r="AO83" s="623"/>
      <c r="AP83" s="623"/>
      <c r="AQ83" s="623"/>
      <c r="AR83" s="623"/>
      <c r="AS83" s="623"/>
      <c r="AT83" s="623"/>
      <c r="AU83" s="623"/>
      <c r="AV83" s="623"/>
      <c r="AW83" s="623"/>
      <c r="AX83" s="623"/>
      <c r="AY83" s="623"/>
      <c r="AZ83" s="623"/>
      <c r="BA83" s="623"/>
      <c r="BB83" s="623"/>
      <c r="BC83" s="623"/>
      <c r="BD83" s="623"/>
      <c r="BE83" s="623"/>
      <c r="BF83" s="623"/>
      <c r="BG83" s="623"/>
      <c r="BH83" s="623"/>
      <c r="BI83" s="623"/>
      <c r="BJ83" s="623"/>
      <c r="BK83" s="623"/>
      <c r="BL83" s="623"/>
      <c r="BM83" s="623"/>
      <c r="BN83" s="623"/>
      <c r="BO83" s="623"/>
      <c r="BP83" s="623"/>
      <c r="BQ83" s="623"/>
      <c r="BR83" s="623"/>
      <c r="BS83" s="623"/>
      <c r="BT83" s="623"/>
      <c r="BU83" s="623"/>
      <c r="BV83" s="623"/>
      <c r="BW83" s="623"/>
      <c r="BX83" s="623"/>
      <c r="BY83" s="623"/>
      <c r="BZ83" s="623"/>
      <c r="CA83" s="623"/>
      <c r="CB83" s="623"/>
      <c r="CC83" s="623"/>
      <c r="CD83" s="623"/>
      <c r="CE83" s="623"/>
      <c r="CF83" s="623"/>
      <c r="CG83" s="623"/>
      <c r="CH83" s="623"/>
      <c r="CI83" s="623"/>
      <c r="CJ83" s="623"/>
      <c r="CK83" s="623"/>
      <c r="CL83" s="623"/>
      <c r="CM83" s="623"/>
      <c r="CN83" s="623"/>
      <c r="CO83" s="623"/>
      <c r="CP83" s="623"/>
      <c r="CQ83" s="623"/>
      <c r="CR83" s="623"/>
      <c r="CS83" s="623"/>
      <c r="CT83" s="623"/>
      <c r="CU83" s="623"/>
      <c r="CV83" s="623"/>
      <c r="CW83" s="623"/>
      <c r="CX83" s="623"/>
      <c r="CY83" s="623"/>
      <c r="CZ83" s="623"/>
      <c r="DA83" s="623"/>
      <c r="DB83" s="623"/>
      <c r="DC83" s="623"/>
      <c r="DD83" s="623"/>
      <c r="DE83" s="623"/>
      <c r="DF83" s="623"/>
      <c r="DG83" s="623"/>
      <c r="DH83" s="623"/>
      <c r="DI83" s="623"/>
      <c r="DJ83" s="623"/>
      <c r="DK83" s="623"/>
      <c r="DL83" s="623"/>
      <c r="DM83" s="623"/>
      <c r="DN83" s="623"/>
      <c r="DO83" s="623"/>
      <c r="DP83" s="623"/>
      <c r="DQ83" s="623"/>
      <c r="DR83" s="623"/>
      <c r="DS83" s="623"/>
      <c r="DT83" s="623"/>
      <c r="DU83" s="623"/>
      <c r="DV83" s="623"/>
      <c r="DW83" s="623"/>
      <c r="DX83" s="623"/>
      <c r="DY83" s="623"/>
      <c r="DZ83" s="623"/>
      <c r="EA83" s="623"/>
      <c r="EB83" s="623"/>
      <c r="EC83" s="623"/>
      <c r="ED83" s="623"/>
      <c r="EE83" s="623"/>
      <c r="EF83" s="623"/>
      <c r="EG83" s="623"/>
      <c r="EH83" s="623"/>
      <c r="EI83" s="623"/>
      <c r="EJ83" s="623"/>
      <c r="EK83" s="623"/>
      <c r="EL83" s="623"/>
      <c r="EM83" s="623"/>
      <c r="EN83" s="623"/>
      <c r="EO83" s="623"/>
      <c r="EP83" s="623"/>
      <c r="EQ83" s="623"/>
      <c r="ER83" s="623"/>
      <c r="ES83" s="623"/>
      <c r="ET83" s="623"/>
      <c r="EU83" s="623"/>
      <c r="EV83" s="623"/>
      <c r="EW83" s="623"/>
      <c r="EX83" s="623"/>
      <c r="EY83" s="623"/>
      <c r="EZ83" s="623"/>
      <c r="FA83" s="623"/>
      <c r="FB83" s="623"/>
      <c r="FC83" s="623"/>
      <c r="FD83" s="623"/>
      <c r="FE83" s="623"/>
      <c r="FF83" s="623"/>
      <c r="FG83" s="623"/>
      <c r="FH83" s="623"/>
    </row>
    <row r="84" spans="1:164">
      <c r="A84" s="623" t="s">
        <v>5148</v>
      </c>
      <c r="B84" s="623"/>
      <c r="C84" s="623"/>
      <c r="D84" s="623"/>
      <c r="E84" s="623"/>
      <c r="F84" s="623"/>
      <c r="G84" s="623"/>
      <c r="H84" s="623"/>
      <c r="I84" s="623"/>
      <c r="J84" s="623"/>
      <c r="K84" s="623"/>
      <c r="L84" s="623"/>
      <c r="M84" s="623"/>
      <c r="N84" s="623"/>
      <c r="O84" s="623"/>
      <c r="P84" s="623"/>
      <c r="Q84" s="623"/>
      <c r="R84" s="623"/>
      <c r="S84" s="623"/>
      <c r="T84" s="623"/>
      <c r="U84" s="623"/>
      <c r="V84" s="623"/>
      <c r="W84" s="623"/>
      <c r="X84" s="623"/>
      <c r="Y84" s="623"/>
      <c r="Z84" s="623"/>
      <c r="AA84" s="623"/>
      <c r="AB84" s="623"/>
      <c r="AC84" s="623"/>
      <c r="AD84" s="623"/>
      <c r="AE84" s="623"/>
      <c r="AF84" s="623"/>
      <c r="AG84" s="623"/>
      <c r="AH84" s="623"/>
      <c r="AI84" s="623"/>
      <c r="AJ84" s="623"/>
      <c r="AK84" s="623"/>
      <c r="AL84" s="623"/>
      <c r="AM84" s="623"/>
      <c r="AN84" s="623"/>
      <c r="AO84" s="623"/>
      <c r="AP84" s="623"/>
      <c r="AQ84" s="623"/>
      <c r="AR84" s="623"/>
      <c r="AS84" s="623"/>
      <c r="AT84" s="623"/>
      <c r="AU84" s="623"/>
      <c r="AV84" s="623"/>
      <c r="AW84" s="623"/>
      <c r="AX84" s="623"/>
      <c r="AY84" s="623"/>
      <c r="AZ84" s="623"/>
      <c r="BA84" s="623"/>
      <c r="BB84" s="623"/>
      <c r="BC84" s="623"/>
      <c r="BD84" s="623"/>
      <c r="BE84" s="623"/>
      <c r="BF84" s="623"/>
      <c r="BG84" s="623"/>
      <c r="BH84" s="623"/>
      <c r="BI84" s="623"/>
      <c r="BJ84" s="623"/>
      <c r="BK84" s="623"/>
      <c r="BL84" s="623"/>
      <c r="BM84" s="623"/>
      <c r="BN84" s="623"/>
      <c r="BO84" s="623"/>
      <c r="BP84" s="623"/>
      <c r="BQ84" s="623"/>
      <c r="BR84" s="623"/>
      <c r="BS84" s="623"/>
      <c r="BT84" s="623"/>
      <c r="BU84" s="623"/>
      <c r="BV84" s="623"/>
      <c r="BW84" s="623"/>
      <c r="BX84" s="623"/>
      <c r="BY84" s="623"/>
      <c r="BZ84" s="623"/>
      <c r="CA84" s="623"/>
      <c r="CB84" s="623"/>
      <c r="CC84" s="623"/>
      <c r="CD84" s="623"/>
      <c r="CE84" s="623"/>
      <c r="CF84" s="623"/>
      <c r="CG84" s="623"/>
      <c r="CH84" s="623"/>
      <c r="CI84" s="623"/>
      <c r="CJ84" s="623"/>
      <c r="CK84" s="623"/>
      <c r="CL84" s="623"/>
      <c r="CM84" s="623"/>
      <c r="CN84" s="623"/>
      <c r="CO84" s="623"/>
      <c r="CP84" s="623"/>
      <c r="CQ84" s="623"/>
      <c r="CR84" s="623"/>
      <c r="CS84" s="623"/>
      <c r="CT84" s="623"/>
      <c r="CU84" s="623"/>
      <c r="CV84" s="623"/>
      <c r="CW84" s="623"/>
      <c r="CX84" s="623"/>
      <c r="CY84" s="623"/>
      <c r="CZ84" s="623"/>
      <c r="DA84" s="623"/>
      <c r="DB84" s="623"/>
      <c r="DC84" s="623"/>
      <c r="DD84" s="623"/>
      <c r="DE84" s="623"/>
      <c r="DF84" s="623"/>
      <c r="DG84" s="623"/>
      <c r="DH84" s="623"/>
      <c r="DI84" s="623"/>
      <c r="DJ84" s="623"/>
      <c r="DK84" s="623"/>
      <c r="DL84" s="623"/>
      <c r="DM84" s="623"/>
      <c r="DN84" s="623"/>
      <c r="DO84" s="623"/>
      <c r="DP84" s="623"/>
      <c r="DQ84" s="623"/>
      <c r="DR84" s="623"/>
      <c r="DS84" s="623"/>
      <c r="DT84" s="623"/>
      <c r="DU84" s="623"/>
      <c r="DV84" s="623"/>
      <c r="DW84" s="623"/>
      <c r="DX84" s="623"/>
      <c r="DY84" s="623"/>
      <c r="DZ84" s="623"/>
      <c r="EA84" s="623"/>
      <c r="EB84" s="623"/>
      <c r="EC84" s="623"/>
      <c r="ED84" s="623"/>
      <c r="EE84" s="623"/>
      <c r="EF84" s="623"/>
      <c r="EG84" s="623"/>
      <c r="EH84" s="623"/>
      <c r="EI84" s="623"/>
      <c r="EJ84" s="623"/>
      <c r="EK84" s="623"/>
      <c r="EL84" s="623"/>
      <c r="EM84" s="623"/>
      <c r="EN84" s="623"/>
      <c r="EO84" s="623"/>
      <c r="EP84" s="623"/>
      <c r="EQ84" s="623"/>
      <c r="ER84" s="623"/>
      <c r="ES84" s="623"/>
      <c r="ET84" s="623"/>
      <c r="EU84" s="623"/>
      <c r="EV84" s="623"/>
      <c r="EW84" s="623"/>
      <c r="EX84" s="623"/>
      <c r="EY84" s="623"/>
      <c r="EZ84" s="623"/>
      <c r="FA84" s="623"/>
      <c r="FB84" s="623"/>
      <c r="FC84" s="623"/>
      <c r="FD84" s="623"/>
      <c r="FE84" s="623"/>
      <c r="FF84" s="623"/>
      <c r="FG84" s="623"/>
      <c r="FH84" s="623"/>
    </row>
    <row r="85" spans="1:164">
      <c r="A85" s="623" t="s">
        <v>5149</v>
      </c>
      <c r="B85" s="623"/>
      <c r="C85" s="623"/>
      <c r="D85" s="623"/>
      <c r="E85" s="623"/>
      <c r="F85" s="623"/>
      <c r="G85" s="623"/>
      <c r="H85" s="623"/>
      <c r="I85" s="623"/>
      <c r="J85" s="623"/>
      <c r="K85" s="623"/>
      <c r="L85" s="623"/>
      <c r="M85" s="623"/>
      <c r="N85" s="623"/>
      <c r="O85" s="623"/>
      <c r="P85" s="623"/>
      <c r="Q85" s="623"/>
      <c r="R85" s="623"/>
      <c r="S85" s="623"/>
      <c r="T85" s="623"/>
      <c r="U85" s="623"/>
      <c r="V85" s="623"/>
      <c r="W85" s="623"/>
      <c r="X85" s="623"/>
      <c r="Y85" s="623"/>
      <c r="Z85" s="623"/>
      <c r="AA85" s="623"/>
      <c r="AB85" s="623"/>
      <c r="AC85" s="623"/>
      <c r="AD85" s="623"/>
      <c r="AE85" s="623"/>
      <c r="AF85" s="623"/>
      <c r="AG85" s="623"/>
      <c r="AH85" s="623"/>
      <c r="AI85" s="623"/>
      <c r="AJ85" s="623"/>
      <c r="AK85" s="623"/>
      <c r="AL85" s="623"/>
      <c r="AM85" s="623"/>
      <c r="AN85" s="623"/>
      <c r="AO85" s="623"/>
      <c r="AP85" s="623"/>
      <c r="AQ85" s="623"/>
      <c r="AR85" s="623"/>
      <c r="AS85" s="623"/>
      <c r="AT85" s="623"/>
      <c r="AU85" s="623"/>
      <c r="AV85" s="623"/>
      <c r="AW85" s="623"/>
      <c r="AX85" s="623"/>
      <c r="AY85" s="623"/>
      <c r="AZ85" s="623"/>
      <c r="BA85" s="623"/>
      <c r="BB85" s="623"/>
      <c r="BC85" s="623"/>
      <c r="BD85" s="623"/>
      <c r="BE85" s="623"/>
      <c r="BF85" s="623"/>
      <c r="BG85" s="623"/>
      <c r="BH85" s="623"/>
      <c r="BI85" s="623"/>
      <c r="BJ85" s="623"/>
      <c r="BK85" s="623"/>
      <c r="BL85" s="623"/>
      <c r="BM85" s="623"/>
      <c r="BN85" s="623"/>
      <c r="BO85" s="623"/>
      <c r="BP85" s="623"/>
      <c r="BQ85" s="623"/>
      <c r="BR85" s="623"/>
      <c r="BS85" s="623"/>
      <c r="BT85" s="623"/>
      <c r="BU85" s="623"/>
      <c r="BV85" s="623"/>
      <c r="BW85" s="623"/>
      <c r="BX85" s="623"/>
      <c r="BY85" s="623"/>
      <c r="BZ85" s="623"/>
      <c r="CA85" s="623"/>
      <c r="CB85" s="623"/>
      <c r="CC85" s="623"/>
      <c r="CD85" s="623"/>
      <c r="CE85" s="623"/>
      <c r="CF85" s="623"/>
      <c r="CG85" s="623"/>
      <c r="CH85" s="623"/>
      <c r="CI85" s="623"/>
      <c r="CJ85" s="623"/>
      <c r="CK85" s="623"/>
      <c r="CL85" s="623"/>
      <c r="CM85" s="623"/>
      <c r="CN85" s="623"/>
      <c r="CO85" s="623"/>
      <c r="CP85" s="623"/>
      <c r="CQ85" s="623"/>
      <c r="CR85" s="623"/>
      <c r="CS85" s="623"/>
      <c r="CT85" s="623"/>
      <c r="CU85" s="623"/>
      <c r="CV85" s="623"/>
      <c r="CW85" s="623"/>
      <c r="CX85" s="623"/>
      <c r="CY85" s="623"/>
      <c r="CZ85" s="623"/>
      <c r="DA85" s="623"/>
      <c r="DB85" s="623"/>
      <c r="DC85" s="623"/>
      <c r="DD85" s="623"/>
      <c r="DE85" s="623"/>
      <c r="DF85" s="623"/>
      <c r="DG85" s="623"/>
      <c r="DH85" s="623"/>
      <c r="DI85" s="623"/>
      <c r="DJ85" s="623"/>
      <c r="DK85" s="623"/>
      <c r="DL85" s="623"/>
      <c r="DM85" s="623"/>
      <c r="DN85" s="623"/>
      <c r="DO85" s="623"/>
      <c r="DP85" s="623"/>
      <c r="DQ85" s="623"/>
      <c r="DR85" s="623"/>
      <c r="DS85" s="623"/>
      <c r="DT85" s="623"/>
      <c r="DU85" s="623"/>
      <c r="DV85" s="623"/>
      <c r="DW85" s="623"/>
      <c r="DX85" s="623"/>
      <c r="DY85" s="623"/>
      <c r="DZ85" s="623"/>
      <c r="EA85" s="623"/>
      <c r="EB85" s="623"/>
      <c r="EC85" s="623"/>
      <c r="ED85" s="623"/>
      <c r="EE85" s="623"/>
      <c r="EF85" s="623"/>
      <c r="EG85" s="623"/>
      <c r="EH85" s="623"/>
      <c r="EI85" s="623"/>
      <c r="EJ85" s="623"/>
      <c r="EK85" s="623"/>
      <c r="EL85" s="623"/>
      <c r="EM85" s="623"/>
      <c r="EN85" s="623"/>
      <c r="EO85" s="623"/>
      <c r="EP85" s="623"/>
      <c r="EQ85" s="623"/>
      <c r="ER85" s="623"/>
      <c r="ES85" s="623"/>
      <c r="ET85" s="623"/>
      <c r="EU85" s="623"/>
      <c r="EV85" s="623"/>
      <c r="EW85" s="623"/>
      <c r="EX85" s="623"/>
      <c r="EY85" s="623"/>
      <c r="EZ85" s="623"/>
      <c r="FA85" s="623"/>
      <c r="FB85" s="623"/>
      <c r="FC85" s="623"/>
      <c r="FD85" s="623"/>
      <c r="FE85" s="623"/>
      <c r="FF85" s="623"/>
      <c r="FG85" s="623"/>
      <c r="FH85" s="623"/>
    </row>
    <row r="86" spans="1:164">
      <c r="A86" s="623" t="s">
        <v>5150</v>
      </c>
      <c r="B86" s="623"/>
      <c r="C86" s="623"/>
      <c r="D86" s="623"/>
      <c r="E86" s="623"/>
      <c r="F86" s="623"/>
      <c r="G86" s="623"/>
      <c r="H86" s="623"/>
      <c r="I86" s="623"/>
      <c r="J86" s="623"/>
      <c r="K86" s="623"/>
      <c r="L86" s="623"/>
      <c r="M86" s="623"/>
      <c r="N86" s="623"/>
      <c r="O86" s="623"/>
      <c r="P86" s="623"/>
      <c r="Q86" s="623"/>
      <c r="R86" s="623"/>
      <c r="S86" s="623"/>
      <c r="T86" s="623"/>
      <c r="U86" s="623"/>
      <c r="V86" s="623"/>
      <c r="W86" s="623"/>
      <c r="X86" s="623"/>
      <c r="Y86" s="623"/>
      <c r="Z86" s="623"/>
      <c r="AA86" s="623"/>
      <c r="AB86" s="623"/>
      <c r="AC86" s="623"/>
      <c r="AD86" s="623"/>
      <c r="AE86" s="623"/>
      <c r="AF86" s="623"/>
      <c r="AG86" s="623"/>
      <c r="AH86" s="623"/>
      <c r="AI86" s="623"/>
      <c r="AJ86" s="623"/>
      <c r="AK86" s="623"/>
      <c r="AL86" s="623"/>
      <c r="AM86" s="623"/>
      <c r="AN86" s="623"/>
      <c r="AO86" s="623"/>
      <c r="AP86" s="623"/>
      <c r="AQ86" s="623"/>
      <c r="AR86" s="623"/>
      <c r="AS86" s="623"/>
      <c r="AT86" s="623"/>
      <c r="AU86" s="623"/>
      <c r="AV86" s="623"/>
      <c r="AW86" s="623"/>
      <c r="AX86" s="623"/>
      <c r="AY86" s="623"/>
      <c r="AZ86" s="623"/>
      <c r="BA86" s="623"/>
      <c r="BB86" s="623"/>
      <c r="BC86" s="623"/>
      <c r="BD86" s="623"/>
      <c r="BE86" s="623"/>
      <c r="BF86" s="623"/>
      <c r="BG86" s="623"/>
      <c r="BH86" s="623"/>
      <c r="BI86" s="623"/>
      <c r="BJ86" s="623"/>
      <c r="BK86" s="623"/>
      <c r="BL86" s="623"/>
      <c r="BM86" s="623"/>
      <c r="BN86" s="623"/>
      <c r="BO86" s="623"/>
      <c r="BP86" s="623"/>
      <c r="BQ86" s="623"/>
      <c r="BR86" s="623"/>
      <c r="BS86" s="623"/>
      <c r="BT86" s="623"/>
      <c r="BU86" s="623"/>
      <c r="BV86" s="623"/>
      <c r="BW86" s="623"/>
      <c r="BX86" s="623"/>
      <c r="BY86" s="623"/>
      <c r="BZ86" s="623"/>
      <c r="CA86" s="623"/>
      <c r="CB86" s="623"/>
      <c r="CC86" s="623"/>
      <c r="CD86" s="623"/>
      <c r="CE86" s="623"/>
      <c r="CF86" s="623"/>
      <c r="CG86" s="623"/>
      <c r="CH86" s="623"/>
      <c r="CI86" s="623"/>
      <c r="CJ86" s="623"/>
      <c r="CK86" s="623"/>
      <c r="CL86" s="623"/>
      <c r="CM86" s="623"/>
      <c r="CN86" s="623"/>
      <c r="CO86" s="623"/>
      <c r="CP86" s="623"/>
      <c r="CQ86" s="623"/>
      <c r="CR86" s="623"/>
      <c r="CS86" s="623"/>
      <c r="CT86" s="623"/>
      <c r="CU86" s="623"/>
      <c r="CV86" s="623"/>
      <c r="CW86" s="623"/>
      <c r="CX86" s="623"/>
      <c r="CY86" s="623"/>
      <c r="CZ86" s="623"/>
      <c r="DA86" s="623"/>
      <c r="DB86" s="623"/>
      <c r="DC86" s="623"/>
      <c r="DD86" s="623"/>
      <c r="DE86" s="623"/>
      <c r="DF86" s="623"/>
      <c r="DG86" s="623"/>
      <c r="DH86" s="623"/>
      <c r="DI86" s="623"/>
      <c r="DJ86" s="623"/>
      <c r="DK86" s="623"/>
      <c r="DL86" s="623"/>
      <c r="DM86" s="623"/>
      <c r="DN86" s="623"/>
      <c r="DO86" s="623"/>
      <c r="DP86" s="623"/>
      <c r="DQ86" s="623"/>
      <c r="DR86" s="623"/>
      <c r="DS86" s="623"/>
      <c r="DT86" s="623"/>
      <c r="DU86" s="623"/>
      <c r="DV86" s="623"/>
      <c r="DW86" s="623"/>
      <c r="DX86" s="623"/>
      <c r="DY86" s="623"/>
      <c r="DZ86" s="623"/>
      <c r="EA86" s="623"/>
      <c r="EB86" s="623"/>
      <c r="EC86" s="623"/>
      <c r="ED86" s="623"/>
      <c r="EE86" s="623"/>
      <c r="EF86" s="623"/>
      <c r="EG86" s="623"/>
      <c r="EH86" s="623"/>
      <c r="EI86" s="623"/>
      <c r="EJ86" s="623"/>
      <c r="EK86" s="623"/>
      <c r="EL86" s="623"/>
      <c r="EM86" s="623"/>
      <c r="EN86" s="623"/>
      <c r="EO86" s="623"/>
      <c r="EP86" s="623"/>
      <c r="EQ86" s="623"/>
      <c r="ER86" s="623"/>
      <c r="ES86" s="623"/>
      <c r="ET86" s="623"/>
      <c r="EU86" s="623"/>
      <c r="EV86" s="623"/>
      <c r="EW86" s="623"/>
      <c r="EX86" s="623"/>
      <c r="EY86" s="623"/>
      <c r="EZ86" s="623"/>
      <c r="FA86" s="623"/>
      <c r="FB86" s="623"/>
      <c r="FC86" s="623"/>
      <c r="FD86" s="623"/>
      <c r="FE86" s="623"/>
      <c r="FF86" s="623"/>
      <c r="FG86" s="623"/>
      <c r="FH86" s="623"/>
    </row>
    <row r="87" spans="1:164">
      <c r="A87" s="623" t="s">
        <v>5151</v>
      </c>
      <c r="B87" s="623" t="s">
        <v>2415</v>
      </c>
      <c r="C87" s="623" t="s">
        <v>2416</v>
      </c>
      <c r="D87" s="623" t="s">
        <v>2417</v>
      </c>
      <c r="E87" s="623" t="s">
        <v>2418</v>
      </c>
      <c r="F87" s="623" t="s">
        <v>2419</v>
      </c>
      <c r="G87" s="623" t="s">
        <v>2420</v>
      </c>
      <c r="H87" s="623" t="s">
        <v>2421</v>
      </c>
      <c r="I87" s="623" t="s">
        <v>202</v>
      </c>
      <c r="J87" s="623"/>
      <c r="K87" s="623"/>
      <c r="L87" s="623"/>
      <c r="M87" s="623"/>
      <c r="N87" s="623"/>
      <c r="O87" s="623"/>
      <c r="P87" s="623"/>
      <c r="Q87" s="623"/>
      <c r="R87" s="623"/>
      <c r="S87" s="623"/>
      <c r="T87" s="623"/>
      <c r="U87" s="623"/>
      <c r="V87" s="623"/>
      <c r="W87" s="623"/>
      <c r="X87" s="623"/>
      <c r="Y87" s="623"/>
      <c r="Z87" s="623"/>
      <c r="AA87" s="623"/>
      <c r="AB87" s="623"/>
      <c r="AC87" s="623"/>
      <c r="AD87" s="623"/>
      <c r="AE87" s="623"/>
      <c r="AF87" s="623"/>
      <c r="AG87" s="623"/>
      <c r="AH87" s="623"/>
      <c r="AI87" s="623"/>
      <c r="AJ87" s="623"/>
      <c r="AK87" s="623"/>
      <c r="AL87" s="623"/>
      <c r="AM87" s="623"/>
      <c r="AN87" s="623"/>
      <c r="AO87" s="623"/>
      <c r="AP87" s="623"/>
      <c r="AQ87" s="623"/>
      <c r="AR87" s="623"/>
      <c r="AS87" s="623"/>
      <c r="AT87" s="623"/>
      <c r="AU87" s="623"/>
      <c r="AV87" s="623"/>
      <c r="AW87" s="623"/>
      <c r="AX87" s="623"/>
      <c r="AY87" s="623"/>
      <c r="AZ87" s="623"/>
      <c r="BA87" s="623"/>
      <c r="BB87" s="623"/>
      <c r="BC87" s="623"/>
      <c r="BD87" s="623"/>
      <c r="BE87" s="623"/>
      <c r="BF87" s="623"/>
      <c r="BG87" s="623"/>
      <c r="BH87" s="623"/>
      <c r="BI87" s="623"/>
      <c r="BJ87" s="623"/>
      <c r="BK87" s="623"/>
      <c r="BL87" s="623"/>
      <c r="BM87" s="623"/>
      <c r="BN87" s="623"/>
      <c r="BO87" s="623"/>
      <c r="BP87" s="623"/>
      <c r="BQ87" s="623"/>
      <c r="BR87" s="623"/>
      <c r="BS87" s="623"/>
      <c r="BT87" s="623"/>
      <c r="BU87" s="623"/>
      <c r="BV87" s="623"/>
      <c r="BW87" s="623"/>
      <c r="BX87" s="623"/>
      <c r="BY87" s="623"/>
      <c r="BZ87" s="623"/>
      <c r="CA87" s="623"/>
      <c r="CB87" s="623"/>
      <c r="CC87" s="623"/>
      <c r="CD87" s="623"/>
      <c r="CE87" s="623"/>
      <c r="CF87" s="623"/>
      <c r="CG87" s="623"/>
      <c r="CH87" s="623"/>
      <c r="CI87" s="623"/>
      <c r="CJ87" s="623"/>
      <c r="CK87" s="623"/>
      <c r="CL87" s="623"/>
      <c r="CM87" s="623"/>
      <c r="CN87" s="623"/>
      <c r="CO87" s="623"/>
      <c r="CP87" s="623"/>
      <c r="CQ87" s="623"/>
      <c r="CR87" s="623"/>
      <c r="CS87" s="623"/>
      <c r="CT87" s="623"/>
      <c r="CU87" s="623"/>
      <c r="CV87" s="623"/>
      <c r="CW87" s="623"/>
      <c r="CX87" s="623"/>
      <c r="CY87" s="623"/>
      <c r="CZ87" s="623"/>
      <c r="DA87" s="623"/>
      <c r="DB87" s="623"/>
      <c r="DC87" s="623"/>
      <c r="DD87" s="623"/>
      <c r="DE87" s="623"/>
      <c r="DF87" s="623"/>
      <c r="DG87" s="623"/>
      <c r="DH87" s="623"/>
      <c r="DI87" s="623"/>
      <c r="DJ87" s="623"/>
      <c r="DK87" s="623"/>
      <c r="DL87" s="623"/>
      <c r="DM87" s="623"/>
      <c r="DN87" s="623"/>
      <c r="DO87" s="623"/>
      <c r="DP87" s="623"/>
      <c r="DQ87" s="623"/>
      <c r="DR87" s="623"/>
      <c r="DS87" s="623"/>
      <c r="DT87" s="623"/>
      <c r="DU87" s="623"/>
      <c r="DV87" s="623"/>
      <c r="DW87" s="623"/>
      <c r="DX87" s="623"/>
      <c r="DY87" s="623"/>
      <c r="DZ87" s="623"/>
      <c r="EA87" s="623"/>
      <c r="EB87" s="623"/>
      <c r="EC87" s="623"/>
      <c r="ED87" s="623"/>
      <c r="EE87" s="623"/>
      <c r="EF87" s="623"/>
      <c r="EG87" s="623"/>
      <c r="EH87" s="623"/>
      <c r="EI87" s="623"/>
      <c r="EJ87" s="623"/>
      <c r="EK87" s="623"/>
      <c r="EL87" s="623"/>
      <c r="EM87" s="623"/>
      <c r="EN87" s="623"/>
      <c r="EO87" s="623"/>
      <c r="EP87" s="623"/>
      <c r="EQ87" s="623"/>
      <c r="ER87" s="623"/>
      <c r="ES87" s="623"/>
      <c r="ET87" s="623"/>
      <c r="EU87" s="623"/>
      <c r="EV87" s="623"/>
      <c r="EW87" s="623"/>
      <c r="EX87" s="623"/>
      <c r="EY87" s="623"/>
      <c r="EZ87" s="623"/>
      <c r="FA87" s="623"/>
      <c r="FB87" s="623"/>
      <c r="FC87" s="623"/>
      <c r="FD87" s="623"/>
      <c r="FE87" s="623"/>
      <c r="FF87" s="623"/>
      <c r="FG87" s="623"/>
      <c r="FH87" s="623"/>
    </row>
    <row r="88" spans="1:164">
      <c r="A88" s="623" t="s">
        <v>5152</v>
      </c>
      <c r="B88" s="623" t="s">
        <v>2422</v>
      </c>
      <c r="C88" s="623" t="s">
        <v>2423</v>
      </c>
      <c r="D88" s="623"/>
      <c r="E88" s="623"/>
      <c r="F88" s="623"/>
      <c r="G88" s="623"/>
      <c r="H88" s="623"/>
      <c r="I88" s="623"/>
      <c r="J88" s="623"/>
      <c r="K88" s="623"/>
      <c r="L88" s="623"/>
      <c r="M88" s="623"/>
      <c r="N88" s="623"/>
      <c r="O88" s="623"/>
      <c r="P88" s="623"/>
      <c r="Q88" s="623"/>
      <c r="R88" s="623"/>
      <c r="S88" s="623"/>
      <c r="T88" s="623"/>
      <c r="U88" s="623"/>
      <c r="V88" s="623"/>
      <c r="W88" s="623"/>
      <c r="X88" s="623"/>
      <c r="Y88" s="623"/>
      <c r="Z88" s="623"/>
      <c r="AA88" s="623"/>
      <c r="AB88" s="623"/>
      <c r="AC88" s="623"/>
      <c r="AD88" s="623"/>
      <c r="AE88" s="623"/>
      <c r="AF88" s="623"/>
      <c r="AG88" s="623"/>
      <c r="AH88" s="623"/>
      <c r="AI88" s="623"/>
      <c r="AJ88" s="623"/>
      <c r="AK88" s="623"/>
      <c r="AL88" s="623"/>
      <c r="AM88" s="623"/>
      <c r="AN88" s="623"/>
      <c r="AO88" s="623"/>
      <c r="AP88" s="623"/>
      <c r="AQ88" s="623"/>
      <c r="AR88" s="623"/>
      <c r="AS88" s="623"/>
      <c r="AT88" s="623"/>
      <c r="AU88" s="623"/>
      <c r="AV88" s="623"/>
      <c r="AW88" s="623"/>
      <c r="AX88" s="623"/>
      <c r="AY88" s="623"/>
      <c r="AZ88" s="623"/>
      <c r="BA88" s="623"/>
      <c r="BB88" s="623"/>
      <c r="BC88" s="623"/>
      <c r="BD88" s="623"/>
      <c r="BE88" s="623"/>
      <c r="BF88" s="623"/>
      <c r="BG88" s="623"/>
      <c r="BH88" s="623"/>
      <c r="BI88" s="623"/>
      <c r="BJ88" s="623"/>
      <c r="BK88" s="623"/>
      <c r="BL88" s="623"/>
      <c r="BM88" s="623"/>
      <c r="BN88" s="623"/>
      <c r="BO88" s="623"/>
      <c r="BP88" s="623"/>
      <c r="BQ88" s="623"/>
      <c r="BR88" s="623"/>
      <c r="BS88" s="623"/>
      <c r="BT88" s="623"/>
      <c r="BU88" s="623"/>
      <c r="BV88" s="623"/>
      <c r="BW88" s="623"/>
      <c r="BX88" s="623"/>
      <c r="BY88" s="623"/>
      <c r="BZ88" s="623"/>
      <c r="CA88" s="623"/>
      <c r="CB88" s="623"/>
      <c r="CC88" s="623"/>
      <c r="CD88" s="623"/>
      <c r="CE88" s="623"/>
      <c r="CF88" s="623"/>
      <c r="CG88" s="623"/>
      <c r="CH88" s="623"/>
      <c r="CI88" s="623"/>
      <c r="CJ88" s="623"/>
      <c r="CK88" s="623"/>
      <c r="CL88" s="623"/>
      <c r="CM88" s="623"/>
      <c r="CN88" s="623"/>
      <c r="CO88" s="623"/>
      <c r="CP88" s="623"/>
      <c r="CQ88" s="623"/>
      <c r="CR88" s="623"/>
      <c r="CS88" s="623"/>
      <c r="CT88" s="623"/>
      <c r="CU88" s="623"/>
      <c r="CV88" s="623"/>
      <c r="CW88" s="623"/>
      <c r="CX88" s="623"/>
      <c r="CY88" s="623"/>
      <c r="CZ88" s="623"/>
      <c r="DA88" s="623"/>
      <c r="DB88" s="623"/>
      <c r="DC88" s="623"/>
      <c r="DD88" s="623"/>
      <c r="DE88" s="623"/>
      <c r="DF88" s="623"/>
      <c r="DG88" s="623"/>
      <c r="DH88" s="623"/>
      <c r="DI88" s="623"/>
      <c r="DJ88" s="623"/>
      <c r="DK88" s="623"/>
      <c r="DL88" s="623"/>
      <c r="DM88" s="623"/>
      <c r="DN88" s="623"/>
      <c r="DO88" s="623"/>
      <c r="DP88" s="623"/>
      <c r="DQ88" s="623"/>
      <c r="DR88" s="623"/>
      <c r="DS88" s="623"/>
      <c r="DT88" s="623"/>
      <c r="DU88" s="623"/>
      <c r="DV88" s="623"/>
      <c r="DW88" s="623"/>
      <c r="DX88" s="623"/>
      <c r="DY88" s="623"/>
      <c r="DZ88" s="623"/>
      <c r="EA88" s="623"/>
      <c r="EB88" s="623"/>
      <c r="EC88" s="623"/>
      <c r="ED88" s="623"/>
      <c r="EE88" s="623"/>
      <c r="EF88" s="623"/>
      <c r="EG88" s="623"/>
      <c r="EH88" s="623"/>
      <c r="EI88" s="623"/>
      <c r="EJ88" s="623"/>
      <c r="EK88" s="623"/>
      <c r="EL88" s="623"/>
      <c r="EM88" s="623"/>
      <c r="EN88" s="623"/>
      <c r="EO88" s="623"/>
      <c r="EP88" s="623"/>
      <c r="EQ88" s="623"/>
      <c r="ER88" s="623"/>
      <c r="ES88" s="623"/>
      <c r="ET88" s="623"/>
      <c r="EU88" s="623"/>
      <c r="EV88" s="623"/>
      <c r="EW88" s="623"/>
      <c r="EX88" s="623"/>
      <c r="EY88" s="623"/>
      <c r="EZ88" s="623"/>
      <c r="FA88" s="623"/>
      <c r="FB88" s="623"/>
      <c r="FC88" s="623"/>
      <c r="FD88" s="623"/>
      <c r="FE88" s="623"/>
      <c r="FF88" s="623"/>
      <c r="FG88" s="623"/>
      <c r="FH88" s="623"/>
    </row>
    <row r="89" spans="1:164">
      <c r="A89" s="623" t="s">
        <v>5153</v>
      </c>
      <c r="B89" s="623" t="s">
        <v>4260</v>
      </c>
      <c r="C89" s="623" t="s">
        <v>4261</v>
      </c>
      <c r="D89" s="623" t="s">
        <v>4262</v>
      </c>
      <c r="E89" s="623"/>
      <c r="F89" s="623"/>
      <c r="G89" s="623"/>
      <c r="H89" s="623"/>
      <c r="I89" s="623"/>
      <c r="J89" s="623"/>
      <c r="K89" s="623"/>
      <c r="L89" s="623"/>
      <c r="M89" s="623"/>
      <c r="N89" s="623"/>
      <c r="O89" s="623"/>
      <c r="P89" s="623"/>
      <c r="Q89" s="623"/>
      <c r="R89" s="623"/>
      <c r="S89" s="623"/>
      <c r="T89" s="623"/>
      <c r="U89" s="623"/>
      <c r="V89" s="623"/>
      <c r="W89" s="623"/>
      <c r="X89" s="623"/>
      <c r="Y89" s="623"/>
      <c r="Z89" s="623"/>
      <c r="AA89" s="623"/>
      <c r="AB89" s="623"/>
      <c r="AC89" s="623"/>
      <c r="AD89" s="623"/>
      <c r="AE89" s="623"/>
      <c r="AF89" s="623"/>
      <c r="AG89" s="623"/>
      <c r="AH89" s="623"/>
      <c r="AI89" s="623"/>
      <c r="AJ89" s="623"/>
      <c r="AK89" s="623"/>
      <c r="AL89" s="623"/>
      <c r="AM89" s="623"/>
      <c r="AN89" s="623"/>
      <c r="AO89" s="623"/>
      <c r="AP89" s="623"/>
      <c r="AQ89" s="623"/>
      <c r="AR89" s="623"/>
      <c r="AS89" s="623"/>
      <c r="AT89" s="623"/>
      <c r="AU89" s="623"/>
      <c r="AV89" s="623"/>
      <c r="AW89" s="623"/>
      <c r="AX89" s="623"/>
      <c r="AY89" s="623"/>
      <c r="AZ89" s="623"/>
      <c r="BA89" s="623"/>
      <c r="BB89" s="623"/>
      <c r="BC89" s="623"/>
      <c r="BD89" s="623"/>
      <c r="BE89" s="623"/>
      <c r="BF89" s="623"/>
      <c r="BG89" s="623"/>
      <c r="BH89" s="623"/>
      <c r="BI89" s="623"/>
      <c r="BJ89" s="623"/>
      <c r="BK89" s="623"/>
      <c r="BL89" s="623"/>
      <c r="BM89" s="623"/>
      <c r="BN89" s="623"/>
      <c r="BO89" s="623"/>
      <c r="BP89" s="623"/>
      <c r="BQ89" s="623"/>
      <c r="BR89" s="623"/>
      <c r="BS89" s="623"/>
      <c r="BT89" s="623"/>
      <c r="BU89" s="623"/>
      <c r="BV89" s="623"/>
      <c r="BW89" s="623"/>
      <c r="BX89" s="623"/>
      <c r="BY89" s="623"/>
      <c r="BZ89" s="623"/>
      <c r="CA89" s="623"/>
      <c r="CB89" s="623"/>
      <c r="CC89" s="623"/>
      <c r="CD89" s="623"/>
      <c r="CE89" s="623"/>
      <c r="CF89" s="623"/>
      <c r="CG89" s="623"/>
      <c r="CH89" s="623"/>
      <c r="CI89" s="623"/>
      <c r="CJ89" s="623"/>
      <c r="CK89" s="623"/>
      <c r="CL89" s="623"/>
      <c r="CM89" s="623"/>
      <c r="CN89" s="623"/>
      <c r="CO89" s="623"/>
      <c r="CP89" s="623"/>
      <c r="CQ89" s="623"/>
      <c r="CR89" s="623"/>
      <c r="CS89" s="623"/>
      <c r="CT89" s="623"/>
      <c r="CU89" s="623"/>
      <c r="CV89" s="623"/>
      <c r="CW89" s="623"/>
      <c r="CX89" s="623"/>
      <c r="CY89" s="623"/>
      <c r="CZ89" s="623"/>
      <c r="DA89" s="623"/>
      <c r="DB89" s="623"/>
      <c r="DC89" s="623"/>
      <c r="DD89" s="623"/>
      <c r="DE89" s="623"/>
      <c r="DF89" s="623"/>
      <c r="DG89" s="623"/>
      <c r="DH89" s="623"/>
      <c r="DI89" s="623"/>
      <c r="DJ89" s="623"/>
      <c r="DK89" s="623"/>
      <c r="DL89" s="623"/>
      <c r="DM89" s="623"/>
      <c r="DN89" s="623"/>
      <c r="DO89" s="623"/>
      <c r="DP89" s="623"/>
      <c r="DQ89" s="623"/>
      <c r="DR89" s="623"/>
      <c r="DS89" s="623"/>
      <c r="DT89" s="623"/>
      <c r="DU89" s="623"/>
      <c r="DV89" s="623"/>
      <c r="DW89" s="623"/>
      <c r="DX89" s="623"/>
      <c r="DY89" s="623"/>
      <c r="DZ89" s="623"/>
      <c r="EA89" s="623"/>
      <c r="EB89" s="623"/>
      <c r="EC89" s="623"/>
      <c r="ED89" s="623"/>
      <c r="EE89" s="623"/>
      <c r="EF89" s="623"/>
      <c r="EG89" s="623"/>
      <c r="EH89" s="623"/>
      <c r="EI89" s="623"/>
      <c r="EJ89" s="623"/>
      <c r="EK89" s="623"/>
      <c r="EL89" s="623"/>
      <c r="EM89" s="623"/>
      <c r="EN89" s="623"/>
      <c r="EO89" s="623"/>
      <c r="EP89" s="623"/>
      <c r="EQ89" s="623"/>
      <c r="ER89" s="623"/>
      <c r="ES89" s="623"/>
      <c r="ET89" s="623"/>
      <c r="EU89" s="623"/>
      <c r="EV89" s="623"/>
      <c r="EW89" s="623"/>
      <c r="EX89" s="623"/>
      <c r="EY89" s="623"/>
      <c r="EZ89" s="623"/>
      <c r="FA89" s="623"/>
      <c r="FB89" s="623"/>
      <c r="FC89" s="623"/>
      <c r="FD89" s="623"/>
      <c r="FE89" s="623"/>
      <c r="FF89" s="623"/>
      <c r="FG89" s="623"/>
      <c r="FH89" s="623"/>
    </row>
    <row r="90" spans="1:164">
      <c r="A90" s="623" t="s">
        <v>5154</v>
      </c>
      <c r="B90" s="623" t="s">
        <v>6</v>
      </c>
      <c r="C90" s="623" t="s">
        <v>9</v>
      </c>
      <c r="D90" s="623"/>
      <c r="E90" s="623"/>
      <c r="F90" s="623"/>
      <c r="G90" s="623"/>
      <c r="H90" s="623"/>
      <c r="I90" s="623"/>
      <c r="J90" s="623"/>
      <c r="K90" s="623"/>
      <c r="L90" s="623"/>
      <c r="M90" s="623"/>
      <c r="N90" s="623"/>
      <c r="O90" s="623"/>
      <c r="P90" s="623"/>
      <c r="Q90" s="623"/>
      <c r="R90" s="623"/>
      <c r="S90" s="623"/>
      <c r="T90" s="623"/>
      <c r="U90" s="623"/>
      <c r="V90" s="623"/>
      <c r="W90" s="623"/>
      <c r="X90" s="623"/>
      <c r="Y90" s="623"/>
      <c r="Z90" s="623"/>
      <c r="AA90" s="623"/>
      <c r="AB90" s="623"/>
      <c r="AC90" s="623"/>
      <c r="AD90" s="623"/>
      <c r="AE90" s="623"/>
      <c r="AF90" s="623"/>
      <c r="AG90" s="623"/>
      <c r="AH90" s="623"/>
      <c r="AI90" s="623"/>
      <c r="AJ90" s="623"/>
      <c r="AK90" s="623"/>
      <c r="AL90" s="623"/>
      <c r="AM90" s="623"/>
      <c r="AN90" s="623"/>
      <c r="AO90" s="623"/>
      <c r="AP90" s="623"/>
      <c r="AQ90" s="623"/>
      <c r="AR90" s="623"/>
      <c r="AS90" s="623"/>
      <c r="AT90" s="623"/>
      <c r="AU90" s="623"/>
      <c r="AV90" s="623"/>
      <c r="AW90" s="623"/>
      <c r="AX90" s="623"/>
      <c r="AY90" s="623"/>
      <c r="AZ90" s="623"/>
      <c r="BA90" s="623"/>
      <c r="BB90" s="623"/>
      <c r="BC90" s="623"/>
      <c r="BD90" s="623"/>
      <c r="BE90" s="623"/>
      <c r="BF90" s="623"/>
      <c r="BG90" s="623"/>
      <c r="BH90" s="623"/>
      <c r="BI90" s="623"/>
      <c r="BJ90" s="623"/>
      <c r="BK90" s="623"/>
      <c r="BL90" s="623"/>
      <c r="BM90" s="623"/>
      <c r="BN90" s="623"/>
      <c r="BO90" s="623"/>
      <c r="BP90" s="623"/>
      <c r="BQ90" s="623"/>
      <c r="BR90" s="623"/>
      <c r="BS90" s="623"/>
      <c r="BT90" s="623"/>
      <c r="BU90" s="623"/>
      <c r="BV90" s="623"/>
      <c r="BW90" s="623"/>
      <c r="BX90" s="623"/>
      <c r="BY90" s="623"/>
      <c r="BZ90" s="623"/>
      <c r="CA90" s="623"/>
      <c r="CB90" s="623"/>
      <c r="CC90" s="623"/>
      <c r="CD90" s="623"/>
      <c r="CE90" s="623"/>
      <c r="CF90" s="623"/>
      <c r="CG90" s="623"/>
      <c r="CH90" s="623"/>
      <c r="CI90" s="623"/>
      <c r="CJ90" s="623"/>
      <c r="CK90" s="623"/>
      <c r="CL90" s="623"/>
      <c r="CM90" s="623"/>
      <c r="CN90" s="623"/>
      <c r="CO90" s="623"/>
      <c r="CP90" s="623"/>
      <c r="CQ90" s="623"/>
      <c r="CR90" s="623"/>
      <c r="CS90" s="623"/>
      <c r="CT90" s="623"/>
      <c r="CU90" s="623"/>
      <c r="CV90" s="623"/>
      <c r="CW90" s="623"/>
      <c r="CX90" s="623"/>
      <c r="CY90" s="623"/>
      <c r="CZ90" s="623"/>
      <c r="DA90" s="623"/>
      <c r="DB90" s="623"/>
      <c r="DC90" s="623"/>
      <c r="DD90" s="623"/>
      <c r="DE90" s="623"/>
      <c r="DF90" s="623"/>
      <c r="DG90" s="623"/>
      <c r="DH90" s="623"/>
      <c r="DI90" s="623"/>
      <c r="DJ90" s="623"/>
      <c r="DK90" s="623"/>
      <c r="DL90" s="623"/>
      <c r="DM90" s="623"/>
      <c r="DN90" s="623"/>
      <c r="DO90" s="623"/>
      <c r="DP90" s="623"/>
      <c r="DQ90" s="623"/>
      <c r="DR90" s="623"/>
      <c r="DS90" s="623"/>
      <c r="DT90" s="623"/>
      <c r="DU90" s="623"/>
      <c r="DV90" s="623"/>
      <c r="DW90" s="623"/>
      <c r="DX90" s="623"/>
      <c r="DY90" s="623"/>
      <c r="DZ90" s="623"/>
      <c r="EA90" s="623"/>
      <c r="EB90" s="623"/>
      <c r="EC90" s="623"/>
      <c r="ED90" s="623"/>
      <c r="EE90" s="623"/>
      <c r="EF90" s="623"/>
      <c r="EG90" s="623"/>
      <c r="EH90" s="623"/>
      <c r="EI90" s="623"/>
      <c r="EJ90" s="623"/>
      <c r="EK90" s="623"/>
      <c r="EL90" s="623"/>
      <c r="EM90" s="623"/>
      <c r="EN90" s="623"/>
      <c r="EO90" s="623"/>
      <c r="EP90" s="623"/>
      <c r="EQ90" s="623"/>
      <c r="ER90" s="623"/>
      <c r="ES90" s="623"/>
      <c r="ET90" s="623"/>
      <c r="EU90" s="623"/>
      <c r="EV90" s="623"/>
      <c r="EW90" s="623"/>
      <c r="EX90" s="623"/>
      <c r="EY90" s="623"/>
      <c r="EZ90" s="623"/>
      <c r="FA90" s="623"/>
      <c r="FB90" s="623"/>
      <c r="FC90" s="623"/>
      <c r="FD90" s="623"/>
      <c r="FE90" s="623"/>
      <c r="FF90" s="623"/>
      <c r="FG90" s="623"/>
      <c r="FH90" s="623"/>
    </row>
    <row r="91" spans="1:164">
      <c r="A91" s="623" t="s">
        <v>5155</v>
      </c>
      <c r="B91" s="623" t="s">
        <v>4311</v>
      </c>
      <c r="C91" s="623" t="s">
        <v>4312</v>
      </c>
      <c r="D91" s="623" t="s">
        <v>4313</v>
      </c>
      <c r="E91" s="623" t="s">
        <v>4314</v>
      </c>
      <c r="F91" s="623"/>
      <c r="G91" s="623"/>
      <c r="H91" s="623"/>
      <c r="I91" s="623"/>
      <c r="J91" s="623"/>
      <c r="K91" s="623"/>
      <c r="L91" s="623"/>
      <c r="M91" s="623"/>
      <c r="N91" s="623"/>
      <c r="O91" s="623"/>
      <c r="P91" s="623"/>
      <c r="Q91" s="623"/>
      <c r="R91" s="623"/>
      <c r="S91" s="623"/>
      <c r="T91" s="623"/>
      <c r="U91" s="623"/>
      <c r="V91" s="623"/>
      <c r="W91" s="623"/>
      <c r="X91" s="623"/>
      <c r="Y91" s="623"/>
      <c r="Z91" s="623"/>
      <c r="AA91" s="623"/>
      <c r="AB91" s="623"/>
      <c r="AC91" s="623"/>
      <c r="AD91" s="623"/>
      <c r="AE91" s="623"/>
      <c r="AF91" s="623"/>
      <c r="AG91" s="623"/>
      <c r="AH91" s="623"/>
      <c r="AI91" s="623"/>
      <c r="AJ91" s="623"/>
      <c r="AK91" s="623"/>
      <c r="AL91" s="623"/>
      <c r="AM91" s="623"/>
      <c r="AN91" s="623"/>
      <c r="AO91" s="623"/>
      <c r="AP91" s="623"/>
      <c r="AQ91" s="623"/>
      <c r="AR91" s="623"/>
      <c r="AS91" s="623"/>
      <c r="AT91" s="623"/>
      <c r="AU91" s="623"/>
      <c r="AV91" s="623"/>
      <c r="AW91" s="623"/>
      <c r="AX91" s="623"/>
      <c r="AY91" s="623"/>
      <c r="AZ91" s="623"/>
      <c r="BA91" s="623"/>
      <c r="BB91" s="623"/>
      <c r="BC91" s="623"/>
      <c r="BD91" s="623"/>
      <c r="BE91" s="623"/>
      <c r="BF91" s="623"/>
      <c r="BG91" s="623"/>
      <c r="BH91" s="623"/>
      <c r="BI91" s="623"/>
      <c r="BJ91" s="623"/>
      <c r="BK91" s="623"/>
      <c r="BL91" s="623"/>
      <c r="BM91" s="623"/>
      <c r="BN91" s="623"/>
      <c r="BO91" s="623"/>
      <c r="BP91" s="623"/>
      <c r="BQ91" s="623"/>
      <c r="BR91" s="623"/>
      <c r="BS91" s="623"/>
      <c r="BT91" s="623"/>
      <c r="BU91" s="623"/>
      <c r="BV91" s="623"/>
      <c r="BW91" s="623"/>
      <c r="BX91" s="623"/>
      <c r="BY91" s="623"/>
      <c r="BZ91" s="623"/>
      <c r="CA91" s="623"/>
      <c r="CB91" s="623"/>
      <c r="CC91" s="623"/>
      <c r="CD91" s="623"/>
      <c r="CE91" s="623"/>
      <c r="CF91" s="623"/>
      <c r="CG91" s="623"/>
      <c r="CH91" s="623"/>
      <c r="CI91" s="623"/>
      <c r="CJ91" s="623"/>
      <c r="CK91" s="623"/>
      <c r="CL91" s="623"/>
      <c r="CM91" s="623"/>
      <c r="CN91" s="623"/>
      <c r="CO91" s="623"/>
      <c r="CP91" s="623"/>
      <c r="CQ91" s="623"/>
      <c r="CR91" s="623"/>
      <c r="CS91" s="623"/>
      <c r="CT91" s="623"/>
      <c r="CU91" s="623"/>
      <c r="CV91" s="623"/>
      <c r="CW91" s="623"/>
      <c r="CX91" s="623"/>
      <c r="CY91" s="623"/>
      <c r="CZ91" s="623"/>
      <c r="DA91" s="623"/>
      <c r="DB91" s="623"/>
      <c r="DC91" s="623"/>
      <c r="DD91" s="623"/>
      <c r="DE91" s="623"/>
      <c r="DF91" s="623"/>
      <c r="DG91" s="623"/>
      <c r="DH91" s="623"/>
      <c r="DI91" s="623"/>
      <c r="DJ91" s="623"/>
      <c r="DK91" s="623"/>
      <c r="DL91" s="623"/>
      <c r="DM91" s="623"/>
      <c r="DN91" s="623"/>
      <c r="DO91" s="623"/>
      <c r="DP91" s="623"/>
      <c r="DQ91" s="623"/>
      <c r="DR91" s="623"/>
      <c r="DS91" s="623"/>
      <c r="DT91" s="623"/>
      <c r="DU91" s="623"/>
      <c r="DV91" s="623"/>
      <c r="DW91" s="623"/>
      <c r="DX91" s="623"/>
      <c r="DY91" s="623"/>
      <c r="DZ91" s="623"/>
      <c r="EA91" s="623"/>
      <c r="EB91" s="623"/>
      <c r="EC91" s="623"/>
      <c r="ED91" s="623"/>
      <c r="EE91" s="623"/>
      <c r="EF91" s="623"/>
      <c r="EG91" s="623"/>
      <c r="EH91" s="623"/>
      <c r="EI91" s="623"/>
      <c r="EJ91" s="623"/>
      <c r="EK91" s="623"/>
      <c r="EL91" s="623"/>
      <c r="EM91" s="623"/>
      <c r="EN91" s="623"/>
      <c r="EO91" s="623"/>
      <c r="EP91" s="623"/>
      <c r="EQ91" s="623"/>
      <c r="ER91" s="623"/>
      <c r="ES91" s="623"/>
      <c r="ET91" s="623"/>
      <c r="EU91" s="623"/>
      <c r="EV91" s="623"/>
      <c r="EW91" s="623"/>
      <c r="EX91" s="623"/>
      <c r="EY91" s="623"/>
      <c r="EZ91" s="623"/>
      <c r="FA91" s="623"/>
      <c r="FB91" s="623"/>
      <c r="FC91" s="623"/>
      <c r="FD91" s="623"/>
      <c r="FE91" s="623"/>
      <c r="FF91" s="623"/>
      <c r="FG91" s="623"/>
      <c r="FH91" s="623"/>
    </row>
    <row r="92" spans="1:164">
      <c r="A92" s="623" t="s">
        <v>5156</v>
      </c>
      <c r="B92" s="623" t="s">
        <v>0</v>
      </c>
      <c r="C92" s="623" t="s">
        <v>5</v>
      </c>
      <c r="D92" s="623" t="s">
        <v>3</v>
      </c>
      <c r="E92" s="623" t="s">
        <v>452</v>
      </c>
      <c r="F92" s="623" t="s">
        <v>4338</v>
      </c>
      <c r="G92" s="623" t="s">
        <v>88</v>
      </c>
      <c r="H92" s="623" t="s">
        <v>10</v>
      </c>
      <c r="I92" s="623" t="s">
        <v>78</v>
      </c>
      <c r="J92" s="623" t="s">
        <v>77</v>
      </c>
      <c r="K92" s="623" t="s">
        <v>946</v>
      </c>
      <c r="L92" s="623" t="s">
        <v>948</v>
      </c>
      <c r="M92" s="623" t="s">
        <v>79</v>
      </c>
      <c r="N92" s="623" t="s">
        <v>12</v>
      </c>
      <c r="O92" s="623" t="s">
        <v>14</v>
      </c>
      <c r="P92" s="623" t="s">
        <v>16</v>
      </c>
      <c r="Q92" s="623" t="s">
        <v>11</v>
      </c>
      <c r="R92" s="623" t="s">
        <v>20</v>
      </c>
      <c r="S92" s="623" t="s">
        <v>776</v>
      </c>
      <c r="T92" s="623" t="s">
        <v>19</v>
      </c>
      <c r="U92" s="623" t="s">
        <v>44</v>
      </c>
      <c r="V92" s="623" t="s">
        <v>778</v>
      </c>
      <c r="W92" s="623" t="s">
        <v>89</v>
      </c>
      <c r="X92" s="623" t="s">
        <v>455</v>
      </c>
      <c r="Y92" s="623" t="s">
        <v>4339</v>
      </c>
      <c r="Z92" s="623" t="s">
        <v>1005</v>
      </c>
      <c r="AA92" s="623" t="s">
        <v>90</v>
      </c>
      <c r="AB92" s="623" t="s">
        <v>1024</v>
      </c>
      <c r="AC92" s="623" t="s">
        <v>1027</v>
      </c>
      <c r="AD92" s="623" t="s">
        <v>783</v>
      </c>
      <c r="AE92" s="623" t="s">
        <v>784</v>
      </c>
      <c r="AF92" s="623" t="s">
        <v>80</v>
      </c>
      <c r="AG92" s="623"/>
      <c r="AH92" s="623"/>
      <c r="AI92" s="623"/>
      <c r="AJ92" s="623"/>
      <c r="AK92" s="623"/>
      <c r="AL92" s="623"/>
      <c r="AM92" s="623"/>
      <c r="AN92" s="623"/>
      <c r="AO92" s="623"/>
      <c r="AP92" s="623"/>
      <c r="AQ92" s="623"/>
      <c r="AR92" s="623"/>
      <c r="AS92" s="623"/>
      <c r="AT92" s="623"/>
      <c r="AU92" s="623"/>
      <c r="AV92" s="623"/>
      <c r="AW92" s="623"/>
      <c r="AX92" s="623"/>
      <c r="AY92" s="623"/>
      <c r="AZ92" s="623"/>
      <c r="BA92" s="623"/>
      <c r="BB92" s="623"/>
      <c r="BC92" s="623"/>
      <c r="BD92" s="623"/>
      <c r="BE92" s="623"/>
      <c r="BF92" s="623"/>
      <c r="BG92" s="623"/>
      <c r="BH92" s="623"/>
      <c r="BI92" s="623"/>
      <c r="BJ92" s="623"/>
      <c r="BK92" s="623"/>
      <c r="BL92" s="623"/>
      <c r="BM92" s="623"/>
      <c r="BN92" s="623"/>
      <c r="BO92" s="623"/>
      <c r="BP92" s="623"/>
      <c r="BQ92" s="623"/>
      <c r="BR92" s="623"/>
      <c r="BS92" s="623"/>
      <c r="BT92" s="623"/>
      <c r="BU92" s="623"/>
      <c r="BV92" s="623"/>
      <c r="BW92" s="623"/>
      <c r="BX92" s="623"/>
      <c r="BY92" s="623"/>
      <c r="BZ92" s="623"/>
      <c r="CA92" s="623"/>
      <c r="CB92" s="623"/>
      <c r="CC92" s="623"/>
      <c r="CD92" s="623"/>
      <c r="CE92" s="623"/>
      <c r="CF92" s="623"/>
      <c r="CG92" s="623"/>
      <c r="CH92" s="623"/>
      <c r="CI92" s="623"/>
      <c r="CJ92" s="623"/>
      <c r="CK92" s="623"/>
      <c r="CL92" s="623"/>
      <c r="CM92" s="623"/>
      <c r="CN92" s="623"/>
      <c r="CO92" s="623"/>
      <c r="CP92" s="623"/>
      <c r="CQ92" s="623"/>
      <c r="CR92" s="623"/>
      <c r="CS92" s="623"/>
      <c r="CT92" s="623"/>
      <c r="CU92" s="623"/>
      <c r="CV92" s="623"/>
      <c r="CW92" s="623"/>
      <c r="CX92" s="623"/>
      <c r="CY92" s="623"/>
      <c r="CZ92" s="623"/>
      <c r="DA92" s="623"/>
      <c r="DB92" s="623"/>
      <c r="DC92" s="623"/>
      <c r="DD92" s="623"/>
      <c r="DE92" s="623"/>
      <c r="DF92" s="623"/>
      <c r="DG92" s="623"/>
      <c r="DH92" s="623"/>
      <c r="DI92" s="623"/>
      <c r="DJ92" s="623"/>
      <c r="DK92" s="623"/>
      <c r="DL92" s="623"/>
      <c r="DM92" s="623"/>
      <c r="DN92" s="623"/>
      <c r="DO92" s="623"/>
      <c r="DP92" s="623"/>
      <c r="DQ92" s="623"/>
      <c r="DR92" s="623"/>
      <c r="DS92" s="623"/>
      <c r="DT92" s="623"/>
      <c r="DU92" s="623"/>
      <c r="DV92" s="623"/>
      <c r="DW92" s="623"/>
      <c r="DX92" s="623"/>
      <c r="DY92" s="623"/>
      <c r="DZ92" s="623"/>
      <c r="EA92" s="623"/>
      <c r="EB92" s="623"/>
      <c r="EC92" s="623"/>
      <c r="ED92" s="623"/>
      <c r="EE92" s="623"/>
      <c r="EF92" s="623"/>
      <c r="EG92" s="623"/>
      <c r="EH92" s="623"/>
      <c r="EI92" s="623"/>
      <c r="EJ92" s="623"/>
      <c r="EK92" s="623"/>
      <c r="EL92" s="623"/>
      <c r="EM92" s="623"/>
      <c r="EN92" s="623"/>
      <c r="EO92" s="623"/>
      <c r="EP92" s="623"/>
      <c r="EQ92" s="623"/>
      <c r="ER92" s="623"/>
      <c r="ES92" s="623"/>
      <c r="ET92" s="623"/>
      <c r="EU92" s="623"/>
      <c r="EV92" s="623"/>
      <c r="EW92" s="623"/>
      <c r="EX92" s="623"/>
      <c r="EY92" s="623"/>
      <c r="EZ92" s="623"/>
      <c r="FA92" s="623"/>
      <c r="FB92" s="623"/>
      <c r="FC92" s="623"/>
      <c r="FD92" s="623"/>
      <c r="FE92" s="623"/>
      <c r="FF92" s="623"/>
      <c r="FG92" s="623"/>
      <c r="FH92" s="623"/>
    </row>
    <row r="93" spans="1:164">
      <c r="A93" s="623" t="s">
        <v>5157</v>
      </c>
      <c r="B93" s="623" t="s">
        <v>397</v>
      </c>
      <c r="C93" s="623" t="s">
        <v>398</v>
      </c>
      <c r="D93" s="623" t="s">
        <v>399</v>
      </c>
      <c r="E93" s="623"/>
      <c r="F93" s="623"/>
      <c r="G93" s="623"/>
      <c r="H93" s="623"/>
      <c r="I93" s="623"/>
      <c r="J93" s="623"/>
      <c r="K93" s="623"/>
      <c r="L93" s="623"/>
      <c r="M93" s="623"/>
      <c r="N93" s="623"/>
      <c r="O93" s="623"/>
      <c r="P93" s="623"/>
      <c r="Q93" s="623"/>
      <c r="R93" s="623"/>
      <c r="S93" s="623"/>
      <c r="T93" s="623"/>
      <c r="U93" s="623"/>
      <c r="V93" s="623"/>
      <c r="W93" s="623"/>
      <c r="X93" s="623"/>
      <c r="Y93" s="623"/>
      <c r="Z93" s="623"/>
      <c r="AA93" s="623"/>
      <c r="AB93" s="623"/>
      <c r="AC93" s="623"/>
      <c r="AD93" s="623"/>
      <c r="AE93" s="623"/>
      <c r="AF93" s="623"/>
      <c r="AG93" s="623"/>
      <c r="AH93" s="623"/>
      <c r="AI93" s="623"/>
      <c r="AJ93" s="623"/>
      <c r="AK93" s="623"/>
      <c r="AL93" s="623"/>
      <c r="AM93" s="623"/>
      <c r="AN93" s="623"/>
      <c r="AO93" s="623"/>
      <c r="AP93" s="623"/>
      <c r="AQ93" s="623"/>
      <c r="AR93" s="623"/>
      <c r="AS93" s="623"/>
      <c r="AT93" s="623"/>
      <c r="AU93" s="623"/>
      <c r="AV93" s="623"/>
      <c r="AW93" s="623"/>
      <c r="AX93" s="623"/>
      <c r="AY93" s="623"/>
      <c r="AZ93" s="623"/>
      <c r="BA93" s="623"/>
      <c r="BB93" s="623"/>
      <c r="BC93" s="623"/>
      <c r="BD93" s="623"/>
      <c r="BE93" s="623"/>
      <c r="BF93" s="623"/>
      <c r="BG93" s="623"/>
      <c r="BH93" s="623"/>
      <c r="BI93" s="623"/>
      <c r="BJ93" s="623"/>
      <c r="BK93" s="623"/>
      <c r="BL93" s="623"/>
      <c r="BM93" s="623"/>
      <c r="BN93" s="623"/>
      <c r="BO93" s="623"/>
      <c r="BP93" s="623"/>
      <c r="BQ93" s="623"/>
      <c r="BR93" s="623"/>
      <c r="BS93" s="623"/>
      <c r="BT93" s="623"/>
      <c r="BU93" s="623"/>
      <c r="BV93" s="623"/>
      <c r="BW93" s="623"/>
      <c r="BX93" s="623"/>
      <c r="BY93" s="623"/>
      <c r="BZ93" s="623"/>
      <c r="CA93" s="623"/>
      <c r="CB93" s="623"/>
      <c r="CC93" s="623"/>
      <c r="CD93" s="623"/>
      <c r="CE93" s="623"/>
      <c r="CF93" s="623"/>
      <c r="CG93" s="623"/>
      <c r="CH93" s="623"/>
      <c r="CI93" s="623"/>
      <c r="CJ93" s="623"/>
      <c r="CK93" s="623"/>
      <c r="CL93" s="623"/>
      <c r="CM93" s="623"/>
      <c r="CN93" s="623"/>
      <c r="CO93" s="623"/>
      <c r="CP93" s="623"/>
      <c r="CQ93" s="623"/>
      <c r="CR93" s="623"/>
      <c r="CS93" s="623"/>
      <c r="CT93" s="623"/>
      <c r="CU93" s="623"/>
      <c r="CV93" s="623"/>
      <c r="CW93" s="623"/>
      <c r="CX93" s="623"/>
      <c r="CY93" s="623"/>
      <c r="CZ93" s="623"/>
      <c r="DA93" s="623"/>
      <c r="DB93" s="623"/>
      <c r="DC93" s="623"/>
      <c r="DD93" s="623"/>
      <c r="DE93" s="623"/>
      <c r="DF93" s="623"/>
      <c r="DG93" s="623"/>
      <c r="DH93" s="623"/>
      <c r="DI93" s="623"/>
      <c r="DJ93" s="623"/>
      <c r="DK93" s="623"/>
      <c r="DL93" s="623"/>
      <c r="DM93" s="623"/>
      <c r="DN93" s="623"/>
      <c r="DO93" s="623"/>
      <c r="DP93" s="623"/>
      <c r="DQ93" s="623"/>
      <c r="DR93" s="623"/>
      <c r="DS93" s="623"/>
      <c r="DT93" s="623"/>
      <c r="DU93" s="623"/>
      <c r="DV93" s="623"/>
      <c r="DW93" s="623"/>
      <c r="DX93" s="623"/>
      <c r="DY93" s="623"/>
      <c r="DZ93" s="623"/>
      <c r="EA93" s="623"/>
      <c r="EB93" s="623"/>
      <c r="EC93" s="623"/>
      <c r="ED93" s="623"/>
      <c r="EE93" s="623"/>
      <c r="EF93" s="623"/>
      <c r="EG93" s="623"/>
      <c r="EH93" s="623"/>
      <c r="EI93" s="623"/>
      <c r="EJ93" s="623"/>
      <c r="EK93" s="623"/>
      <c r="EL93" s="623"/>
      <c r="EM93" s="623"/>
      <c r="EN93" s="623"/>
      <c r="EO93" s="623"/>
      <c r="EP93" s="623"/>
      <c r="EQ93" s="623"/>
      <c r="ER93" s="623"/>
      <c r="ES93" s="623"/>
      <c r="ET93" s="623"/>
      <c r="EU93" s="623"/>
      <c r="EV93" s="623"/>
      <c r="EW93" s="623"/>
      <c r="EX93" s="623"/>
      <c r="EY93" s="623"/>
      <c r="EZ93" s="623"/>
      <c r="FA93" s="623"/>
      <c r="FB93" s="623"/>
      <c r="FC93" s="623"/>
      <c r="FD93" s="623"/>
      <c r="FE93" s="623"/>
      <c r="FF93" s="623"/>
      <c r="FG93" s="623"/>
      <c r="FH93" s="623"/>
    </row>
    <row r="94" spans="1:164">
      <c r="A94" s="623" t="s">
        <v>5158</v>
      </c>
      <c r="B94" s="623" t="s">
        <v>326</v>
      </c>
      <c r="C94" s="623" t="s">
        <v>327</v>
      </c>
      <c r="D94" s="623" t="s">
        <v>328</v>
      </c>
      <c r="E94" s="623"/>
      <c r="F94" s="623"/>
      <c r="G94" s="623"/>
      <c r="H94" s="623"/>
      <c r="I94" s="623"/>
      <c r="J94" s="623"/>
      <c r="K94" s="623"/>
      <c r="L94" s="623"/>
      <c r="M94" s="623"/>
      <c r="N94" s="623"/>
      <c r="O94" s="623"/>
      <c r="P94" s="623"/>
      <c r="Q94" s="623"/>
      <c r="R94" s="623"/>
      <c r="S94" s="623"/>
      <c r="T94" s="623"/>
      <c r="U94" s="623"/>
      <c r="V94" s="623"/>
      <c r="W94" s="623"/>
      <c r="X94" s="623"/>
      <c r="Y94" s="623"/>
      <c r="Z94" s="623"/>
      <c r="AA94" s="623"/>
      <c r="AB94" s="623"/>
      <c r="AC94" s="623"/>
      <c r="AD94" s="623"/>
      <c r="AE94" s="623"/>
      <c r="AF94" s="623"/>
      <c r="AG94" s="623"/>
      <c r="AH94" s="623"/>
      <c r="AI94" s="623"/>
      <c r="AJ94" s="623"/>
      <c r="AK94" s="623"/>
      <c r="AL94" s="623"/>
      <c r="AM94" s="623"/>
      <c r="AN94" s="623"/>
      <c r="AO94" s="623"/>
      <c r="AP94" s="623"/>
      <c r="AQ94" s="623"/>
      <c r="AR94" s="623"/>
      <c r="AS94" s="623"/>
      <c r="AT94" s="623"/>
      <c r="AU94" s="623"/>
      <c r="AV94" s="623"/>
      <c r="AW94" s="623"/>
      <c r="AX94" s="623"/>
      <c r="AY94" s="623"/>
      <c r="AZ94" s="623"/>
      <c r="BA94" s="623"/>
      <c r="BB94" s="623"/>
      <c r="BC94" s="623"/>
      <c r="BD94" s="623"/>
      <c r="BE94" s="623"/>
      <c r="BF94" s="623"/>
      <c r="BG94" s="623"/>
      <c r="BH94" s="623"/>
      <c r="BI94" s="623"/>
      <c r="BJ94" s="623"/>
      <c r="BK94" s="623"/>
      <c r="BL94" s="623"/>
      <c r="BM94" s="623"/>
      <c r="BN94" s="623"/>
      <c r="BO94" s="623"/>
      <c r="BP94" s="623"/>
      <c r="BQ94" s="623"/>
      <c r="BR94" s="623"/>
      <c r="BS94" s="623"/>
      <c r="BT94" s="623"/>
      <c r="BU94" s="623"/>
      <c r="BV94" s="623"/>
      <c r="BW94" s="623"/>
      <c r="BX94" s="623"/>
      <c r="BY94" s="623"/>
      <c r="BZ94" s="623"/>
      <c r="CA94" s="623"/>
      <c r="CB94" s="623"/>
      <c r="CC94" s="623"/>
      <c r="CD94" s="623"/>
      <c r="CE94" s="623"/>
      <c r="CF94" s="623"/>
      <c r="CG94" s="623"/>
      <c r="CH94" s="623"/>
      <c r="CI94" s="623"/>
      <c r="CJ94" s="623"/>
      <c r="CK94" s="623"/>
      <c r="CL94" s="623"/>
      <c r="CM94" s="623"/>
      <c r="CN94" s="623"/>
      <c r="CO94" s="623"/>
      <c r="CP94" s="623"/>
      <c r="CQ94" s="623"/>
      <c r="CR94" s="623"/>
      <c r="CS94" s="623"/>
      <c r="CT94" s="623"/>
      <c r="CU94" s="623"/>
      <c r="CV94" s="623"/>
      <c r="CW94" s="623"/>
      <c r="CX94" s="623"/>
      <c r="CY94" s="623"/>
      <c r="CZ94" s="623"/>
      <c r="DA94" s="623"/>
      <c r="DB94" s="623"/>
      <c r="DC94" s="623"/>
      <c r="DD94" s="623"/>
      <c r="DE94" s="623"/>
      <c r="DF94" s="623"/>
      <c r="DG94" s="623"/>
      <c r="DH94" s="623"/>
      <c r="DI94" s="623"/>
      <c r="DJ94" s="623"/>
      <c r="DK94" s="623"/>
      <c r="DL94" s="623"/>
      <c r="DM94" s="623"/>
      <c r="DN94" s="623"/>
      <c r="DO94" s="623"/>
      <c r="DP94" s="623"/>
      <c r="DQ94" s="623"/>
      <c r="DR94" s="623"/>
      <c r="DS94" s="623"/>
      <c r="DT94" s="623"/>
      <c r="DU94" s="623"/>
      <c r="DV94" s="623"/>
      <c r="DW94" s="623"/>
      <c r="DX94" s="623"/>
      <c r="DY94" s="623"/>
      <c r="DZ94" s="623"/>
      <c r="EA94" s="623"/>
      <c r="EB94" s="623"/>
      <c r="EC94" s="623"/>
      <c r="ED94" s="623"/>
      <c r="EE94" s="623"/>
      <c r="EF94" s="623"/>
      <c r="EG94" s="623"/>
      <c r="EH94" s="623"/>
      <c r="EI94" s="623"/>
      <c r="EJ94" s="623"/>
      <c r="EK94" s="623"/>
      <c r="EL94" s="623"/>
      <c r="EM94" s="623"/>
      <c r="EN94" s="623"/>
      <c r="EO94" s="623"/>
      <c r="EP94" s="623"/>
      <c r="EQ94" s="623"/>
      <c r="ER94" s="623"/>
      <c r="ES94" s="623"/>
      <c r="ET94" s="623"/>
      <c r="EU94" s="623"/>
      <c r="EV94" s="623"/>
      <c r="EW94" s="623"/>
      <c r="EX94" s="623"/>
      <c r="EY94" s="623"/>
      <c r="EZ94" s="623"/>
      <c r="FA94" s="623"/>
      <c r="FB94" s="623"/>
      <c r="FC94" s="623"/>
      <c r="FD94" s="623"/>
      <c r="FE94" s="623"/>
      <c r="FF94" s="623"/>
      <c r="FG94" s="623"/>
      <c r="FH94" s="623"/>
    </row>
    <row r="95" spans="1:164">
      <c r="A95" s="623" t="s">
        <v>4191</v>
      </c>
      <c r="B95" s="623" t="s">
        <v>4398</v>
      </c>
      <c r="C95" s="623" t="s">
        <v>5159</v>
      </c>
      <c r="D95" s="623" t="s">
        <v>4399</v>
      </c>
      <c r="E95" s="623" t="s">
        <v>202</v>
      </c>
      <c r="F95" s="623"/>
      <c r="G95" s="623"/>
      <c r="H95" s="623"/>
      <c r="I95" s="623"/>
      <c r="J95" s="623"/>
      <c r="K95" s="623"/>
      <c r="L95" s="623"/>
      <c r="M95" s="623"/>
      <c r="N95" s="623"/>
      <c r="O95" s="623"/>
      <c r="P95" s="623"/>
      <c r="Q95" s="623"/>
      <c r="R95" s="623"/>
      <c r="S95" s="623"/>
      <c r="T95" s="623"/>
      <c r="U95" s="623"/>
      <c r="V95" s="623"/>
      <c r="W95" s="623"/>
      <c r="X95" s="623"/>
      <c r="Y95" s="623"/>
      <c r="Z95" s="623"/>
      <c r="AA95" s="623"/>
      <c r="AB95" s="623"/>
      <c r="AC95" s="623"/>
      <c r="AD95" s="623"/>
      <c r="AE95" s="623"/>
      <c r="AF95" s="623"/>
      <c r="AG95" s="623"/>
      <c r="AH95" s="623"/>
      <c r="AI95" s="623"/>
      <c r="AJ95" s="623"/>
      <c r="AK95" s="623"/>
      <c r="AL95" s="623"/>
      <c r="AM95" s="623"/>
      <c r="AN95" s="623"/>
      <c r="AO95" s="623"/>
      <c r="AP95" s="623"/>
      <c r="AQ95" s="623"/>
      <c r="AR95" s="623"/>
      <c r="AS95" s="623"/>
      <c r="AT95" s="623"/>
      <c r="AU95" s="623"/>
      <c r="AV95" s="623"/>
      <c r="AW95" s="623"/>
      <c r="AX95" s="623"/>
      <c r="AY95" s="623"/>
      <c r="AZ95" s="623"/>
      <c r="BA95" s="623"/>
      <c r="BB95" s="623"/>
      <c r="BC95" s="623"/>
      <c r="BD95" s="623"/>
      <c r="BE95" s="623"/>
      <c r="BF95" s="623"/>
      <c r="BG95" s="623"/>
      <c r="BH95" s="623"/>
      <c r="BI95" s="623"/>
      <c r="BJ95" s="623"/>
      <c r="BK95" s="623"/>
      <c r="BL95" s="623"/>
      <c r="BM95" s="623"/>
      <c r="BN95" s="623"/>
      <c r="BO95" s="623"/>
      <c r="BP95" s="623"/>
      <c r="BQ95" s="623"/>
      <c r="BR95" s="623"/>
      <c r="BS95" s="623"/>
      <c r="BT95" s="623"/>
      <c r="BU95" s="623"/>
      <c r="BV95" s="623"/>
      <c r="BW95" s="623"/>
      <c r="BX95" s="623"/>
      <c r="BY95" s="623"/>
      <c r="BZ95" s="623"/>
      <c r="CA95" s="623"/>
      <c r="CB95" s="623"/>
      <c r="CC95" s="623"/>
      <c r="CD95" s="623"/>
      <c r="CE95" s="623"/>
      <c r="CF95" s="623"/>
      <c r="CG95" s="623"/>
      <c r="CH95" s="623"/>
      <c r="CI95" s="623"/>
      <c r="CJ95" s="623"/>
      <c r="CK95" s="623"/>
      <c r="CL95" s="623"/>
      <c r="CM95" s="623"/>
      <c r="CN95" s="623"/>
      <c r="CO95" s="623"/>
      <c r="CP95" s="623"/>
      <c r="CQ95" s="623"/>
      <c r="CR95" s="623"/>
      <c r="CS95" s="623"/>
      <c r="CT95" s="623"/>
      <c r="CU95" s="623"/>
      <c r="CV95" s="623"/>
      <c r="CW95" s="623"/>
      <c r="CX95" s="623"/>
      <c r="CY95" s="623"/>
      <c r="CZ95" s="623"/>
      <c r="DA95" s="623"/>
      <c r="DB95" s="623"/>
      <c r="DC95" s="623"/>
      <c r="DD95" s="623"/>
      <c r="DE95" s="623"/>
      <c r="DF95" s="623"/>
      <c r="DG95" s="623"/>
      <c r="DH95" s="623"/>
      <c r="DI95" s="623"/>
      <c r="DJ95" s="623"/>
      <c r="DK95" s="623"/>
      <c r="DL95" s="623"/>
      <c r="DM95" s="623"/>
      <c r="DN95" s="623"/>
      <c r="DO95" s="623"/>
      <c r="DP95" s="623"/>
      <c r="DQ95" s="623"/>
      <c r="DR95" s="623"/>
      <c r="DS95" s="623"/>
      <c r="DT95" s="623"/>
      <c r="DU95" s="623"/>
      <c r="DV95" s="623"/>
      <c r="DW95" s="623"/>
      <c r="DX95" s="623"/>
      <c r="DY95" s="623"/>
      <c r="DZ95" s="623"/>
      <c r="EA95" s="623"/>
      <c r="EB95" s="623"/>
      <c r="EC95" s="623"/>
      <c r="ED95" s="623"/>
      <c r="EE95" s="623"/>
      <c r="EF95" s="623"/>
      <c r="EG95" s="623"/>
      <c r="EH95" s="623"/>
      <c r="EI95" s="623"/>
      <c r="EJ95" s="623"/>
      <c r="EK95" s="623"/>
      <c r="EL95" s="623"/>
      <c r="EM95" s="623"/>
      <c r="EN95" s="623"/>
      <c r="EO95" s="623"/>
      <c r="EP95" s="623"/>
      <c r="EQ95" s="623"/>
      <c r="ER95" s="623"/>
      <c r="ES95" s="623"/>
      <c r="ET95" s="623"/>
      <c r="EU95" s="623"/>
      <c r="EV95" s="623"/>
      <c r="EW95" s="623"/>
      <c r="EX95" s="623"/>
      <c r="EY95" s="623"/>
      <c r="EZ95" s="623"/>
      <c r="FA95" s="623"/>
      <c r="FB95" s="623"/>
      <c r="FC95" s="623"/>
      <c r="FD95" s="623"/>
      <c r="FE95" s="623"/>
      <c r="FF95" s="623"/>
      <c r="FG95" s="623"/>
      <c r="FH95" s="623"/>
    </row>
    <row r="96" spans="1:164">
      <c r="A96" s="623" t="s">
        <v>5160</v>
      </c>
      <c r="B96" s="623" t="s">
        <v>4405</v>
      </c>
      <c r="C96" s="623" t="s">
        <v>4406</v>
      </c>
      <c r="D96" s="623"/>
      <c r="E96" s="623"/>
      <c r="F96" s="623"/>
      <c r="G96" s="623"/>
      <c r="H96" s="623"/>
      <c r="I96" s="623"/>
      <c r="J96" s="623"/>
      <c r="K96" s="623"/>
      <c r="L96" s="623"/>
      <c r="M96" s="623"/>
      <c r="N96" s="623"/>
      <c r="O96" s="623"/>
      <c r="P96" s="623"/>
      <c r="Q96" s="623"/>
      <c r="R96" s="623"/>
      <c r="S96" s="623"/>
      <c r="T96" s="623"/>
      <c r="U96" s="623"/>
      <c r="V96" s="623"/>
      <c r="W96" s="623"/>
      <c r="X96" s="623"/>
      <c r="Y96" s="623"/>
      <c r="Z96" s="623"/>
      <c r="AA96" s="623"/>
      <c r="AB96" s="623"/>
      <c r="AC96" s="623"/>
      <c r="AD96" s="623"/>
      <c r="AE96" s="623"/>
      <c r="AF96" s="623"/>
      <c r="AG96" s="623"/>
      <c r="AH96" s="623"/>
      <c r="AI96" s="623"/>
      <c r="AJ96" s="623"/>
      <c r="AK96" s="623"/>
      <c r="AL96" s="623"/>
      <c r="AM96" s="623"/>
      <c r="AN96" s="623"/>
      <c r="AO96" s="623"/>
      <c r="AP96" s="623"/>
      <c r="AQ96" s="623"/>
      <c r="AR96" s="623"/>
      <c r="AS96" s="623"/>
      <c r="AT96" s="623"/>
      <c r="AU96" s="623"/>
      <c r="AV96" s="623"/>
      <c r="AW96" s="623"/>
      <c r="AX96" s="623"/>
      <c r="AY96" s="623"/>
      <c r="AZ96" s="623"/>
      <c r="BA96" s="623"/>
      <c r="BB96" s="623"/>
      <c r="BC96" s="623"/>
      <c r="BD96" s="623"/>
      <c r="BE96" s="623"/>
      <c r="BF96" s="623"/>
      <c r="BG96" s="623"/>
      <c r="BH96" s="623"/>
      <c r="BI96" s="623"/>
      <c r="BJ96" s="623"/>
      <c r="BK96" s="623"/>
      <c r="BL96" s="623"/>
      <c r="BM96" s="623"/>
      <c r="BN96" s="623"/>
      <c r="BO96" s="623"/>
      <c r="BP96" s="623"/>
      <c r="BQ96" s="623"/>
      <c r="BR96" s="623"/>
      <c r="BS96" s="623"/>
      <c r="BT96" s="623"/>
      <c r="BU96" s="623"/>
      <c r="BV96" s="623"/>
      <c r="BW96" s="623"/>
      <c r="BX96" s="623"/>
      <c r="BY96" s="623"/>
      <c r="BZ96" s="623"/>
      <c r="CA96" s="623"/>
      <c r="CB96" s="623"/>
      <c r="CC96" s="623"/>
      <c r="CD96" s="623"/>
      <c r="CE96" s="623"/>
      <c r="CF96" s="623"/>
      <c r="CG96" s="623"/>
      <c r="CH96" s="623"/>
      <c r="CI96" s="623"/>
      <c r="CJ96" s="623"/>
      <c r="CK96" s="623"/>
      <c r="CL96" s="623"/>
      <c r="CM96" s="623"/>
      <c r="CN96" s="623"/>
      <c r="CO96" s="623"/>
      <c r="CP96" s="623"/>
      <c r="CQ96" s="623"/>
      <c r="CR96" s="623"/>
      <c r="CS96" s="623"/>
      <c r="CT96" s="623"/>
      <c r="CU96" s="623"/>
      <c r="CV96" s="623"/>
      <c r="CW96" s="623"/>
      <c r="CX96" s="623"/>
      <c r="CY96" s="623"/>
      <c r="CZ96" s="623"/>
      <c r="DA96" s="623"/>
      <c r="DB96" s="623"/>
      <c r="DC96" s="623"/>
      <c r="DD96" s="623"/>
      <c r="DE96" s="623"/>
      <c r="DF96" s="623"/>
      <c r="DG96" s="623"/>
      <c r="DH96" s="623"/>
      <c r="DI96" s="623"/>
      <c r="DJ96" s="623"/>
      <c r="DK96" s="623"/>
      <c r="DL96" s="623"/>
      <c r="DM96" s="623"/>
      <c r="DN96" s="623"/>
      <c r="DO96" s="623"/>
      <c r="DP96" s="623"/>
      <c r="DQ96" s="623"/>
      <c r="DR96" s="623"/>
      <c r="DS96" s="623"/>
      <c r="DT96" s="623"/>
      <c r="DU96" s="623"/>
      <c r="DV96" s="623"/>
      <c r="DW96" s="623"/>
      <c r="DX96" s="623"/>
      <c r="DY96" s="623"/>
      <c r="DZ96" s="623"/>
      <c r="EA96" s="623"/>
      <c r="EB96" s="623"/>
      <c r="EC96" s="623"/>
      <c r="ED96" s="623"/>
      <c r="EE96" s="623"/>
      <c r="EF96" s="623"/>
      <c r="EG96" s="623"/>
      <c r="EH96" s="623"/>
      <c r="EI96" s="623"/>
      <c r="EJ96" s="623"/>
      <c r="EK96" s="623"/>
      <c r="EL96" s="623"/>
      <c r="EM96" s="623"/>
      <c r="EN96" s="623"/>
      <c r="EO96" s="623"/>
      <c r="EP96" s="623"/>
      <c r="EQ96" s="623"/>
      <c r="ER96" s="623"/>
      <c r="ES96" s="623"/>
      <c r="ET96" s="623"/>
      <c r="EU96" s="623"/>
      <c r="EV96" s="623"/>
      <c r="EW96" s="623"/>
      <c r="EX96" s="623"/>
      <c r="EY96" s="623"/>
      <c r="EZ96" s="623"/>
      <c r="FA96" s="623"/>
      <c r="FB96" s="623"/>
      <c r="FC96" s="623"/>
      <c r="FD96" s="623"/>
      <c r="FE96" s="623"/>
      <c r="FF96" s="623"/>
      <c r="FG96" s="623"/>
      <c r="FH96" s="623"/>
    </row>
    <row r="97" spans="1:164">
      <c r="A97" s="623" t="s">
        <v>5161</v>
      </c>
      <c r="B97" s="623" t="s">
        <v>4424</v>
      </c>
      <c r="C97" s="623" t="s">
        <v>3148</v>
      </c>
      <c r="D97" s="623" t="s">
        <v>4425</v>
      </c>
      <c r="E97" s="623"/>
      <c r="F97" s="623" t="s">
        <v>4426</v>
      </c>
      <c r="G97" s="623" t="s">
        <v>2528</v>
      </c>
      <c r="H97" s="623" t="s">
        <v>4427</v>
      </c>
      <c r="I97" s="623" t="s">
        <v>2463</v>
      </c>
      <c r="J97" s="623" t="s">
        <v>4428</v>
      </c>
      <c r="K97" s="623" t="s">
        <v>4429</v>
      </c>
      <c r="L97" s="623" t="s">
        <v>4430</v>
      </c>
      <c r="M97" s="623" t="s">
        <v>4431</v>
      </c>
      <c r="N97" s="623" t="s">
        <v>4432</v>
      </c>
      <c r="O97" s="623" t="s">
        <v>480</v>
      </c>
      <c r="P97" s="623"/>
      <c r="Q97" s="623"/>
      <c r="R97" s="623"/>
      <c r="S97" s="623"/>
      <c r="T97" s="623"/>
      <c r="U97" s="623"/>
      <c r="V97" s="623"/>
      <c r="W97" s="623"/>
      <c r="X97" s="623"/>
      <c r="Y97" s="623"/>
      <c r="Z97" s="623"/>
      <c r="AA97" s="623"/>
      <c r="AB97" s="623"/>
      <c r="AC97" s="623"/>
      <c r="AD97" s="623"/>
      <c r="AE97" s="623"/>
      <c r="AF97" s="623"/>
      <c r="AG97" s="623"/>
      <c r="AH97" s="623"/>
      <c r="AI97" s="623"/>
      <c r="AJ97" s="623"/>
      <c r="AK97" s="623"/>
      <c r="AL97" s="623"/>
      <c r="AM97" s="623"/>
      <c r="AN97" s="623"/>
      <c r="AO97" s="623"/>
      <c r="AP97" s="623"/>
      <c r="AQ97" s="623"/>
      <c r="AR97" s="623"/>
      <c r="AS97" s="623"/>
      <c r="AT97" s="623"/>
      <c r="AU97" s="623"/>
      <c r="AV97" s="623"/>
      <c r="AW97" s="623"/>
      <c r="AX97" s="623"/>
      <c r="AY97" s="623"/>
      <c r="AZ97" s="623"/>
      <c r="BA97" s="623"/>
      <c r="BB97" s="623"/>
      <c r="BC97" s="623"/>
      <c r="BD97" s="623"/>
      <c r="BE97" s="623"/>
      <c r="BF97" s="623"/>
      <c r="BG97" s="623"/>
      <c r="BH97" s="623"/>
      <c r="BI97" s="623"/>
      <c r="BJ97" s="623"/>
      <c r="BK97" s="623"/>
      <c r="BL97" s="623"/>
      <c r="BM97" s="623"/>
      <c r="BN97" s="623"/>
      <c r="BO97" s="623"/>
      <c r="BP97" s="623"/>
      <c r="BQ97" s="623"/>
      <c r="BR97" s="623"/>
      <c r="BS97" s="623"/>
      <c r="BT97" s="623"/>
      <c r="BU97" s="623"/>
      <c r="BV97" s="623"/>
      <c r="BW97" s="623"/>
      <c r="BX97" s="623"/>
      <c r="BY97" s="623"/>
      <c r="BZ97" s="623"/>
      <c r="CA97" s="623"/>
      <c r="CB97" s="623"/>
      <c r="CC97" s="623"/>
      <c r="CD97" s="623"/>
      <c r="CE97" s="623"/>
      <c r="CF97" s="623"/>
      <c r="CG97" s="623"/>
      <c r="CH97" s="623"/>
      <c r="CI97" s="623"/>
      <c r="CJ97" s="623"/>
      <c r="CK97" s="623"/>
      <c r="CL97" s="623"/>
      <c r="CM97" s="623"/>
      <c r="CN97" s="623"/>
      <c r="CO97" s="623"/>
      <c r="CP97" s="623"/>
      <c r="CQ97" s="623"/>
      <c r="CR97" s="623"/>
      <c r="CS97" s="623"/>
      <c r="CT97" s="623"/>
      <c r="CU97" s="623"/>
      <c r="CV97" s="623"/>
      <c r="CW97" s="623"/>
      <c r="CX97" s="623"/>
      <c r="CY97" s="623"/>
      <c r="CZ97" s="623"/>
      <c r="DA97" s="623"/>
      <c r="DB97" s="623"/>
      <c r="DC97" s="623"/>
      <c r="DD97" s="623"/>
      <c r="DE97" s="623"/>
      <c r="DF97" s="623"/>
      <c r="DG97" s="623"/>
      <c r="DH97" s="623"/>
      <c r="DI97" s="623"/>
      <c r="DJ97" s="623"/>
      <c r="DK97" s="623"/>
      <c r="DL97" s="623"/>
      <c r="DM97" s="623"/>
      <c r="DN97" s="623"/>
      <c r="DO97" s="623"/>
      <c r="DP97" s="623"/>
      <c r="DQ97" s="623"/>
      <c r="DR97" s="623"/>
      <c r="DS97" s="623"/>
      <c r="DT97" s="623"/>
      <c r="DU97" s="623"/>
      <c r="DV97" s="623"/>
      <c r="DW97" s="623"/>
      <c r="DX97" s="623"/>
      <c r="DY97" s="623"/>
      <c r="DZ97" s="623"/>
      <c r="EA97" s="623"/>
      <c r="EB97" s="623"/>
      <c r="EC97" s="623"/>
      <c r="ED97" s="623"/>
      <c r="EE97" s="623"/>
      <c r="EF97" s="623"/>
      <c r="EG97" s="623"/>
      <c r="EH97" s="623"/>
      <c r="EI97" s="623"/>
      <c r="EJ97" s="623"/>
      <c r="EK97" s="623"/>
      <c r="EL97" s="623"/>
      <c r="EM97" s="623"/>
      <c r="EN97" s="623"/>
      <c r="EO97" s="623"/>
      <c r="EP97" s="623"/>
      <c r="EQ97" s="623"/>
      <c r="ER97" s="623"/>
      <c r="ES97" s="623"/>
      <c r="ET97" s="623"/>
      <c r="EU97" s="623"/>
      <c r="EV97" s="623"/>
      <c r="EW97" s="623"/>
      <c r="EX97" s="623"/>
      <c r="EY97" s="623"/>
      <c r="EZ97" s="623"/>
      <c r="FA97" s="623"/>
      <c r="FB97" s="623"/>
      <c r="FC97" s="623"/>
      <c r="FD97" s="623"/>
      <c r="FE97" s="623"/>
      <c r="FF97" s="623"/>
      <c r="FG97" s="623"/>
      <c r="FH97" s="623"/>
    </row>
    <row r="98" spans="1:164">
      <c r="A98" s="623" t="s">
        <v>5162</v>
      </c>
      <c r="B98" s="623" t="s">
        <v>472</v>
      </c>
      <c r="C98" s="623" t="s">
        <v>4656</v>
      </c>
      <c r="D98" s="623"/>
      <c r="E98" s="623"/>
      <c r="F98" s="623"/>
      <c r="G98" s="623"/>
      <c r="H98" s="623"/>
      <c r="I98" s="623"/>
      <c r="J98" s="623"/>
      <c r="K98" s="623"/>
      <c r="L98" s="623"/>
      <c r="M98" s="623"/>
      <c r="N98" s="623"/>
      <c r="O98" s="623"/>
      <c r="P98" s="623"/>
      <c r="Q98" s="623"/>
      <c r="R98" s="623"/>
      <c r="S98" s="623"/>
      <c r="T98" s="623"/>
      <c r="U98" s="623"/>
      <c r="V98" s="623"/>
      <c r="W98" s="623"/>
      <c r="X98" s="623"/>
      <c r="Y98" s="623"/>
      <c r="Z98" s="623"/>
      <c r="AA98" s="623"/>
      <c r="AB98" s="623"/>
      <c r="AC98" s="623"/>
      <c r="AD98" s="623"/>
      <c r="AE98" s="623"/>
      <c r="AF98" s="623"/>
      <c r="AG98" s="623"/>
      <c r="AH98" s="623"/>
      <c r="AI98" s="623"/>
      <c r="AJ98" s="623"/>
      <c r="AK98" s="623"/>
      <c r="AL98" s="623"/>
      <c r="AM98" s="623"/>
      <c r="AN98" s="623"/>
      <c r="AO98" s="623"/>
      <c r="AP98" s="623"/>
      <c r="AQ98" s="623"/>
      <c r="AR98" s="623"/>
      <c r="AS98" s="623"/>
      <c r="AT98" s="623"/>
      <c r="AU98" s="623"/>
      <c r="AV98" s="623"/>
      <c r="AW98" s="623"/>
      <c r="AX98" s="623"/>
      <c r="AY98" s="623"/>
      <c r="AZ98" s="623"/>
      <c r="BA98" s="623"/>
      <c r="BB98" s="623"/>
      <c r="BC98" s="623"/>
      <c r="BD98" s="623"/>
      <c r="BE98" s="623"/>
      <c r="BF98" s="623"/>
      <c r="BG98" s="623"/>
      <c r="BH98" s="623"/>
      <c r="BI98" s="623"/>
      <c r="BJ98" s="623"/>
      <c r="BK98" s="623"/>
      <c r="BL98" s="623"/>
      <c r="BM98" s="623"/>
      <c r="BN98" s="623"/>
      <c r="BO98" s="623"/>
      <c r="BP98" s="623"/>
      <c r="BQ98" s="623"/>
      <c r="BR98" s="623"/>
      <c r="BS98" s="623"/>
      <c r="BT98" s="623"/>
      <c r="BU98" s="623"/>
      <c r="BV98" s="623"/>
      <c r="BW98" s="623"/>
      <c r="BX98" s="623"/>
      <c r="BY98" s="623"/>
      <c r="BZ98" s="623"/>
      <c r="CA98" s="623"/>
      <c r="CB98" s="623"/>
      <c r="CC98" s="623"/>
      <c r="CD98" s="623"/>
      <c r="CE98" s="623"/>
      <c r="CF98" s="623"/>
      <c r="CG98" s="623"/>
      <c r="CH98" s="623"/>
      <c r="CI98" s="623"/>
      <c r="CJ98" s="623"/>
      <c r="CK98" s="623"/>
      <c r="CL98" s="623"/>
      <c r="CM98" s="623"/>
      <c r="CN98" s="623"/>
      <c r="CO98" s="623"/>
      <c r="CP98" s="623"/>
      <c r="CQ98" s="623"/>
      <c r="CR98" s="623"/>
      <c r="CS98" s="623"/>
      <c r="CT98" s="623"/>
      <c r="CU98" s="623"/>
      <c r="CV98" s="623"/>
      <c r="CW98" s="623"/>
      <c r="CX98" s="623"/>
      <c r="CY98" s="623"/>
      <c r="CZ98" s="623"/>
      <c r="DA98" s="623"/>
      <c r="DB98" s="623"/>
      <c r="DC98" s="623"/>
      <c r="DD98" s="623"/>
      <c r="DE98" s="623"/>
      <c r="DF98" s="623"/>
      <c r="DG98" s="623"/>
      <c r="DH98" s="623"/>
      <c r="DI98" s="623"/>
      <c r="DJ98" s="623"/>
      <c r="DK98" s="623"/>
      <c r="DL98" s="623"/>
      <c r="DM98" s="623"/>
      <c r="DN98" s="623"/>
      <c r="DO98" s="623"/>
      <c r="DP98" s="623"/>
      <c r="DQ98" s="623"/>
      <c r="DR98" s="623"/>
      <c r="DS98" s="623"/>
      <c r="DT98" s="623"/>
      <c r="DU98" s="623"/>
      <c r="DV98" s="623"/>
      <c r="DW98" s="623"/>
      <c r="DX98" s="623"/>
      <c r="DY98" s="623"/>
      <c r="DZ98" s="623"/>
      <c r="EA98" s="623"/>
      <c r="EB98" s="623"/>
      <c r="EC98" s="623"/>
      <c r="ED98" s="623"/>
      <c r="EE98" s="623"/>
      <c r="EF98" s="623"/>
      <c r="EG98" s="623"/>
      <c r="EH98" s="623"/>
      <c r="EI98" s="623"/>
      <c r="EJ98" s="623"/>
      <c r="EK98" s="623"/>
      <c r="EL98" s="623"/>
      <c r="EM98" s="623"/>
      <c r="EN98" s="623"/>
      <c r="EO98" s="623"/>
      <c r="EP98" s="623"/>
      <c r="EQ98" s="623"/>
      <c r="ER98" s="623"/>
      <c r="ES98" s="623"/>
      <c r="ET98" s="623"/>
      <c r="EU98" s="623"/>
      <c r="EV98" s="623"/>
      <c r="EW98" s="623"/>
      <c r="EX98" s="623"/>
      <c r="EY98" s="623"/>
      <c r="EZ98" s="623"/>
      <c r="FA98" s="623"/>
      <c r="FB98" s="623"/>
      <c r="FC98" s="623"/>
      <c r="FD98" s="623"/>
      <c r="FE98" s="623"/>
      <c r="FF98" s="623"/>
      <c r="FG98" s="623"/>
      <c r="FH98" s="623"/>
    </row>
    <row r="99" spans="1:164">
      <c r="A99" s="623" t="s">
        <v>5163</v>
      </c>
      <c r="B99" s="623" t="s">
        <v>2209</v>
      </c>
      <c r="C99" s="623" t="s">
        <v>4982</v>
      </c>
      <c r="D99" s="623" t="s">
        <v>4485</v>
      </c>
      <c r="E99" s="623"/>
      <c r="F99" s="623"/>
      <c r="G99" s="623"/>
      <c r="H99" s="623"/>
      <c r="I99" s="623"/>
      <c r="J99" s="623"/>
      <c r="K99" s="623"/>
      <c r="L99" s="623"/>
      <c r="M99" s="623"/>
      <c r="N99" s="623"/>
      <c r="O99" s="623"/>
      <c r="P99" s="623"/>
      <c r="Q99" s="623"/>
      <c r="R99" s="623"/>
      <c r="S99" s="623"/>
      <c r="T99" s="623"/>
      <c r="U99" s="623"/>
      <c r="V99" s="623"/>
      <c r="W99" s="623"/>
      <c r="X99" s="623"/>
      <c r="Y99" s="623"/>
      <c r="Z99" s="623"/>
      <c r="AA99" s="623"/>
      <c r="AB99" s="623"/>
      <c r="AC99" s="623"/>
      <c r="AD99" s="623"/>
      <c r="AE99" s="623"/>
      <c r="AF99" s="623"/>
      <c r="AG99" s="623"/>
      <c r="AH99" s="623"/>
      <c r="AI99" s="623"/>
      <c r="AJ99" s="623"/>
      <c r="AK99" s="623"/>
      <c r="AL99" s="623"/>
      <c r="AM99" s="623"/>
      <c r="AN99" s="623"/>
      <c r="AO99" s="623"/>
      <c r="AP99" s="623"/>
      <c r="AQ99" s="623"/>
      <c r="AR99" s="623"/>
      <c r="AS99" s="623"/>
      <c r="AT99" s="623"/>
      <c r="AU99" s="623"/>
      <c r="AV99" s="623"/>
      <c r="AW99" s="623"/>
      <c r="AX99" s="623"/>
      <c r="AY99" s="623"/>
      <c r="AZ99" s="623"/>
      <c r="BA99" s="623"/>
      <c r="BB99" s="623"/>
      <c r="BC99" s="623"/>
      <c r="BD99" s="623"/>
      <c r="BE99" s="623"/>
      <c r="BF99" s="623"/>
      <c r="BG99" s="623"/>
      <c r="BH99" s="623"/>
      <c r="BI99" s="623"/>
      <c r="BJ99" s="623"/>
      <c r="BK99" s="623"/>
      <c r="BL99" s="623"/>
      <c r="BM99" s="623"/>
      <c r="BN99" s="623"/>
      <c r="BO99" s="623"/>
      <c r="BP99" s="623"/>
      <c r="BQ99" s="623"/>
      <c r="BR99" s="623"/>
      <c r="BS99" s="623"/>
      <c r="BT99" s="623"/>
      <c r="BU99" s="623"/>
      <c r="BV99" s="623"/>
      <c r="BW99" s="623"/>
      <c r="BX99" s="623"/>
      <c r="BY99" s="623"/>
      <c r="BZ99" s="623"/>
      <c r="CA99" s="623"/>
      <c r="CB99" s="623"/>
      <c r="CC99" s="623"/>
      <c r="CD99" s="623"/>
      <c r="CE99" s="623"/>
      <c r="CF99" s="623"/>
      <c r="CG99" s="623"/>
      <c r="CH99" s="623"/>
      <c r="CI99" s="623"/>
      <c r="CJ99" s="623"/>
      <c r="CK99" s="623"/>
      <c r="CL99" s="623"/>
      <c r="CM99" s="623"/>
      <c r="CN99" s="623"/>
      <c r="CO99" s="623"/>
      <c r="CP99" s="623"/>
      <c r="CQ99" s="623"/>
      <c r="CR99" s="623"/>
      <c r="CS99" s="623"/>
      <c r="CT99" s="623"/>
      <c r="CU99" s="623"/>
      <c r="CV99" s="623"/>
      <c r="CW99" s="623"/>
      <c r="CX99" s="623"/>
      <c r="CY99" s="623"/>
      <c r="CZ99" s="623"/>
      <c r="DA99" s="623"/>
      <c r="DB99" s="623"/>
      <c r="DC99" s="623"/>
      <c r="DD99" s="623"/>
      <c r="DE99" s="623"/>
      <c r="DF99" s="623"/>
      <c r="DG99" s="623"/>
      <c r="DH99" s="623"/>
      <c r="DI99" s="623"/>
      <c r="DJ99" s="623"/>
      <c r="DK99" s="623"/>
      <c r="DL99" s="623"/>
      <c r="DM99" s="623"/>
      <c r="DN99" s="623"/>
      <c r="DO99" s="623"/>
      <c r="DP99" s="623"/>
      <c r="DQ99" s="623"/>
      <c r="DR99" s="623"/>
      <c r="DS99" s="623"/>
      <c r="DT99" s="623"/>
      <c r="DU99" s="623"/>
      <c r="DV99" s="623"/>
      <c r="DW99" s="623"/>
      <c r="DX99" s="623"/>
      <c r="DY99" s="623"/>
      <c r="DZ99" s="623"/>
      <c r="EA99" s="623"/>
      <c r="EB99" s="623"/>
      <c r="EC99" s="623"/>
      <c r="ED99" s="623"/>
      <c r="EE99" s="623"/>
      <c r="EF99" s="623"/>
      <c r="EG99" s="623"/>
      <c r="EH99" s="623"/>
      <c r="EI99" s="623"/>
      <c r="EJ99" s="623"/>
      <c r="EK99" s="623"/>
      <c r="EL99" s="623"/>
      <c r="EM99" s="623"/>
      <c r="EN99" s="623"/>
      <c r="EO99" s="623"/>
      <c r="EP99" s="623"/>
      <c r="EQ99" s="623"/>
      <c r="ER99" s="623"/>
      <c r="ES99" s="623"/>
      <c r="ET99" s="623"/>
      <c r="EU99" s="623"/>
      <c r="EV99" s="623"/>
      <c r="EW99" s="623"/>
      <c r="EX99" s="623"/>
      <c r="EY99" s="623"/>
      <c r="EZ99" s="623"/>
      <c r="FA99" s="623"/>
      <c r="FB99" s="623"/>
      <c r="FC99" s="623"/>
      <c r="FD99" s="623"/>
      <c r="FE99" s="623"/>
      <c r="FF99" s="623"/>
      <c r="FG99" s="623"/>
      <c r="FH99" s="623"/>
    </row>
    <row r="100" spans="1:164">
      <c r="A100" s="623" t="s">
        <v>5164</v>
      </c>
      <c r="B100" s="623" t="s">
        <v>544</v>
      </c>
      <c r="C100" s="623" t="s">
        <v>545</v>
      </c>
      <c r="D100" s="623"/>
      <c r="E100" s="623" t="s">
        <v>547</v>
      </c>
      <c r="F100" s="623" t="s">
        <v>2291</v>
      </c>
      <c r="G100" s="623" t="s">
        <v>2292</v>
      </c>
      <c r="H100" s="623" t="s">
        <v>202</v>
      </c>
      <c r="I100" s="623" t="s">
        <v>548</v>
      </c>
      <c r="J100" s="623" t="s">
        <v>549</v>
      </c>
      <c r="K100" s="623" t="s">
        <v>550</v>
      </c>
      <c r="L100" s="623" t="s">
        <v>551</v>
      </c>
      <c r="M100" s="623" t="s">
        <v>552</v>
      </c>
      <c r="N100" s="623" t="s">
        <v>2533</v>
      </c>
      <c r="O100" s="623" t="s">
        <v>2534</v>
      </c>
      <c r="P100" s="623" t="s">
        <v>2535</v>
      </c>
      <c r="Q100" s="623"/>
      <c r="R100" s="623"/>
      <c r="S100" s="623"/>
      <c r="T100" s="623"/>
      <c r="U100" s="623"/>
      <c r="V100" s="623"/>
      <c r="W100" s="623"/>
      <c r="X100" s="623"/>
      <c r="Y100" s="623"/>
      <c r="Z100" s="623"/>
      <c r="AA100" s="623"/>
      <c r="AB100" s="623"/>
      <c r="AC100" s="623"/>
      <c r="AD100" s="623"/>
      <c r="AE100" s="623"/>
      <c r="AF100" s="623"/>
      <c r="AG100" s="623"/>
      <c r="AH100" s="623"/>
      <c r="AI100" s="623"/>
      <c r="AJ100" s="623"/>
      <c r="AK100" s="623"/>
      <c r="AL100" s="623"/>
      <c r="AM100" s="623"/>
      <c r="AN100" s="623"/>
      <c r="AO100" s="623"/>
      <c r="AP100" s="623"/>
      <c r="AQ100" s="623"/>
      <c r="AR100" s="623"/>
      <c r="AS100" s="623"/>
      <c r="AT100" s="623"/>
      <c r="AU100" s="623"/>
      <c r="AV100" s="623"/>
      <c r="AW100" s="623"/>
      <c r="AX100" s="623"/>
      <c r="AY100" s="623"/>
      <c r="AZ100" s="623"/>
      <c r="BA100" s="623"/>
      <c r="BB100" s="623"/>
      <c r="BC100" s="623"/>
      <c r="BD100" s="623"/>
      <c r="BE100" s="623"/>
      <c r="BF100" s="623"/>
      <c r="BG100" s="623"/>
      <c r="BH100" s="623"/>
      <c r="BI100" s="623"/>
      <c r="BJ100" s="623"/>
      <c r="BK100" s="623"/>
      <c r="BL100" s="623"/>
      <c r="BM100" s="623"/>
      <c r="BN100" s="623"/>
      <c r="BO100" s="623"/>
      <c r="BP100" s="623"/>
      <c r="BQ100" s="623"/>
      <c r="BR100" s="623"/>
      <c r="BS100" s="623"/>
      <c r="BT100" s="623"/>
      <c r="BU100" s="623"/>
      <c r="BV100" s="623"/>
      <c r="BW100" s="623"/>
      <c r="BX100" s="623"/>
      <c r="BY100" s="623"/>
      <c r="BZ100" s="623"/>
      <c r="CA100" s="623"/>
      <c r="CB100" s="623"/>
      <c r="CC100" s="623"/>
      <c r="CD100" s="623"/>
      <c r="CE100" s="623"/>
      <c r="CF100" s="623"/>
      <c r="CG100" s="623"/>
      <c r="CH100" s="623"/>
      <c r="CI100" s="623"/>
      <c r="CJ100" s="623"/>
      <c r="CK100" s="623"/>
      <c r="CL100" s="623"/>
      <c r="CM100" s="623"/>
      <c r="CN100" s="623"/>
      <c r="CO100" s="623"/>
      <c r="CP100" s="623"/>
      <c r="CQ100" s="623"/>
      <c r="CR100" s="623"/>
      <c r="CS100" s="623"/>
      <c r="CT100" s="623"/>
      <c r="CU100" s="623"/>
      <c r="CV100" s="623"/>
      <c r="CW100" s="623"/>
      <c r="CX100" s="623"/>
      <c r="CY100" s="623"/>
      <c r="CZ100" s="623"/>
      <c r="DA100" s="623"/>
      <c r="DB100" s="623"/>
      <c r="DC100" s="623"/>
      <c r="DD100" s="623"/>
      <c r="DE100" s="623"/>
      <c r="DF100" s="623"/>
      <c r="DG100" s="623"/>
      <c r="DH100" s="623"/>
      <c r="DI100" s="623"/>
      <c r="DJ100" s="623"/>
      <c r="DK100" s="623"/>
      <c r="DL100" s="623"/>
      <c r="DM100" s="623"/>
      <c r="DN100" s="623"/>
      <c r="DO100" s="623"/>
      <c r="DP100" s="623"/>
      <c r="DQ100" s="623"/>
      <c r="DR100" s="623"/>
      <c r="DS100" s="623"/>
      <c r="DT100" s="623"/>
      <c r="DU100" s="623"/>
      <c r="DV100" s="623"/>
      <c r="DW100" s="623"/>
      <c r="DX100" s="623"/>
      <c r="DY100" s="623"/>
      <c r="DZ100" s="623"/>
      <c r="EA100" s="623"/>
      <c r="EB100" s="623"/>
      <c r="EC100" s="623"/>
      <c r="ED100" s="623"/>
      <c r="EE100" s="623"/>
      <c r="EF100" s="623"/>
      <c r="EG100" s="623"/>
      <c r="EH100" s="623"/>
      <c r="EI100" s="623"/>
      <c r="EJ100" s="623"/>
      <c r="EK100" s="623"/>
      <c r="EL100" s="623"/>
      <c r="EM100" s="623"/>
      <c r="EN100" s="623"/>
      <c r="EO100" s="623"/>
      <c r="EP100" s="623"/>
      <c r="EQ100" s="623"/>
      <c r="ER100" s="623"/>
      <c r="ES100" s="623"/>
      <c r="ET100" s="623"/>
      <c r="EU100" s="623"/>
      <c r="EV100" s="623"/>
      <c r="EW100" s="623"/>
      <c r="EX100" s="623"/>
      <c r="EY100" s="623"/>
      <c r="EZ100" s="623"/>
      <c r="FA100" s="623"/>
      <c r="FB100" s="623"/>
      <c r="FC100" s="623"/>
      <c r="FD100" s="623"/>
      <c r="FE100" s="623"/>
      <c r="FF100" s="623"/>
      <c r="FG100" s="623"/>
      <c r="FH100" s="623"/>
    </row>
    <row r="101" spans="1:164">
      <c r="A101" s="623" t="s">
        <v>5165</v>
      </c>
      <c r="B101" s="623" t="s">
        <v>565</v>
      </c>
      <c r="C101" s="623" t="s">
        <v>4531</v>
      </c>
      <c r="D101" s="623" t="s">
        <v>202</v>
      </c>
      <c r="E101" s="623"/>
      <c r="F101" s="623"/>
      <c r="G101" s="623"/>
      <c r="H101" s="623"/>
      <c r="I101" s="623"/>
      <c r="J101" s="623"/>
      <c r="K101" s="623"/>
      <c r="L101" s="623"/>
      <c r="M101" s="623"/>
      <c r="N101" s="623"/>
      <c r="O101" s="623"/>
      <c r="P101" s="623"/>
      <c r="Q101" s="623"/>
      <c r="R101" s="623"/>
      <c r="S101" s="623"/>
      <c r="T101" s="623"/>
      <c r="U101" s="623"/>
      <c r="V101" s="623"/>
      <c r="W101" s="623"/>
      <c r="X101" s="623"/>
      <c r="Y101" s="623"/>
      <c r="Z101" s="623"/>
      <c r="AA101" s="623"/>
      <c r="AB101" s="623"/>
      <c r="AC101" s="623"/>
      <c r="AD101" s="623"/>
      <c r="AE101" s="623"/>
      <c r="AF101" s="623"/>
      <c r="AG101" s="623"/>
      <c r="AH101" s="623"/>
      <c r="AI101" s="623"/>
      <c r="AJ101" s="623"/>
      <c r="AK101" s="623"/>
      <c r="AL101" s="623"/>
      <c r="AM101" s="623"/>
      <c r="AN101" s="623"/>
      <c r="AO101" s="623"/>
      <c r="AP101" s="623"/>
      <c r="AQ101" s="623"/>
      <c r="AR101" s="623"/>
      <c r="AS101" s="623"/>
      <c r="AT101" s="623"/>
      <c r="AU101" s="623"/>
      <c r="AV101" s="623"/>
      <c r="AW101" s="623"/>
      <c r="AX101" s="623"/>
      <c r="AY101" s="623"/>
      <c r="AZ101" s="623"/>
      <c r="BA101" s="623"/>
      <c r="BB101" s="623"/>
      <c r="BC101" s="623"/>
      <c r="BD101" s="623"/>
      <c r="BE101" s="623"/>
      <c r="BF101" s="623"/>
      <c r="BG101" s="623"/>
      <c r="BH101" s="623"/>
      <c r="BI101" s="623"/>
      <c r="BJ101" s="623"/>
      <c r="BK101" s="623"/>
      <c r="BL101" s="623"/>
      <c r="BM101" s="623"/>
      <c r="BN101" s="623"/>
      <c r="BO101" s="623"/>
      <c r="BP101" s="623"/>
      <c r="BQ101" s="623"/>
      <c r="BR101" s="623"/>
      <c r="BS101" s="623"/>
      <c r="BT101" s="623"/>
      <c r="BU101" s="623"/>
      <c r="BV101" s="623"/>
      <c r="BW101" s="623"/>
      <c r="BX101" s="623"/>
      <c r="BY101" s="623"/>
      <c r="BZ101" s="623"/>
      <c r="CA101" s="623"/>
      <c r="CB101" s="623"/>
      <c r="CC101" s="623"/>
      <c r="CD101" s="623"/>
      <c r="CE101" s="623"/>
      <c r="CF101" s="623"/>
      <c r="CG101" s="623"/>
      <c r="CH101" s="623"/>
      <c r="CI101" s="623"/>
      <c r="CJ101" s="623"/>
      <c r="CK101" s="623"/>
      <c r="CL101" s="623"/>
      <c r="CM101" s="623"/>
      <c r="CN101" s="623"/>
      <c r="CO101" s="623"/>
      <c r="CP101" s="623"/>
      <c r="CQ101" s="623"/>
      <c r="CR101" s="623"/>
      <c r="CS101" s="623"/>
      <c r="CT101" s="623"/>
      <c r="CU101" s="623"/>
      <c r="CV101" s="623"/>
      <c r="CW101" s="623"/>
      <c r="CX101" s="623"/>
      <c r="CY101" s="623"/>
      <c r="CZ101" s="623"/>
      <c r="DA101" s="623"/>
      <c r="DB101" s="623"/>
      <c r="DC101" s="623"/>
      <c r="DD101" s="623"/>
      <c r="DE101" s="623"/>
      <c r="DF101" s="623"/>
      <c r="DG101" s="623"/>
      <c r="DH101" s="623"/>
      <c r="DI101" s="623"/>
      <c r="DJ101" s="623"/>
      <c r="DK101" s="623"/>
      <c r="DL101" s="623"/>
      <c r="DM101" s="623"/>
      <c r="DN101" s="623"/>
      <c r="DO101" s="623"/>
      <c r="DP101" s="623"/>
      <c r="DQ101" s="623"/>
      <c r="DR101" s="623"/>
      <c r="DS101" s="623"/>
      <c r="DT101" s="623"/>
      <c r="DU101" s="623"/>
      <c r="DV101" s="623"/>
      <c r="DW101" s="623"/>
      <c r="DX101" s="623"/>
      <c r="DY101" s="623"/>
      <c r="DZ101" s="623"/>
      <c r="EA101" s="623"/>
      <c r="EB101" s="623"/>
      <c r="EC101" s="623"/>
      <c r="ED101" s="623"/>
      <c r="EE101" s="623"/>
      <c r="EF101" s="623"/>
      <c r="EG101" s="623"/>
      <c r="EH101" s="623"/>
      <c r="EI101" s="623"/>
      <c r="EJ101" s="623"/>
      <c r="EK101" s="623"/>
      <c r="EL101" s="623"/>
      <c r="EM101" s="623"/>
      <c r="EN101" s="623"/>
      <c r="EO101" s="623"/>
      <c r="EP101" s="623"/>
      <c r="EQ101" s="623"/>
      <c r="ER101" s="623"/>
      <c r="ES101" s="623"/>
      <c r="ET101" s="623"/>
      <c r="EU101" s="623"/>
      <c r="EV101" s="623"/>
      <c r="EW101" s="623"/>
      <c r="EX101" s="623"/>
      <c r="EY101" s="623"/>
      <c r="EZ101" s="623"/>
      <c r="FA101" s="623"/>
      <c r="FB101" s="623"/>
      <c r="FC101" s="623"/>
      <c r="FD101" s="623"/>
      <c r="FE101" s="623"/>
      <c r="FF101" s="623"/>
      <c r="FG101" s="623"/>
      <c r="FH101" s="623"/>
    </row>
    <row r="102" spans="1:164">
      <c r="A102" s="623" t="s">
        <v>5166</v>
      </c>
      <c r="B102" s="623" t="s">
        <v>4555</v>
      </c>
      <c r="C102" s="623" t="s">
        <v>4556</v>
      </c>
      <c r="D102" s="623" t="s">
        <v>4557</v>
      </c>
      <c r="E102" s="623" t="s">
        <v>4558</v>
      </c>
      <c r="F102" s="623"/>
      <c r="G102" s="623"/>
      <c r="H102" s="623"/>
      <c r="I102" s="623"/>
      <c r="J102" s="623"/>
      <c r="K102" s="623"/>
      <c r="L102" s="623"/>
      <c r="M102" s="623"/>
      <c r="N102" s="623"/>
      <c r="O102" s="623"/>
      <c r="P102" s="623"/>
      <c r="Q102" s="623"/>
      <c r="R102" s="623"/>
      <c r="S102" s="623"/>
      <c r="T102" s="623"/>
      <c r="U102" s="623"/>
      <c r="V102" s="623"/>
      <c r="W102" s="623"/>
      <c r="X102" s="623"/>
      <c r="Y102" s="623"/>
      <c r="Z102" s="623"/>
      <c r="AA102" s="623"/>
      <c r="AB102" s="623"/>
      <c r="AC102" s="623"/>
      <c r="AD102" s="623"/>
      <c r="AE102" s="623"/>
      <c r="AF102" s="623"/>
      <c r="AG102" s="623"/>
      <c r="AH102" s="623"/>
      <c r="AI102" s="623"/>
      <c r="AJ102" s="623"/>
      <c r="AK102" s="623"/>
      <c r="AL102" s="623"/>
      <c r="AM102" s="623"/>
      <c r="AN102" s="623"/>
      <c r="AO102" s="623"/>
      <c r="AP102" s="623"/>
      <c r="AQ102" s="623"/>
      <c r="AR102" s="623"/>
      <c r="AS102" s="623"/>
      <c r="AT102" s="623"/>
      <c r="AU102" s="623"/>
      <c r="AV102" s="623"/>
      <c r="AW102" s="623"/>
      <c r="AX102" s="623"/>
      <c r="AY102" s="623"/>
      <c r="AZ102" s="623"/>
      <c r="BA102" s="623"/>
      <c r="BB102" s="623"/>
      <c r="BC102" s="623"/>
      <c r="BD102" s="623"/>
      <c r="BE102" s="623"/>
      <c r="BF102" s="623"/>
      <c r="BG102" s="623"/>
      <c r="BH102" s="623"/>
      <c r="BI102" s="623"/>
      <c r="BJ102" s="623"/>
      <c r="BK102" s="623"/>
      <c r="BL102" s="623"/>
      <c r="BM102" s="623"/>
      <c r="BN102" s="623"/>
      <c r="BO102" s="623"/>
      <c r="BP102" s="623"/>
      <c r="BQ102" s="623"/>
      <c r="BR102" s="623"/>
      <c r="BS102" s="623"/>
      <c r="BT102" s="623"/>
      <c r="BU102" s="623"/>
      <c r="BV102" s="623"/>
      <c r="BW102" s="623"/>
      <c r="BX102" s="623"/>
      <c r="BY102" s="623"/>
      <c r="BZ102" s="623"/>
      <c r="CA102" s="623"/>
      <c r="CB102" s="623"/>
      <c r="CC102" s="623"/>
      <c r="CD102" s="623"/>
      <c r="CE102" s="623"/>
      <c r="CF102" s="623"/>
      <c r="CG102" s="623"/>
      <c r="CH102" s="623"/>
      <c r="CI102" s="623"/>
      <c r="CJ102" s="623"/>
      <c r="CK102" s="623"/>
      <c r="CL102" s="623"/>
      <c r="CM102" s="623"/>
      <c r="CN102" s="623"/>
      <c r="CO102" s="623"/>
      <c r="CP102" s="623"/>
      <c r="CQ102" s="623"/>
      <c r="CR102" s="623"/>
      <c r="CS102" s="623"/>
      <c r="CT102" s="623"/>
      <c r="CU102" s="623"/>
      <c r="CV102" s="623"/>
      <c r="CW102" s="623"/>
      <c r="CX102" s="623"/>
      <c r="CY102" s="623"/>
      <c r="CZ102" s="623"/>
      <c r="DA102" s="623"/>
      <c r="DB102" s="623"/>
      <c r="DC102" s="623"/>
      <c r="DD102" s="623"/>
      <c r="DE102" s="623"/>
      <c r="DF102" s="623"/>
      <c r="DG102" s="623"/>
      <c r="DH102" s="623"/>
      <c r="DI102" s="623"/>
      <c r="DJ102" s="623"/>
      <c r="DK102" s="623"/>
      <c r="DL102" s="623"/>
      <c r="DM102" s="623"/>
      <c r="DN102" s="623"/>
      <c r="DO102" s="623"/>
      <c r="DP102" s="623"/>
      <c r="DQ102" s="623"/>
      <c r="DR102" s="623"/>
      <c r="DS102" s="623"/>
      <c r="DT102" s="623"/>
      <c r="DU102" s="623"/>
      <c r="DV102" s="623"/>
      <c r="DW102" s="623"/>
      <c r="DX102" s="623"/>
      <c r="DY102" s="623"/>
      <c r="DZ102" s="623"/>
      <c r="EA102" s="623"/>
      <c r="EB102" s="623"/>
      <c r="EC102" s="623"/>
      <c r="ED102" s="623"/>
      <c r="EE102" s="623"/>
      <c r="EF102" s="623"/>
      <c r="EG102" s="623"/>
      <c r="EH102" s="623"/>
      <c r="EI102" s="623"/>
      <c r="EJ102" s="623"/>
      <c r="EK102" s="623"/>
      <c r="EL102" s="623"/>
      <c r="EM102" s="623"/>
      <c r="EN102" s="623"/>
      <c r="EO102" s="623"/>
      <c r="EP102" s="623"/>
      <c r="EQ102" s="623"/>
      <c r="ER102" s="623"/>
      <c r="ES102" s="623"/>
      <c r="ET102" s="623"/>
      <c r="EU102" s="623"/>
      <c r="EV102" s="623"/>
      <c r="EW102" s="623"/>
      <c r="EX102" s="623"/>
      <c r="EY102" s="623"/>
      <c r="EZ102" s="623"/>
      <c r="FA102" s="623"/>
      <c r="FB102" s="623"/>
      <c r="FC102" s="623"/>
      <c r="FD102" s="623"/>
      <c r="FE102" s="623"/>
      <c r="FF102" s="623"/>
      <c r="FG102" s="623"/>
      <c r="FH102" s="623"/>
    </row>
    <row r="103" spans="1:164">
      <c r="A103" s="623" t="s">
        <v>4710</v>
      </c>
      <c r="B103" s="623" t="s">
        <v>5167</v>
      </c>
      <c r="C103" s="623" t="s">
        <v>5168</v>
      </c>
      <c r="D103" s="623"/>
      <c r="E103" s="623"/>
      <c r="F103" s="623"/>
      <c r="G103" s="623"/>
      <c r="H103" s="623"/>
      <c r="I103" s="623"/>
      <c r="J103" s="623"/>
      <c r="K103" s="623"/>
      <c r="L103" s="623"/>
      <c r="M103" s="623"/>
      <c r="N103" s="623"/>
      <c r="O103" s="623"/>
      <c r="P103" s="623"/>
      <c r="Q103" s="623"/>
      <c r="R103" s="623"/>
      <c r="S103" s="623"/>
      <c r="T103" s="623"/>
      <c r="U103" s="623"/>
      <c r="V103" s="623"/>
      <c r="W103" s="623"/>
      <c r="X103" s="623"/>
      <c r="Y103" s="623"/>
      <c r="Z103" s="623"/>
      <c r="AA103" s="623"/>
      <c r="AB103" s="623"/>
      <c r="AC103" s="623"/>
      <c r="AD103" s="623"/>
      <c r="AE103" s="623"/>
      <c r="AF103" s="623"/>
      <c r="AG103" s="623"/>
      <c r="AH103" s="623"/>
      <c r="AI103" s="623"/>
      <c r="AJ103" s="623"/>
      <c r="AK103" s="623"/>
      <c r="AL103" s="623"/>
      <c r="AM103" s="623"/>
      <c r="AN103" s="623"/>
      <c r="AO103" s="623"/>
      <c r="AP103" s="623"/>
      <c r="AQ103" s="623"/>
      <c r="AR103" s="623"/>
      <c r="AS103" s="623"/>
      <c r="AT103" s="623"/>
      <c r="AU103" s="623"/>
      <c r="AV103" s="623"/>
      <c r="AW103" s="623"/>
      <c r="AX103" s="623"/>
      <c r="AY103" s="623"/>
      <c r="AZ103" s="623"/>
      <c r="BA103" s="623"/>
      <c r="BB103" s="623"/>
      <c r="BC103" s="623"/>
      <c r="BD103" s="623"/>
      <c r="BE103" s="623"/>
      <c r="BF103" s="623"/>
      <c r="BG103" s="623"/>
      <c r="BH103" s="623"/>
      <c r="BI103" s="623"/>
      <c r="BJ103" s="623"/>
      <c r="BK103" s="623"/>
      <c r="BL103" s="623"/>
      <c r="BM103" s="623"/>
      <c r="BN103" s="623"/>
      <c r="BO103" s="623"/>
      <c r="BP103" s="623"/>
      <c r="BQ103" s="623"/>
      <c r="BR103" s="623"/>
      <c r="BS103" s="623"/>
      <c r="BT103" s="623"/>
      <c r="BU103" s="623"/>
      <c r="BV103" s="623"/>
      <c r="BW103" s="623"/>
      <c r="BX103" s="623"/>
      <c r="BY103" s="623"/>
      <c r="BZ103" s="623"/>
      <c r="CA103" s="623"/>
      <c r="CB103" s="623"/>
      <c r="CC103" s="623"/>
      <c r="CD103" s="623"/>
      <c r="CE103" s="623"/>
      <c r="CF103" s="623"/>
      <c r="CG103" s="623"/>
      <c r="CH103" s="623"/>
      <c r="CI103" s="623"/>
      <c r="CJ103" s="623"/>
      <c r="CK103" s="623"/>
      <c r="CL103" s="623"/>
      <c r="CM103" s="623"/>
      <c r="CN103" s="623"/>
      <c r="CO103" s="623"/>
      <c r="CP103" s="623"/>
      <c r="CQ103" s="623"/>
      <c r="CR103" s="623"/>
      <c r="CS103" s="623"/>
      <c r="CT103" s="623"/>
      <c r="CU103" s="623"/>
      <c r="CV103" s="623"/>
      <c r="CW103" s="623"/>
      <c r="CX103" s="623"/>
      <c r="CY103" s="623"/>
      <c r="CZ103" s="623"/>
      <c r="DA103" s="623"/>
      <c r="DB103" s="623"/>
      <c r="DC103" s="623"/>
      <c r="DD103" s="623"/>
      <c r="DE103" s="623"/>
      <c r="DF103" s="623"/>
      <c r="DG103" s="623"/>
      <c r="DH103" s="623"/>
      <c r="DI103" s="623"/>
      <c r="DJ103" s="623"/>
      <c r="DK103" s="623"/>
      <c r="DL103" s="623"/>
      <c r="DM103" s="623"/>
      <c r="DN103" s="623"/>
      <c r="DO103" s="623"/>
      <c r="DP103" s="623"/>
      <c r="DQ103" s="623"/>
      <c r="DR103" s="623"/>
      <c r="DS103" s="623"/>
      <c r="DT103" s="623"/>
      <c r="DU103" s="623"/>
      <c r="DV103" s="623"/>
      <c r="DW103" s="623"/>
      <c r="DX103" s="623"/>
      <c r="DY103" s="623"/>
      <c r="DZ103" s="623"/>
      <c r="EA103" s="623"/>
      <c r="EB103" s="623"/>
      <c r="EC103" s="623"/>
      <c r="ED103" s="623"/>
      <c r="EE103" s="623"/>
      <c r="EF103" s="623"/>
      <c r="EG103" s="623"/>
      <c r="EH103" s="623"/>
      <c r="EI103" s="623"/>
      <c r="EJ103" s="623"/>
      <c r="EK103" s="623"/>
      <c r="EL103" s="623"/>
      <c r="EM103" s="623"/>
      <c r="EN103" s="623"/>
      <c r="EO103" s="623"/>
      <c r="EP103" s="623"/>
      <c r="EQ103" s="623"/>
      <c r="ER103" s="623"/>
      <c r="ES103" s="623"/>
      <c r="ET103" s="623"/>
      <c r="EU103" s="623"/>
      <c r="EV103" s="623"/>
      <c r="EW103" s="623"/>
      <c r="EX103" s="623"/>
      <c r="EY103" s="623"/>
      <c r="EZ103" s="623"/>
      <c r="FA103" s="623"/>
      <c r="FB103" s="623"/>
      <c r="FC103" s="623"/>
      <c r="FD103" s="623"/>
      <c r="FE103" s="623"/>
      <c r="FF103" s="623"/>
      <c r="FG103" s="623"/>
      <c r="FH103" s="623"/>
    </row>
    <row r="104" spans="1:164">
      <c r="A104" s="623" t="s">
        <v>4711</v>
      </c>
      <c r="B104" s="623" t="s">
        <v>5169</v>
      </c>
      <c r="C104" s="623" t="s">
        <v>5170</v>
      </c>
      <c r="D104" s="623" t="s">
        <v>5171</v>
      </c>
      <c r="E104" s="623" t="s">
        <v>5172</v>
      </c>
      <c r="F104" s="623"/>
      <c r="G104" s="623"/>
      <c r="H104" s="623"/>
      <c r="I104" s="623"/>
      <c r="J104" s="623"/>
      <c r="K104" s="623"/>
      <c r="L104" s="623"/>
      <c r="M104" s="623"/>
      <c r="N104" s="623"/>
      <c r="O104" s="623"/>
      <c r="P104" s="623"/>
      <c r="Q104" s="623"/>
      <c r="R104" s="623"/>
      <c r="S104" s="623"/>
      <c r="T104" s="623"/>
      <c r="U104" s="623"/>
      <c r="V104" s="623"/>
      <c r="W104" s="623"/>
      <c r="X104" s="623"/>
      <c r="Y104" s="623"/>
      <c r="Z104" s="623"/>
      <c r="AA104" s="623"/>
      <c r="AB104" s="623"/>
      <c r="AC104" s="623"/>
      <c r="AD104" s="623"/>
      <c r="AE104" s="623"/>
      <c r="AF104" s="623"/>
      <c r="AG104" s="623"/>
      <c r="AH104" s="623"/>
      <c r="AI104" s="623"/>
      <c r="AJ104" s="623"/>
      <c r="AK104" s="623"/>
      <c r="AL104" s="623"/>
      <c r="AM104" s="623"/>
      <c r="AN104" s="623"/>
      <c r="AO104" s="623"/>
      <c r="AP104" s="623"/>
      <c r="AQ104" s="623"/>
      <c r="AR104" s="623"/>
      <c r="AS104" s="623"/>
      <c r="AT104" s="623"/>
      <c r="AU104" s="623"/>
      <c r="AV104" s="623"/>
      <c r="AW104" s="623"/>
      <c r="AX104" s="623"/>
      <c r="AY104" s="623"/>
      <c r="AZ104" s="623"/>
      <c r="BA104" s="623"/>
      <c r="BB104" s="623"/>
      <c r="BC104" s="623"/>
      <c r="BD104" s="623"/>
      <c r="BE104" s="623"/>
      <c r="BF104" s="623"/>
      <c r="BG104" s="623"/>
      <c r="BH104" s="623"/>
      <c r="BI104" s="623"/>
      <c r="BJ104" s="623"/>
      <c r="BK104" s="623"/>
      <c r="BL104" s="623"/>
      <c r="BM104" s="623"/>
      <c r="BN104" s="623"/>
      <c r="BO104" s="623"/>
      <c r="BP104" s="623"/>
      <c r="BQ104" s="623"/>
      <c r="BR104" s="623"/>
      <c r="BS104" s="623"/>
      <c r="BT104" s="623"/>
      <c r="BU104" s="623"/>
      <c r="BV104" s="623"/>
      <c r="BW104" s="623"/>
      <c r="BX104" s="623"/>
      <c r="BY104" s="623"/>
      <c r="BZ104" s="623"/>
      <c r="CA104" s="623"/>
      <c r="CB104" s="623"/>
      <c r="CC104" s="623"/>
      <c r="CD104" s="623"/>
      <c r="CE104" s="623"/>
      <c r="CF104" s="623"/>
      <c r="CG104" s="623"/>
      <c r="CH104" s="623"/>
      <c r="CI104" s="623"/>
      <c r="CJ104" s="623"/>
      <c r="CK104" s="623"/>
      <c r="CL104" s="623"/>
      <c r="CM104" s="623"/>
      <c r="CN104" s="623"/>
      <c r="CO104" s="623"/>
      <c r="CP104" s="623"/>
      <c r="CQ104" s="623"/>
      <c r="CR104" s="623"/>
      <c r="CS104" s="623"/>
      <c r="CT104" s="623"/>
      <c r="CU104" s="623"/>
      <c r="CV104" s="623"/>
      <c r="CW104" s="623"/>
      <c r="CX104" s="623"/>
      <c r="CY104" s="623"/>
      <c r="CZ104" s="623"/>
      <c r="DA104" s="623"/>
      <c r="DB104" s="623"/>
      <c r="DC104" s="623"/>
      <c r="DD104" s="623"/>
      <c r="DE104" s="623"/>
      <c r="DF104" s="623"/>
      <c r="DG104" s="623"/>
      <c r="DH104" s="623"/>
      <c r="DI104" s="623"/>
      <c r="DJ104" s="623"/>
      <c r="DK104" s="623"/>
      <c r="DL104" s="623"/>
      <c r="DM104" s="623"/>
      <c r="DN104" s="623"/>
      <c r="DO104" s="623"/>
      <c r="DP104" s="623"/>
      <c r="DQ104" s="623"/>
      <c r="DR104" s="623"/>
      <c r="DS104" s="623"/>
      <c r="DT104" s="623"/>
      <c r="DU104" s="623"/>
      <c r="DV104" s="623"/>
      <c r="DW104" s="623"/>
      <c r="DX104" s="623"/>
      <c r="DY104" s="623"/>
      <c r="DZ104" s="623"/>
      <c r="EA104" s="623"/>
      <c r="EB104" s="623"/>
      <c r="EC104" s="623"/>
      <c r="ED104" s="623"/>
      <c r="EE104" s="623"/>
      <c r="EF104" s="623"/>
      <c r="EG104" s="623"/>
      <c r="EH104" s="623"/>
      <c r="EI104" s="623"/>
      <c r="EJ104" s="623"/>
      <c r="EK104" s="623"/>
      <c r="EL104" s="623"/>
      <c r="EM104" s="623"/>
      <c r="EN104" s="623"/>
      <c r="EO104" s="623"/>
      <c r="EP104" s="623"/>
      <c r="EQ104" s="623"/>
      <c r="ER104" s="623"/>
      <c r="ES104" s="623"/>
      <c r="ET104" s="623"/>
      <c r="EU104" s="623"/>
      <c r="EV104" s="623"/>
      <c r="EW104" s="623"/>
      <c r="EX104" s="623"/>
      <c r="EY104" s="623"/>
      <c r="EZ104" s="623"/>
      <c r="FA104" s="623"/>
      <c r="FB104" s="623"/>
      <c r="FC104" s="623"/>
      <c r="FD104" s="623"/>
      <c r="FE104" s="623"/>
      <c r="FF104" s="623"/>
      <c r="FG104" s="623"/>
      <c r="FH104" s="623"/>
    </row>
    <row r="105" spans="1:164">
      <c r="A105" s="623" t="s">
        <v>4712</v>
      </c>
      <c r="B105" s="623" t="s">
        <v>5173</v>
      </c>
      <c r="C105" s="623" t="s">
        <v>5174</v>
      </c>
      <c r="D105" s="623" t="s">
        <v>5175</v>
      </c>
      <c r="E105" s="623" t="s">
        <v>5176</v>
      </c>
      <c r="F105" s="623" t="s">
        <v>5177</v>
      </c>
      <c r="G105" s="623"/>
      <c r="H105" s="623"/>
      <c r="I105" s="623"/>
      <c r="J105" s="623"/>
      <c r="K105" s="623"/>
      <c r="L105" s="623"/>
      <c r="M105" s="623"/>
      <c r="N105" s="623"/>
      <c r="O105" s="623"/>
      <c r="P105" s="623"/>
      <c r="Q105" s="623"/>
      <c r="R105" s="623"/>
      <c r="S105" s="623"/>
      <c r="T105" s="623"/>
      <c r="U105" s="623"/>
      <c r="V105" s="623"/>
      <c r="W105" s="623"/>
      <c r="X105" s="623"/>
      <c r="Y105" s="623"/>
      <c r="Z105" s="623"/>
      <c r="AA105" s="623"/>
      <c r="AB105" s="623"/>
      <c r="AC105" s="623"/>
      <c r="AD105" s="623"/>
      <c r="AE105" s="623"/>
      <c r="AF105" s="623"/>
      <c r="AG105" s="623"/>
      <c r="AH105" s="623"/>
      <c r="AI105" s="623"/>
      <c r="AJ105" s="623"/>
      <c r="AK105" s="623"/>
      <c r="AL105" s="623"/>
      <c r="AM105" s="623"/>
      <c r="AN105" s="623"/>
      <c r="AO105" s="623"/>
      <c r="AP105" s="623"/>
      <c r="AQ105" s="623"/>
      <c r="AR105" s="623"/>
      <c r="AS105" s="623"/>
      <c r="AT105" s="623"/>
      <c r="AU105" s="623"/>
      <c r="AV105" s="623"/>
      <c r="AW105" s="623"/>
      <c r="AX105" s="623"/>
      <c r="AY105" s="623"/>
      <c r="AZ105" s="623"/>
      <c r="BA105" s="623"/>
      <c r="BB105" s="623"/>
      <c r="BC105" s="623"/>
      <c r="BD105" s="623"/>
      <c r="BE105" s="623"/>
      <c r="BF105" s="623"/>
      <c r="BG105" s="623"/>
      <c r="BH105" s="623"/>
      <c r="BI105" s="623"/>
      <c r="BJ105" s="623"/>
      <c r="BK105" s="623"/>
      <c r="BL105" s="623"/>
      <c r="BM105" s="623"/>
      <c r="BN105" s="623"/>
      <c r="BO105" s="623"/>
      <c r="BP105" s="623"/>
      <c r="BQ105" s="623"/>
      <c r="BR105" s="623"/>
      <c r="BS105" s="623"/>
      <c r="BT105" s="623"/>
      <c r="BU105" s="623"/>
      <c r="BV105" s="623"/>
      <c r="BW105" s="623"/>
      <c r="BX105" s="623"/>
      <c r="BY105" s="623"/>
      <c r="BZ105" s="623"/>
      <c r="CA105" s="623"/>
      <c r="CB105" s="623"/>
      <c r="CC105" s="623"/>
      <c r="CD105" s="623"/>
      <c r="CE105" s="623"/>
      <c r="CF105" s="623"/>
      <c r="CG105" s="623"/>
      <c r="CH105" s="623"/>
      <c r="CI105" s="623"/>
      <c r="CJ105" s="623"/>
      <c r="CK105" s="623"/>
      <c r="CL105" s="623"/>
      <c r="CM105" s="623"/>
      <c r="CN105" s="623"/>
      <c r="CO105" s="623"/>
      <c r="CP105" s="623"/>
      <c r="CQ105" s="623"/>
      <c r="CR105" s="623"/>
      <c r="CS105" s="623"/>
      <c r="CT105" s="623"/>
      <c r="CU105" s="623"/>
      <c r="CV105" s="623"/>
      <c r="CW105" s="623"/>
      <c r="CX105" s="623"/>
      <c r="CY105" s="623"/>
      <c r="CZ105" s="623"/>
      <c r="DA105" s="623"/>
      <c r="DB105" s="623"/>
      <c r="DC105" s="623"/>
      <c r="DD105" s="623"/>
      <c r="DE105" s="623"/>
      <c r="DF105" s="623"/>
      <c r="DG105" s="623"/>
      <c r="DH105" s="623"/>
      <c r="DI105" s="623"/>
      <c r="DJ105" s="623"/>
      <c r="DK105" s="623"/>
      <c r="DL105" s="623"/>
      <c r="DM105" s="623"/>
      <c r="DN105" s="623"/>
      <c r="DO105" s="623"/>
      <c r="DP105" s="623"/>
      <c r="DQ105" s="623"/>
      <c r="DR105" s="623"/>
      <c r="DS105" s="623"/>
      <c r="DT105" s="623"/>
      <c r="DU105" s="623"/>
      <c r="DV105" s="623"/>
      <c r="DW105" s="623"/>
      <c r="DX105" s="623"/>
      <c r="DY105" s="623"/>
      <c r="DZ105" s="623"/>
      <c r="EA105" s="623"/>
      <c r="EB105" s="623"/>
      <c r="EC105" s="623"/>
      <c r="ED105" s="623"/>
      <c r="EE105" s="623"/>
      <c r="EF105" s="623"/>
      <c r="EG105" s="623"/>
      <c r="EH105" s="623"/>
      <c r="EI105" s="623"/>
      <c r="EJ105" s="623"/>
      <c r="EK105" s="623"/>
      <c r="EL105" s="623"/>
      <c r="EM105" s="623"/>
      <c r="EN105" s="623"/>
      <c r="EO105" s="623"/>
      <c r="EP105" s="623"/>
      <c r="EQ105" s="623"/>
      <c r="ER105" s="623"/>
      <c r="ES105" s="623"/>
      <c r="ET105" s="623"/>
      <c r="EU105" s="623"/>
      <c r="EV105" s="623"/>
      <c r="EW105" s="623"/>
      <c r="EX105" s="623"/>
      <c r="EY105" s="623"/>
      <c r="EZ105" s="623"/>
      <c r="FA105" s="623"/>
      <c r="FB105" s="623"/>
      <c r="FC105" s="623"/>
      <c r="FD105" s="623"/>
      <c r="FE105" s="623"/>
      <c r="FF105" s="623"/>
      <c r="FG105" s="623"/>
      <c r="FH105" s="623"/>
    </row>
    <row r="106" spans="1:164">
      <c r="A106" s="623" t="s">
        <v>5178</v>
      </c>
      <c r="B106" s="623" t="s">
        <v>5179</v>
      </c>
      <c r="C106" s="623" t="s">
        <v>622</v>
      </c>
      <c r="D106" s="623" t="s">
        <v>5180</v>
      </c>
      <c r="E106" s="623" t="s">
        <v>623</v>
      </c>
      <c r="F106" s="623" t="s">
        <v>202</v>
      </c>
      <c r="G106" s="623"/>
      <c r="H106" s="623"/>
      <c r="I106" s="623"/>
      <c r="J106" s="623"/>
      <c r="K106" s="623"/>
      <c r="L106" s="623"/>
      <c r="M106" s="623"/>
      <c r="N106" s="623"/>
      <c r="O106" s="623"/>
      <c r="P106" s="623"/>
      <c r="Q106" s="623"/>
      <c r="R106" s="623"/>
      <c r="S106" s="623"/>
      <c r="T106" s="623"/>
      <c r="U106" s="623"/>
      <c r="V106" s="623"/>
      <c r="W106" s="623"/>
      <c r="X106" s="623"/>
      <c r="Y106" s="623"/>
      <c r="Z106" s="623"/>
      <c r="AA106" s="623"/>
      <c r="AB106" s="623"/>
      <c r="AC106" s="623"/>
      <c r="AD106" s="623"/>
      <c r="AE106" s="623"/>
      <c r="AF106" s="623"/>
      <c r="AG106" s="623"/>
      <c r="AH106" s="623"/>
      <c r="AI106" s="623"/>
      <c r="AJ106" s="623"/>
      <c r="AK106" s="623"/>
      <c r="AL106" s="623"/>
      <c r="AM106" s="623"/>
      <c r="AN106" s="623"/>
      <c r="AO106" s="623"/>
      <c r="AP106" s="623"/>
      <c r="AQ106" s="623"/>
      <c r="AR106" s="623"/>
      <c r="AS106" s="623"/>
      <c r="AT106" s="623"/>
      <c r="AU106" s="623"/>
      <c r="AV106" s="623"/>
      <c r="AW106" s="623"/>
      <c r="AX106" s="623"/>
      <c r="AY106" s="623"/>
      <c r="AZ106" s="623"/>
      <c r="BA106" s="623"/>
      <c r="BB106" s="623"/>
      <c r="BC106" s="623"/>
      <c r="BD106" s="623"/>
      <c r="BE106" s="623"/>
      <c r="BF106" s="623"/>
      <c r="BG106" s="623"/>
      <c r="BH106" s="623"/>
      <c r="BI106" s="623"/>
      <c r="BJ106" s="623"/>
      <c r="BK106" s="623"/>
      <c r="BL106" s="623"/>
      <c r="BM106" s="623"/>
      <c r="BN106" s="623"/>
      <c r="BO106" s="623"/>
      <c r="BP106" s="623"/>
      <c r="BQ106" s="623"/>
      <c r="BR106" s="623"/>
      <c r="BS106" s="623"/>
      <c r="BT106" s="623"/>
      <c r="BU106" s="623"/>
      <c r="BV106" s="623"/>
      <c r="BW106" s="623"/>
      <c r="BX106" s="623"/>
      <c r="BY106" s="623"/>
      <c r="BZ106" s="623"/>
      <c r="CA106" s="623"/>
      <c r="CB106" s="623"/>
      <c r="CC106" s="623"/>
      <c r="CD106" s="623"/>
      <c r="CE106" s="623"/>
      <c r="CF106" s="623"/>
      <c r="CG106" s="623"/>
      <c r="CH106" s="623"/>
      <c r="CI106" s="623"/>
      <c r="CJ106" s="623"/>
      <c r="CK106" s="623"/>
      <c r="CL106" s="623"/>
      <c r="CM106" s="623"/>
      <c r="CN106" s="623"/>
      <c r="CO106" s="623"/>
      <c r="CP106" s="623"/>
      <c r="CQ106" s="623"/>
      <c r="CR106" s="623"/>
      <c r="CS106" s="623"/>
      <c r="CT106" s="623"/>
      <c r="CU106" s="623"/>
      <c r="CV106" s="623"/>
      <c r="CW106" s="623"/>
      <c r="CX106" s="623"/>
      <c r="CY106" s="623"/>
      <c r="CZ106" s="623"/>
      <c r="DA106" s="623"/>
      <c r="DB106" s="623"/>
      <c r="DC106" s="623"/>
      <c r="DD106" s="623"/>
      <c r="DE106" s="623"/>
      <c r="DF106" s="623"/>
      <c r="DG106" s="623"/>
      <c r="DH106" s="623"/>
      <c r="DI106" s="623"/>
      <c r="DJ106" s="623"/>
      <c r="DK106" s="623"/>
      <c r="DL106" s="623"/>
      <c r="DM106" s="623"/>
      <c r="DN106" s="623"/>
      <c r="DO106" s="623"/>
      <c r="DP106" s="623"/>
      <c r="DQ106" s="623"/>
      <c r="DR106" s="623"/>
      <c r="DS106" s="623"/>
      <c r="DT106" s="623"/>
      <c r="DU106" s="623"/>
      <c r="DV106" s="623"/>
      <c r="DW106" s="623"/>
      <c r="DX106" s="623"/>
      <c r="DY106" s="623"/>
      <c r="DZ106" s="623"/>
      <c r="EA106" s="623"/>
      <c r="EB106" s="623"/>
      <c r="EC106" s="623"/>
      <c r="ED106" s="623"/>
      <c r="EE106" s="623"/>
      <c r="EF106" s="623"/>
      <c r="EG106" s="623"/>
      <c r="EH106" s="623"/>
      <c r="EI106" s="623"/>
      <c r="EJ106" s="623"/>
      <c r="EK106" s="623"/>
      <c r="EL106" s="623"/>
      <c r="EM106" s="623"/>
      <c r="EN106" s="623"/>
      <c r="EO106" s="623"/>
      <c r="EP106" s="623"/>
      <c r="EQ106" s="623"/>
      <c r="ER106" s="623"/>
      <c r="ES106" s="623"/>
      <c r="ET106" s="623"/>
      <c r="EU106" s="623"/>
      <c r="EV106" s="623"/>
      <c r="EW106" s="623"/>
      <c r="EX106" s="623"/>
      <c r="EY106" s="623"/>
      <c r="EZ106" s="623"/>
      <c r="FA106" s="623"/>
      <c r="FB106" s="623"/>
      <c r="FC106" s="623"/>
      <c r="FD106" s="623"/>
      <c r="FE106" s="623"/>
      <c r="FF106" s="623"/>
      <c r="FG106" s="623"/>
      <c r="FH106" s="623"/>
    </row>
    <row r="107" spans="1:164">
      <c r="A107" s="623" t="s">
        <v>5181</v>
      </c>
      <c r="B107" s="623" t="s">
        <v>621</v>
      </c>
      <c r="C107" s="623" t="s">
        <v>622</v>
      </c>
      <c r="D107" s="623" t="s">
        <v>623</v>
      </c>
      <c r="E107" s="623" t="s">
        <v>624</v>
      </c>
      <c r="F107" s="623" t="s">
        <v>625</v>
      </c>
      <c r="G107" s="623" t="s">
        <v>4718</v>
      </c>
      <c r="H107" s="623"/>
      <c r="I107" s="623"/>
      <c r="J107" s="623"/>
      <c r="K107" s="623"/>
      <c r="L107" s="623"/>
      <c r="M107" s="623"/>
      <c r="N107" s="623"/>
      <c r="O107" s="623"/>
      <c r="P107" s="623"/>
      <c r="Q107" s="623"/>
      <c r="R107" s="623"/>
      <c r="S107" s="623"/>
      <c r="T107" s="623"/>
      <c r="U107" s="623"/>
      <c r="V107" s="623"/>
      <c r="W107" s="623"/>
      <c r="X107" s="623"/>
      <c r="Y107" s="623"/>
      <c r="Z107" s="623"/>
      <c r="AA107" s="623"/>
      <c r="AB107" s="623"/>
      <c r="AC107" s="623"/>
      <c r="AD107" s="623"/>
      <c r="AE107" s="623"/>
      <c r="AF107" s="623"/>
      <c r="AG107" s="623"/>
      <c r="AH107" s="623"/>
      <c r="AI107" s="623"/>
      <c r="AJ107" s="623"/>
      <c r="AK107" s="623"/>
      <c r="AL107" s="623"/>
      <c r="AM107" s="623"/>
      <c r="AN107" s="623"/>
      <c r="AO107" s="623"/>
      <c r="AP107" s="623"/>
      <c r="AQ107" s="623"/>
      <c r="AR107" s="623"/>
      <c r="AS107" s="623"/>
      <c r="AT107" s="623"/>
      <c r="AU107" s="623"/>
      <c r="AV107" s="623"/>
      <c r="AW107" s="623"/>
      <c r="AX107" s="623"/>
      <c r="AY107" s="623"/>
      <c r="AZ107" s="623"/>
      <c r="BA107" s="623"/>
      <c r="BB107" s="623"/>
      <c r="BC107" s="623"/>
      <c r="BD107" s="623"/>
      <c r="BE107" s="623"/>
      <c r="BF107" s="623"/>
      <c r="BG107" s="623"/>
      <c r="BH107" s="623"/>
      <c r="BI107" s="623"/>
      <c r="BJ107" s="623"/>
      <c r="BK107" s="623"/>
      <c r="BL107" s="623"/>
      <c r="BM107" s="623"/>
      <c r="BN107" s="623"/>
      <c r="BO107" s="623"/>
      <c r="BP107" s="623"/>
      <c r="BQ107" s="623"/>
      <c r="BR107" s="623"/>
      <c r="BS107" s="623"/>
      <c r="BT107" s="623"/>
      <c r="BU107" s="623"/>
      <c r="BV107" s="623"/>
      <c r="BW107" s="623"/>
      <c r="BX107" s="623"/>
      <c r="BY107" s="623"/>
      <c r="BZ107" s="623"/>
      <c r="CA107" s="623"/>
      <c r="CB107" s="623"/>
      <c r="CC107" s="623"/>
      <c r="CD107" s="623"/>
      <c r="CE107" s="623"/>
      <c r="CF107" s="623"/>
      <c r="CG107" s="623"/>
      <c r="CH107" s="623"/>
      <c r="CI107" s="623"/>
      <c r="CJ107" s="623"/>
      <c r="CK107" s="623"/>
      <c r="CL107" s="623"/>
      <c r="CM107" s="623"/>
      <c r="CN107" s="623"/>
      <c r="CO107" s="623"/>
      <c r="CP107" s="623"/>
      <c r="CQ107" s="623"/>
      <c r="CR107" s="623"/>
      <c r="CS107" s="623"/>
      <c r="CT107" s="623"/>
      <c r="CU107" s="623"/>
      <c r="CV107" s="623"/>
      <c r="CW107" s="623"/>
      <c r="CX107" s="623"/>
      <c r="CY107" s="623"/>
      <c r="CZ107" s="623"/>
      <c r="DA107" s="623"/>
      <c r="DB107" s="623"/>
      <c r="DC107" s="623"/>
      <c r="DD107" s="623"/>
      <c r="DE107" s="623"/>
      <c r="DF107" s="623"/>
      <c r="DG107" s="623"/>
      <c r="DH107" s="623"/>
      <c r="DI107" s="623"/>
      <c r="DJ107" s="623"/>
      <c r="DK107" s="623"/>
      <c r="DL107" s="623"/>
      <c r="DM107" s="623"/>
      <c r="DN107" s="623"/>
      <c r="DO107" s="623"/>
      <c r="DP107" s="623"/>
      <c r="DQ107" s="623"/>
      <c r="DR107" s="623"/>
      <c r="DS107" s="623"/>
      <c r="DT107" s="623"/>
      <c r="DU107" s="623"/>
      <c r="DV107" s="623"/>
      <c r="DW107" s="623"/>
      <c r="DX107" s="623"/>
      <c r="DY107" s="623"/>
      <c r="DZ107" s="623"/>
      <c r="EA107" s="623"/>
      <c r="EB107" s="623"/>
      <c r="EC107" s="623"/>
      <c r="ED107" s="623"/>
      <c r="EE107" s="623"/>
      <c r="EF107" s="623"/>
      <c r="EG107" s="623"/>
      <c r="EH107" s="623"/>
      <c r="EI107" s="623"/>
      <c r="EJ107" s="623"/>
      <c r="EK107" s="623"/>
      <c r="EL107" s="623"/>
      <c r="EM107" s="623"/>
      <c r="EN107" s="623"/>
      <c r="EO107" s="623"/>
      <c r="EP107" s="623"/>
      <c r="EQ107" s="623"/>
      <c r="ER107" s="623"/>
      <c r="ES107" s="623"/>
      <c r="ET107" s="623"/>
      <c r="EU107" s="623"/>
      <c r="EV107" s="623"/>
      <c r="EW107" s="623"/>
      <c r="EX107" s="623"/>
      <c r="EY107" s="623"/>
      <c r="EZ107" s="623"/>
      <c r="FA107" s="623"/>
      <c r="FB107" s="623"/>
      <c r="FC107" s="623"/>
      <c r="FD107" s="623"/>
      <c r="FE107" s="623"/>
      <c r="FF107" s="623"/>
      <c r="FG107" s="623"/>
      <c r="FH107" s="623"/>
    </row>
    <row r="108" spans="1:164">
      <c r="A108" s="623" t="s">
        <v>5182</v>
      </c>
      <c r="B108" s="623" t="s">
        <v>57</v>
      </c>
      <c r="C108" s="623" t="s">
        <v>58</v>
      </c>
      <c r="D108" s="623" t="s">
        <v>2909</v>
      </c>
      <c r="E108" s="623" t="s">
        <v>2911</v>
      </c>
      <c r="F108" s="623" t="s">
        <v>59</v>
      </c>
      <c r="G108" s="623" t="s">
        <v>61</v>
      </c>
      <c r="H108" s="623" t="s">
        <v>64</v>
      </c>
      <c r="I108" s="623" t="s">
        <v>2914</v>
      </c>
      <c r="J108" s="623" t="s">
        <v>62</v>
      </c>
      <c r="K108" s="623" t="s">
        <v>2916</v>
      </c>
      <c r="L108" s="623" t="s">
        <v>2918</v>
      </c>
      <c r="M108" s="623" t="s">
        <v>937</v>
      </c>
      <c r="N108" s="623" t="s">
        <v>2922</v>
      </c>
      <c r="O108" s="623" t="s">
        <v>2872</v>
      </c>
      <c r="P108" s="623" t="s">
        <v>703</v>
      </c>
      <c r="Q108" s="623" t="s">
        <v>780</v>
      </c>
      <c r="R108" s="623" t="s">
        <v>777</v>
      </c>
      <c r="S108" s="623" t="s">
        <v>988</v>
      </c>
      <c r="T108" s="623" t="s">
        <v>781</v>
      </c>
      <c r="U108" s="623" t="s">
        <v>2924</v>
      </c>
      <c r="V108" s="623" t="s">
        <v>2926</v>
      </c>
      <c r="W108" s="623" t="s">
        <v>1021</v>
      </c>
      <c r="X108" s="623" t="s">
        <v>1030</v>
      </c>
      <c r="Y108" s="623" t="s">
        <v>2929</v>
      </c>
      <c r="Z108" s="623" t="s">
        <v>2931</v>
      </c>
      <c r="AA108" s="623" t="s">
        <v>1013</v>
      </c>
      <c r="AB108" s="623" t="s">
        <v>4148</v>
      </c>
      <c r="AC108" s="623" t="s">
        <v>4149</v>
      </c>
      <c r="AD108" s="623" t="s">
        <v>4143</v>
      </c>
      <c r="AE108" s="623" t="s">
        <v>788</v>
      </c>
      <c r="AF108" s="623" t="s">
        <v>512</v>
      </c>
      <c r="AG108" s="623" t="s">
        <v>4766</v>
      </c>
      <c r="AH108" s="623" t="s">
        <v>4765</v>
      </c>
      <c r="AI108" s="623" t="s">
        <v>4767</v>
      </c>
      <c r="AJ108" s="623" t="s">
        <v>2272</v>
      </c>
      <c r="AK108" s="623" t="s">
        <v>1107</v>
      </c>
      <c r="AL108" s="623" t="s">
        <v>4768</v>
      </c>
      <c r="AM108" s="623"/>
      <c r="AN108" s="623"/>
      <c r="AO108" s="623"/>
      <c r="AP108" s="623"/>
      <c r="AQ108" s="623"/>
      <c r="AR108" s="623"/>
      <c r="AS108" s="623"/>
      <c r="AT108" s="623"/>
      <c r="AU108" s="623"/>
      <c r="AV108" s="623"/>
      <c r="AW108" s="623"/>
      <c r="AX108" s="623"/>
      <c r="AY108" s="623"/>
      <c r="AZ108" s="623"/>
      <c r="BA108" s="623"/>
      <c r="BB108" s="623"/>
      <c r="BC108" s="623"/>
      <c r="BD108" s="623"/>
      <c r="BE108" s="623"/>
      <c r="BF108" s="623"/>
      <c r="BG108" s="623"/>
      <c r="BH108" s="623"/>
      <c r="BI108" s="623"/>
      <c r="BJ108" s="623"/>
      <c r="BK108" s="623"/>
      <c r="BL108" s="623"/>
      <c r="BM108" s="623"/>
      <c r="BN108" s="623"/>
      <c r="BO108" s="623"/>
      <c r="BP108" s="623"/>
      <c r="BQ108" s="623"/>
      <c r="BR108" s="623"/>
      <c r="BS108" s="623"/>
      <c r="BT108" s="623"/>
      <c r="BU108" s="623"/>
      <c r="BV108" s="623"/>
      <c r="BW108" s="623"/>
      <c r="BX108" s="623"/>
      <c r="BY108" s="623"/>
      <c r="BZ108" s="623"/>
      <c r="CA108" s="623"/>
      <c r="CB108" s="623"/>
      <c r="CC108" s="623"/>
      <c r="CD108" s="623"/>
      <c r="CE108" s="623"/>
      <c r="CF108" s="623"/>
      <c r="CG108" s="623"/>
      <c r="CH108" s="623"/>
      <c r="CI108" s="623"/>
      <c r="CJ108" s="623"/>
      <c r="CK108" s="623"/>
      <c r="CL108" s="623"/>
      <c r="CM108" s="623"/>
      <c r="CN108" s="623"/>
      <c r="CO108" s="623"/>
      <c r="CP108" s="623"/>
      <c r="CQ108" s="623"/>
      <c r="CR108" s="623"/>
      <c r="CS108" s="623"/>
      <c r="CT108" s="623"/>
      <c r="CU108" s="623"/>
      <c r="CV108" s="623"/>
      <c r="CW108" s="623"/>
      <c r="CX108" s="623"/>
      <c r="CY108" s="623"/>
      <c r="CZ108" s="623"/>
      <c r="DA108" s="623"/>
      <c r="DB108" s="623"/>
      <c r="DC108" s="623"/>
      <c r="DD108" s="623"/>
      <c r="DE108" s="623"/>
      <c r="DF108" s="623"/>
      <c r="DG108" s="623"/>
      <c r="DH108" s="623"/>
      <c r="DI108" s="623"/>
      <c r="DJ108" s="623"/>
      <c r="DK108" s="623"/>
      <c r="DL108" s="623"/>
      <c r="DM108" s="623"/>
      <c r="DN108" s="623"/>
      <c r="DO108" s="623"/>
      <c r="DP108" s="623"/>
      <c r="DQ108" s="623"/>
      <c r="DR108" s="623"/>
      <c r="DS108" s="623"/>
      <c r="DT108" s="623"/>
      <c r="DU108" s="623"/>
      <c r="DV108" s="623"/>
      <c r="DW108" s="623"/>
      <c r="DX108" s="623"/>
      <c r="DY108" s="623"/>
      <c r="DZ108" s="623"/>
      <c r="EA108" s="623"/>
      <c r="EB108" s="623"/>
      <c r="EC108" s="623"/>
      <c r="ED108" s="623"/>
      <c r="EE108" s="623"/>
      <c r="EF108" s="623"/>
      <c r="EG108" s="623"/>
      <c r="EH108" s="623"/>
      <c r="EI108" s="623"/>
      <c r="EJ108" s="623"/>
      <c r="EK108" s="623"/>
      <c r="EL108" s="623"/>
      <c r="EM108" s="623"/>
      <c r="EN108" s="623"/>
      <c r="EO108" s="623"/>
      <c r="EP108" s="623"/>
      <c r="EQ108" s="623"/>
      <c r="ER108" s="623"/>
      <c r="ES108" s="623"/>
      <c r="ET108" s="623"/>
      <c r="EU108" s="623"/>
      <c r="EV108" s="623"/>
      <c r="EW108" s="623"/>
      <c r="EX108" s="623"/>
      <c r="EY108" s="623"/>
      <c r="EZ108" s="623"/>
      <c r="FA108" s="623"/>
      <c r="FB108" s="623"/>
      <c r="FC108" s="623"/>
      <c r="FD108" s="623"/>
      <c r="FE108" s="623"/>
      <c r="FF108" s="623"/>
      <c r="FG108" s="623"/>
      <c r="FH108" s="623"/>
    </row>
    <row r="109" spans="1:164">
      <c r="A109" s="623" t="s">
        <v>5183</v>
      </c>
      <c r="B109" s="623" t="s">
        <v>4769</v>
      </c>
      <c r="C109" s="623" t="s">
        <v>4770</v>
      </c>
      <c r="D109" s="623" t="s">
        <v>4771</v>
      </c>
      <c r="E109" s="623" t="s">
        <v>4772</v>
      </c>
      <c r="F109" s="623" t="s">
        <v>4773</v>
      </c>
      <c r="G109" s="623" t="s">
        <v>4774</v>
      </c>
      <c r="H109" s="623"/>
      <c r="I109" s="623" t="s">
        <v>4457</v>
      </c>
      <c r="J109" s="623" t="s">
        <v>4458</v>
      </c>
      <c r="K109" s="623" t="s">
        <v>4459</v>
      </c>
      <c r="L109" s="623"/>
      <c r="M109" s="623"/>
      <c r="N109" s="623"/>
      <c r="O109" s="623"/>
      <c r="P109" s="623"/>
      <c r="Q109" s="623"/>
      <c r="R109" s="623"/>
      <c r="S109" s="623"/>
      <c r="T109" s="623"/>
      <c r="U109" s="623"/>
      <c r="V109" s="623"/>
      <c r="W109" s="623"/>
      <c r="X109" s="623"/>
      <c r="Y109" s="623"/>
      <c r="Z109" s="623"/>
      <c r="AA109" s="623"/>
      <c r="AB109" s="623"/>
      <c r="AC109" s="623"/>
      <c r="AD109" s="623"/>
      <c r="AE109" s="623"/>
      <c r="AF109" s="623"/>
      <c r="AG109" s="623"/>
      <c r="AH109" s="623"/>
      <c r="AI109" s="623"/>
      <c r="AJ109" s="623"/>
      <c r="AK109" s="623"/>
      <c r="AL109" s="623"/>
      <c r="AM109" s="623"/>
      <c r="AN109" s="623"/>
      <c r="AO109" s="623"/>
      <c r="AP109" s="623"/>
      <c r="AQ109" s="623"/>
      <c r="AR109" s="623"/>
      <c r="AS109" s="623"/>
      <c r="AT109" s="623"/>
      <c r="AU109" s="623"/>
      <c r="AV109" s="623"/>
      <c r="AW109" s="623"/>
      <c r="AX109" s="623"/>
      <c r="AY109" s="623"/>
      <c r="AZ109" s="623"/>
      <c r="BA109" s="623"/>
      <c r="BB109" s="623"/>
      <c r="BC109" s="623"/>
      <c r="BD109" s="623"/>
      <c r="BE109" s="623"/>
      <c r="BF109" s="623"/>
      <c r="BG109" s="623"/>
      <c r="BH109" s="623"/>
      <c r="BI109" s="623"/>
      <c r="BJ109" s="623"/>
      <c r="BK109" s="623"/>
      <c r="BL109" s="623"/>
      <c r="BM109" s="623"/>
      <c r="BN109" s="623"/>
      <c r="BO109" s="623"/>
      <c r="BP109" s="623"/>
      <c r="BQ109" s="623"/>
      <c r="BR109" s="623"/>
      <c r="BS109" s="623"/>
      <c r="BT109" s="623"/>
      <c r="BU109" s="623"/>
      <c r="BV109" s="623"/>
      <c r="BW109" s="623"/>
      <c r="BX109" s="623"/>
      <c r="BY109" s="623"/>
      <c r="BZ109" s="623"/>
      <c r="CA109" s="623"/>
      <c r="CB109" s="623"/>
      <c r="CC109" s="623"/>
      <c r="CD109" s="623"/>
      <c r="CE109" s="623"/>
      <c r="CF109" s="623"/>
      <c r="CG109" s="623"/>
      <c r="CH109" s="623"/>
      <c r="CI109" s="623"/>
      <c r="CJ109" s="623"/>
      <c r="CK109" s="623"/>
      <c r="CL109" s="623"/>
      <c r="CM109" s="623"/>
      <c r="CN109" s="623"/>
      <c r="CO109" s="623"/>
      <c r="CP109" s="623"/>
      <c r="CQ109" s="623"/>
      <c r="CR109" s="623"/>
      <c r="CS109" s="623"/>
      <c r="CT109" s="623"/>
      <c r="CU109" s="623"/>
      <c r="CV109" s="623"/>
      <c r="CW109" s="623"/>
      <c r="CX109" s="623"/>
      <c r="CY109" s="623"/>
      <c r="CZ109" s="623"/>
      <c r="DA109" s="623"/>
      <c r="DB109" s="623"/>
      <c r="DC109" s="623"/>
      <c r="DD109" s="623"/>
      <c r="DE109" s="623"/>
      <c r="DF109" s="623"/>
      <c r="DG109" s="623"/>
      <c r="DH109" s="623"/>
      <c r="DI109" s="623"/>
      <c r="DJ109" s="623"/>
      <c r="DK109" s="623"/>
      <c r="DL109" s="623"/>
      <c r="DM109" s="623"/>
      <c r="DN109" s="623"/>
      <c r="DO109" s="623"/>
      <c r="DP109" s="623"/>
      <c r="DQ109" s="623"/>
      <c r="DR109" s="623"/>
      <c r="DS109" s="623"/>
      <c r="DT109" s="623"/>
      <c r="DU109" s="623"/>
      <c r="DV109" s="623"/>
      <c r="DW109" s="623"/>
      <c r="DX109" s="623"/>
      <c r="DY109" s="623"/>
      <c r="DZ109" s="623"/>
      <c r="EA109" s="623"/>
      <c r="EB109" s="623"/>
      <c r="EC109" s="623"/>
      <c r="ED109" s="623"/>
      <c r="EE109" s="623"/>
      <c r="EF109" s="623"/>
      <c r="EG109" s="623"/>
      <c r="EH109" s="623"/>
      <c r="EI109" s="623"/>
      <c r="EJ109" s="623"/>
      <c r="EK109" s="623"/>
      <c r="EL109" s="623"/>
      <c r="EM109" s="623"/>
      <c r="EN109" s="623"/>
      <c r="EO109" s="623"/>
      <c r="EP109" s="623"/>
      <c r="EQ109" s="623"/>
      <c r="ER109" s="623"/>
      <c r="ES109" s="623"/>
      <c r="ET109" s="623"/>
      <c r="EU109" s="623"/>
      <c r="EV109" s="623"/>
      <c r="EW109" s="623"/>
      <c r="EX109" s="623"/>
      <c r="EY109" s="623"/>
      <c r="EZ109" s="623"/>
      <c r="FA109" s="623"/>
      <c r="FB109" s="623"/>
      <c r="FC109" s="623"/>
      <c r="FD109" s="623"/>
      <c r="FE109" s="623"/>
      <c r="FF109" s="623"/>
      <c r="FG109" s="623"/>
      <c r="FH109" s="623"/>
    </row>
  </sheetData>
  <phoneticPr fontId="1" type="noConversion"/>
  <pageMargins left="0.7" right="0.7" top="0.75" bottom="0.75" header="0.3" footer="0.3"/>
  <pageSetup paperSize="9" orientation="portrait" verticalDpi="0" r:id="rId1"/>
  <tableParts count="1">
    <tablePart r:id="rId2"/>
  </tableParts>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sheetPr codeName="Sheet421"/>
  <dimension ref="A1:E12"/>
  <sheetViews>
    <sheetView tabSelected="1" workbookViewId="0">
      <selection activeCell="G22" sqref="G22"/>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4778</v>
      </c>
      <c r="B1" t="s">
        <v>4779</v>
      </c>
      <c r="C1" t="s">
        <v>4780</v>
      </c>
      <c r="D1" t="s">
        <v>4781</v>
      </c>
      <c r="E1" t="s">
        <v>4782</v>
      </c>
    </row>
    <row r="2" spans="1:5">
      <c r="A2" s="623" t="s">
        <v>4783</v>
      </c>
      <c r="B2" s="623" t="s">
        <v>4005</v>
      </c>
      <c r="C2" s="623" t="s">
        <v>4006</v>
      </c>
      <c r="D2" s="623"/>
      <c r="E2" s="623"/>
    </row>
    <row r="3" spans="1:5">
      <c r="A3" s="623" t="s">
        <v>4784</v>
      </c>
      <c r="B3" s="623" t="s">
        <v>4785</v>
      </c>
      <c r="C3" s="623" t="s">
        <v>4008</v>
      </c>
      <c r="D3" s="623" t="s">
        <v>4008</v>
      </c>
      <c r="E3" s="623"/>
    </row>
    <row r="4" spans="1:5">
      <c r="A4" s="623" t="s">
        <v>4786</v>
      </c>
      <c r="B4" s="623" t="s">
        <v>4787</v>
      </c>
      <c r="C4" s="623" t="s">
        <v>4014</v>
      </c>
      <c r="D4" s="623"/>
      <c r="E4" s="623"/>
    </row>
    <row r="5" spans="1:5">
      <c r="A5" s="623" t="s">
        <v>4788</v>
      </c>
      <c r="B5" s="623" t="s">
        <v>4789</v>
      </c>
      <c r="C5" s="623" t="s">
        <v>4024</v>
      </c>
      <c r="D5" s="623" t="s">
        <v>4025</v>
      </c>
      <c r="E5" s="623"/>
    </row>
    <row r="6" spans="1:5">
      <c r="A6" s="623" t="s">
        <v>4790</v>
      </c>
      <c r="B6" s="623" t="s">
        <v>4791</v>
      </c>
      <c r="C6" s="623" t="s">
        <v>4028</v>
      </c>
      <c r="D6" s="623" t="s">
        <v>4792</v>
      </c>
      <c r="E6" s="623"/>
    </row>
    <row r="7" spans="1:5">
      <c r="A7" s="623" t="s">
        <v>4793</v>
      </c>
      <c r="B7" s="623" t="s">
        <v>4794</v>
      </c>
      <c r="C7" s="623" t="s">
        <v>4030</v>
      </c>
      <c r="D7" s="623" t="s">
        <v>4795</v>
      </c>
      <c r="E7" s="623"/>
    </row>
    <row r="8" spans="1:5">
      <c r="A8" s="623" t="s">
        <v>4796</v>
      </c>
      <c r="B8" s="623" t="s">
        <v>4797</v>
      </c>
      <c r="C8" s="623" t="s">
        <v>4051</v>
      </c>
      <c r="D8" s="623" t="s">
        <v>4798</v>
      </c>
      <c r="E8" s="623"/>
    </row>
    <row r="9" spans="1:5">
      <c r="A9" s="623" t="s">
        <v>4799</v>
      </c>
      <c r="B9" s="623" t="s">
        <v>4053</v>
      </c>
      <c r="C9" s="623" t="s">
        <v>4800</v>
      </c>
      <c r="D9" s="623"/>
      <c r="E9" s="623"/>
    </row>
    <row r="10" spans="1:5">
      <c r="A10" s="623" t="s">
        <v>4801</v>
      </c>
      <c r="B10" s="623" t="s">
        <v>4802</v>
      </c>
      <c r="C10" s="623" t="s">
        <v>4055</v>
      </c>
      <c r="D10" s="623" t="s">
        <v>4803</v>
      </c>
      <c r="E10" s="623"/>
    </row>
    <row r="11" spans="1:5">
      <c r="A11" s="623" t="s">
        <v>4804</v>
      </c>
      <c r="B11" s="623" t="s">
        <v>4057</v>
      </c>
      <c r="C11" s="623" t="s">
        <v>4805</v>
      </c>
      <c r="D11" s="623"/>
      <c r="E11" s="623"/>
    </row>
    <row r="12" spans="1:5">
      <c r="A12" s="623" t="s">
        <v>4806</v>
      </c>
      <c r="B12" s="623" t="s">
        <v>4089</v>
      </c>
      <c r="C12" s="623" t="s">
        <v>4090</v>
      </c>
      <c r="D12" s="623"/>
      <c r="E12" s="623"/>
    </row>
  </sheetData>
  <phoneticPr fontId="1" type="noConversion"/>
  <pageMargins left="0.7" right="0.7" top="0.75" bottom="0.75" header="0.3" footer="0.3"/>
  <pageSetup paperSize="9" orientation="portrait" verticalDpi="0" r:id="rId1"/>
  <tableParts count="1">
    <tablePart r:id="rId2"/>
  </tableParts>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E398-49F3-4AF5-8F10-B6761F10EEDF}">
  <sheetPr codeName="Sheet422"/>
  <dimension ref="A1:B197"/>
  <sheetViews>
    <sheetView workbookViewId="0">
      <selection activeCell="B1" sqref="A1:B1048576"/>
    </sheetView>
  </sheetViews>
  <sheetFormatPr defaultRowHeight="13.8"/>
  <cols>
    <col min="1" max="1" width="68.77734375" bestFit="1" customWidth="1"/>
    <col min="2" max="2" width="16.77734375" bestFit="1" customWidth="1"/>
    <col min="4" max="4" width="9.109375" bestFit="1" customWidth="1"/>
  </cols>
  <sheetData>
    <row r="1" spans="1:2">
      <c r="A1" t="s">
        <v>5648</v>
      </c>
      <c r="B1" t="s">
        <v>5487</v>
      </c>
    </row>
    <row r="2" spans="1:2">
      <c r="A2" t="s">
        <v>5488</v>
      </c>
      <c r="B2">
        <v>20</v>
      </c>
    </row>
    <row r="3" spans="1:2">
      <c r="A3" t="s">
        <v>5489</v>
      </c>
      <c r="B3">
        <v>10</v>
      </c>
    </row>
    <row r="4" spans="1:2">
      <c r="A4" t="s">
        <v>5490</v>
      </c>
      <c r="B4">
        <v>10</v>
      </c>
    </row>
    <row r="5" spans="1:2">
      <c r="A5" t="s">
        <v>5491</v>
      </c>
      <c r="B5">
        <v>10</v>
      </c>
    </row>
    <row r="6" spans="1:2">
      <c r="A6" t="s">
        <v>5492</v>
      </c>
      <c r="B6">
        <v>10</v>
      </c>
    </row>
    <row r="7" spans="1:2">
      <c r="A7" t="s">
        <v>5493</v>
      </c>
      <c r="B7">
        <v>10</v>
      </c>
    </row>
    <row r="8" spans="1:2">
      <c r="A8" t="s">
        <v>5494</v>
      </c>
      <c r="B8">
        <v>10</v>
      </c>
    </row>
    <row r="9" spans="1:2">
      <c r="A9" t="s">
        <v>5495</v>
      </c>
      <c r="B9">
        <v>10</v>
      </c>
    </row>
    <row r="10" spans="1:2">
      <c r="A10" t="s">
        <v>5496</v>
      </c>
      <c r="B10">
        <v>10</v>
      </c>
    </row>
    <row r="11" spans="1:2">
      <c r="A11" t="s">
        <v>5497</v>
      </c>
      <c r="B11">
        <v>5</v>
      </c>
    </row>
    <row r="12" spans="1:2">
      <c r="A12" t="s">
        <v>5498</v>
      </c>
      <c r="B12">
        <v>5</v>
      </c>
    </row>
    <row r="13" spans="1:2">
      <c r="A13" t="s">
        <v>5499</v>
      </c>
      <c r="B13">
        <v>50</v>
      </c>
    </row>
    <row r="14" spans="1:2">
      <c r="A14" t="s">
        <v>5500</v>
      </c>
      <c r="B14">
        <v>50</v>
      </c>
    </row>
    <row r="15" spans="1:2">
      <c r="A15" t="s">
        <v>5501</v>
      </c>
      <c r="B15">
        <v>50</v>
      </c>
    </row>
    <row r="16" spans="1:2">
      <c r="A16" t="s">
        <v>5502</v>
      </c>
      <c r="B16">
        <v>50</v>
      </c>
    </row>
    <row r="17" spans="1:2">
      <c r="A17" t="s">
        <v>5503</v>
      </c>
      <c r="B17">
        <v>50</v>
      </c>
    </row>
    <row r="18" spans="1:2">
      <c r="A18" t="s">
        <v>5504</v>
      </c>
      <c r="B18">
        <v>50</v>
      </c>
    </row>
    <row r="19" spans="1:2">
      <c r="A19" t="s">
        <v>5505</v>
      </c>
      <c r="B19">
        <v>50</v>
      </c>
    </row>
    <row r="20" spans="1:2">
      <c r="A20" t="s">
        <v>5506</v>
      </c>
      <c r="B20">
        <v>50</v>
      </c>
    </row>
    <row r="21" spans="1:2">
      <c r="A21" t="s">
        <v>5507</v>
      </c>
      <c r="B21">
        <v>50</v>
      </c>
    </row>
    <row r="22" spans="1:2">
      <c r="A22" t="s">
        <v>5508</v>
      </c>
      <c r="B22">
        <v>200</v>
      </c>
    </row>
    <row r="23" spans="1:2">
      <c r="A23" t="s">
        <v>5509</v>
      </c>
      <c r="B23">
        <v>20</v>
      </c>
    </row>
    <row r="24" spans="1:2">
      <c r="A24" t="s">
        <v>5510</v>
      </c>
      <c r="B24">
        <v>20</v>
      </c>
    </row>
    <row r="25" spans="1:2">
      <c r="A25" t="s">
        <v>5511</v>
      </c>
      <c r="B25">
        <v>200</v>
      </c>
    </row>
    <row r="26" spans="1:2">
      <c r="A26" t="s">
        <v>5512</v>
      </c>
      <c r="B26">
        <v>20</v>
      </c>
    </row>
    <row r="27" spans="1:2">
      <c r="A27" t="s">
        <v>5513</v>
      </c>
      <c r="B27">
        <v>20</v>
      </c>
    </row>
    <row r="28" spans="1:2">
      <c r="A28" t="s">
        <v>5514</v>
      </c>
      <c r="B28">
        <v>20</v>
      </c>
    </row>
    <row r="29" spans="1:2">
      <c r="A29" t="s">
        <v>5515</v>
      </c>
      <c r="B29">
        <v>200</v>
      </c>
    </row>
    <row r="30" spans="1:2">
      <c r="A30" t="s">
        <v>2227</v>
      </c>
      <c r="B30">
        <v>10</v>
      </c>
    </row>
    <row r="31" spans="1:2">
      <c r="A31" t="s">
        <v>2228</v>
      </c>
      <c r="B31">
        <v>10</v>
      </c>
    </row>
    <row r="32" spans="1:2">
      <c r="A32" t="s">
        <v>5516</v>
      </c>
      <c r="B32">
        <v>10</v>
      </c>
    </row>
    <row r="33" spans="1:2">
      <c r="A33" t="s">
        <v>4194</v>
      </c>
      <c r="B33">
        <v>10</v>
      </c>
    </row>
    <row r="34" spans="1:2">
      <c r="A34" t="s">
        <v>5517</v>
      </c>
      <c r="B34">
        <v>100</v>
      </c>
    </row>
    <row r="35" spans="1:2">
      <c r="A35" t="s">
        <v>5518</v>
      </c>
      <c r="B35">
        <v>10</v>
      </c>
    </row>
    <row r="36" spans="1:2">
      <c r="A36" t="s">
        <v>5519</v>
      </c>
      <c r="B36">
        <v>10</v>
      </c>
    </row>
    <row r="37" spans="1:2">
      <c r="A37" t="s">
        <v>5520</v>
      </c>
      <c r="B37">
        <v>30</v>
      </c>
    </row>
    <row r="38" spans="1:2">
      <c r="A38" t="s">
        <v>5521</v>
      </c>
      <c r="B38">
        <v>30</v>
      </c>
    </row>
    <row r="39" spans="1:2">
      <c r="A39" t="s">
        <v>5522</v>
      </c>
      <c r="B39">
        <v>30</v>
      </c>
    </row>
    <row r="40" spans="1:2">
      <c r="A40" t="s">
        <v>5523</v>
      </c>
      <c r="B40">
        <v>30</v>
      </c>
    </row>
    <row r="41" spans="1:2">
      <c r="A41" t="s">
        <v>5524</v>
      </c>
      <c r="B41">
        <v>30</v>
      </c>
    </row>
    <row r="42" spans="1:2">
      <c r="A42" t="s">
        <v>5525</v>
      </c>
      <c r="B42">
        <v>30</v>
      </c>
    </row>
    <row r="43" spans="1:2">
      <c r="A43" t="s">
        <v>5526</v>
      </c>
      <c r="B43">
        <v>30</v>
      </c>
    </row>
    <row r="44" spans="1:2">
      <c r="A44" t="s">
        <v>5527</v>
      </c>
      <c r="B44">
        <v>30</v>
      </c>
    </row>
    <row r="45" spans="1:2">
      <c r="A45" t="s">
        <v>5528</v>
      </c>
      <c r="B45">
        <v>30</v>
      </c>
    </row>
    <row r="46" spans="1:2">
      <c r="A46" t="s">
        <v>5529</v>
      </c>
      <c r="B46">
        <v>30</v>
      </c>
    </row>
    <row r="47" spans="1:2">
      <c r="A47" t="s">
        <v>5530</v>
      </c>
      <c r="B47">
        <v>30</v>
      </c>
    </row>
    <row r="48" spans="1:2">
      <c r="A48" t="s">
        <v>5531</v>
      </c>
      <c r="B48">
        <v>30</v>
      </c>
    </row>
    <row r="49" spans="1:2">
      <c r="A49" t="s">
        <v>5532</v>
      </c>
      <c r="B49">
        <v>30</v>
      </c>
    </row>
    <row r="50" spans="1:2">
      <c r="A50" t="s">
        <v>5533</v>
      </c>
      <c r="B50">
        <v>30</v>
      </c>
    </row>
    <row r="51" spans="1:2">
      <c r="A51" t="s">
        <v>5534</v>
      </c>
      <c r="B51">
        <v>30</v>
      </c>
    </row>
    <row r="52" spans="1:2">
      <c r="A52" t="s">
        <v>5535</v>
      </c>
      <c r="B52">
        <v>30</v>
      </c>
    </row>
    <row r="53" spans="1:2">
      <c r="A53" t="s">
        <v>5536</v>
      </c>
      <c r="B53">
        <v>30</v>
      </c>
    </row>
    <row r="54" spans="1:2">
      <c r="A54" t="s">
        <v>5537</v>
      </c>
      <c r="B54">
        <v>30</v>
      </c>
    </row>
    <row r="55" spans="1:2">
      <c r="A55" t="s">
        <v>5538</v>
      </c>
      <c r="B55">
        <v>30</v>
      </c>
    </row>
    <row r="56" spans="1:2">
      <c r="A56" t="s">
        <v>5539</v>
      </c>
      <c r="B56">
        <v>30</v>
      </c>
    </row>
    <row r="57" spans="1:2">
      <c r="A57" t="s">
        <v>5540</v>
      </c>
      <c r="B57">
        <v>100</v>
      </c>
    </row>
    <row r="58" spans="1:2">
      <c r="A58" t="s">
        <v>5541</v>
      </c>
      <c r="B58">
        <v>100</v>
      </c>
    </row>
    <row r="59" spans="1:2">
      <c r="A59" t="s">
        <v>5542</v>
      </c>
      <c r="B59">
        <v>100</v>
      </c>
    </row>
    <row r="60" spans="1:2">
      <c r="A60" t="s">
        <v>5543</v>
      </c>
      <c r="B60">
        <v>100</v>
      </c>
    </row>
    <row r="61" spans="1:2">
      <c r="A61" t="s">
        <v>5544</v>
      </c>
      <c r="B61">
        <v>100</v>
      </c>
    </row>
    <row r="62" spans="1:2">
      <c r="A62" t="s">
        <v>5545</v>
      </c>
      <c r="B62">
        <v>30</v>
      </c>
    </row>
    <row r="63" spans="1:2">
      <c r="A63" t="s">
        <v>5546</v>
      </c>
      <c r="B63">
        <v>30</v>
      </c>
    </row>
    <row r="64" spans="1:2">
      <c r="A64" t="s">
        <v>5547</v>
      </c>
      <c r="B64">
        <v>30</v>
      </c>
    </row>
    <row r="65" spans="1:2">
      <c r="A65" t="s">
        <v>5548</v>
      </c>
      <c r="B65">
        <v>30</v>
      </c>
    </row>
    <row r="66" spans="1:2">
      <c r="A66" t="s">
        <v>5549</v>
      </c>
      <c r="B66">
        <v>30</v>
      </c>
    </row>
    <row r="67" spans="1:2">
      <c r="A67" t="s">
        <v>5550</v>
      </c>
      <c r="B67">
        <v>30</v>
      </c>
    </row>
    <row r="68" spans="1:2">
      <c r="A68" t="s">
        <v>5551</v>
      </c>
      <c r="B68">
        <v>30</v>
      </c>
    </row>
    <row r="69" spans="1:2">
      <c r="A69" t="s">
        <v>5552</v>
      </c>
      <c r="B69">
        <v>30</v>
      </c>
    </row>
    <row r="70" spans="1:2">
      <c r="A70" t="s">
        <v>5553</v>
      </c>
      <c r="B70">
        <v>30</v>
      </c>
    </row>
    <row r="71" spans="1:2">
      <c r="A71" t="s">
        <v>5554</v>
      </c>
      <c r="B71">
        <v>30</v>
      </c>
    </row>
    <row r="72" spans="1:2">
      <c r="A72" t="s">
        <v>5555</v>
      </c>
      <c r="B72">
        <v>30</v>
      </c>
    </row>
    <row r="73" spans="1:2">
      <c r="A73" t="s">
        <v>5556</v>
      </c>
      <c r="B73">
        <v>30</v>
      </c>
    </row>
    <row r="74" spans="1:2">
      <c r="A74" t="s">
        <v>5557</v>
      </c>
      <c r="B74">
        <v>200</v>
      </c>
    </row>
    <row r="75" spans="1:2">
      <c r="A75" t="s">
        <v>5558</v>
      </c>
      <c r="B75">
        <v>200</v>
      </c>
    </row>
    <row r="76" spans="1:2">
      <c r="A76" t="s">
        <v>5559</v>
      </c>
      <c r="B76">
        <v>100</v>
      </c>
    </row>
    <row r="77" spans="1:2">
      <c r="A77" t="s">
        <v>5560</v>
      </c>
      <c r="B77">
        <v>100</v>
      </c>
    </row>
    <row r="78" spans="1:2">
      <c r="A78" t="s">
        <v>5561</v>
      </c>
      <c r="B78">
        <v>30</v>
      </c>
    </row>
    <row r="79" spans="1:2">
      <c r="A79" t="s">
        <v>5562</v>
      </c>
      <c r="B79">
        <v>30</v>
      </c>
    </row>
    <row r="80" spans="1:2">
      <c r="A80" t="s">
        <v>5563</v>
      </c>
      <c r="B80">
        <v>200</v>
      </c>
    </row>
    <row r="81" spans="1:2">
      <c r="A81" t="s">
        <v>5564</v>
      </c>
      <c r="B81">
        <v>10</v>
      </c>
    </row>
    <row r="82" spans="1:2">
      <c r="A82" t="s">
        <v>5565</v>
      </c>
      <c r="B82">
        <v>30</v>
      </c>
    </row>
    <row r="83" spans="1:2">
      <c r="A83" t="s">
        <v>5566</v>
      </c>
      <c r="B83">
        <v>30</v>
      </c>
    </row>
    <row r="84" spans="1:2">
      <c r="A84" t="s">
        <v>5567</v>
      </c>
      <c r="B84">
        <v>30</v>
      </c>
    </row>
    <row r="85" spans="1:2">
      <c r="A85" t="s">
        <v>5568</v>
      </c>
      <c r="B85">
        <v>30</v>
      </c>
    </row>
    <row r="86" spans="1:2">
      <c r="A86" t="s">
        <v>5569</v>
      </c>
      <c r="B86">
        <v>30</v>
      </c>
    </row>
    <row r="87" spans="1:2">
      <c r="A87" t="s">
        <v>5570</v>
      </c>
      <c r="B87">
        <v>30</v>
      </c>
    </row>
    <row r="88" spans="1:2">
      <c r="A88" t="s">
        <v>5571</v>
      </c>
      <c r="B88">
        <v>200</v>
      </c>
    </row>
    <row r="89" spans="1:2">
      <c r="A89" t="s">
        <v>5572</v>
      </c>
      <c r="B89">
        <v>200</v>
      </c>
    </row>
    <row r="90" spans="1:2">
      <c r="A90" t="s">
        <v>512</v>
      </c>
      <c r="B90">
        <v>100</v>
      </c>
    </row>
    <row r="91" spans="1:2">
      <c r="A91" t="s">
        <v>5573</v>
      </c>
      <c r="B91">
        <v>30</v>
      </c>
    </row>
    <row r="92" spans="1:2">
      <c r="A92" t="s">
        <v>5574</v>
      </c>
      <c r="B92">
        <v>30</v>
      </c>
    </row>
    <row r="93" spans="1:2">
      <c r="A93" t="s">
        <v>5575</v>
      </c>
      <c r="B93">
        <v>30</v>
      </c>
    </row>
    <row r="94" spans="1:2">
      <c r="A94" t="s">
        <v>5576</v>
      </c>
      <c r="B94">
        <v>30</v>
      </c>
    </row>
    <row r="95" spans="1:2">
      <c r="A95" t="s">
        <v>5577</v>
      </c>
      <c r="B95">
        <v>30</v>
      </c>
    </row>
    <row r="96" spans="1:2">
      <c r="A96" t="s">
        <v>5578</v>
      </c>
      <c r="B96">
        <v>30</v>
      </c>
    </row>
    <row r="97" spans="1:2">
      <c r="A97" t="s">
        <v>5579</v>
      </c>
      <c r="B97">
        <v>30</v>
      </c>
    </row>
    <row r="98" spans="1:2">
      <c r="A98" t="s">
        <v>5580</v>
      </c>
      <c r="B98">
        <v>30</v>
      </c>
    </row>
    <row r="99" spans="1:2">
      <c r="A99" t="s">
        <v>5581</v>
      </c>
      <c r="B99">
        <v>30</v>
      </c>
    </row>
    <row r="100" spans="1:2">
      <c r="A100" t="s">
        <v>5582</v>
      </c>
      <c r="B100">
        <v>30</v>
      </c>
    </row>
    <row r="101" spans="1:2">
      <c r="A101" t="s">
        <v>5583</v>
      </c>
      <c r="B101">
        <v>30</v>
      </c>
    </row>
    <row r="102" spans="1:2">
      <c r="A102" t="s">
        <v>5584</v>
      </c>
      <c r="B102">
        <v>30</v>
      </c>
    </row>
    <row r="103" spans="1:2">
      <c r="A103" t="s">
        <v>5585</v>
      </c>
      <c r="B103">
        <v>30</v>
      </c>
    </row>
    <row r="104" spans="1:2">
      <c r="A104" t="s">
        <v>5586</v>
      </c>
      <c r="B104">
        <v>30</v>
      </c>
    </row>
    <row r="105" spans="1:2">
      <c r="A105" t="s">
        <v>5587</v>
      </c>
      <c r="B105">
        <v>30</v>
      </c>
    </row>
    <row r="106" spans="1:2">
      <c r="A106" t="s">
        <v>5588</v>
      </c>
      <c r="B106">
        <v>30</v>
      </c>
    </row>
    <row r="107" spans="1:2">
      <c r="A107" t="s">
        <v>5589</v>
      </c>
      <c r="B107">
        <v>30</v>
      </c>
    </row>
    <row r="108" spans="1:2">
      <c r="A108" t="s">
        <v>5590</v>
      </c>
      <c r="B108">
        <v>30</v>
      </c>
    </row>
    <row r="109" spans="1:2">
      <c r="A109" t="s">
        <v>5591</v>
      </c>
      <c r="B109">
        <v>30</v>
      </c>
    </row>
    <row r="110" spans="1:2">
      <c r="A110" t="s">
        <v>5592</v>
      </c>
      <c r="B110">
        <v>30</v>
      </c>
    </row>
    <row r="111" spans="1:2">
      <c r="A111" t="s">
        <v>5593</v>
      </c>
      <c r="B111">
        <v>30</v>
      </c>
    </row>
    <row r="112" spans="1:2">
      <c r="A112" t="s">
        <v>5594</v>
      </c>
      <c r="B112">
        <v>30</v>
      </c>
    </row>
    <row r="113" spans="1:2">
      <c r="A113" t="s">
        <v>5595</v>
      </c>
      <c r="B113">
        <v>30</v>
      </c>
    </row>
    <row r="114" spans="1:2">
      <c r="A114" t="s">
        <v>5596</v>
      </c>
      <c r="B114">
        <v>30</v>
      </c>
    </row>
    <row r="115" spans="1:2">
      <c r="A115" t="s">
        <v>5597</v>
      </c>
      <c r="B115">
        <v>30</v>
      </c>
    </row>
    <row r="116" spans="1:2">
      <c r="A116" t="s">
        <v>5598</v>
      </c>
      <c r="B116">
        <v>30</v>
      </c>
    </row>
    <row r="117" spans="1:2">
      <c r="A117" t="s">
        <v>5599</v>
      </c>
      <c r="B117">
        <v>30</v>
      </c>
    </row>
    <row r="118" spans="1:2">
      <c r="A118" t="s">
        <v>5600</v>
      </c>
      <c r="B118">
        <v>30</v>
      </c>
    </row>
    <row r="119" spans="1:2">
      <c r="A119" t="s">
        <v>5601</v>
      </c>
      <c r="B119">
        <v>30</v>
      </c>
    </row>
    <row r="120" spans="1:2">
      <c r="A120" t="s">
        <v>5602</v>
      </c>
      <c r="B120">
        <v>30</v>
      </c>
    </row>
    <row r="121" spans="1:2">
      <c r="A121" t="s">
        <v>5603</v>
      </c>
      <c r="B121">
        <v>30</v>
      </c>
    </row>
    <row r="122" spans="1:2">
      <c r="A122" t="s">
        <v>5604</v>
      </c>
      <c r="B122">
        <v>30</v>
      </c>
    </row>
    <row r="123" spans="1:2">
      <c r="A123" t="s">
        <v>5605</v>
      </c>
      <c r="B123">
        <v>30</v>
      </c>
    </row>
    <row r="124" spans="1:2">
      <c r="A124" t="s">
        <v>5606</v>
      </c>
      <c r="B124">
        <v>20</v>
      </c>
    </row>
    <row r="125" spans="1:2">
      <c r="A125" t="s">
        <v>5607</v>
      </c>
      <c r="B125">
        <v>30</v>
      </c>
    </row>
    <row r="126" spans="1:2">
      <c r="A126" t="s">
        <v>5608</v>
      </c>
      <c r="B126">
        <v>30</v>
      </c>
    </row>
    <row r="127" spans="1:2">
      <c r="A127" t="s">
        <v>5609</v>
      </c>
      <c r="B127">
        <v>30</v>
      </c>
    </row>
    <row r="128" spans="1:2">
      <c r="A128" t="s">
        <v>5610</v>
      </c>
      <c r="B128">
        <v>30</v>
      </c>
    </row>
    <row r="129" spans="1:2">
      <c r="A129" t="s">
        <v>5611</v>
      </c>
      <c r="B129">
        <v>30</v>
      </c>
    </row>
    <row r="130" spans="1:2">
      <c r="A130" t="s">
        <v>5612</v>
      </c>
      <c r="B130">
        <v>30</v>
      </c>
    </row>
    <row r="131" spans="1:2">
      <c r="A131" t="s">
        <v>5613</v>
      </c>
      <c r="B131">
        <v>30</v>
      </c>
    </row>
    <row r="132" spans="1:2">
      <c r="A132" t="s">
        <v>5614</v>
      </c>
      <c r="B132">
        <v>30</v>
      </c>
    </row>
    <row r="133" spans="1:2">
      <c r="A133" t="s">
        <v>528</v>
      </c>
      <c r="B133">
        <v>30</v>
      </c>
    </row>
    <row r="134" spans="1:2">
      <c r="A134" t="s">
        <v>1046</v>
      </c>
      <c r="B134">
        <v>30</v>
      </c>
    </row>
    <row r="135" spans="1:2">
      <c r="A135" t="s">
        <v>1048</v>
      </c>
      <c r="B135">
        <v>30</v>
      </c>
    </row>
    <row r="136" spans="1:2">
      <c r="A136" t="s">
        <v>785</v>
      </c>
      <c r="B136">
        <v>30</v>
      </c>
    </row>
    <row r="137" spans="1:2">
      <c r="A137" t="s">
        <v>82</v>
      </c>
      <c r="B137">
        <v>30</v>
      </c>
    </row>
    <row r="138" spans="1:2">
      <c r="A138" t="s">
        <v>1078</v>
      </c>
      <c r="B138">
        <v>30</v>
      </c>
    </row>
    <row r="139" spans="1:2">
      <c r="A139" t="s">
        <v>1080</v>
      </c>
      <c r="B139">
        <v>30</v>
      </c>
    </row>
    <row r="140" spans="1:2">
      <c r="A140" t="s">
        <v>1082</v>
      </c>
      <c r="B140">
        <v>30</v>
      </c>
    </row>
    <row r="141" spans="1:2">
      <c r="A141" t="s">
        <v>5615</v>
      </c>
      <c r="B141">
        <v>30</v>
      </c>
    </row>
    <row r="142" spans="1:2">
      <c r="A142" t="s">
        <v>5616</v>
      </c>
      <c r="B142">
        <v>30</v>
      </c>
    </row>
    <row r="143" spans="1:2">
      <c r="A143" t="s">
        <v>5617</v>
      </c>
      <c r="B143">
        <v>30</v>
      </c>
    </row>
    <row r="144" spans="1:2">
      <c r="A144" t="s">
        <v>5618</v>
      </c>
      <c r="B144">
        <v>30</v>
      </c>
    </row>
    <row r="145" spans="1:2">
      <c r="A145" t="s">
        <v>5619</v>
      </c>
      <c r="B145">
        <v>30</v>
      </c>
    </row>
    <row r="146" spans="1:2">
      <c r="A146" t="s">
        <v>5620</v>
      </c>
      <c r="B146">
        <v>30</v>
      </c>
    </row>
    <row r="147" spans="1:2">
      <c r="A147" t="s">
        <v>5621</v>
      </c>
      <c r="B147">
        <v>30</v>
      </c>
    </row>
    <row r="148" spans="1:2">
      <c r="A148" t="s">
        <v>84</v>
      </c>
      <c r="B148">
        <v>30</v>
      </c>
    </row>
    <row r="149" spans="1:2">
      <c r="A149" t="s">
        <v>1117</v>
      </c>
      <c r="B149">
        <v>30</v>
      </c>
    </row>
    <row r="150" spans="1:2">
      <c r="A150" t="s">
        <v>792</v>
      </c>
      <c r="B150">
        <v>30</v>
      </c>
    </row>
    <row r="151" spans="1:2">
      <c r="A151" t="s">
        <v>1126</v>
      </c>
      <c r="B151">
        <v>30</v>
      </c>
    </row>
    <row r="152" spans="1:2">
      <c r="A152" t="s">
        <v>808</v>
      </c>
      <c r="B152">
        <v>100</v>
      </c>
    </row>
    <row r="153" spans="1:2">
      <c r="A153" t="s">
        <v>809</v>
      </c>
      <c r="B153">
        <v>100</v>
      </c>
    </row>
    <row r="154" spans="1:2">
      <c r="A154" t="s">
        <v>810</v>
      </c>
      <c r="B154">
        <v>100</v>
      </c>
    </row>
    <row r="155" spans="1:2">
      <c r="A155" t="s">
        <v>1174</v>
      </c>
      <c r="B155">
        <v>50</v>
      </c>
    </row>
    <row r="156" spans="1:2">
      <c r="A156" t="s">
        <v>811</v>
      </c>
      <c r="B156">
        <v>50</v>
      </c>
    </row>
    <row r="157" spans="1:2">
      <c r="A157" t="s">
        <v>803</v>
      </c>
      <c r="B157">
        <v>50</v>
      </c>
    </row>
    <row r="158" spans="1:2">
      <c r="A158" t="s">
        <v>804</v>
      </c>
      <c r="B158">
        <v>50</v>
      </c>
    </row>
    <row r="159" spans="1:2">
      <c r="A159" t="s">
        <v>1184</v>
      </c>
      <c r="B159">
        <v>50</v>
      </c>
    </row>
    <row r="160" spans="1:2">
      <c r="A160" t="s">
        <v>4161</v>
      </c>
      <c r="B160">
        <v>50</v>
      </c>
    </row>
    <row r="161" spans="1:2">
      <c r="A161" t="s">
        <v>1190</v>
      </c>
      <c r="B161">
        <v>50</v>
      </c>
    </row>
    <row r="162" spans="1:2">
      <c r="A162" t="s">
        <v>812</v>
      </c>
      <c r="B162">
        <v>50</v>
      </c>
    </row>
    <row r="163" spans="1:2">
      <c r="A163" t="s">
        <v>5622</v>
      </c>
      <c r="B163">
        <v>50</v>
      </c>
    </row>
    <row r="164" spans="1:2">
      <c r="A164" t="s">
        <v>805</v>
      </c>
      <c r="B164">
        <v>50</v>
      </c>
    </row>
    <row r="165" spans="1:2">
      <c r="A165" t="s">
        <v>814</v>
      </c>
      <c r="B165">
        <v>50</v>
      </c>
    </row>
    <row r="166" spans="1:2">
      <c r="A166" t="s">
        <v>731</v>
      </c>
      <c r="B166">
        <v>50</v>
      </c>
    </row>
    <row r="167" spans="1:2">
      <c r="A167" t="s">
        <v>5258</v>
      </c>
      <c r="B167">
        <v>50</v>
      </c>
    </row>
    <row r="168" spans="1:2">
      <c r="A168" t="s">
        <v>5358</v>
      </c>
      <c r="B168">
        <v>50</v>
      </c>
    </row>
    <row r="169" spans="1:2">
      <c r="A169" t="s">
        <v>5623</v>
      </c>
      <c r="B169">
        <v>50</v>
      </c>
    </row>
    <row r="170" spans="1:2">
      <c r="A170" t="s">
        <v>5423</v>
      </c>
      <c r="B170">
        <v>50</v>
      </c>
    </row>
    <row r="171" spans="1:2">
      <c r="A171" t="s">
        <v>5433</v>
      </c>
      <c r="B171">
        <v>50</v>
      </c>
    </row>
    <row r="172" spans="1:2">
      <c r="A172" t="s">
        <v>5449</v>
      </c>
      <c r="B172">
        <v>50</v>
      </c>
    </row>
    <row r="173" spans="1:2">
      <c r="A173" t="s">
        <v>5624</v>
      </c>
      <c r="B173">
        <v>50</v>
      </c>
    </row>
    <row r="174" spans="1:2">
      <c r="A174" t="s">
        <v>5625</v>
      </c>
      <c r="B174">
        <v>50</v>
      </c>
    </row>
    <row r="175" spans="1:2">
      <c r="A175" t="s">
        <v>5626</v>
      </c>
      <c r="B175">
        <v>50</v>
      </c>
    </row>
    <row r="176" spans="1:2">
      <c r="A176" t="s">
        <v>5627</v>
      </c>
      <c r="B176">
        <v>50</v>
      </c>
    </row>
    <row r="177" spans="1:2">
      <c r="A177" t="s">
        <v>5628</v>
      </c>
      <c r="B177">
        <v>50</v>
      </c>
    </row>
    <row r="178" spans="1:2">
      <c r="A178" t="s">
        <v>5629</v>
      </c>
      <c r="B178">
        <v>50</v>
      </c>
    </row>
    <row r="179" spans="1:2">
      <c r="A179" t="s">
        <v>5630</v>
      </c>
      <c r="B179">
        <v>50</v>
      </c>
    </row>
    <row r="180" spans="1:2">
      <c r="A180" t="s">
        <v>5631</v>
      </c>
      <c r="B180">
        <v>50</v>
      </c>
    </row>
    <row r="181" spans="1:2">
      <c r="A181" t="s">
        <v>5632</v>
      </c>
      <c r="B181">
        <v>50</v>
      </c>
    </row>
    <row r="182" spans="1:2">
      <c r="A182" t="s">
        <v>5633</v>
      </c>
      <c r="B182">
        <v>50</v>
      </c>
    </row>
    <row r="183" spans="1:2">
      <c r="A183" t="s">
        <v>5633</v>
      </c>
      <c r="B183">
        <v>50</v>
      </c>
    </row>
    <row r="184" spans="1:2">
      <c r="A184" t="s">
        <v>5634</v>
      </c>
      <c r="B184">
        <v>50</v>
      </c>
    </row>
    <row r="185" spans="1:2">
      <c r="A185" t="s">
        <v>5635</v>
      </c>
      <c r="B185">
        <v>50</v>
      </c>
    </row>
    <row r="186" spans="1:2">
      <c r="A186" t="s">
        <v>5636</v>
      </c>
      <c r="B186">
        <v>50</v>
      </c>
    </row>
    <row r="187" spans="1:2">
      <c r="A187" t="s">
        <v>5637</v>
      </c>
      <c r="B187">
        <v>50</v>
      </c>
    </row>
    <row r="188" spans="1:2">
      <c r="A188" t="s">
        <v>5638</v>
      </c>
      <c r="B188">
        <v>50</v>
      </c>
    </row>
    <row r="189" spans="1:2">
      <c r="A189" t="s">
        <v>5639</v>
      </c>
      <c r="B189">
        <v>50</v>
      </c>
    </row>
    <row r="190" spans="1:2">
      <c r="A190" t="s">
        <v>5640</v>
      </c>
      <c r="B190">
        <v>50</v>
      </c>
    </row>
    <row r="191" spans="1:2">
      <c r="A191" t="s">
        <v>5641</v>
      </c>
      <c r="B191">
        <v>50</v>
      </c>
    </row>
    <row r="192" spans="1:2">
      <c r="A192" t="s">
        <v>5642</v>
      </c>
      <c r="B192">
        <v>50</v>
      </c>
    </row>
    <row r="193" spans="1:2">
      <c r="A193" t="s">
        <v>5643</v>
      </c>
      <c r="B193">
        <v>50</v>
      </c>
    </row>
    <row r="194" spans="1:2">
      <c r="A194" t="s">
        <v>5644</v>
      </c>
      <c r="B194">
        <v>50</v>
      </c>
    </row>
    <row r="195" spans="1:2">
      <c r="A195" t="s">
        <v>5645</v>
      </c>
      <c r="B195">
        <v>50</v>
      </c>
    </row>
    <row r="196" spans="1:2">
      <c r="A196" t="s">
        <v>5646</v>
      </c>
      <c r="B196">
        <v>50</v>
      </c>
    </row>
    <row r="197" spans="1:2">
      <c r="A197" t="s">
        <v>5647</v>
      </c>
      <c r="B197">
        <v>50</v>
      </c>
    </row>
  </sheetData>
  <phoneticPr fontId="1" type="noConversion"/>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codeName="Sheet43">
    <tabColor rgb="FFFFC000"/>
  </sheetPr>
  <dimension ref="A1:K17"/>
  <sheetViews>
    <sheetView workbookViewId="0">
      <selection activeCell="I29" sqref="I29"/>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3"/>
      <c r="B2" s="383"/>
      <c r="C2" s="383"/>
      <c r="D2" s="383"/>
      <c r="E2" s="383"/>
      <c r="F2" s="383"/>
      <c r="G2" s="311"/>
      <c r="H2" s="311"/>
      <c r="I2" s="311"/>
      <c r="J2" s="311"/>
      <c r="K2" s="383"/>
    </row>
    <row r="3" spans="1:11">
      <c r="A3" s="383"/>
      <c r="B3" s="383"/>
      <c r="C3" s="383"/>
      <c r="D3" s="383"/>
      <c r="E3" s="383"/>
      <c r="F3" s="383"/>
      <c r="G3" s="385"/>
      <c r="H3" s="311"/>
      <c r="I3" s="311"/>
      <c r="J3" s="385"/>
      <c r="K3" s="383"/>
    </row>
    <row r="4" spans="1:11">
      <c r="A4" s="383"/>
      <c r="B4" s="383"/>
      <c r="C4" s="383"/>
      <c r="D4" s="383"/>
      <c r="E4" s="383"/>
      <c r="F4" s="383"/>
      <c r="G4" s="385"/>
      <c r="H4" s="311"/>
      <c r="I4" s="311"/>
      <c r="J4" s="385"/>
      <c r="K4" s="383"/>
    </row>
    <row r="5" spans="1:11">
      <c r="A5" s="383"/>
      <c r="B5" s="383"/>
      <c r="C5" s="383"/>
      <c r="D5" s="383"/>
      <c r="E5" s="383"/>
      <c r="F5" s="383"/>
      <c r="G5" s="385"/>
      <c r="H5" s="311"/>
      <c r="I5" s="311"/>
      <c r="J5" s="385"/>
      <c r="K5" s="383"/>
    </row>
    <row r="6" spans="1:11">
      <c r="A6" s="383"/>
      <c r="B6" s="383"/>
      <c r="C6" s="383"/>
      <c r="D6" s="383"/>
      <c r="E6" s="383"/>
      <c r="F6" s="383"/>
      <c r="G6" s="385"/>
      <c r="H6" s="311"/>
      <c r="I6" s="311"/>
      <c r="J6" s="385"/>
      <c r="K6" s="383"/>
    </row>
    <row r="7" spans="1:11">
      <c r="A7" s="383"/>
      <c r="B7" s="383"/>
      <c r="C7" s="383"/>
      <c r="D7" s="383"/>
      <c r="E7" s="383"/>
      <c r="F7" s="383"/>
      <c r="G7" s="385"/>
      <c r="H7" s="311"/>
      <c r="I7" s="311"/>
      <c r="J7" s="385"/>
      <c r="K7" s="383"/>
    </row>
    <row r="8" spans="1:11">
      <c r="A8" s="383"/>
      <c r="B8" s="383"/>
      <c r="C8" s="383"/>
      <c r="D8" s="383"/>
      <c r="E8" s="383"/>
      <c r="F8" s="383"/>
      <c r="G8" s="385"/>
      <c r="H8" s="311"/>
      <c r="I8" s="311"/>
      <c r="J8" s="385"/>
      <c r="K8" s="383"/>
    </row>
    <row r="9" spans="1:11">
      <c r="A9" s="383"/>
      <c r="B9" s="383"/>
      <c r="C9" s="383"/>
      <c r="D9" s="383"/>
      <c r="E9" s="383"/>
      <c r="F9" s="383"/>
      <c r="G9" s="385"/>
      <c r="H9" s="311"/>
      <c r="I9" s="311"/>
      <c r="J9" s="311"/>
      <c r="K9" s="383"/>
    </row>
    <row r="10" spans="1:11">
      <c r="A10" s="23"/>
      <c r="B10" s="23"/>
      <c r="C10" s="23"/>
      <c r="D10" s="23"/>
      <c r="E10" s="23"/>
      <c r="F10" s="23"/>
      <c r="G10" s="79"/>
      <c r="H10" s="25"/>
      <c r="I10" s="25"/>
      <c r="J10" s="79"/>
      <c r="K10" s="23"/>
    </row>
    <row r="11" spans="1:11">
      <c r="A11" s="23"/>
      <c r="B11" s="23"/>
      <c r="C11" s="23"/>
      <c r="D11" s="23"/>
      <c r="E11" s="23"/>
      <c r="F11" s="23"/>
      <c r="G11" s="79"/>
      <c r="H11" s="25"/>
      <c r="I11" s="25"/>
      <c r="J11" s="79"/>
      <c r="K11" s="23"/>
    </row>
    <row r="12" spans="1:11">
      <c r="A12" s="23"/>
      <c r="B12" s="23"/>
      <c r="C12" s="23"/>
      <c r="D12" s="23"/>
      <c r="E12" s="23"/>
      <c r="F12" s="23"/>
      <c r="G12" s="79"/>
      <c r="H12" s="25"/>
      <c r="I12" s="25"/>
      <c r="J12" s="79"/>
      <c r="K12" s="23"/>
    </row>
    <row r="13" spans="1:11">
      <c r="A13" s="23"/>
      <c r="B13" s="23"/>
      <c r="C13" s="23"/>
      <c r="D13" s="23"/>
      <c r="E13" s="23"/>
      <c r="F13" s="23"/>
      <c r="G13" s="79"/>
      <c r="H13" s="25"/>
      <c r="I13" s="25"/>
      <c r="J13" s="79"/>
      <c r="K13" s="23"/>
    </row>
    <row r="14" spans="1:11">
      <c r="A14" s="23"/>
      <c r="B14" s="23"/>
      <c r="C14" s="23"/>
      <c r="D14" s="23"/>
      <c r="E14" s="23"/>
      <c r="F14" s="23"/>
      <c r="G14" s="79"/>
      <c r="H14" s="25"/>
      <c r="I14" s="25"/>
      <c r="J14" s="79"/>
      <c r="K14" s="23"/>
    </row>
    <row r="15" spans="1:11">
      <c r="A15" s="23"/>
      <c r="B15" s="23"/>
      <c r="C15" s="23"/>
      <c r="D15" s="23"/>
      <c r="E15" s="23"/>
      <c r="F15" s="23"/>
      <c r="G15" s="79"/>
      <c r="H15" s="25"/>
      <c r="I15" s="25"/>
      <c r="J15" s="79"/>
      <c r="K15" s="23"/>
    </row>
    <row r="16" spans="1:11">
      <c r="A16" s="23"/>
      <c r="B16" s="23"/>
      <c r="C16" s="23"/>
      <c r="D16" s="23"/>
      <c r="E16" s="23"/>
      <c r="F16" s="23"/>
      <c r="G16" s="79"/>
      <c r="H16" s="25"/>
      <c r="I16" s="25"/>
      <c r="J16" s="79"/>
      <c r="K16" s="23"/>
    </row>
    <row r="17" spans="1:11">
      <c r="A17" s="23"/>
      <c r="B17" s="23"/>
      <c r="C17" s="23"/>
      <c r="D17" s="23"/>
      <c r="E17" s="23"/>
      <c r="F17" s="23"/>
      <c r="G17" s="79"/>
      <c r="H17" s="25"/>
      <c r="I17" s="25"/>
      <c r="J17" s="79"/>
      <c r="K17" s="23"/>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codeName="Sheet44">
    <tabColor rgb="FFFFC000"/>
  </sheetPr>
  <dimension ref="A1:G8"/>
  <sheetViews>
    <sheetView workbookViewId="0">
      <selection activeCell="E28" sqref="E28"/>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8"/>
      <c r="B2" s="308"/>
      <c r="C2" s="308"/>
      <c r="D2" s="270"/>
      <c r="E2" s="308"/>
      <c r="F2" s="308"/>
      <c r="G2" s="308"/>
    </row>
    <row r="3" spans="1:7" ht="14.4">
      <c r="A3" s="266"/>
      <c r="B3" s="281"/>
      <c r="C3" s="276"/>
      <c r="D3" s="281"/>
      <c r="E3" s="281"/>
      <c r="F3" s="281"/>
      <c r="G3" s="330"/>
    </row>
    <row r="4" spans="1:7" ht="14.4">
      <c r="A4" s="266"/>
      <c r="B4" s="281"/>
      <c r="C4" s="276"/>
      <c r="D4" s="281"/>
      <c r="E4" s="281"/>
      <c r="F4" s="281"/>
      <c r="G4" s="330"/>
    </row>
    <row r="5" spans="1:7">
      <c r="A5" s="284"/>
      <c r="B5" s="276"/>
      <c r="C5" s="276"/>
      <c r="D5" s="276"/>
      <c r="E5" s="276"/>
      <c r="F5" s="276"/>
      <c r="G5" s="309"/>
    </row>
    <row r="6" spans="1:7">
      <c r="A6" s="247"/>
      <c r="B6" s="247"/>
      <c r="C6" s="247"/>
      <c r="D6" s="247"/>
      <c r="E6" s="247"/>
      <c r="F6" s="247"/>
      <c r="G6" s="247"/>
    </row>
    <row r="7" spans="1:7">
      <c r="A7" s="247"/>
      <c r="B7" s="247"/>
      <c r="C7" s="247"/>
      <c r="D7" s="247"/>
      <c r="E7" s="247"/>
      <c r="F7" s="247"/>
      <c r="G7" s="247"/>
    </row>
    <row r="8" spans="1:7">
      <c r="A8" s="247"/>
      <c r="B8" s="247"/>
      <c r="C8" s="247"/>
      <c r="D8" s="247"/>
      <c r="E8" s="247"/>
      <c r="F8" s="247"/>
      <c r="G8" s="247"/>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codeName="Sheet45">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8"/>
      <c r="B2" s="308"/>
      <c r="C2" s="308"/>
      <c r="D2" s="270"/>
      <c r="E2" s="308"/>
      <c r="F2" s="308"/>
      <c r="G2" s="308"/>
    </row>
    <row r="3" spans="1:7" ht="14.4">
      <c r="A3" s="266"/>
      <c r="B3" s="281"/>
      <c r="C3" s="276"/>
      <c r="D3" s="281"/>
      <c r="E3" s="281"/>
      <c r="F3" s="281"/>
      <c r="G3" s="330"/>
    </row>
    <row r="4" spans="1:7" ht="14.4">
      <c r="A4" s="266"/>
      <c r="B4" s="281"/>
      <c r="C4" s="276"/>
      <c r="D4" s="281"/>
      <c r="E4" s="281"/>
      <c r="F4" s="281"/>
      <c r="G4" s="330"/>
    </row>
    <row r="5" spans="1:7">
      <c r="A5" s="284"/>
      <c r="B5" s="276"/>
      <c r="C5" s="276"/>
      <c r="D5" s="276"/>
      <c r="E5" s="276"/>
      <c r="F5" s="276"/>
      <c r="G5" s="309"/>
    </row>
    <row r="6" spans="1:7">
      <c r="A6" s="247"/>
      <c r="B6" s="247"/>
      <c r="C6" s="247"/>
      <c r="D6" s="247"/>
      <c r="E6" s="247"/>
      <c r="F6" s="247"/>
      <c r="G6" s="247"/>
    </row>
    <row r="7" spans="1:7">
      <c r="A7" s="247"/>
      <c r="B7" s="247"/>
      <c r="C7" s="247"/>
      <c r="D7" s="247"/>
      <c r="E7" s="247"/>
      <c r="F7" s="247"/>
      <c r="G7" s="247"/>
    </row>
    <row r="8" spans="1:7">
      <c r="A8" s="247"/>
      <c r="B8" s="247"/>
      <c r="C8" s="247"/>
      <c r="D8" s="247"/>
      <c r="E8" s="247"/>
      <c r="F8" s="247"/>
      <c r="G8" s="247"/>
    </row>
    <row r="9" spans="1:7">
      <c r="A9" s="247"/>
      <c r="B9" s="247"/>
      <c r="C9" s="247"/>
      <c r="D9" s="247"/>
      <c r="E9" s="247"/>
      <c r="F9" s="247"/>
      <c r="G9" s="247"/>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codeName="Sheet46">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247"/>
      <c r="B6" s="247"/>
      <c r="C6" s="247"/>
      <c r="D6" s="247"/>
      <c r="E6" s="247"/>
      <c r="F6" s="247"/>
    </row>
    <row r="7" spans="1:6">
      <c r="A7" s="247"/>
      <c r="B7" s="247"/>
      <c r="C7" s="247"/>
      <c r="D7" s="247"/>
      <c r="E7" s="247"/>
      <c r="F7" s="247"/>
    </row>
    <row r="8" spans="1:6">
      <c r="A8" s="247"/>
      <c r="B8" s="247"/>
      <c r="C8" s="247"/>
      <c r="D8" s="247"/>
      <c r="E8" s="247"/>
      <c r="F8" s="247"/>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codeName="Sheet47">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40" t="s">
        <v>150</v>
      </c>
      <c r="C1" s="40" t="s">
        <v>151</v>
      </c>
      <c r="D1" s="40" t="s">
        <v>152</v>
      </c>
      <c r="E1" s="20" t="s">
        <v>153</v>
      </c>
      <c r="F1" s="40" t="s">
        <v>154</v>
      </c>
      <c r="G1" s="40" t="s">
        <v>155</v>
      </c>
      <c r="H1" s="20" t="s">
        <v>156</v>
      </c>
    </row>
    <row r="2" spans="1:8">
      <c r="A2" s="418"/>
      <c r="B2" s="419"/>
      <c r="C2" s="420"/>
      <c r="D2" s="420"/>
      <c r="E2" s="420"/>
      <c r="F2" s="420"/>
      <c r="G2" s="420"/>
      <c r="H2" s="420"/>
    </row>
    <row r="3" spans="1:8" ht="14.4">
      <c r="A3" s="308"/>
      <c r="B3" s="293"/>
      <c r="C3" s="293"/>
      <c r="D3" s="293"/>
      <c r="E3" s="270"/>
      <c r="F3" s="293"/>
      <c r="G3" s="293"/>
      <c r="H3" s="270"/>
    </row>
    <row r="4" spans="1:8">
      <c r="A4" s="247"/>
      <c r="B4" s="247"/>
      <c r="C4" s="247"/>
      <c r="D4" s="247"/>
      <c r="E4" s="247"/>
      <c r="F4" s="247"/>
      <c r="G4" s="247"/>
      <c r="H4" s="247"/>
    </row>
    <row r="5" spans="1:8">
      <c r="A5" s="247"/>
      <c r="B5" s="247"/>
      <c r="C5" s="247"/>
      <c r="D5" s="247"/>
      <c r="E5" s="247"/>
      <c r="F5" s="247"/>
      <c r="G5" s="247"/>
      <c r="H5" s="247"/>
    </row>
    <row r="6" spans="1:8">
      <c r="A6" s="247"/>
      <c r="B6" s="247"/>
      <c r="C6" s="247"/>
      <c r="D6" s="247"/>
      <c r="E6" s="247"/>
      <c r="F6" s="247"/>
      <c r="G6" s="247"/>
      <c r="H6" s="247"/>
    </row>
    <row r="7" spans="1:8">
      <c r="A7" s="247"/>
      <c r="B7" s="247"/>
      <c r="C7" s="247"/>
      <c r="D7" s="247"/>
      <c r="E7" s="247"/>
      <c r="F7" s="247"/>
      <c r="G7" s="247"/>
      <c r="H7" s="247"/>
    </row>
    <row r="8" spans="1:8">
      <c r="A8" s="247"/>
      <c r="B8" s="247"/>
      <c r="C8" s="247"/>
      <c r="D8" s="247"/>
      <c r="E8" s="247"/>
      <c r="F8" s="247"/>
      <c r="G8" s="247"/>
      <c r="H8" s="247"/>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codeName="Sheet48">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3"/>
      <c r="B2" s="417"/>
      <c r="C2" s="337"/>
      <c r="D2" s="337"/>
      <c r="E2" s="337"/>
    </row>
    <row r="3" spans="1:5">
      <c r="A3" s="247"/>
      <c r="B3" s="247"/>
      <c r="C3" s="247"/>
      <c r="D3" s="247"/>
      <c r="E3" s="247"/>
    </row>
    <row r="4" spans="1:5">
      <c r="A4" s="247"/>
      <c r="B4" s="247"/>
      <c r="C4" s="247"/>
      <c r="D4" s="247"/>
      <c r="E4" s="247"/>
    </row>
    <row r="5" spans="1:5">
      <c r="A5" s="247"/>
      <c r="B5" s="247"/>
      <c r="C5" s="247"/>
      <c r="D5" s="247"/>
      <c r="E5" s="247"/>
    </row>
    <row r="6" spans="1:5">
      <c r="A6" s="247"/>
      <c r="B6" s="247"/>
      <c r="C6" s="247"/>
      <c r="D6" s="247"/>
      <c r="E6" s="247"/>
    </row>
    <row r="7" spans="1:5">
      <c r="A7" s="247"/>
      <c r="B7" s="247"/>
      <c r="C7" s="247"/>
      <c r="D7" s="247"/>
      <c r="E7" s="247"/>
    </row>
    <row r="8" spans="1:5">
      <c r="A8" s="247"/>
      <c r="B8" s="247"/>
      <c r="C8" s="247"/>
      <c r="D8" s="247"/>
      <c r="E8" s="247"/>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codeName="Sheet49">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6"/>
      <c r="B2" s="337"/>
      <c r="C2" s="384"/>
      <c r="D2" s="247"/>
    </row>
    <row r="3" spans="1:4">
      <c r="A3" s="247"/>
      <c r="B3" s="247"/>
      <c r="C3" s="247"/>
      <c r="D3" s="247"/>
    </row>
    <row r="4" spans="1:4">
      <c r="A4" s="247"/>
      <c r="B4" s="247"/>
      <c r="C4" s="247"/>
      <c r="D4" s="247"/>
    </row>
    <row r="5" spans="1:4">
      <c r="A5" s="247"/>
      <c r="B5" s="247"/>
      <c r="C5" s="247"/>
      <c r="D5" s="247"/>
    </row>
    <row r="6" spans="1:4">
      <c r="A6" s="247"/>
      <c r="B6" s="247"/>
      <c r="C6" s="247"/>
      <c r="D6" s="247"/>
    </row>
    <row r="7" spans="1:4">
      <c r="A7" s="247"/>
      <c r="B7" s="247"/>
      <c r="C7" s="247"/>
      <c r="D7" s="247"/>
    </row>
    <row r="8" spans="1:4">
      <c r="A8" s="247"/>
      <c r="B8" s="247"/>
      <c r="C8" s="247"/>
      <c r="D8" s="247"/>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sheetPr codeName="Sheet5"/>
  <dimension ref="A1:I3"/>
  <sheetViews>
    <sheetView view="pageBreakPreview" zoomScaleNormal="100" zoomScaleSheetLayoutView="100" workbookViewId="0">
      <selection activeCell="E21" sqref="E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1269</v>
      </c>
      <c r="C1" s="62" t="s">
        <v>1270</v>
      </c>
      <c r="D1" s="62" t="s">
        <v>1271</v>
      </c>
      <c r="E1" s="62" t="s">
        <v>1272</v>
      </c>
      <c r="F1" s="106" t="s">
        <v>825</v>
      </c>
      <c r="G1" s="106" t="s">
        <v>826</v>
      </c>
      <c r="H1" s="62" t="s">
        <v>1273</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codeName="Sheet50">
    <tabColor rgb="FFFFC000"/>
  </sheetPr>
  <dimension ref="A1:J6"/>
  <sheetViews>
    <sheetView workbookViewId="0">
      <selection activeCell="F25" sqref="F25"/>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4624</v>
      </c>
      <c r="E1" s="20" t="s">
        <v>168</v>
      </c>
      <c r="F1" s="20" t="s">
        <v>169</v>
      </c>
      <c r="G1" s="32" t="s">
        <v>4623</v>
      </c>
      <c r="H1" s="32" t="s">
        <v>4625</v>
      </c>
      <c r="I1" s="32" t="s">
        <v>4626</v>
      </c>
      <c r="J1" s="32" t="s">
        <v>4627</v>
      </c>
    </row>
    <row r="2" spans="1:10" ht="28.2" customHeight="1">
      <c r="A2" s="270"/>
      <c r="B2" s="308"/>
      <c r="C2" s="308"/>
      <c r="D2" s="270"/>
      <c r="E2" s="270"/>
      <c r="F2" s="270"/>
      <c r="G2" s="308"/>
      <c r="H2" s="308"/>
      <c r="I2" s="270"/>
      <c r="J2" s="308"/>
    </row>
    <row r="3" spans="1:10" ht="14.4">
      <c r="A3" s="544"/>
      <c r="B3" s="308"/>
      <c r="C3" s="308"/>
      <c r="D3" s="544"/>
      <c r="E3" s="544"/>
      <c r="F3" s="544"/>
      <c r="G3" s="308"/>
      <c r="H3" s="308"/>
      <c r="I3" s="270"/>
      <c r="J3" s="308"/>
    </row>
    <row r="4" spans="1:10">
      <c r="A4" s="247"/>
      <c r="B4" s="247"/>
      <c r="C4" s="247"/>
      <c r="D4" s="247"/>
      <c r="E4" s="247"/>
      <c r="F4" s="247"/>
      <c r="G4" s="247"/>
      <c r="H4" s="247"/>
      <c r="I4" s="247"/>
      <c r="J4" s="247"/>
    </row>
    <row r="5" spans="1:10">
      <c r="A5" s="247"/>
      <c r="B5" s="247"/>
      <c r="C5" s="247"/>
      <c r="D5" s="247"/>
      <c r="E5" s="247"/>
      <c r="F5" s="247"/>
      <c r="G5" s="247"/>
      <c r="H5" s="247"/>
      <c r="I5" s="247"/>
      <c r="J5" s="247"/>
    </row>
    <row r="6" spans="1:10">
      <c r="A6" s="247"/>
      <c r="B6" s="247"/>
      <c r="C6" s="247"/>
      <c r="D6" s="247"/>
      <c r="E6" s="247"/>
      <c r="F6" s="247"/>
      <c r="G6" s="247"/>
      <c r="H6" s="247"/>
      <c r="I6" s="247"/>
      <c r="J6" s="247"/>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codeName="Sheet51">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6" t="s">
        <v>168</v>
      </c>
      <c r="H1" s="32" t="s">
        <v>175</v>
      </c>
      <c r="I1" s="32" t="s">
        <v>176</v>
      </c>
      <c r="J1" s="32" t="s">
        <v>177</v>
      </c>
      <c r="K1" s="32" t="s">
        <v>4247</v>
      </c>
    </row>
    <row r="2" spans="1:11" ht="14.4">
      <c r="A2" s="308"/>
      <c r="B2" s="308"/>
      <c r="C2" s="308"/>
      <c r="D2" s="270"/>
      <c r="E2" s="270"/>
      <c r="F2" s="270"/>
      <c r="G2" s="247"/>
      <c r="H2" s="247"/>
      <c r="I2" s="247"/>
      <c r="J2" s="247"/>
      <c r="K2" s="247"/>
    </row>
    <row r="3" spans="1:11">
      <c r="A3" s="247"/>
      <c r="B3" s="247"/>
      <c r="C3" s="247"/>
      <c r="D3" s="247"/>
      <c r="E3" s="247"/>
      <c r="F3" s="247"/>
      <c r="G3" s="247"/>
      <c r="H3" s="247"/>
      <c r="I3" s="247"/>
      <c r="J3" s="247"/>
      <c r="K3" s="247"/>
    </row>
    <row r="4" spans="1:11">
      <c r="A4" s="247"/>
      <c r="B4" s="247"/>
      <c r="C4" s="247"/>
      <c r="D4" s="247"/>
      <c r="E4" s="247"/>
      <c r="F4" s="247"/>
      <c r="G4" s="247"/>
      <c r="H4" s="247"/>
      <c r="I4" s="247"/>
      <c r="J4" s="247"/>
      <c r="K4" s="247"/>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codeName="Sheet52">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8"/>
      <c r="B2" s="308"/>
      <c r="C2" s="270"/>
      <c r="D2" s="308"/>
    </row>
    <row r="3" spans="1:4">
      <c r="A3" s="247"/>
      <c r="B3" s="247"/>
      <c r="C3" s="247"/>
      <c r="D3" s="247"/>
    </row>
    <row r="4" spans="1:4">
      <c r="A4" s="247"/>
      <c r="B4" s="247"/>
      <c r="C4" s="247"/>
      <c r="D4" s="247"/>
    </row>
    <row r="5" spans="1:4">
      <c r="A5" s="247"/>
      <c r="B5" s="247"/>
      <c r="C5" s="247"/>
      <c r="D5" s="247"/>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codeName="Sheet53">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4561</v>
      </c>
      <c r="E1" s="20" t="s">
        <v>184</v>
      </c>
      <c r="F1" s="20" t="s">
        <v>4562</v>
      </c>
    </row>
    <row r="2" spans="1:6">
      <c r="A2" s="247"/>
      <c r="B2" s="247"/>
      <c r="C2" s="539"/>
      <c r="D2" s="275"/>
      <c r="E2" s="276"/>
      <c r="F2" s="276"/>
    </row>
    <row r="3" spans="1:6">
      <c r="A3" s="247"/>
      <c r="B3" s="247"/>
      <c r="C3" s="247"/>
      <c r="D3" s="247"/>
      <c r="E3" s="247"/>
      <c r="F3" s="247"/>
    </row>
    <row r="4" spans="1:6">
      <c r="A4" s="247"/>
      <c r="B4" s="247"/>
      <c r="C4" s="247"/>
      <c r="D4" s="247"/>
      <c r="E4" s="247"/>
      <c r="F4" s="247"/>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codeName="Sheet54">
    <tabColor rgb="FFFFC000"/>
  </sheetPr>
  <dimension ref="A1:C6"/>
  <sheetViews>
    <sheetView workbookViewId="0">
      <selection activeCell="G11" sqref="G11"/>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5" t="s">
        <v>199</v>
      </c>
      <c r="C1" s="155" t="s">
        <v>200</v>
      </c>
    </row>
    <row r="2" spans="1:3" ht="14.4">
      <c r="A2" s="554" t="s">
        <v>191</v>
      </c>
      <c r="B2" s="157">
        <f>ROUND(SUMIF(货币资金明细表!B:B,A2,货币资金明细表!F:F),2)</f>
        <v>0</v>
      </c>
      <c r="C2" s="265"/>
    </row>
    <row r="3" spans="1:3" ht="14.4">
      <c r="A3" s="554" t="s">
        <v>192</v>
      </c>
      <c r="B3" s="157">
        <f>ROUND(SUMIF(货币资金明细表!B:B,A3,货币资金明细表!F:F),2)</f>
        <v>0</v>
      </c>
      <c r="C3" s="265"/>
    </row>
    <row r="4" spans="1:3" ht="14.4">
      <c r="A4" s="554" t="s">
        <v>193</v>
      </c>
      <c r="B4" s="157">
        <f>ROUND(SUMIF(货币资金明细表!B:B,A4,货币资金明细表!F:F),2)</f>
        <v>0</v>
      </c>
      <c r="C4" s="265"/>
    </row>
    <row r="5" spans="1:3" ht="14.4">
      <c r="A5" s="35" t="s">
        <v>204</v>
      </c>
      <c r="B5" s="157">
        <f>ROUND(SUM(B2:B4),2)</f>
        <v>0</v>
      </c>
      <c r="C5" s="157">
        <f>ROUND(SUM(C2:C4),2)</f>
        <v>0</v>
      </c>
    </row>
    <row r="6" spans="1:3" ht="14.4">
      <c r="A6" s="74"/>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codeName="Sheet55">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E15" sqref="E15"/>
    </sheetView>
  </sheetViews>
  <sheetFormatPr defaultRowHeight="13.8"/>
  <cols>
    <col min="1" max="1" width="46.109375" style="18" customWidth="1"/>
    <col min="2" max="3" width="11" style="1" customWidth="1"/>
    <col min="4" max="16384" width="8.88671875" style="18"/>
  </cols>
  <sheetData>
    <row r="1" spans="1:3" ht="14.4">
      <c r="A1" s="35" t="s">
        <v>28</v>
      </c>
      <c r="B1" s="155" t="s">
        <v>199</v>
      </c>
      <c r="C1" s="155" t="s">
        <v>200</v>
      </c>
    </row>
    <row r="2" spans="1:3" ht="14.4">
      <c r="A2" s="38" t="s">
        <v>194</v>
      </c>
      <c r="B2" s="291">
        <f>ROUND(SUMIF(受限货币资金明细表!D:D,受限制的货币资金!A2,受限货币资金明细表!E:E),2)</f>
        <v>0</v>
      </c>
      <c r="C2" s="291">
        <f>ROUND(SUMIF(受限货币资金明细表!D:D,受限制的货币资金!A2,受限货币资金明细表!F:F),2)</f>
        <v>0</v>
      </c>
    </row>
    <row r="3" spans="1:3" ht="14.4">
      <c r="A3" s="38" t="s">
        <v>195</v>
      </c>
      <c r="B3" s="291">
        <f>ROUND(SUMIF(受限货币资金明细表!D:D,受限制的货币资金!A3,受限货币资金明细表!E:E),2)</f>
        <v>0</v>
      </c>
      <c r="C3" s="291">
        <f>ROUND(SUMIF(受限货币资金明细表!D:D,受限制的货币资金!A3,受限货币资金明细表!F:F),2)</f>
        <v>0</v>
      </c>
    </row>
    <row r="4" spans="1:3" ht="14.4">
      <c r="A4" s="38" t="s">
        <v>196</v>
      </c>
      <c r="B4" s="291">
        <f>ROUND(SUMIF(受限货币资金明细表!D:D,受限制的货币资金!A4,受限货币资金明细表!E:E),2)</f>
        <v>0</v>
      </c>
      <c r="C4" s="291">
        <f>ROUND(SUMIF(受限货币资金明细表!D:D,受限制的货币资金!A4,受限货币资金明细表!F:F),2)</f>
        <v>0</v>
      </c>
    </row>
    <row r="5" spans="1:3" ht="14.4">
      <c r="A5" s="34" t="s">
        <v>197</v>
      </c>
      <c r="B5" s="291">
        <f>ROUND(SUMIF(受限货币资金明细表!D:D,受限制的货币资金!A5,受限货币资金明细表!E:E),2)</f>
        <v>0</v>
      </c>
      <c r="C5" s="291">
        <f>ROUND(SUMIF(受限货币资金明细表!D:D,受限制的货币资金!A5,受限货币资金明细表!F:F),2)</f>
        <v>0</v>
      </c>
    </row>
    <row r="6" spans="1:3" ht="14.4">
      <c r="A6" s="34" t="s">
        <v>2398</v>
      </c>
      <c r="B6" s="291">
        <f>ROUND(SUMIF(受限货币资金明细表!D:D,受限制的货币资金!A6,受限货币资金明细表!E:E),2)</f>
        <v>0</v>
      </c>
      <c r="C6" s="291">
        <f>ROUND(SUMIF(受限货币资金明细表!D:D,受限制的货币资金!A6,受限货币资金明细表!F:F),2)</f>
        <v>0</v>
      </c>
    </row>
    <row r="7" spans="1:3" ht="14.4">
      <c r="A7" s="34" t="s">
        <v>2399</v>
      </c>
      <c r="B7" s="291">
        <f>ROUND(SUMIF(受限货币资金明细表!D:D,受限制的货币资金!A7,受限货币资金明细表!E:E),2)</f>
        <v>0</v>
      </c>
      <c r="C7" s="291">
        <f>ROUND(SUMIF(受限货币资金明细表!D:D,受限制的货币资金!A7,受限货币资金明细表!F:F),2)</f>
        <v>0</v>
      </c>
    </row>
    <row r="8" spans="1:3" ht="14.4">
      <c r="A8" s="34" t="s">
        <v>2401</v>
      </c>
      <c r="B8" s="291">
        <f>ROUND(SUMIF(受限货币资金明细表!D:D,受限制的货币资金!A8,受限货币资金明细表!E:E),2)</f>
        <v>0</v>
      </c>
      <c r="C8" s="291">
        <f>ROUND(SUMIF(受限货币资金明细表!D:D,受限制的货币资金!A8,受限货币资金明细表!F:F),2)</f>
        <v>0</v>
      </c>
    </row>
    <row r="9" spans="1:3" ht="14.4">
      <c r="A9" s="35" t="s">
        <v>204</v>
      </c>
      <c r="B9" s="157">
        <f>ROUND(SUM(B2:B8),2)</f>
        <v>0</v>
      </c>
      <c r="C9" s="157">
        <f>ROUND(SUM(C2:C8),2)</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sheetPr codeName="Sheet56"/>
  <dimension ref="A1:C5"/>
  <sheetViews>
    <sheetView workbookViewId="0">
      <selection activeCell="J22" sqref="J22"/>
    </sheetView>
  </sheetViews>
  <sheetFormatPr defaultRowHeight="13.8"/>
  <cols>
    <col min="1" max="1" width="13.88671875" bestFit="1" customWidth="1"/>
    <col min="2" max="3" width="8.88671875" style="230"/>
  </cols>
  <sheetData>
    <row r="1" spans="1:3">
      <c r="A1" s="244" t="s">
        <v>95</v>
      </c>
      <c r="B1" s="230" t="s">
        <v>199</v>
      </c>
      <c r="C1" s="230" t="s">
        <v>200</v>
      </c>
    </row>
    <row r="2" spans="1:3">
      <c r="A2" t="s">
        <v>841</v>
      </c>
      <c r="B2" s="230">
        <f>SUMIF(受限货币资金明细表!B:B,受限货币资金情况!A2,受限货币资金明细表!E:E)</f>
        <v>0</v>
      </c>
      <c r="C2" s="230">
        <f>SUMIF(受限货币资金明细表!B:B,受限货币资金情况!A2,受限货币资金明细表!F:F)</f>
        <v>0</v>
      </c>
    </row>
    <row r="3" spans="1:3">
      <c r="A3" t="s">
        <v>845</v>
      </c>
      <c r="B3" s="230">
        <f>SUMIF(受限货币资金明细表!B:B,受限货币资金情况!A3,受限货币资金明细表!E:E)</f>
        <v>0</v>
      </c>
      <c r="C3" s="230">
        <f>SUMIF(受限货币资金明细表!B:B,受限货币资金情况!A3,受限货币资金明细表!F:F)</f>
        <v>0</v>
      </c>
    </row>
    <row r="4" spans="1:3">
      <c r="A4" t="s">
        <v>1904</v>
      </c>
      <c r="B4" s="230">
        <f>SUMIF(受限货币资金明细表!B:B,受限货币资金情况!A4,受限货币资金明细表!E:E)</f>
        <v>0</v>
      </c>
      <c r="C4" s="230">
        <f>SUMIF(受限货币资金明细表!B:B,受限货币资金情况!A4,受限货币资金明细表!F:F)</f>
        <v>0</v>
      </c>
    </row>
    <row r="5" spans="1:3">
      <c r="A5" t="s">
        <v>282</v>
      </c>
      <c r="B5" s="230">
        <f>SUM(B2:B4)</f>
        <v>0</v>
      </c>
      <c r="C5" s="230">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sheetPr codeName="Sheet57"/>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H12" sqref="H12"/>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2" t="s">
        <v>2015</v>
      </c>
      <c r="B1" s="263" t="s">
        <v>2016</v>
      </c>
      <c r="C1" s="262" t="s">
        <v>2017</v>
      </c>
      <c r="D1" s="262" t="s">
        <v>2018</v>
      </c>
      <c r="E1" s="262" t="s">
        <v>2019</v>
      </c>
      <c r="F1" s="264" t="s">
        <v>2020</v>
      </c>
      <c r="G1" s="262" t="s">
        <v>2021</v>
      </c>
      <c r="H1" s="262" t="s">
        <v>2022</v>
      </c>
    </row>
    <row r="2" spans="1:8">
      <c r="A2" t="str">
        <f>IF(ABS(F2)&gt;0,基础信息!$B$1,"")</f>
        <v/>
      </c>
      <c r="B2" s="277"/>
      <c r="C2" s="277"/>
      <c r="D2" s="256"/>
      <c r="E2" s="256"/>
      <c r="F2" s="230">
        <f t="shared" ref="F2:F10" si="0">E2*D2</f>
        <v>0</v>
      </c>
      <c r="G2" s="256"/>
      <c r="H2" s="230">
        <f>G2*D2</f>
        <v>0</v>
      </c>
    </row>
    <row r="3" spans="1:8">
      <c r="A3" t="str">
        <f>IF(ABS(F3)&gt;0,基础信息!$B$1,"")</f>
        <v/>
      </c>
      <c r="B3" s="277"/>
      <c r="C3" s="277"/>
      <c r="D3" s="256"/>
      <c r="E3" s="256"/>
      <c r="F3" s="230">
        <f t="shared" si="0"/>
        <v>0</v>
      </c>
      <c r="G3" s="256"/>
      <c r="H3" s="230">
        <f t="shared" ref="H3:H10" si="1">G3*D3</f>
        <v>0</v>
      </c>
    </row>
    <row r="4" spans="1:8">
      <c r="A4" t="str">
        <f>IF(ABS(F4)&gt;0,基础信息!$B$1,"")</f>
        <v/>
      </c>
      <c r="B4" s="277"/>
      <c r="C4" s="277"/>
      <c r="D4" s="256"/>
      <c r="E4" s="256"/>
      <c r="F4" s="230">
        <f t="shared" si="0"/>
        <v>0</v>
      </c>
      <c r="G4" s="256"/>
      <c r="H4" s="230">
        <f t="shared" si="1"/>
        <v>0</v>
      </c>
    </row>
    <row r="5" spans="1:8">
      <c r="A5" t="str">
        <f>IF(ABS(F5)&gt;0,基础信息!$B$1,"")</f>
        <v/>
      </c>
      <c r="B5" s="277"/>
      <c r="C5" s="277"/>
      <c r="D5" s="256"/>
      <c r="E5" s="256"/>
      <c r="F5" s="230">
        <f t="shared" si="0"/>
        <v>0</v>
      </c>
      <c r="G5" s="256"/>
      <c r="H5" s="230">
        <f t="shared" si="1"/>
        <v>0</v>
      </c>
    </row>
    <row r="6" spans="1:8">
      <c r="A6" t="str">
        <f>IF(ABS(F6)&gt;0,基础信息!$B$1,"")</f>
        <v/>
      </c>
      <c r="B6" s="277"/>
      <c r="C6" s="277"/>
      <c r="D6" s="256"/>
      <c r="E6" s="256"/>
      <c r="F6" s="230">
        <f t="shared" si="0"/>
        <v>0</v>
      </c>
      <c r="G6" s="256"/>
      <c r="H6" s="230">
        <f t="shared" si="1"/>
        <v>0</v>
      </c>
    </row>
    <row r="7" spans="1:8">
      <c r="A7" t="str">
        <f>IF(ABS(F7)&gt;0,基础信息!$B$1,"")</f>
        <v/>
      </c>
      <c r="B7" s="277"/>
      <c r="C7" s="277"/>
      <c r="D7" s="256"/>
      <c r="E7" s="256"/>
      <c r="F7" s="230">
        <f t="shared" si="0"/>
        <v>0</v>
      </c>
      <c r="G7" s="256"/>
      <c r="H7" s="230">
        <f t="shared" si="1"/>
        <v>0</v>
      </c>
    </row>
    <row r="8" spans="1:8">
      <c r="A8" t="str">
        <f>IF(ABS(F8)&gt;0,基础信息!$B$1,"")</f>
        <v/>
      </c>
      <c r="B8" s="277"/>
      <c r="C8" s="277"/>
      <c r="D8" s="256"/>
      <c r="E8" s="256"/>
      <c r="F8" s="230">
        <f t="shared" si="0"/>
        <v>0</v>
      </c>
      <c r="G8" s="256"/>
      <c r="H8" s="230">
        <f t="shared" si="1"/>
        <v>0</v>
      </c>
    </row>
    <row r="9" spans="1:8">
      <c r="A9" t="str">
        <f>IF(ABS(F9)&gt;0,基础信息!$B$1,"")</f>
        <v/>
      </c>
      <c r="B9" s="277"/>
      <c r="C9" s="277"/>
      <c r="D9" s="256"/>
      <c r="E9" s="256"/>
      <c r="F9" s="230">
        <f t="shared" si="0"/>
        <v>0</v>
      </c>
      <c r="G9" s="256"/>
      <c r="H9" s="230">
        <f t="shared" si="1"/>
        <v>0</v>
      </c>
    </row>
    <row r="10" spans="1:8">
      <c r="A10" t="str">
        <f>IF(ABS(F10)&gt;0,基础信息!$B$1,"")</f>
        <v/>
      </c>
      <c r="B10" s="277"/>
      <c r="C10" s="277"/>
      <c r="D10" s="256"/>
      <c r="E10" s="256"/>
      <c r="F10" s="230">
        <f t="shared" si="0"/>
        <v>0</v>
      </c>
      <c r="G10" s="256"/>
      <c r="H10" s="230">
        <f t="shared" si="1"/>
        <v>0</v>
      </c>
    </row>
    <row r="11" spans="1:8">
      <c r="A11" t="str">
        <f>IF(ABS(F11)&gt;0,基础信息!$B$1,"")</f>
        <v/>
      </c>
      <c r="B11" s="277"/>
      <c r="C11" s="277"/>
      <c r="D11" s="256"/>
      <c r="E11" s="256"/>
      <c r="F11" s="230">
        <f t="shared" ref="F11:F16" si="2">E11*D11</f>
        <v>0</v>
      </c>
      <c r="G11" s="256"/>
      <c r="H11" s="230">
        <f t="shared" ref="H11:H16" si="3">G11*D11</f>
        <v>0</v>
      </c>
    </row>
    <row r="12" spans="1:8">
      <c r="A12" t="str">
        <f>IF(ABS(F12)&gt;0,基础信息!$B$1,"")</f>
        <v/>
      </c>
      <c r="B12" s="277"/>
      <c r="C12" s="277"/>
      <c r="D12" s="256"/>
      <c r="E12" s="256"/>
      <c r="F12" s="230">
        <f t="shared" si="2"/>
        <v>0</v>
      </c>
      <c r="G12" s="256"/>
      <c r="H12" s="230">
        <f t="shared" si="3"/>
        <v>0</v>
      </c>
    </row>
    <row r="13" spans="1:8">
      <c r="A13" t="str">
        <f>IF(ABS(F13)&gt;0,基础信息!$B$1,"")</f>
        <v/>
      </c>
      <c r="B13" s="277"/>
      <c r="C13" s="277"/>
      <c r="D13" s="256"/>
      <c r="E13" s="256"/>
      <c r="F13" s="230">
        <f t="shared" si="2"/>
        <v>0</v>
      </c>
      <c r="G13" s="256"/>
      <c r="H13" s="230">
        <f t="shared" si="3"/>
        <v>0</v>
      </c>
    </row>
    <row r="14" spans="1:8">
      <c r="A14" t="str">
        <f>IF(ABS(F14)&gt;0,基础信息!$B$1,"")</f>
        <v/>
      </c>
      <c r="B14" s="277"/>
      <c r="C14" s="277"/>
      <c r="D14" s="256"/>
      <c r="E14" s="256"/>
      <c r="F14" s="230">
        <f t="shared" si="2"/>
        <v>0</v>
      </c>
      <c r="G14" s="256"/>
      <c r="H14" s="230">
        <f t="shared" si="3"/>
        <v>0</v>
      </c>
    </row>
    <row r="15" spans="1:8">
      <c r="A15" t="str">
        <f>IF(ABS(F15)&gt;0,基础信息!$B$1,"")</f>
        <v/>
      </c>
      <c r="B15" s="277"/>
      <c r="C15" s="277"/>
      <c r="D15" s="256"/>
      <c r="E15" s="256"/>
      <c r="F15" s="230">
        <f t="shared" si="2"/>
        <v>0</v>
      </c>
      <c r="G15" s="256"/>
      <c r="H15" s="230">
        <f t="shared" si="3"/>
        <v>0</v>
      </c>
    </row>
    <row r="16" spans="1:8">
      <c r="A16" t="str">
        <f>IF(ABS(F16)&gt;0,基础信息!$B$1,"")</f>
        <v/>
      </c>
      <c r="B16" s="277"/>
      <c r="C16" s="277"/>
      <c r="D16" s="256"/>
      <c r="E16" s="256"/>
      <c r="F16" s="230">
        <f t="shared" si="2"/>
        <v>0</v>
      </c>
      <c r="G16" s="256"/>
      <c r="H16" s="230">
        <f t="shared" si="3"/>
        <v>0</v>
      </c>
    </row>
    <row r="17" spans="1:2">
      <c r="A17" t="str">
        <f>IF(ABS(F17)&gt;0,基础信息!B16,"")</f>
        <v/>
      </c>
      <c r="B17" s="257"/>
    </row>
    <row r="18" spans="1:2">
      <c r="A18" t="str">
        <f>IF(ABS(F18)&gt;0,基础信息!B17,"")</f>
        <v/>
      </c>
      <c r="B18" s="257"/>
    </row>
    <row r="19" spans="1:2">
      <c r="A19" t="str">
        <f>IF(ABS(F19)&gt;0,基础信息!B18,"")</f>
        <v/>
      </c>
      <c r="B19" s="257"/>
    </row>
    <row r="20" spans="1:2">
      <c r="A20" t="str">
        <f>IF(ABS(F20)&gt;0,基础信息!B19,"")</f>
        <v/>
      </c>
      <c r="B20" s="257"/>
    </row>
    <row r="21" spans="1:2">
      <c r="A21" t="str">
        <f>IF(ABS(F21)&gt;0,基础信息!B20,"")</f>
        <v/>
      </c>
      <c r="B21" s="257"/>
    </row>
    <row r="22" spans="1:2">
      <c r="A22" t="str">
        <f>IF(ABS(F22)&gt;0,基础信息!B21,"")</f>
        <v/>
      </c>
      <c r="B22" s="257"/>
    </row>
    <row r="23" spans="1:2">
      <c r="A23" t="str">
        <f>IF(ABS(F23)&gt;0,基础信息!B22,"")</f>
        <v/>
      </c>
      <c r="B23" s="257"/>
    </row>
    <row r="24" spans="1:2">
      <c r="A24" t="str">
        <f>IF(ABS(F24)&gt;0,基础信息!B23,"")</f>
        <v/>
      </c>
      <c r="B24" s="257"/>
    </row>
    <row r="25" spans="1:2">
      <c r="A25" t="str">
        <f>IF(ABS(F25)&gt;0,基础信息!B24,"")</f>
        <v/>
      </c>
      <c r="B25" s="257"/>
    </row>
    <row r="26" spans="1:2">
      <c r="A26" t="str">
        <f>IF(ABS(F26)&gt;0,基础信息!B25,"")</f>
        <v/>
      </c>
      <c r="B26" s="257"/>
    </row>
    <row r="27" spans="1:2">
      <c r="A27" t="str">
        <f>IF(ABS(F27)&gt;0,基础信息!B26,"")</f>
        <v/>
      </c>
      <c r="B27" s="257"/>
    </row>
    <row r="28" spans="1:2">
      <c r="A28" t="str">
        <f>IF(ABS(F28)&gt;0,基础信息!B27,"")</f>
        <v/>
      </c>
      <c r="B28" s="257"/>
    </row>
    <row r="29" spans="1:2">
      <c r="A29" t="str">
        <f>IF(ABS(F29)&gt;0,基础信息!B28,"")</f>
        <v/>
      </c>
      <c r="B29" s="257"/>
    </row>
    <row r="30" spans="1:2">
      <c r="A30" t="str">
        <f>IF(ABS(F30)&gt;0,基础信息!B29,"")</f>
        <v/>
      </c>
      <c r="B30" s="257"/>
    </row>
    <row r="31" spans="1:2">
      <c r="A31" t="str">
        <f>IF(ABS(F31)&gt;0,基础信息!B30,"")</f>
        <v/>
      </c>
      <c r="B31" s="257"/>
    </row>
    <row r="32" spans="1:2">
      <c r="A32" t="str">
        <f>IF(ABS(F32)&gt;0,基础信息!B31,"")</f>
        <v/>
      </c>
      <c r="B32" s="257"/>
    </row>
    <row r="33" spans="1:2">
      <c r="A33" t="str">
        <f>IF(ABS(F33)&gt;0,基础信息!B32,"")</f>
        <v/>
      </c>
      <c r="B33" s="257"/>
    </row>
    <row r="34" spans="1:2">
      <c r="A34" t="str">
        <f>IF(ABS(F34)&gt;0,基础信息!B33,"")</f>
        <v/>
      </c>
      <c r="B34" s="257"/>
    </row>
    <row r="35" spans="1:2">
      <c r="A35" t="str">
        <f>IF(ABS(F35)&gt;0,基础信息!B34,"")</f>
        <v/>
      </c>
      <c r="B35" s="257"/>
    </row>
    <row r="36" spans="1:2">
      <c r="A36" t="str">
        <f>IF(ABS(F36)&gt;0,基础信息!B35,"")</f>
        <v/>
      </c>
      <c r="B36" s="257"/>
    </row>
    <row r="37" spans="1:2">
      <c r="A37" t="str">
        <f>IF(ABS(F37)&gt;0,基础信息!B36,"")</f>
        <v/>
      </c>
      <c r="B37" s="257"/>
    </row>
    <row r="38" spans="1:2">
      <c r="A38" t="str">
        <f>IF(ABS(F38)&gt;0,基础信息!B37,"")</f>
        <v/>
      </c>
      <c r="B38" s="257"/>
    </row>
    <row r="39" spans="1:2">
      <c r="A39" t="str">
        <f>IF(ABS(F39)&gt;0,基础信息!B38,"")</f>
        <v/>
      </c>
      <c r="B39" s="257"/>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sheetPr codeName="Sheet58"/>
  <dimension ref="A1:F14"/>
  <sheetViews>
    <sheetView workbookViewId="0">
      <selection activeCell="M23" sqref="M23"/>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2" t="s">
        <v>2015</v>
      </c>
      <c r="B1" s="263" t="s">
        <v>2016</v>
      </c>
      <c r="C1" s="262" t="s">
        <v>2017</v>
      </c>
      <c r="D1" s="262" t="s">
        <v>2400</v>
      </c>
      <c r="E1" s="264" t="s">
        <v>199</v>
      </c>
      <c r="F1" s="262" t="s">
        <v>200</v>
      </c>
    </row>
    <row r="2" spans="1:6">
      <c r="A2" t="str">
        <f>IF(ABS(E2)&gt;0,基础信息!$B$1,"")</f>
        <v/>
      </c>
      <c r="B2" s="277"/>
      <c r="C2" s="277"/>
      <c r="D2" s="277"/>
      <c r="E2" s="290"/>
      <c r="F2" s="256"/>
    </row>
    <row r="3" spans="1:6">
      <c r="A3" t="str">
        <f>IF(ABS(E3)&gt;0,基础信息!$B$1,"")</f>
        <v/>
      </c>
      <c r="B3" s="277"/>
      <c r="C3" s="277"/>
      <c r="D3" s="277"/>
      <c r="E3" s="290"/>
      <c r="F3" s="256"/>
    </row>
    <row r="4" spans="1:6">
      <c r="A4" t="str">
        <f>IF(ABS(E4)&gt;0,基础信息!$B$1,"")</f>
        <v/>
      </c>
      <c r="B4" s="277"/>
      <c r="C4" s="277"/>
      <c r="D4" s="277"/>
      <c r="E4" s="290"/>
      <c r="F4" s="256"/>
    </row>
    <row r="5" spans="1:6">
      <c r="A5" t="str">
        <f>IF(ABS(E5)&gt;0,基础信息!$B$1,"")</f>
        <v/>
      </c>
      <c r="B5" s="277"/>
      <c r="C5" s="277"/>
      <c r="D5" s="277"/>
      <c r="E5" s="256"/>
      <c r="F5" s="256"/>
    </row>
    <row r="6" spans="1:6">
      <c r="A6" t="str">
        <f>IF(ABS(E6)&gt;0,基础信息!$B$1,"")</f>
        <v/>
      </c>
      <c r="B6" s="277"/>
      <c r="C6" s="277"/>
      <c r="D6" s="277"/>
      <c r="E6" s="256"/>
      <c r="F6" s="256"/>
    </row>
    <row r="7" spans="1:6">
      <c r="A7" t="str">
        <f>IF(ABS(E7)&gt;0,基础信息!$B$1,"")</f>
        <v/>
      </c>
      <c r="B7" s="277"/>
      <c r="C7" s="277"/>
      <c r="D7" s="277"/>
      <c r="E7" s="256"/>
      <c r="F7" s="256"/>
    </row>
    <row r="8" spans="1:6">
      <c r="A8" t="str">
        <f>IF(ABS(E8)&gt;0,基础信息!$B$1,"")</f>
        <v/>
      </c>
      <c r="B8" s="277"/>
      <c r="C8" s="277"/>
      <c r="D8" s="277"/>
      <c r="E8" s="256"/>
      <c r="F8" s="256"/>
    </row>
    <row r="9" spans="1:6">
      <c r="A9" t="str">
        <f>IF(ABS(E9)&gt;0,基础信息!$B$1,"")</f>
        <v/>
      </c>
      <c r="B9" s="277"/>
      <c r="C9" s="277"/>
      <c r="D9" s="277"/>
      <c r="E9" s="256"/>
      <c r="F9" s="256"/>
    </row>
    <row r="10" spans="1:6">
      <c r="A10" t="str">
        <f>IF(ABS(E10)&gt;0,基础信息!$B$1,"")</f>
        <v/>
      </c>
      <c r="B10" s="277"/>
      <c r="C10" s="277"/>
      <c r="D10" s="277"/>
      <c r="E10" s="256"/>
      <c r="F10" s="256"/>
    </row>
    <row r="11" spans="1:6">
      <c r="A11" t="str">
        <f>IF(ABS(E11)&gt;0,基础信息!$B$1,"")</f>
        <v/>
      </c>
      <c r="B11" s="277"/>
      <c r="C11" s="277"/>
      <c r="D11" s="277"/>
      <c r="E11" s="256"/>
      <c r="F11" s="256"/>
    </row>
    <row r="12" spans="1:6">
      <c r="A12" t="str">
        <f>IF(ABS(E12)&gt;0,基础信息!$B$1,"")</f>
        <v/>
      </c>
      <c r="B12" s="277"/>
      <c r="C12" s="277"/>
      <c r="D12" s="277"/>
      <c r="E12" s="256"/>
      <c r="F12" s="256"/>
    </row>
    <row r="13" spans="1:6">
      <c r="A13" t="str">
        <f>IF(ABS(E13)&gt;0,基础信息!$B$1,"")</f>
        <v/>
      </c>
      <c r="B13" s="277"/>
      <c r="C13" s="277"/>
      <c r="D13" s="277"/>
      <c r="E13" s="256"/>
      <c r="F13" s="256"/>
    </row>
    <row r="14" spans="1:6">
      <c r="A14" t="str">
        <f>IF(ABS(E14)&gt;0,基础信息!$B$1,"")</f>
        <v/>
      </c>
      <c r="B14" s="277"/>
      <c r="C14" s="277"/>
      <c r="D14" s="277"/>
      <c r="E14" s="256"/>
      <c r="F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codeName="Sheet59">
    <tabColor rgb="FFFFC000"/>
  </sheetPr>
  <dimension ref="A1:C10"/>
  <sheetViews>
    <sheetView workbookViewId="0">
      <selection activeCell="E14" sqref="E14"/>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5" t="s">
        <v>199</v>
      </c>
      <c r="C1" s="154" t="s">
        <v>200</v>
      </c>
    </row>
    <row r="2" spans="1:3" ht="14.4">
      <c r="A2" s="421" t="s">
        <v>2415</v>
      </c>
      <c r="B2" s="294">
        <f>ROUND(SUMIF(交易性金融资产明细表!C:C,交易性金融资产!A2,交易性金融资产明细表!J:J),2)</f>
        <v>0</v>
      </c>
      <c r="C2" s="295">
        <f>ROUND(SUMIF(交易性金融资产明细表!C:C,交易性金融资产!A2,交易性金融资产明细表!E:E),2)</f>
        <v>0</v>
      </c>
    </row>
    <row r="3" spans="1:3" ht="14.4">
      <c r="A3" s="421" t="s">
        <v>2416</v>
      </c>
      <c r="B3" s="294">
        <f>ROUND(SUMIF(交易性金融资产明细表!C:C,交易性金融资产!A3,交易性金融资产明细表!J:J),2)</f>
        <v>0</v>
      </c>
      <c r="C3" s="295">
        <f>ROUND(SUMIF(交易性金融资产明细表!C:C,交易性金融资产!A3,交易性金融资产明细表!E:E),2)</f>
        <v>0</v>
      </c>
    </row>
    <row r="4" spans="1:3" ht="14.4">
      <c r="A4" s="421" t="s">
        <v>2417</v>
      </c>
      <c r="B4" s="294">
        <f>ROUND(SUMIF(交易性金融资产明细表!C:C,交易性金融资产!A4,交易性金融资产明细表!J:J),2)</f>
        <v>0</v>
      </c>
      <c r="C4" s="295">
        <f>ROUND(SUMIF(交易性金融资产明细表!C:C,交易性金融资产!A4,交易性金融资产明细表!E:E),2)</f>
        <v>0</v>
      </c>
    </row>
    <row r="5" spans="1:3" ht="14.4">
      <c r="A5" s="421" t="s">
        <v>2418</v>
      </c>
      <c r="B5" s="294">
        <f>ROUND(SUMIF(交易性金融资产明细表!C:C,交易性金融资产!A5,交易性金融资产明细表!J:J),2)</f>
        <v>0</v>
      </c>
      <c r="C5" s="295">
        <f>ROUND(SUMIF(交易性金融资产明细表!C:C,交易性金融资产!A5,交易性金融资产明细表!E:E),2)</f>
        <v>0</v>
      </c>
    </row>
    <row r="6" spans="1:3" ht="14.4">
      <c r="A6" s="421" t="s">
        <v>2419</v>
      </c>
      <c r="B6" s="294">
        <f>ROUND(SUMIF(交易性金融资产明细表!C:C,交易性金融资产!A6,交易性金融资产明细表!J:J),2)</f>
        <v>0</v>
      </c>
      <c r="C6" s="295">
        <f>ROUND(SUMIF(交易性金融资产明细表!C:C,交易性金融资产!A6,交易性金融资产明细表!E:E),2)</f>
        <v>0</v>
      </c>
    </row>
    <row r="7" spans="1:3" ht="14.4">
      <c r="A7" s="421" t="s">
        <v>2420</v>
      </c>
      <c r="B7" s="294">
        <f>ROUND(SUMIF(交易性金融资产明细表!C:C,交易性金融资产!A7,交易性金融资产明细表!J:J),2)</f>
        <v>0</v>
      </c>
      <c r="C7" s="295">
        <f>ROUND(SUMIF(交易性金融资产明细表!C:C,交易性金融资产!A7,交易性金融资产明细表!E:E),2)</f>
        <v>0</v>
      </c>
    </row>
    <row r="8" spans="1:3" ht="14.4">
      <c r="A8" s="421" t="s">
        <v>2421</v>
      </c>
      <c r="B8" s="294">
        <f>ROUND(SUMIF(交易性金融资产明细表!C:C,交易性金融资产!A8,交易性金融资产明细表!J:J),2)</f>
        <v>0</v>
      </c>
      <c r="C8" s="295">
        <f>ROUND(SUMIF(交易性金融资产明细表!C:C,交易性金融资产!A8,交易性金融资产明细表!E:E),2)</f>
        <v>0</v>
      </c>
    </row>
    <row r="9" spans="1:3" ht="14.4">
      <c r="A9" s="421" t="s">
        <v>202</v>
      </c>
      <c r="B9" s="294">
        <f>ROUND(SUMIF(交易性金融资产明细表!C:C,交易性金融资产!A9,交易性金融资产明细表!J:J),2)</f>
        <v>0</v>
      </c>
      <c r="C9" s="295">
        <f>ROUND(SUMIF(交易性金融资产明细表!C:C,交易性金融资产!A9,交易性金融资产明细表!E:E),2)</f>
        <v>0</v>
      </c>
    </row>
    <row r="10" spans="1:3" ht="14.4">
      <c r="A10" s="35" t="s">
        <v>204</v>
      </c>
      <c r="B10" s="156">
        <f>ROUND(SUM(B2:B9),2)</f>
        <v>0</v>
      </c>
      <c r="C10" s="156">
        <f>ROUND(SUM(C2:C9),2)</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sheetPr codeName="Sheet6"/>
  <dimension ref="A1:L258"/>
  <sheetViews>
    <sheetView view="pageBreakPreview" zoomScale="85" zoomScaleNormal="100" zoomScaleSheetLayoutView="85" workbookViewId="0">
      <selection activeCell="E4" sqref="E4:E253"/>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827</v>
      </c>
      <c r="B1" s="109" t="s">
        <v>828</v>
      </c>
      <c r="C1" s="62" t="s">
        <v>829</v>
      </c>
      <c r="D1" s="62" t="s">
        <v>830</v>
      </c>
      <c r="E1" s="62" t="s">
        <v>831</v>
      </c>
      <c r="F1" s="62" t="s">
        <v>832</v>
      </c>
      <c r="G1" s="62" t="s">
        <v>826</v>
      </c>
      <c r="H1" s="62" t="s">
        <v>833</v>
      </c>
    </row>
    <row r="2" spans="1:12">
      <c r="A2" s="110" t="s">
        <v>834</v>
      </c>
      <c r="B2" s="110"/>
      <c r="C2" s="111"/>
      <c r="D2" s="111"/>
      <c r="E2" s="111"/>
      <c r="I2" s="18" t="s">
        <v>835</v>
      </c>
      <c r="J2" s="18" t="s">
        <v>836</v>
      </c>
      <c r="K2" s="18" t="s">
        <v>837</v>
      </c>
      <c r="L2" s="18" t="s">
        <v>838</v>
      </c>
    </row>
    <row r="3" spans="1:12">
      <c r="A3" s="112" t="s">
        <v>839</v>
      </c>
      <c r="B3" s="112"/>
      <c r="C3" s="111"/>
      <c r="D3" s="111"/>
      <c r="E3" s="111">
        <f>上期TB!E3</f>
        <v>820851019.66999996</v>
      </c>
      <c r="F3" s="111">
        <f t="shared" ref="F3:G3" si="0">SUM(C4:C6)</f>
        <v>0</v>
      </c>
      <c r="G3" s="111">
        <f t="shared" si="0"/>
        <v>0</v>
      </c>
      <c r="H3" s="111">
        <f>SUM(H4:H6)</f>
        <v>820851019.66999996</v>
      </c>
    </row>
    <row r="4" spans="1:12">
      <c r="A4" s="112" t="s">
        <v>840</v>
      </c>
      <c r="B4" s="113" t="s">
        <v>841</v>
      </c>
      <c r="C4" s="111"/>
      <c r="D4" s="111"/>
      <c r="E4" s="114">
        <f>上期TB!E4</f>
        <v>0</v>
      </c>
      <c r="F4" s="1">
        <f>ROUND(SUMIF(新准则转换ETY!D:D,B4,新准则转换ETY!F:F),2)</f>
        <v>0</v>
      </c>
      <c r="G4" s="1">
        <f>ROUND(SUMIF(新准则转换ETY!D:D,B4,新准则转换ETY!G:G),2)</f>
        <v>0</v>
      </c>
      <c r="H4" s="115">
        <f>ROUND(E4+F4-G4,2)</f>
        <v>0</v>
      </c>
      <c r="I4" s="18" t="s">
        <v>842</v>
      </c>
      <c r="K4" s="18" t="s">
        <v>843</v>
      </c>
      <c r="L4" s="18" t="str">
        <f>_xlfn.IFNA(VLOOKUP(I4,科目余额表!B:M,11,0),K4)</f>
        <v>借</v>
      </c>
    </row>
    <row r="5" spans="1:12">
      <c r="A5" s="112" t="s">
        <v>844</v>
      </c>
      <c r="B5" s="113" t="s">
        <v>845</v>
      </c>
      <c r="C5" s="111"/>
      <c r="D5" s="111"/>
      <c r="E5" s="114">
        <f>上期TB!E5</f>
        <v>761094784.53999996</v>
      </c>
      <c r="F5" s="1">
        <f>ROUND(SUMIF(新准则转换ETY!D:D,B5,新准则转换ETY!F:F),2)</f>
        <v>0</v>
      </c>
      <c r="G5" s="1">
        <f>ROUND(SUMIF(新准则转换ETY!D:D,B5,新准则转换ETY!G:G),2)</f>
        <v>0</v>
      </c>
      <c r="H5" s="115">
        <f>ROUND(E5+F5-G5,2)</f>
        <v>761094784.53999996</v>
      </c>
      <c r="I5" s="18" t="s">
        <v>846</v>
      </c>
      <c r="K5" s="18" t="s">
        <v>843</v>
      </c>
      <c r="L5" s="18" t="str">
        <f>_xlfn.IFNA(VLOOKUP(I5,科目余额表!B:M,11,0),K5)</f>
        <v>借</v>
      </c>
    </row>
    <row r="6" spans="1:12">
      <c r="A6" s="112" t="s">
        <v>847</v>
      </c>
      <c r="B6" s="113" t="s">
        <v>193</v>
      </c>
      <c r="C6" s="111"/>
      <c r="D6" s="111"/>
      <c r="E6" s="114">
        <f>上期TB!E6</f>
        <v>59756235.130000003</v>
      </c>
      <c r="F6" s="1">
        <f>ROUND(SUMIF(新准则转换ETY!D:D,B6,新准则转换ETY!F:F),2)</f>
        <v>0</v>
      </c>
      <c r="G6" s="1">
        <f>ROUND(SUMIF(新准则转换ETY!D:D,B6,新准则转换ETY!G:G),2)</f>
        <v>0</v>
      </c>
      <c r="H6" s="115">
        <f t="shared" ref="H6:H56" si="1">ROUND(E6+F6-G6,2)</f>
        <v>59756235.130000003</v>
      </c>
      <c r="I6" s="18" t="s">
        <v>848</v>
      </c>
      <c r="K6" s="18" t="s">
        <v>843</v>
      </c>
      <c r="L6" s="18" t="str">
        <f>_xlfn.IFNA(VLOOKUP(I6,科目余额表!B:M,11,0),K6)</f>
        <v>借</v>
      </c>
    </row>
    <row r="7" spans="1:12">
      <c r="A7" s="112" t="s">
        <v>849</v>
      </c>
      <c r="B7" s="113" t="s">
        <v>850</v>
      </c>
      <c r="C7" s="111"/>
      <c r="D7" s="111"/>
      <c r="E7" s="114">
        <f>上期TB!E7</f>
        <v>0</v>
      </c>
      <c r="F7" s="1">
        <f>ROUND(SUMIF(新准则转换ETY!D:D,B7,新准则转换ETY!F:F),2)</f>
        <v>0</v>
      </c>
      <c r="G7" s="1">
        <f>ROUND(SUMIF(新准则转换ETY!D:D,B7,新准则转换ETY!G:G),2)</f>
        <v>0</v>
      </c>
      <c r="H7" s="115">
        <f t="shared" si="1"/>
        <v>0</v>
      </c>
      <c r="I7" s="18" t="s">
        <v>851</v>
      </c>
      <c r="K7" s="18" t="s">
        <v>843</v>
      </c>
      <c r="L7" s="18" t="str">
        <f>_xlfn.IFNA(VLOOKUP(I7,科目余额表!B:M,11,0),K7)</f>
        <v>借</v>
      </c>
    </row>
    <row r="8" spans="1:12">
      <c r="A8" s="112" t="s">
        <v>852</v>
      </c>
      <c r="B8" s="113" t="s">
        <v>853</v>
      </c>
      <c r="C8" s="111"/>
      <c r="D8" s="111"/>
      <c r="E8" s="114">
        <f>上期TB!E8</f>
        <v>0</v>
      </c>
      <c r="F8" s="1">
        <f>ROUND(SUMIF(新准则转换ETY!D:D,B8,新准则转换ETY!F:F),2)</f>
        <v>0</v>
      </c>
      <c r="G8" s="1">
        <f>ROUND(SUMIF(新准则转换ETY!D:D,B8,新准则转换ETY!G:G),2)</f>
        <v>0</v>
      </c>
      <c r="H8" s="115">
        <f t="shared" si="1"/>
        <v>0</v>
      </c>
      <c r="I8" s="18" t="s">
        <v>854</v>
      </c>
      <c r="K8" s="18" t="s">
        <v>843</v>
      </c>
      <c r="L8" s="18" t="str">
        <f>_xlfn.IFNA(VLOOKUP(I8,科目余额表!B:M,11,0),K8)</f>
        <v>借</v>
      </c>
    </row>
    <row r="9" spans="1:12">
      <c r="A9" s="116" t="s">
        <v>855</v>
      </c>
      <c r="B9" s="113" t="s">
        <v>5</v>
      </c>
      <c r="C9" s="111"/>
      <c r="D9" s="117" t="s">
        <v>856</v>
      </c>
      <c r="E9" s="114">
        <f>上期TB!E9</f>
        <v>0</v>
      </c>
      <c r="F9" s="1">
        <f>ROUND(SUMIF(新准则转换ETY!D:D,B9,新准则转换ETY!F:F),2)</f>
        <v>0</v>
      </c>
      <c r="G9" s="1">
        <f>ROUND(SUMIF(新准则转换ETY!D:D,B9,新准则转换ETY!G:G),2)</f>
        <v>0</v>
      </c>
      <c r="H9" s="115">
        <f t="shared" si="1"/>
        <v>0</v>
      </c>
      <c r="I9" s="18" t="s">
        <v>5</v>
      </c>
      <c r="K9" s="18" t="s">
        <v>843</v>
      </c>
      <c r="L9" s="18" t="str">
        <f>_xlfn.IFNA(VLOOKUP(I9,科目余额表!B:M,11,0),K9)</f>
        <v>借</v>
      </c>
    </row>
    <row r="10" spans="1:12">
      <c r="A10" s="116" t="s">
        <v>857</v>
      </c>
      <c r="B10" s="113" t="s">
        <v>3</v>
      </c>
      <c r="C10" s="117" t="s">
        <v>858</v>
      </c>
      <c r="D10" s="117"/>
      <c r="E10" s="114">
        <f>上期TB!E10</f>
        <v>0</v>
      </c>
      <c r="F10" s="1">
        <f>ROUND(SUMIF(新准则转换ETY!D:D,B10,新准则转换ETY!F:F),2)</f>
        <v>0</v>
      </c>
      <c r="G10" s="1">
        <f>ROUND(SUMIF(新准则转换ETY!D:D,B10,新准则转换ETY!G:G),2)</f>
        <v>0</v>
      </c>
      <c r="H10" s="115">
        <f t="shared" si="1"/>
        <v>0</v>
      </c>
      <c r="I10" s="18" t="s">
        <v>3</v>
      </c>
      <c r="K10" s="18" t="s">
        <v>843</v>
      </c>
      <c r="L10" s="18" t="str">
        <f>_xlfn.IFNA(VLOOKUP(I10,科目余额表!B:M,11,0),K10)</f>
        <v>借</v>
      </c>
    </row>
    <row r="11" spans="1:12">
      <c r="A11" s="113" t="s">
        <v>859</v>
      </c>
      <c r="B11" s="113" t="s">
        <v>452</v>
      </c>
      <c r="C11" s="111"/>
      <c r="D11" s="111"/>
      <c r="E11" s="114">
        <f>上期TB!E11</f>
        <v>0</v>
      </c>
      <c r="F11" s="1">
        <f>ROUND(SUMIF(新准则转换ETY!D:D,B11,新准则转换ETY!F:F),2)</f>
        <v>0</v>
      </c>
      <c r="G11" s="1">
        <f>ROUND(SUMIF(新准则转换ETY!D:D,B11,新准则转换ETY!G:G),2)</f>
        <v>0</v>
      </c>
      <c r="H11" s="115">
        <f t="shared" si="1"/>
        <v>0</v>
      </c>
      <c r="I11" s="18" t="s">
        <v>452</v>
      </c>
      <c r="K11" s="18" t="s">
        <v>843</v>
      </c>
      <c r="L11" s="18" t="str">
        <f>_xlfn.IFNA(VLOOKUP(I11,科目余额表!B:M,11,0),K11)</f>
        <v>借</v>
      </c>
    </row>
    <row r="12" spans="1:12">
      <c r="A12" s="113" t="s">
        <v>860</v>
      </c>
      <c r="B12" s="113" t="s">
        <v>861</v>
      </c>
      <c r="C12" s="111"/>
      <c r="D12" s="111"/>
      <c r="E12" s="114">
        <f>上期TB!E12</f>
        <v>2000000</v>
      </c>
      <c r="F12" s="1">
        <f>ROUND(SUMIF(新准则转换ETY!D:D,B12,新准则转换ETY!F:F),2)</f>
        <v>0</v>
      </c>
      <c r="G12" s="1">
        <f>ROUND(SUMIF(新准则转换ETY!D:D,B12,新准则转换ETY!G:G),2)</f>
        <v>0</v>
      </c>
      <c r="H12" s="115">
        <f t="shared" si="1"/>
        <v>2000000</v>
      </c>
      <c r="I12" s="18" t="s">
        <v>6</v>
      </c>
      <c r="K12" s="18" t="s">
        <v>843</v>
      </c>
      <c r="L12" s="18" t="str">
        <f>_xlfn.IFNA(VLOOKUP(I12,科目余额表!B:M,11,0),K12)</f>
        <v>借</v>
      </c>
    </row>
    <row r="13" spans="1:12">
      <c r="A13" s="113" t="s">
        <v>862</v>
      </c>
      <c r="B13" s="113" t="s">
        <v>863</v>
      </c>
      <c r="C13" s="111"/>
      <c r="D13" s="111"/>
      <c r="E13" s="114">
        <f>上期TB!E13</f>
        <v>0</v>
      </c>
      <c r="F13" s="1">
        <f>ROUND(SUMIF(新准则转换ETY!D:D,B13,新准则转换ETY!F:F),2)</f>
        <v>0</v>
      </c>
      <c r="G13" s="1">
        <f>ROUND(SUMIF(新准则转换ETY!D:D,B13,新准则转换ETY!G:G),2)</f>
        <v>0</v>
      </c>
      <c r="H13" s="115">
        <f>ROUND(E13-F13+G13,2)</f>
        <v>0</v>
      </c>
      <c r="I13" s="18" t="s">
        <v>864</v>
      </c>
      <c r="K13" s="18" t="s">
        <v>865</v>
      </c>
      <c r="L13" s="18" t="str">
        <f>_xlfn.IFNA(VLOOKUP(I13,科目余额表!B:M,11,0),K13)</f>
        <v>贷</v>
      </c>
    </row>
    <row r="14" spans="1:12">
      <c r="A14" s="112" t="s">
        <v>866</v>
      </c>
      <c r="B14" s="113"/>
      <c r="C14" s="111"/>
      <c r="D14" s="111"/>
      <c r="E14" s="111">
        <f>上期TB!E14</f>
        <v>2000000</v>
      </c>
      <c r="F14" s="111">
        <f t="shared" ref="F14:H14" si="2">F12-F13</f>
        <v>0</v>
      </c>
      <c r="G14" s="111">
        <f t="shared" si="2"/>
        <v>0</v>
      </c>
      <c r="H14" s="111">
        <f t="shared" si="2"/>
        <v>2000000</v>
      </c>
      <c r="L14" s="18">
        <f>_xlfn.IFNA(VLOOKUP(I14,科目余额表!B:M,11,0),K14)</f>
        <v>0</v>
      </c>
    </row>
    <row r="15" spans="1:12">
      <c r="A15" s="112" t="s">
        <v>867</v>
      </c>
      <c r="B15" s="113" t="s">
        <v>868</v>
      </c>
      <c r="C15" s="111"/>
      <c r="D15" s="111"/>
      <c r="E15" s="114">
        <f>上期TB!E15</f>
        <v>120902358.69</v>
      </c>
      <c r="F15" s="1">
        <f>ROUND(SUMIF(新准则转换ETY!D:D,B15,新准则转换ETY!F:F),2)</f>
        <v>0</v>
      </c>
      <c r="G15" s="1">
        <f>ROUND(SUMIF(新准则转换ETY!D:D,B15,新准则转换ETY!G:G),2)</f>
        <v>0</v>
      </c>
      <c r="H15" s="115">
        <f t="shared" si="1"/>
        <v>120902358.69</v>
      </c>
      <c r="I15" s="18" t="s">
        <v>9</v>
      </c>
      <c r="K15" s="18" t="s">
        <v>843</v>
      </c>
      <c r="L15" s="18" t="str">
        <f>_xlfn.IFNA(VLOOKUP(I15,科目余额表!B:M,11,0),K15)</f>
        <v>借</v>
      </c>
    </row>
    <row r="16" spans="1:12">
      <c r="A16" s="112" t="s">
        <v>869</v>
      </c>
      <c r="B16" s="113" t="s">
        <v>870</v>
      </c>
      <c r="C16" s="111"/>
      <c r="D16" s="111"/>
      <c r="E16" s="114">
        <f>上期TB!E16</f>
        <v>32762887</v>
      </c>
      <c r="F16" s="1">
        <f>ROUND(SUMIF(新准则转换ETY!D:D,B16,新准则转换ETY!F:F),2)</f>
        <v>0</v>
      </c>
      <c r="G16" s="1">
        <f>ROUND(SUMIF(新准则转换ETY!D:D,B16,新准则转换ETY!G:G),2)</f>
        <v>0</v>
      </c>
      <c r="H16" s="115">
        <f>ROUND(E16-F16+G16,2)</f>
        <v>32762887</v>
      </c>
      <c r="I16" s="18" t="s">
        <v>871</v>
      </c>
      <c r="K16" s="18" t="s">
        <v>865</v>
      </c>
      <c r="L16" s="18" t="str">
        <f>_xlfn.IFNA(VLOOKUP(I16,科目余额表!B:M,11,0),K16)</f>
        <v>贷</v>
      </c>
    </row>
    <row r="17" spans="1:12">
      <c r="A17" s="113" t="s">
        <v>872</v>
      </c>
      <c r="B17" s="113"/>
      <c r="C17" s="111"/>
      <c r="D17" s="111"/>
      <c r="E17" s="111">
        <f>上期TB!E17</f>
        <v>88139471.689999998</v>
      </c>
      <c r="F17" s="111">
        <f t="shared" ref="F17:H17" si="3">F15-F16</f>
        <v>0</v>
      </c>
      <c r="G17" s="111"/>
      <c r="H17" s="111">
        <f t="shared" si="3"/>
        <v>88139471.689999998</v>
      </c>
      <c r="L17" s="18">
        <f>_xlfn.IFNA(VLOOKUP(I17,科目余额表!B:M,11,0),K17)</f>
        <v>0</v>
      </c>
    </row>
    <row r="18" spans="1:12">
      <c r="A18" s="113" t="s">
        <v>873</v>
      </c>
      <c r="B18" s="113" t="s">
        <v>7</v>
      </c>
      <c r="C18" s="111"/>
      <c r="D18" s="117" t="s">
        <v>856</v>
      </c>
      <c r="E18" s="114">
        <f>上期TB!E18</f>
        <v>0</v>
      </c>
      <c r="F18" s="1">
        <f>ROUND(SUMIF(新准则转换ETY!D:D,B18,新准则转换ETY!F:F),2)</f>
        <v>0</v>
      </c>
      <c r="G18" s="1">
        <f>ROUND(SUMIF(新准则转换ETY!D:D,B18,新准则转换ETY!G:G),2)</f>
        <v>0</v>
      </c>
      <c r="H18" s="115">
        <f t="shared" si="1"/>
        <v>0</v>
      </c>
      <c r="I18" s="18" t="s">
        <v>7</v>
      </c>
      <c r="K18" s="18" t="s">
        <v>843</v>
      </c>
      <c r="L18" s="18" t="str">
        <f>_xlfn.IFNA(VLOOKUP(I18,科目余额表!B:M,11,0),K18)</f>
        <v>借</v>
      </c>
    </row>
    <row r="19" spans="1:12">
      <c r="A19" s="112" t="s">
        <v>874</v>
      </c>
      <c r="B19" s="113" t="s">
        <v>875</v>
      </c>
      <c r="C19" s="111"/>
      <c r="D19" s="111"/>
      <c r="E19" s="114">
        <f>上期TB!E19</f>
        <v>360794.15</v>
      </c>
      <c r="F19" s="1">
        <f>ROUND(SUMIF(新准则转换ETY!D:D,B19,新准则转换ETY!F:F),2)</f>
        <v>0</v>
      </c>
      <c r="G19" s="1">
        <f>ROUND(SUMIF(新准则转换ETY!D:D,B19,新准则转换ETY!G:G),2)</f>
        <v>0</v>
      </c>
      <c r="H19" s="115">
        <f t="shared" si="1"/>
        <v>360794.15</v>
      </c>
      <c r="I19" s="18" t="s">
        <v>876</v>
      </c>
      <c r="K19" s="18" t="s">
        <v>843</v>
      </c>
      <c r="L19" s="18" t="str">
        <f>_xlfn.IFNA(VLOOKUP(I19,科目余额表!B:M,11,0),K19)</f>
        <v>借</v>
      </c>
    </row>
    <row r="20" spans="1:12">
      <c r="A20" s="112" t="s">
        <v>877</v>
      </c>
      <c r="B20" s="113" t="s">
        <v>878</v>
      </c>
      <c r="C20" s="111"/>
      <c r="D20" s="111"/>
      <c r="E20" s="114">
        <f>上期TB!E20</f>
        <v>0</v>
      </c>
      <c r="F20" s="1">
        <f>ROUND(SUMIF(新准则转换ETY!D:D,B20,新准则转换ETY!F:F),2)</f>
        <v>0</v>
      </c>
      <c r="G20" s="1">
        <f>ROUND(SUMIF(新准则转换ETY!D:D,B20,新准则转换ETY!G:G),2)</f>
        <v>0</v>
      </c>
      <c r="H20" s="115">
        <f t="shared" si="1"/>
        <v>0</v>
      </c>
      <c r="I20" s="18" t="s">
        <v>878</v>
      </c>
      <c r="K20" s="18" t="s">
        <v>843</v>
      </c>
      <c r="L20" s="18" t="str">
        <f>_xlfn.IFNA(VLOOKUP(I20,科目余额表!B:M,11,0),K20)</f>
        <v>借</v>
      </c>
    </row>
    <row r="21" spans="1:12">
      <c r="A21" s="112" t="s">
        <v>879</v>
      </c>
      <c r="B21" s="113" t="s">
        <v>880</v>
      </c>
      <c r="C21" s="111"/>
      <c r="D21" s="111"/>
      <c r="E21" s="114">
        <f>上期TB!E21</f>
        <v>0</v>
      </c>
      <c r="F21" s="1">
        <f>ROUND(SUMIF(新准则转换ETY!D:D,B21,新准则转换ETY!F:F),2)</f>
        <v>0</v>
      </c>
      <c r="G21" s="1">
        <f>ROUND(SUMIF(新准则转换ETY!D:D,B21,新准则转换ETY!G:G),2)</f>
        <v>0</v>
      </c>
      <c r="H21" s="115">
        <f t="shared" si="1"/>
        <v>0</v>
      </c>
      <c r="I21" s="18" t="s">
        <v>880</v>
      </c>
      <c r="K21" s="18" t="s">
        <v>843</v>
      </c>
      <c r="L21" s="18" t="str">
        <f>_xlfn.IFNA(VLOOKUP(I21,科目余额表!B:M,11,0),K21)</f>
        <v>借</v>
      </c>
    </row>
    <row r="22" spans="1:12">
      <c r="A22" s="112" t="s">
        <v>881</v>
      </c>
      <c r="B22" s="113" t="s">
        <v>882</v>
      </c>
      <c r="C22" s="111"/>
      <c r="D22" s="111"/>
      <c r="E22" s="114">
        <f>上期TB!E22</f>
        <v>0</v>
      </c>
      <c r="F22" s="1">
        <f>ROUND(SUMIF(新准则转换ETY!D:D,B22,新准则转换ETY!F:F),2)</f>
        <v>0</v>
      </c>
      <c r="G22" s="1">
        <f>ROUND(SUMIF(新准则转换ETY!D:D,B22,新准则转换ETY!G:G),2)</f>
        <v>0</v>
      </c>
      <c r="H22" s="115">
        <f t="shared" si="1"/>
        <v>0</v>
      </c>
      <c r="I22" s="18" t="s">
        <v>882</v>
      </c>
      <c r="K22" s="18" t="s">
        <v>843</v>
      </c>
      <c r="L22" s="18" t="str">
        <f>_xlfn.IFNA(VLOOKUP(I22,科目余额表!B:M,11,0),K22)</f>
        <v>借</v>
      </c>
    </row>
    <row r="23" spans="1:12">
      <c r="A23" s="112" t="s">
        <v>883</v>
      </c>
      <c r="B23" s="113" t="s">
        <v>884</v>
      </c>
      <c r="C23" s="111"/>
      <c r="D23" s="111"/>
      <c r="E23" s="114">
        <f>上期TB!E23</f>
        <v>97663506.840000004</v>
      </c>
      <c r="F23" s="1">
        <f>ROUND(SUMIF(新准则转换ETY!D:D,B23,新准则转换ETY!F:F),2)</f>
        <v>0</v>
      </c>
      <c r="G23" s="1">
        <f>ROUND(SUMIF(新准则转换ETY!D:D,B23,新准则转换ETY!G:G),2)</f>
        <v>0</v>
      </c>
      <c r="H23" s="115">
        <f t="shared" si="1"/>
        <v>97663506.840000004</v>
      </c>
      <c r="I23" s="18" t="s">
        <v>302</v>
      </c>
      <c r="K23" s="18" t="s">
        <v>843</v>
      </c>
      <c r="L23" s="18" t="str">
        <f>_xlfn.IFNA(VLOOKUP(I23,科目余额表!B:M,11,0),K23)</f>
        <v>借</v>
      </c>
    </row>
    <row r="24" spans="1:12">
      <c r="A24" s="112" t="s">
        <v>885</v>
      </c>
      <c r="B24" s="113" t="s">
        <v>886</v>
      </c>
      <c r="C24" s="111"/>
      <c r="D24" s="111"/>
      <c r="E24" s="114">
        <f>上期TB!E24</f>
        <v>0</v>
      </c>
      <c r="F24" s="1">
        <f>ROUND(SUMIF(新准则转换ETY!D:D,B24,新准则转换ETY!F:F),2)</f>
        <v>0</v>
      </c>
      <c r="G24" s="1">
        <f>ROUND(SUMIF(新准则转换ETY!D:D,B24,新准则转换ETY!G:G),2)</f>
        <v>0</v>
      </c>
      <c r="H24" s="115">
        <f>ROUND(E24-F24+G24,2)</f>
        <v>0</v>
      </c>
      <c r="I24" s="18" t="s">
        <v>887</v>
      </c>
      <c r="K24" s="18" t="s">
        <v>865</v>
      </c>
      <c r="L24" s="18" t="str">
        <f>_xlfn.IFNA(VLOOKUP(I24,科目余额表!B:M,11,0),K24)</f>
        <v>贷</v>
      </c>
    </row>
    <row r="25" spans="1:12">
      <c r="A25" s="112" t="s">
        <v>888</v>
      </c>
      <c r="B25" s="113"/>
      <c r="C25" s="111"/>
      <c r="D25" s="111"/>
      <c r="E25" s="111">
        <f>上期TB!E25</f>
        <v>97663506.840000004</v>
      </c>
      <c r="F25" s="1">
        <f>ROUND(SUMIF(新准则转换ETY!D:D,B25,新准则转换ETY!F:F),2)</f>
        <v>0</v>
      </c>
      <c r="G25" s="1">
        <f>ROUND(SUMIF(新准则转换ETY!D:D,B25,新准则转换ETY!G:G),2)</f>
        <v>0</v>
      </c>
      <c r="H25" s="115">
        <f>H23-H24</f>
        <v>97663506.840000004</v>
      </c>
      <c r="L25" s="18">
        <f>_xlfn.IFNA(VLOOKUP(I25,科目余额表!B:M,11,0),K25)</f>
        <v>0</v>
      </c>
    </row>
    <row r="26" spans="1:12">
      <c r="A26" s="403" t="s">
        <v>2934</v>
      </c>
      <c r="B26" s="113" t="s">
        <v>2447</v>
      </c>
      <c r="C26" s="111"/>
      <c r="D26" s="111"/>
      <c r="E26" s="114">
        <f>上期TB!E26</f>
        <v>0</v>
      </c>
      <c r="F26" s="1">
        <f>ROUND(SUMIF(上期ETY!D:D,B26,上期ETY!F:F),2)</f>
        <v>0</v>
      </c>
      <c r="G26" s="1">
        <f>ROUND(SUMIF(上期ETY!D:D,B26,上期ETY!G:G),2)</f>
        <v>0</v>
      </c>
      <c r="H26" s="115">
        <f t="shared" ref="H26" si="4">ROUND(E26+F26-G26,2)</f>
        <v>0</v>
      </c>
      <c r="I26" s="18" t="s">
        <v>303</v>
      </c>
      <c r="K26" s="18" t="s">
        <v>843</v>
      </c>
      <c r="L26" s="18" t="str">
        <f>_xlfn.IFNA(VLOOKUP(I26,科目余额表!B:M,11,0),K26)</f>
        <v>借</v>
      </c>
    </row>
    <row r="27" spans="1:12">
      <c r="A27" s="403" t="s">
        <v>2935</v>
      </c>
      <c r="B27" s="113" t="s">
        <v>2936</v>
      </c>
      <c r="C27" s="111"/>
      <c r="D27" s="111"/>
      <c r="E27" s="114">
        <f>上期TB!E27</f>
        <v>0</v>
      </c>
      <c r="F27" s="1">
        <f>ROUND(SUMIF(上期ETY!D:D,B27,上期ETY!F:F),2)</f>
        <v>0</v>
      </c>
      <c r="G27" s="1">
        <f>ROUND(SUMIF(上期ETY!D:D,B27,上期ETY!G:G),2)</f>
        <v>0</v>
      </c>
      <c r="H27" s="115">
        <f>ROUND(E27-F27+G27,2)</f>
        <v>0</v>
      </c>
      <c r="I27" s="151" t="s">
        <v>2936</v>
      </c>
      <c r="K27" s="18" t="s">
        <v>865</v>
      </c>
      <c r="L27" s="18" t="str">
        <f>_xlfn.IFNA(VLOOKUP(I27,科目余额表!B:M,11,0),K27)</f>
        <v>贷</v>
      </c>
    </row>
    <row r="28" spans="1:12">
      <c r="A28" s="112" t="s">
        <v>889</v>
      </c>
      <c r="B28" s="113"/>
      <c r="C28" s="111"/>
      <c r="D28" s="111"/>
      <c r="E28" s="111">
        <f>上期TB!E28</f>
        <v>0</v>
      </c>
      <c r="F28" s="1">
        <f>ROUND(SUMIF(上期ETY!D:D,B28,上期ETY!F:F),2)</f>
        <v>0</v>
      </c>
      <c r="G28" s="1">
        <f>ROUND(SUMIF(上期ETY!D:D,B28,上期ETY!G:G),2)</f>
        <v>0</v>
      </c>
      <c r="H28" s="115">
        <f>H26-H27</f>
        <v>0</v>
      </c>
    </row>
    <row r="29" spans="1:12">
      <c r="A29" s="112" t="s">
        <v>890</v>
      </c>
      <c r="B29" s="113" t="s">
        <v>891</v>
      </c>
      <c r="C29" s="111"/>
      <c r="D29" s="111"/>
      <c r="E29" s="114">
        <f>上期TB!E29</f>
        <v>2082719395.77</v>
      </c>
      <c r="F29" s="1">
        <f>ROUND(SUMIF(新准则转换ETY!D:D,B29,新准则转换ETY!F:F),2)</f>
        <v>0</v>
      </c>
      <c r="G29" s="1">
        <f>ROUND(SUMIF(新准则转换ETY!D:D,B29,新准则转换ETY!G:G),2)</f>
        <v>0</v>
      </c>
      <c r="H29" s="115">
        <f t="shared" si="1"/>
        <v>2082719395.77</v>
      </c>
      <c r="I29" s="18" t="s">
        <v>10</v>
      </c>
      <c r="K29" s="18" t="s">
        <v>843</v>
      </c>
      <c r="L29" s="18" t="str">
        <f>_xlfn.IFNA(VLOOKUP(I29,科目余额表!B:M,11,0),K29)</f>
        <v>借</v>
      </c>
    </row>
    <row r="30" spans="1:12">
      <c r="A30" s="112" t="s">
        <v>892</v>
      </c>
      <c r="B30" s="113" t="s">
        <v>893</v>
      </c>
      <c r="C30" s="111"/>
      <c r="D30" s="111"/>
      <c r="E30" s="114">
        <f>上期TB!E30</f>
        <v>0</v>
      </c>
      <c r="F30" s="1">
        <f>ROUND(SUMIF(新准则转换ETY!D:D,B30,新准则转换ETY!F:F),2)</f>
        <v>0</v>
      </c>
      <c r="G30" s="1">
        <f>ROUND(SUMIF(新准则转换ETY!D:D,B30,新准则转换ETY!G:G),2)</f>
        <v>0</v>
      </c>
      <c r="H30" s="115">
        <f>ROUND(E30-F30+G30,2)</f>
        <v>0</v>
      </c>
      <c r="I30" s="18" t="s">
        <v>894</v>
      </c>
      <c r="K30" s="18" t="s">
        <v>865</v>
      </c>
      <c r="L30" s="18" t="str">
        <f>_xlfn.IFNA(VLOOKUP(I30,科目余额表!B:M,11,0),K30)</f>
        <v>贷</v>
      </c>
    </row>
    <row r="31" spans="1:12">
      <c r="A31" s="112" t="s">
        <v>895</v>
      </c>
      <c r="B31" s="113"/>
      <c r="C31" s="111"/>
      <c r="D31" s="111"/>
      <c r="E31" s="111">
        <f>上期TB!E31</f>
        <v>2082719395.77</v>
      </c>
      <c r="F31" s="1">
        <f>ROUND(SUMIF(新准则转换ETY!D:D,B31,新准则转换ETY!F:F),2)</f>
        <v>0</v>
      </c>
      <c r="G31" s="1">
        <f>ROUND(SUMIF(新准则转换ETY!D:D,B31,新准则转换ETY!G:G),2)</f>
        <v>0</v>
      </c>
      <c r="H31" s="115">
        <f>H29-H30</f>
        <v>2082719395.77</v>
      </c>
      <c r="L31" s="18">
        <f>_xlfn.IFNA(VLOOKUP(I31,科目余额表!B:M,11,0),K31)</f>
        <v>0</v>
      </c>
    </row>
    <row r="32" spans="1:12">
      <c r="A32" s="112" t="s">
        <v>896</v>
      </c>
      <c r="B32" s="113" t="s">
        <v>897</v>
      </c>
      <c r="C32" s="111"/>
      <c r="D32" s="111"/>
      <c r="E32" s="114">
        <f>上期TB!E32</f>
        <v>0</v>
      </c>
      <c r="F32" s="1">
        <f>ROUND(SUMIF(新准则转换ETY!D:D,B32,新准则转换ETY!F:F),2)</f>
        <v>0</v>
      </c>
      <c r="G32" s="1">
        <f>ROUND(SUMIF(新准则转换ETY!D:D,B32,新准则转换ETY!G:G),2)</f>
        <v>0</v>
      </c>
      <c r="H32" s="115">
        <f t="shared" si="1"/>
        <v>0</v>
      </c>
      <c r="I32" s="18" t="s">
        <v>897</v>
      </c>
      <c r="K32" s="18" t="s">
        <v>843</v>
      </c>
      <c r="L32" s="18" t="str">
        <f>_xlfn.IFNA(VLOOKUP(I32,科目余额表!B:M,11,0),K32)</f>
        <v>借</v>
      </c>
    </row>
    <row r="33" spans="1:12">
      <c r="A33" s="112" t="s">
        <v>898</v>
      </c>
      <c r="B33" s="113" t="s">
        <v>899</v>
      </c>
      <c r="C33" s="111"/>
      <c r="D33" s="111"/>
      <c r="E33" s="114">
        <f>上期TB!E33</f>
        <v>1004936201.12</v>
      </c>
      <c r="F33" s="1">
        <f>ROUND(SUMIF(新准则转换ETY!D:D,B33,新准则转换ETY!F:F),2)</f>
        <v>0</v>
      </c>
      <c r="G33" s="1">
        <f>ROUND(SUMIF(新准则转换ETY!D:D,B33,新准则转换ETY!G:G),2)</f>
        <v>0</v>
      </c>
      <c r="H33" s="115">
        <f t="shared" si="1"/>
        <v>1004936201.12</v>
      </c>
      <c r="I33" s="18" t="s">
        <v>799</v>
      </c>
      <c r="K33" s="18" t="s">
        <v>843</v>
      </c>
      <c r="L33" s="18" t="str">
        <f>_xlfn.IFNA(VLOOKUP(I33,科目余额表!B:M,11,0),K33)</f>
        <v>借</v>
      </c>
    </row>
    <row r="34" spans="1:12">
      <c r="A34" s="112" t="s">
        <v>900</v>
      </c>
      <c r="B34" s="113"/>
      <c r="C34" s="111"/>
      <c r="D34" s="111"/>
      <c r="E34" s="111">
        <f>上期TB!E34</f>
        <v>94178028.810000002</v>
      </c>
      <c r="F34" s="111">
        <f t="shared" ref="F34:G34" si="5">SUM(F35:F47)</f>
        <v>0</v>
      </c>
      <c r="G34" s="111">
        <f t="shared" si="5"/>
        <v>0</v>
      </c>
      <c r="H34" s="111">
        <f>SUM(H35:H48)</f>
        <v>94178028.810000002</v>
      </c>
      <c r="L34" s="18">
        <f>_xlfn.IFNA(VLOOKUP(I34,科目余额表!B:M,11,0),K34)</f>
        <v>0</v>
      </c>
    </row>
    <row r="35" spans="1:12">
      <c r="A35" s="112" t="s">
        <v>901</v>
      </c>
      <c r="B35" s="113" t="s">
        <v>902</v>
      </c>
      <c r="C35" s="111"/>
      <c r="D35" s="111"/>
      <c r="E35" s="114">
        <f>上期TB!E35</f>
        <v>0</v>
      </c>
      <c r="F35" s="1">
        <f>ROUND(SUMIF(新准则转换ETY!D:D,B35,新准则转换ETY!F:F),2)</f>
        <v>0</v>
      </c>
      <c r="G35" s="1">
        <f>ROUND(SUMIF(新准则转换ETY!D:D,B35,新准则转换ETY!G:G),2)</f>
        <v>0</v>
      </c>
      <c r="H35" s="115">
        <f t="shared" si="1"/>
        <v>0</v>
      </c>
      <c r="I35" s="18" t="s">
        <v>345</v>
      </c>
      <c r="K35" s="18" t="s">
        <v>843</v>
      </c>
      <c r="L35" s="18" t="str">
        <f>_xlfn.IFNA(VLOOKUP(I35,科目余额表!B:M,11,0),K35)</f>
        <v>平</v>
      </c>
    </row>
    <row r="36" spans="1:12">
      <c r="A36" s="112" t="s">
        <v>903</v>
      </c>
      <c r="B36" s="113" t="s">
        <v>904</v>
      </c>
      <c r="C36" s="111"/>
      <c r="D36" s="111"/>
      <c r="E36" s="114">
        <f>上期TB!E36</f>
        <v>0</v>
      </c>
      <c r="F36" s="1">
        <f>ROUND(SUMIF(新准则转换ETY!D:D,B36,新准则转换ETY!F:F),2)</f>
        <v>0</v>
      </c>
      <c r="G36" s="1">
        <f>ROUND(SUMIF(新准则转换ETY!D:D,B36,新准则转换ETY!G:G),2)</f>
        <v>0</v>
      </c>
      <c r="H36" s="115">
        <f t="shared" si="1"/>
        <v>0</v>
      </c>
      <c r="I36" s="18" t="s">
        <v>905</v>
      </c>
      <c r="K36" s="18" t="s">
        <v>843</v>
      </c>
      <c r="L36" s="18" t="str">
        <f>_xlfn.IFNA(VLOOKUP(I36,科目余额表!B:M,11,0),K36)</f>
        <v>借</v>
      </c>
    </row>
    <row r="37" spans="1:12">
      <c r="A37" s="112" t="s">
        <v>906</v>
      </c>
      <c r="B37" s="113" t="s">
        <v>907</v>
      </c>
      <c r="C37" s="111"/>
      <c r="D37" s="111"/>
      <c r="E37" s="114">
        <f>上期TB!E37</f>
        <v>0</v>
      </c>
      <c r="F37" s="1">
        <f>ROUND(SUMIF(新准则转换ETY!D:D,B37,新准则转换ETY!F:F),2)</f>
        <v>0</v>
      </c>
      <c r="G37" s="1">
        <f>ROUND(SUMIF(新准则转换ETY!D:D,B37,新准则转换ETY!G:G),2)</f>
        <v>0</v>
      </c>
      <c r="H37" s="115">
        <f t="shared" si="1"/>
        <v>0</v>
      </c>
      <c r="I37" s="18" t="s">
        <v>796</v>
      </c>
      <c r="K37" s="18" t="s">
        <v>843</v>
      </c>
      <c r="L37" s="18" t="str">
        <f>_xlfn.IFNA(VLOOKUP(I37,科目余额表!B:M,11,0),K37)</f>
        <v>借</v>
      </c>
    </row>
    <row r="38" spans="1:12">
      <c r="A38" s="112" t="s">
        <v>908</v>
      </c>
      <c r="B38" s="113" t="s">
        <v>909</v>
      </c>
      <c r="C38" s="111"/>
      <c r="D38" s="111"/>
      <c r="E38" s="114">
        <f>上期TB!E38</f>
        <v>34457144.560000002</v>
      </c>
      <c r="F38" s="1">
        <f>ROUND(SUMIF(新准则转换ETY!D:D,B38,新准则转换ETY!F:F),2)</f>
        <v>0</v>
      </c>
      <c r="G38" s="1">
        <f>ROUND(SUMIF(新准则转换ETY!D:D,B38,新准则转换ETY!G:G),2)</f>
        <v>0</v>
      </c>
      <c r="H38" s="115">
        <f t="shared" si="1"/>
        <v>34457144.560000002</v>
      </c>
      <c r="I38" s="18" t="s">
        <v>356</v>
      </c>
      <c r="K38" s="18" t="s">
        <v>843</v>
      </c>
      <c r="L38" s="18" t="str">
        <f>_xlfn.IFNA(VLOOKUP(I38,科目余额表!B:M,11,0),K38)</f>
        <v>借</v>
      </c>
    </row>
    <row r="39" spans="1:12">
      <c r="A39" s="112" t="s">
        <v>910</v>
      </c>
      <c r="B39" s="113" t="s">
        <v>911</v>
      </c>
      <c r="C39" s="111"/>
      <c r="D39" s="111"/>
      <c r="E39" s="114">
        <f>上期TB!E39</f>
        <v>0</v>
      </c>
      <c r="F39" s="1">
        <f>ROUND(SUMIF(新准则转换ETY!D:D,B39,新准则转换ETY!F:F),2)</f>
        <v>0</v>
      </c>
      <c r="G39" s="1">
        <f>ROUND(SUMIF(新准则转换ETY!D:D,B39,新准则转换ETY!G:G),2)</f>
        <v>0</v>
      </c>
      <c r="H39" s="115">
        <f t="shared" si="1"/>
        <v>0</v>
      </c>
      <c r="I39" s="18" t="s">
        <v>912</v>
      </c>
      <c r="K39" s="18" t="s">
        <v>843</v>
      </c>
      <c r="L39" s="18" t="str">
        <f>_xlfn.IFNA(VLOOKUP(I39,科目余额表!B:M,11,0),K39)</f>
        <v>借</v>
      </c>
    </row>
    <row r="40" spans="1:12">
      <c r="A40" s="112" t="s">
        <v>913</v>
      </c>
      <c r="B40" s="113" t="s">
        <v>914</v>
      </c>
      <c r="C40" s="111"/>
      <c r="D40" s="111"/>
      <c r="E40" s="114">
        <f>上期TB!E40</f>
        <v>48881090</v>
      </c>
      <c r="F40" s="1">
        <f>ROUND(SUMIF(新准则转换ETY!D:D,B40,新准则转换ETY!F:F),2)</f>
        <v>0</v>
      </c>
      <c r="G40" s="1">
        <f>ROUND(SUMIF(新准则转换ETY!D:D,B40,新准则转换ETY!G:G),2)</f>
        <v>0</v>
      </c>
      <c r="H40" s="115">
        <f t="shared" si="1"/>
        <v>48881090</v>
      </c>
      <c r="I40" s="18" t="s">
        <v>354</v>
      </c>
      <c r="J40" s="18" t="s">
        <v>915</v>
      </c>
      <c r="K40" s="18" t="s">
        <v>843</v>
      </c>
      <c r="L40" s="18" t="str">
        <f>_xlfn.IFNA(VLOOKUP(I40,科目余额表!B:M,11,0),K40)</f>
        <v>借</v>
      </c>
    </row>
    <row r="41" spans="1:12">
      <c r="A41" s="112" t="s">
        <v>916</v>
      </c>
      <c r="B41" s="113" t="s">
        <v>917</v>
      </c>
      <c r="C41" s="111"/>
      <c r="D41" s="111"/>
      <c r="E41" s="114">
        <f>上期TB!E41</f>
        <v>0</v>
      </c>
      <c r="F41" s="1">
        <f>ROUND(SUMIF(新准则转换ETY!D:D,B41,新准则转换ETY!F:F),2)</f>
        <v>0</v>
      </c>
      <c r="G41" s="1">
        <f>ROUND(SUMIF(新准则转换ETY!D:D,B41,新准则转换ETY!G:G),2)</f>
        <v>0</v>
      </c>
      <c r="H41" s="115">
        <f t="shared" si="1"/>
        <v>0</v>
      </c>
      <c r="I41" s="18" t="s">
        <v>357</v>
      </c>
      <c r="K41" s="18" t="s">
        <v>843</v>
      </c>
      <c r="L41" s="18" t="str">
        <f>_xlfn.IFNA(VLOOKUP(I41,科目余额表!B:M,11,0),K41)</f>
        <v>借</v>
      </c>
    </row>
    <row r="42" spans="1:12">
      <c r="A42" s="112" t="s">
        <v>918</v>
      </c>
      <c r="B42" s="113" t="s">
        <v>919</v>
      </c>
      <c r="C42" s="111"/>
      <c r="D42" s="111"/>
      <c r="E42" s="114">
        <f>上期TB!E42</f>
        <v>0</v>
      </c>
      <c r="F42" s="1">
        <f>ROUND(SUMIF(新准则转换ETY!D:D,B42,新准则转换ETY!F:F),2)</f>
        <v>0</v>
      </c>
      <c r="G42" s="1">
        <f>ROUND(SUMIF(新准则转换ETY!D:D,B42,新准则转换ETY!G:G),2)</f>
        <v>0</v>
      </c>
      <c r="H42" s="115">
        <f t="shared" si="1"/>
        <v>0</v>
      </c>
      <c r="I42" s="18" t="s">
        <v>920</v>
      </c>
      <c r="K42" s="18" t="s">
        <v>843</v>
      </c>
      <c r="L42" s="18" t="str">
        <f>_xlfn.IFNA(VLOOKUP(I42,科目余额表!B:M,11,0),K42)</f>
        <v>借</v>
      </c>
    </row>
    <row r="43" spans="1:12">
      <c r="A43" s="112" t="s">
        <v>921</v>
      </c>
      <c r="B43" s="113" t="s">
        <v>922</v>
      </c>
      <c r="C43" s="111"/>
      <c r="D43" s="111"/>
      <c r="E43" s="114">
        <f>上期TB!E43</f>
        <v>10839794.25</v>
      </c>
      <c r="F43" s="1">
        <f>ROUND(SUMIF(新准则转换ETY!D:D,B43,新准则转换ETY!F:F),2)</f>
        <v>0</v>
      </c>
      <c r="G43" s="1">
        <f>ROUND(SUMIF(新准则转换ETY!D:D,B43,新准则转换ETY!G:G),2)</f>
        <v>0</v>
      </c>
      <c r="H43" s="115">
        <f t="shared" si="1"/>
        <v>10839794.25</v>
      </c>
      <c r="I43" s="18" t="s">
        <v>359</v>
      </c>
      <c r="K43" s="18" t="s">
        <v>843</v>
      </c>
      <c r="L43" s="18" t="str">
        <f>_xlfn.IFNA(VLOOKUP(I43,科目余额表!B:M,11,0),K43)</f>
        <v>借</v>
      </c>
    </row>
    <row r="44" spans="1:12">
      <c r="A44" s="112" t="s">
        <v>923</v>
      </c>
      <c r="B44" s="113" t="s">
        <v>924</v>
      </c>
      <c r="C44" s="111"/>
      <c r="D44" s="111"/>
      <c r="E44" s="114">
        <f>上期TB!E44</f>
        <v>0</v>
      </c>
      <c r="F44" s="1">
        <f>ROUND(SUMIF(新准则转换ETY!D:D,B44,新准则转换ETY!F:F),2)</f>
        <v>0</v>
      </c>
      <c r="G44" s="1">
        <f>ROUND(SUMIF(新准则转换ETY!D:D,B44,新准则转换ETY!G:G),2)</f>
        <v>0</v>
      </c>
      <c r="H44" s="115">
        <f t="shared" si="1"/>
        <v>0</v>
      </c>
      <c r="I44" s="18" t="s">
        <v>347</v>
      </c>
      <c r="K44" s="18" t="s">
        <v>843</v>
      </c>
      <c r="L44" s="18" t="str">
        <f>_xlfn.IFNA(VLOOKUP(I44,科目余额表!B:M,11,0),K44)</f>
        <v>借</v>
      </c>
    </row>
    <row r="45" spans="1:12">
      <c r="A45" s="112" t="s">
        <v>925</v>
      </c>
      <c r="B45" s="113" t="s">
        <v>926</v>
      </c>
      <c r="C45" s="111"/>
      <c r="D45" s="111"/>
      <c r="E45" s="114">
        <f>上期TB!E45</f>
        <v>0</v>
      </c>
      <c r="F45" s="1">
        <f>ROUND(SUMIF(新准则转换ETY!D:D,B45,新准则转换ETY!F:F),2)</f>
        <v>0</v>
      </c>
      <c r="G45" s="1">
        <f>ROUND(SUMIF(新准则转换ETY!D:D,B45,新准则转换ETY!G:G),2)</f>
        <v>0</v>
      </c>
      <c r="H45" s="115">
        <f t="shared" si="1"/>
        <v>0</v>
      </c>
      <c r="I45" s="18" t="s">
        <v>361</v>
      </c>
      <c r="K45" s="18" t="s">
        <v>843</v>
      </c>
      <c r="L45" s="18" t="str">
        <f>_xlfn.IFNA(VLOOKUP(I45,科目余额表!B:M,11,0),K45)</f>
        <v>借</v>
      </c>
    </row>
    <row r="46" spans="1:12">
      <c r="A46" s="112" t="s">
        <v>927</v>
      </c>
      <c r="B46" s="113" t="s">
        <v>928</v>
      </c>
      <c r="C46" s="111"/>
      <c r="D46" s="111"/>
      <c r="E46" s="114">
        <f>上期TB!E46</f>
        <v>0</v>
      </c>
      <c r="F46" s="1">
        <f>ROUND(SUMIF(新准则转换ETY!D:D,B46,新准则转换ETY!F:F),2)</f>
        <v>0</v>
      </c>
      <c r="G46" s="1">
        <f>ROUND(SUMIF(新准则转换ETY!D:D,B46,新准则转换ETY!G:G),2)</f>
        <v>0</v>
      </c>
      <c r="H46" s="115">
        <f t="shared" si="1"/>
        <v>0</v>
      </c>
      <c r="I46" s="18" t="s">
        <v>363</v>
      </c>
      <c r="K46" s="18" t="s">
        <v>843</v>
      </c>
      <c r="L46" s="18" t="str">
        <f>_xlfn.IFNA(VLOOKUP(I46,科目余额表!B:M,11,0),K46)</f>
        <v>借</v>
      </c>
    </row>
    <row r="47" spans="1:12">
      <c r="A47" s="112" t="s">
        <v>929</v>
      </c>
      <c r="B47" s="113" t="s">
        <v>930</v>
      </c>
      <c r="C47" s="111"/>
      <c r="D47" s="111"/>
      <c r="E47" s="114">
        <f>上期TB!E47</f>
        <v>0</v>
      </c>
      <c r="F47" s="1">
        <f>ROUND(SUMIF(新准则转换ETY!D:D,B47,新准则转换ETY!F:F),2)</f>
        <v>0</v>
      </c>
      <c r="G47" s="1">
        <f>ROUND(SUMIF(新准则转换ETY!D:D,B47,新准则转换ETY!G:G),2)</f>
        <v>0</v>
      </c>
      <c r="H47" s="115">
        <f t="shared" si="1"/>
        <v>0</v>
      </c>
      <c r="I47" s="18" t="s">
        <v>931</v>
      </c>
      <c r="K47" s="18" t="s">
        <v>843</v>
      </c>
      <c r="L47" s="18" t="str">
        <f>_xlfn.IFNA(VLOOKUP(I47,科目余额表!B:M,11,0),K47)</f>
        <v>借</v>
      </c>
    </row>
    <row r="48" spans="1:12">
      <c r="A48" s="112" t="s">
        <v>932</v>
      </c>
      <c r="B48" s="113" t="s">
        <v>933</v>
      </c>
      <c r="C48" s="111"/>
      <c r="D48" s="111"/>
      <c r="E48" s="114">
        <f>上期TB!E48</f>
        <v>0</v>
      </c>
      <c r="F48" s="1">
        <f>ROUND(SUMIF(新准则转换ETY!D:D,B48,新准则转换ETY!F:F),2)</f>
        <v>0</v>
      </c>
      <c r="G48" s="1">
        <f>ROUND(SUMIF(新准则转换ETY!D:D,B48,新准则转换ETY!G:G),2)</f>
        <v>0</v>
      </c>
      <c r="H48" s="115">
        <f t="shared" si="1"/>
        <v>0</v>
      </c>
      <c r="I48" s="18" t="s">
        <v>934</v>
      </c>
      <c r="K48" s="18" t="s">
        <v>843</v>
      </c>
      <c r="L48" s="18" t="str">
        <f>_xlfn.IFNA(VLOOKUP(I48,科目余额表!B:M,11,0),K48)</f>
        <v>借</v>
      </c>
    </row>
    <row r="49" spans="1:12">
      <c r="A49" s="112" t="s">
        <v>935</v>
      </c>
      <c r="B49" s="113" t="s">
        <v>936</v>
      </c>
      <c r="C49" s="111"/>
      <c r="D49" s="111"/>
      <c r="E49" s="114">
        <f>上期TB!E49</f>
        <v>0</v>
      </c>
      <c r="F49" s="1">
        <f>ROUND(SUMIF(新准则转换ETY!D:D,B49,新准则转换ETY!F:F),2)</f>
        <v>0</v>
      </c>
      <c r="G49" s="1">
        <f>ROUND(SUMIF(新准则转换ETY!D:D,B49,新准则转换ETY!G:G),2)</f>
        <v>0</v>
      </c>
      <c r="H49" s="115">
        <f>ROUND(E49-F49+G49,2)</f>
        <v>0</v>
      </c>
      <c r="I49" s="18" t="s">
        <v>937</v>
      </c>
      <c r="K49" s="18" t="s">
        <v>865</v>
      </c>
      <c r="L49" s="18" t="str">
        <f>_xlfn.IFNA(VLOOKUP(I49,科目余额表!B:M,11,0),K49)</f>
        <v>贷</v>
      </c>
    </row>
    <row r="50" spans="1:12">
      <c r="A50" s="112" t="s">
        <v>938</v>
      </c>
      <c r="B50" s="113" t="s">
        <v>78</v>
      </c>
      <c r="C50" s="111"/>
      <c r="D50" s="111"/>
      <c r="E50" s="111">
        <f>上期TB!E50</f>
        <v>94178028.810000002</v>
      </c>
      <c r="F50" s="111">
        <f t="shared" ref="F50:G50" si="6">F34-F49</f>
        <v>0</v>
      </c>
      <c r="G50" s="111">
        <f t="shared" si="6"/>
        <v>0</v>
      </c>
      <c r="H50" s="111">
        <f>H34-H49</f>
        <v>94178028.810000002</v>
      </c>
      <c r="L50" s="18">
        <f>_xlfn.IFNA(VLOOKUP(I50,科目余额表!B:M,11,0),K50)</f>
        <v>0</v>
      </c>
    </row>
    <row r="51" spans="1:12">
      <c r="A51" s="112" t="s">
        <v>939</v>
      </c>
      <c r="B51" s="113" t="s">
        <v>940</v>
      </c>
      <c r="C51" s="111"/>
      <c r="D51" s="111"/>
      <c r="E51" s="114">
        <f>上期TB!E51</f>
        <v>0</v>
      </c>
      <c r="F51" s="1">
        <f>ROUND(SUMIF(新准则转换ETY!D:D,B51,新准则转换ETY!F:F),2)</f>
        <v>0</v>
      </c>
      <c r="G51" s="1">
        <f>ROUND(SUMIF(新准则转换ETY!D:D,B51,新准则转换ETY!G:G),2)</f>
        <v>0</v>
      </c>
      <c r="H51" s="115">
        <f t="shared" si="1"/>
        <v>0</v>
      </c>
      <c r="I51" s="18" t="s">
        <v>77</v>
      </c>
      <c r="K51" s="18" t="s">
        <v>843</v>
      </c>
      <c r="L51" s="18" t="str">
        <f>_xlfn.IFNA(VLOOKUP(I51,科目余额表!B:M,11,0),K51)</f>
        <v>借</v>
      </c>
    </row>
    <row r="52" spans="1:12">
      <c r="A52" s="112" t="s">
        <v>941</v>
      </c>
      <c r="B52" s="113" t="s">
        <v>942</v>
      </c>
      <c r="C52" s="111"/>
      <c r="D52" s="111"/>
      <c r="E52" s="114">
        <f>上期TB!E52</f>
        <v>0</v>
      </c>
      <c r="F52" s="1">
        <f>ROUND(SUMIF(新准则转换ETY!D:D,B52,新准则转换ETY!F:F),2)</f>
        <v>0</v>
      </c>
      <c r="G52" s="1">
        <f>ROUND(SUMIF(新准则转换ETY!D:D,B52,新准则转换ETY!G:G),2)</f>
        <v>0</v>
      </c>
      <c r="H52" s="115">
        <f>ROUND(E52-F52+G52,2)</f>
        <v>0</v>
      </c>
      <c r="I52" s="18" t="s">
        <v>943</v>
      </c>
      <c r="K52" s="18" t="s">
        <v>865</v>
      </c>
      <c r="L52" s="18" t="str">
        <f>_xlfn.IFNA(VLOOKUP(I52,科目余额表!B:M,11,0),K52)</f>
        <v>贷</v>
      </c>
    </row>
    <row r="53" spans="1:12">
      <c r="A53" s="112" t="s">
        <v>944</v>
      </c>
      <c r="B53" s="113"/>
      <c r="C53" s="111"/>
      <c r="D53" s="117" t="s">
        <v>856</v>
      </c>
      <c r="E53" s="111">
        <f>上期TB!E53</f>
        <v>0</v>
      </c>
      <c r="F53" s="111">
        <f t="shared" ref="F53:H53" si="7">F51-F52</f>
        <v>0</v>
      </c>
      <c r="G53" s="111">
        <f t="shared" si="7"/>
        <v>0</v>
      </c>
      <c r="H53" s="111">
        <f t="shared" si="7"/>
        <v>0</v>
      </c>
      <c r="L53" s="18">
        <f>_xlfn.IFNA(VLOOKUP(I53,科目余额表!B:M,11,0),K53)</f>
        <v>0</v>
      </c>
    </row>
    <row r="54" spans="1:12">
      <c r="A54" s="113" t="s">
        <v>945</v>
      </c>
      <c r="B54" s="113" t="s">
        <v>946</v>
      </c>
      <c r="C54" s="111"/>
      <c r="D54" s="111"/>
      <c r="E54" s="114">
        <f>上期TB!E54</f>
        <v>0</v>
      </c>
      <c r="F54" s="1">
        <f>ROUND(SUMIF(新准则转换ETY!D:D,B54,新准则转换ETY!F:F),2)</f>
        <v>0</v>
      </c>
      <c r="G54" s="1">
        <f>ROUND(SUMIF(新准则转换ETY!D:D,B54,新准则转换ETY!G:G),2)</f>
        <v>0</v>
      </c>
      <c r="H54" s="115">
        <f t="shared" si="1"/>
        <v>0</v>
      </c>
      <c r="I54" s="18" t="s">
        <v>946</v>
      </c>
      <c r="K54" s="18" t="s">
        <v>843</v>
      </c>
      <c r="L54" s="18" t="str">
        <f>_xlfn.IFNA(VLOOKUP(I54,科目余额表!B:M,11,0),K54)</f>
        <v>借</v>
      </c>
    </row>
    <row r="55" spans="1:12">
      <c r="A55" s="112" t="s">
        <v>947</v>
      </c>
      <c r="B55" s="113" t="s">
        <v>948</v>
      </c>
      <c r="C55" s="111"/>
      <c r="D55" s="111"/>
      <c r="E55" s="114">
        <f>上期TB!E55</f>
        <v>0</v>
      </c>
      <c r="F55" s="1">
        <f>ROUND(SUMIF(新准则转换ETY!D:D,B55,新准则转换ETY!F:F),2)</f>
        <v>0</v>
      </c>
      <c r="G55" s="1">
        <f>ROUND(SUMIF(新准则转换ETY!D:D,B55,新准则转换ETY!G:G),2)</f>
        <v>0</v>
      </c>
      <c r="H55" s="115">
        <f t="shared" si="1"/>
        <v>0</v>
      </c>
      <c r="I55" s="18" t="s">
        <v>948</v>
      </c>
      <c r="K55" s="18" t="s">
        <v>843</v>
      </c>
      <c r="L55" s="18" t="str">
        <f>_xlfn.IFNA(VLOOKUP(I55,科目余额表!B:M,11,0),K55)</f>
        <v>借</v>
      </c>
    </row>
    <row r="56" spans="1:12">
      <c r="A56" s="112" t="s">
        <v>949</v>
      </c>
      <c r="B56" s="113" t="s">
        <v>79</v>
      </c>
      <c r="C56" s="111"/>
      <c r="D56" s="111"/>
      <c r="E56" s="114">
        <f>上期TB!E56</f>
        <v>0</v>
      </c>
      <c r="F56" s="1">
        <f>ROUND(SUMIF(新准则转换ETY!D:D,B56,新准则转换ETY!F:F),2)</f>
        <v>0</v>
      </c>
      <c r="G56" s="1">
        <f>ROUND(SUMIF(新准则转换ETY!D:D,B56,新准则转换ETY!G:G),2)</f>
        <v>0</v>
      </c>
      <c r="H56" s="115">
        <f t="shared" si="1"/>
        <v>0</v>
      </c>
      <c r="I56" s="18" t="s">
        <v>79</v>
      </c>
      <c r="K56" s="18" t="s">
        <v>843</v>
      </c>
      <c r="L56" s="18" t="str">
        <f>_xlfn.IFNA(VLOOKUP(I56,科目余额表!B:M,11,0),K56)</f>
        <v>借</v>
      </c>
    </row>
    <row r="57" spans="1:12">
      <c r="A57" s="110" t="s">
        <v>950</v>
      </c>
      <c r="B57" s="113"/>
      <c r="C57" s="118"/>
      <c r="D57" s="118"/>
      <c r="E57" s="119">
        <f>上期TB!E57</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951</v>
      </c>
      <c r="B58" s="113"/>
      <c r="C58" s="111"/>
      <c r="D58" s="111"/>
      <c r="E58" s="111">
        <f>上期TB!E58</f>
        <v>0</v>
      </c>
      <c r="L58" s="18">
        <f>_xlfn.IFNA(VLOOKUP(I58,科目余额表!B:M,11,0),K58)</f>
        <v>0</v>
      </c>
    </row>
    <row r="59" spans="1:12">
      <c r="A59" s="112" t="s">
        <v>952</v>
      </c>
      <c r="B59" s="113" t="s">
        <v>953</v>
      </c>
      <c r="C59" s="111"/>
      <c r="D59" s="111"/>
      <c r="E59" s="114">
        <f>上期TB!E59</f>
        <v>0</v>
      </c>
      <c r="F59" s="1">
        <f>ROUND(SUMIF(新准则转换ETY!D:D,B59,新准则转换ETY!F:F),2)</f>
        <v>0</v>
      </c>
      <c r="G59" s="1">
        <f>ROUND(SUMIF(新准则转换ETY!D:D,B59,新准则转换ETY!G:G),2)</f>
        <v>0</v>
      </c>
      <c r="H59" s="115">
        <f t="shared" ref="H59:H72" si="8">ROUND(E59+F59-G59,2)</f>
        <v>0</v>
      </c>
      <c r="I59" s="18" t="s">
        <v>953</v>
      </c>
      <c r="K59" s="18" t="s">
        <v>843</v>
      </c>
      <c r="L59" s="18" t="str">
        <f>_xlfn.IFNA(VLOOKUP(I59,科目余额表!B:M,11,0),K59)</f>
        <v>借</v>
      </c>
    </row>
    <row r="60" spans="1:12">
      <c r="A60" s="112" t="s">
        <v>954</v>
      </c>
      <c r="B60" s="113" t="s">
        <v>955</v>
      </c>
      <c r="C60" s="111"/>
      <c r="D60" s="111"/>
      <c r="E60" s="114">
        <f>上期TB!E60</f>
        <v>0</v>
      </c>
      <c r="F60" s="1"/>
      <c r="G60" s="1"/>
      <c r="H60" s="115">
        <f t="shared" si="8"/>
        <v>0</v>
      </c>
      <c r="I60" s="18" t="s">
        <v>12</v>
      </c>
      <c r="K60" s="18" t="s">
        <v>843</v>
      </c>
      <c r="L60" s="18" t="str">
        <f>_xlfn.IFNA(VLOOKUP(I60,科目余额表!B:M,11,0),K60)</f>
        <v>借</v>
      </c>
    </row>
    <row r="61" spans="1:12">
      <c r="A61" s="112" t="s">
        <v>956</v>
      </c>
      <c r="B61" s="113" t="s">
        <v>957</v>
      </c>
      <c r="C61" s="111"/>
      <c r="D61" s="111"/>
      <c r="E61" s="114">
        <f>上期TB!E61</f>
        <v>0</v>
      </c>
      <c r="F61" s="1"/>
      <c r="G61" s="1"/>
      <c r="H61" s="115">
        <f>ROUND(E61-F61+G61,2)</f>
        <v>0</v>
      </c>
      <c r="I61" s="18" t="s">
        <v>957</v>
      </c>
      <c r="K61" s="18" t="s">
        <v>958</v>
      </c>
      <c r="L61" s="18" t="s">
        <v>958</v>
      </c>
    </row>
    <row r="62" spans="1:12">
      <c r="A62" s="112" t="s">
        <v>959</v>
      </c>
      <c r="B62" s="113"/>
      <c r="C62" s="111"/>
      <c r="D62" s="117" t="s">
        <v>856</v>
      </c>
      <c r="E62" s="111">
        <f>上期TB!E62</f>
        <v>0</v>
      </c>
      <c r="F62" s="1">
        <f>ROUND(SUMIF(新准则转换ETY!D:D,B62,新准则转换ETY!F:F),2)</f>
        <v>0</v>
      </c>
      <c r="G62" s="1">
        <f>ROUND(SUMIF(新准则转换ETY!D:D,B62,新准则转换ETY!G:G),2)</f>
        <v>0</v>
      </c>
      <c r="H62" s="115">
        <f>H60-H61</f>
        <v>0</v>
      </c>
    </row>
    <row r="63" spans="1:12">
      <c r="A63" s="113" t="s">
        <v>960</v>
      </c>
      <c r="B63" s="113" t="s">
        <v>14</v>
      </c>
      <c r="C63" s="117" t="s">
        <v>858</v>
      </c>
      <c r="D63" s="117"/>
      <c r="E63" s="114">
        <f>上期TB!E63</f>
        <v>987346438.25999999</v>
      </c>
      <c r="F63" s="1">
        <f>ROUND(SUMIF(新准则转换ETY!D:D,B63,新准则转换ETY!F:F),2)</f>
        <v>0</v>
      </c>
      <c r="G63" s="1">
        <f>ROUND(SUMIF(新准则转换ETY!D:D,B63,新准则转换ETY!G:G),2)</f>
        <v>0</v>
      </c>
      <c r="H63" s="115">
        <f t="shared" si="8"/>
        <v>987346438.25999999</v>
      </c>
      <c r="I63" s="18" t="s">
        <v>14</v>
      </c>
      <c r="K63" s="18" t="s">
        <v>843</v>
      </c>
      <c r="L63" s="18" t="str">
        <f>_xlfn.IFNA(VLOOKUP(I63,科目余额表!B:M,11,0),K63)</f>
        <v>借</v>
      </c>
    </row>
    <row r="64" spans="1:12" ht="13.2" customHeight="1">
      <c r="A64" s="113" t="s">
        <v>961</v>
      </c>
      <c r="B64" s="113" t="s">
        <v>962</v>
      </c>
      <c r="C64" s="117"/>
      <c r="D64" s="117"/>
      <c r="E64" s="114">
        <f>上期TB!E64</f>
        <v>0</v>
      </c>
      <c r="F64" s="1">
        <f>ROUND(SUMIF(新准则转换ETY!D:D,B64,新准则转换ETY!F:F),2)</f>
        <v>0</v>
      </c>
      <c r="G64" s="1">
        <f>ROUND(SUMIF(新准则转换ETY!D:D,B64,新准则转换ETY!G:G),2)</f>
        <v>0</v>
      </c>
      <c r="H64" s="115">
        <f t="shared" si="8"/>
        <v>0</v>
      </c>
    </row>
    <row r="65" spans="1:12">
      <c r="A65" s="113" t="s">
        <v>963</v>
      </c>
      <c r="B65" s="113" t="s">
        <v>964</v>
      </c>
      <c r="C65" s="117"/>
      <c r="D65" s="117"/>
      <c r="E65" s="114">
        <f>上期TB!E65</f>
        <v>0</v>
      </c>
      <c r="F65" s="1">
        <f>ROUND(SUMIF(新准则转换ETY!D:D,B65,新准则转换ETY!F:F),2)</f>
        <v>0</v>
      </c>
      <c r="G65" s="1">
        <f>ROUND(SUMIF(新准则转换ETY!D:D,B65,新准则转换ETY!G:G),2)</f>
        <v>0</v>
      </c>
      <c r="H65" s="115">
        <f>ROUND(E65-F65+G65,2)</f>
        <v>0</v>
      </c>
    </row>
    <row r="66" spans="1:12">
      <c r="A66" s="113" t="s">
        <v>965</v>
      </c>
      <c r="B66" s="113"/>
      <c r="C66" s="111"/>
      <c r="D66" s="117" t="s">
        <v>856</v>
      </c>
      <c r="E66" s="111">
        <f>上期TB!E66</f>
        <v>0</v>
      </c>
      <c r="F66" s="1"/>
      <c r="G66" s="1"/>
      <c r="H66" s="115">
        <f>H64-H65</f>
        <v>0</v>
      </c>
      <c r="I66" s="18" t="s">
        <v>16</v>
      </c>
      <c r="K66" s="18" t="s">
        <v>843</v>
      </c>
      <c r="L66" s="18" t="str">
        <f>_xlfn.IFNA(VLOOKUP(I66,科目余额表!B:M,11,0),K66)</f>
        <v>借</v>
      </c>
    </row>
    <row r="67" spans="1:12">
      <c r="A67" s="113" t="s">
        <v>966</v>
      </c>
      <c r="B67" s="113" t="s">
        <v>11</v>
      </c>
      <c r="C67" s="117" t="s">
        <v>858</v>
      </c>
      <c r="D67" s="117"/>
      <c r="E67" s="114">
        <f>上期TB!E67</f>
        <v>0</v>
      </c>
      <c r="F67" s="1">
        <f>ROUND(SUMIF(新准则转换ETY!D:D,B67,新准则转换ETY!F:F),2)</f>
        <v>0</v>
      </c>
      <c r="G67" s="1">
        <f>ROUND(SUMIF(新准则转换ETY!D:D,B67,新准则转换ETY!G:G),2)</f>
        <v>0</v>
      </c>
      <c r="H67" s="115">
        <f t="shared" si="8"/>
        <v>0</v>
      </c>
      <c r="I67" s="18" t="s">
        <v>11</v>
      </c>
      <c r="K67" s="18" t="s">
        <v>843</v>
      </c>
      <c r="L67" s="18" t="str">
        <f>_xlfn.IFNA(VLOOKUP(I67,科目余额表!B:M,11,0),K67)</f>
        <v>借</v>
      </c>
    </row>
    <row r="68" spans="1:12">
      <c r="A68" s="113" t="s">
        <v>967</v>
      </c>
      <c r="B68" s="113" t="s">
        <v>968</v>
      </c>
      <c r="C68" s="117"/>
      <c r="D68" s="117"/>
      <c r="E68" s="114">
        <f>上期TB!E68</f>
        <v>-30046177.920000002</v>
      </c>
      <c r="F68" s="1">
        <f>ROUND(SUMIF(新准则转换ETY!D:D,B68,新准则转换ETY!F:F),2)</f>
        <v>0</v>
      </c>
      <c r="G68" s="1">
        <f>ROUND(SUMIF(新准则转换ETY!D:D,B68,新准则转换ETY!G:G),2)</f>
        <v>0</v>
      </c>
      <c r="H68" s="115">
        <f t="shared" si="8"/>
        <v>-30046177.920000002</v>
      </c>
      <c r="I68" s="18" t="s">
        <v>20</v>
      </c>
      <c r="K68" s="18" t="s">
        <v>843</v>
      </c>
      <c r="L68" s="18" t="str">
        <f>_xlfn.IFNA(VLOOKUP(I68,科目余额表!B:M,11,0),K68)</f>
        <v>贷</v>
      </c>
    </row>
    <row r="69" spans="1:12">
      <c r="A69" s="113" t="s">
        <v>969</v>
      </c>
      <c r="B69" s="113" t="s">
        <v>970</v>
      </c>
      <c r="C69" s="117"/>
      <c r="D69" s="117"/>
      <c r="E69" s="114">
        <f>上期TB!E69</f>
        <v>0</v>
      </c>
      <c r="F69" s="1">
        <f>ROUND(SUMIF(新准则转换ETY!D:D,B69,新准则转换ETY!F:F),2)</f>
        <v>0</v>
      </c>
      <c r="G69" s="1">
        <f>ROUND(SUMIF(新准则转换ETY!D:D,B69,新准则转换ETY!G:G),2)</f>
        <v>0</v>
      </c>
      <c r="H69" s="115">
        <f>ROUND(E69-F69+G69,2)</f>
        <v>0</v>
      </c>
      <c r="I69" s="18" t="s">
        <v>970</v>
      </c>
      <c r="K69" s="18" t="s">
        <v>958</v>
      </c>
      <c r="L69" s="18" t="s">
        <v>958</v>
      </c>
    </row>
    <row r="70" spans="1:12">
      <c r="A70" s="113" t="s">
        <v>971</v>
      </c>
      <c r="B70" s="113" t="s">
        <v>972</v>
      </c>
      <c r="C70" s="117"/>
      <c r="D70" s="117"/>
      <c r="E70" s="114">
        <f>上期TB!E70</f>
        <v>0</v>
      </c>
      <c r="F70" s="1">
        <f>ROUND(SUMIF(新准则转换ETY!D:D,B70,新准则转换ETY!F:F),2)</f>
        <v>0</v>
      </c>
      <c r="G70" s="1">
        <f>ROUND(SUMIF(新准则转换ETY!D:D,B70,新准则转换ETY!G:G),2)</f>
        <v>0</v>
      </c>
      <c r="H70" s="115">
        <f>ROUND(E70-F70+G70,2)</f>
        <v>0</v>
      </c>
      <c r="I70" s="18" t="s">
        <v>972</v>
      </c>
      <c r="K70" s="18" t="s">
        <v>958</v>
      </c>
      <c r="L70" s="18" t="s">
        <v>958</v>
      </c>
    </row>
    <row r="71" spans="1:12">
      <c r="A71" s="112" t="s">
        <v>973</v>
      </c>
      <c r="B71" s="113"/>
      <c r="C71" s="111"/>
      <c r="D71" s="111"/>
      <c r="E71" s="111">
        <f>上期TB!E71</f>
        <v>-30046177.920000002</v>
      </c>
      <c r="F71" s="1"/>
      <c r="G71" s="1"/>
      <c r="H71" s="115">
        <f>H68-H69-H70</f>
        <v>-30046177.920000002</v>
      </c>
    </row>
    <row r="72" spans="1:12">
      <c r="A72" s="112" t="s">
        <v>974</v>
      </c>
      <c r="B72" s="113" t="s">
        <v>975</v>
      </c>
      <c r="C72" s="111"/>
      <c r="D72" s="111"/>
      <c r="E72" s="114">
        <f>上期TB!E72</f>
        <v>2232281356.0500002</v>
      </c>
      <c r="F72" s="1">
        <f>ROUND(SUMIF(新准则转换ETY!D:D,B72,新准则转换ETY!F:F),2)</f>
        <v>0</v>
      </c>
      <c r="G72" s="1">
        <f>ROUND(SUMIF(新准则转换ETY!D:D,B72,新准则转换ETY!G:G),2)</f>
        <v>0</v>
      </c>
      <c r="H72" s="115">
        <f t="shared" si="8"/>
        <v>2232281356.0500002</v>
      </c>
      <c r="I72" s="18" t="s">
        <v>776</v>
      </c>
      <c r="K72" s="18" t="s">
        <v>843</v>
      </c>
      <c r="L72" s="18" t="str">
        <f>_xlfn.IFNA(VLOOKUP(I72,科目余额表!B:M,11,0),K72)</f>
        <v>借</v>
      </c>
    </row>
    <row r="73" spans="1:12">
      <c r="A73" s="112" t="s">
        <v>976</v>
      </c>
      <c r="B73" s="113" t="s">
        <v>977</v>
      </c>
      <c r="C73" s="111"/>
      <c r="D73" s="111"/>
      <c r="E73" s="114">
        <f>上期TB!E73</f>
        <v>0</v>
      </c>
      <c r="F73" s="1">
        <f>ROUND(SUMIF(新准则转换ETY!D:D,B73,新准则转换ETY!F:F),2)</f>
        <v>0</v>
      </c>
      <c r="G73" s="1">
        <f>ROUND(SUMIF(新准则转换ETY!D:D,B73,新准则转换ETY!G:G),2)</f>
        <v>0</v>
      </c>
      <c r="H73" s="115">
        <f>ROUND(E73-F73+G73,2)</f>
        <v>0</v>
      </c>
      <c r="I73" s="18" t="s">
        <v>777</v>
      </c>
      <c r="K73" s="18" t="s">
        <v>865</v>
      </c>
      <c r="L73" s="18" t="str">
        <f>_xlfn.IFNA(VLOOKUP(I73,科目余额表!B:M,11,0),K73)</f>
        <v>平</v>
      </c>
    </row>
    <row r="74" spans="1:12">
      <c r="A74" s="112" t="s">
        <v>978</v>
      </c>
      <c r="B74" s="113"/>
      <c r="C74" s="111"/>
      <c r="D74" s="111"/>
      <c r="E74" s="111">
        <f>上期TB!E74</f>
        <v>2232281356.0500002</v>
      </c>
      <c r="F74" s="111">
        <f t="shared" ref="F74:H74" si="9">F72-F73</f>
        <v>0</v>
      </c>
      <c r="G74" s="111">
        <f t="shared" si="9"/>
        <v>0</v>
      </c>
      <c r="H74" s="111">
        <f t="shared" si="9"/>
        <v>2232281356.0500002</v>
      </c>
      <c r="L74" s="18">
        <f>_xlfn.IFNA(VLOOKUP(I74,科目余额表!B:M,11,0),K74)</f>
        <v>0</v>
      </c>
    </row>
    <row r="75" spans="1:12">
      <c r="A75" s="112" t="s">
        <v>979</v>
      </c>
      <c r="B75" s="113" t="s">
        <v>19</v>
      </c>
      <c r="C75" s="111"/>
      <c r="D75" s="117" t="s">
        <v>856</v>
      </c>
      <c r="E75" s="114">
        <f>上期TB!E75</f>
        <v>0</v>
      </c>
      <c r="F75" s="1">
        <f>ROUND(SUMIF(新准则转换ETY!D:D,B75,新准则转换ETY!F:F),2)</f>
        <v>0</v>
      </c>
      <c r="G75" s="1">
        <f>ROUND(SUMIF(新准则转换ETY!D:D,B75,新准则转换ETY!G:G),2)</f>
        <v>0</v>
      </c>
      <c r="H75" s="115">
        <f t="shared" ref="H75:H77" si="10">ROUND(E75+F75-G75,2)</f>
        <v>0</v>
      </c>
      <c r="I75" s="18" t="s">
        <v>19</v>
      </c>
      <c r="K75" s="18" t="s">
        <v>843</v>
      </c>
      <c r="L75" s="18" t="str">
        <f>_xlfn.IFNA(VLOOKUP(I75,科目余额表!B:M,11,0),K75)</f>
        <v>借</v>
      </c>
    </row>
    <row r="76" spans="1:12">
      <c r="A76" s="112" t="s">
        <v>980</v>
      </c>
      <c r="B76" s="113" t="s">
        <v>44</v>
      </c>
      <c r="C76" s="111"/>
      <c r="D76" s="117" t="s">
        <v>856</v>
      </c>
      <c r="E76" s="114">
        <f>上期TB!E76</f>
        <v>0</v>
      </c>
      <c r="F76" s="1">
        <f>ROUND(SUMIF(新准则转换ETY!D:D,B76,新准则转换ETY!F:F),2)</f>
        <v>0</v>
      </c>
      <c r="G76" s="1">
        <f>ROUND(SUMIF(新准则转换ETY!D:D,B76,新准则转换ETY!G:G),2)</f>
        <v>0</v>
      </c>
      <c r="H76" s="115">
        <f t="shared" si="10"/>
        <v>0</v>
      </c>
      <c r="I76" s="18" t="s">
        <v>44</v>
      </c>
      <c r="K76" s="18" t="s">
        <v>843</v>
      </c>
      <c r="L76" s="18" t="str">
        <f>_xlfn.IFNA(VLOOKUP(I76,科目余额表!B:M,11,0),K76)</f>
        <v>借</v>
      </c>
    </row>
    <row r="77" spans="1:12">
      <c r="A77" s="112" t="s">
        <v>981</v>
      </c>
      <c r="B77" s="113" t="s">
        <v>982</v>
      </c>
      <c r="C77" s="111"/>
      <c r="D77" s="117"/>
      <c r="E77" s="114">
        <f>上期TB!E77</f>
        <v>649965285.88999999</v>
      </c>
      <c r="F77" s="1">
        <f>ROUND(SUMIF(新准则转换ETY!D:D,B77,新准则转换ETY!F:F),2)</f>
        <v>0</v>
      </c>
      <c r="G77" s="1">
        <f>ROUND(SUMIF(新准则转换ETY!D:D,B77,新准则转换ETY!G:G),2)</f>
        <v>0</v>
      </c>
      <c r="H77" s="115">
        <f t="shared" si="10"/>
        <v>649965285.88999999</v>
      </c>
      <c r="I77" s="18" t="s">
        <v>778</v>
      </c>
      <c r="K77" s="18" t="s">
        <v>843</v>
      </c>
      <c r="L77" s="18" t="str">
        <f>_xlfn.IFNA(VLOOKUP(I77,科目余额表!B:M,11,0),K77)</f>
        <v>借</v>
      </c>
    </row>
    <row r="78" spans="1:12">
      <c r="A78" s="112" t="s">
        <v>983</v>
      </c>
      <c r="B78" s="113" t="s">
        <v>984</v>
      </c>
      <c r="C78" s="111"/>
      <c r="D78" s="117"/>
      <c r="E78" s="114">
        <f>上期TB!E78</f>
        <v>0</v>
      </c>
      <c r="F78" s="1">
        <f>ROUND(SUMIF(新准则转换ETY!D:D,B78,新准则转换ETY!F:F),2)</f>
        <v>0</v>
      </c>
      <c r="G78" s="1">
        <f>ROUND(SUMIF(新准则转换ETY!D:D,B78,新准则转换ETY!G:G),2)</f>
        <v>0</v>
      </c>
      <c r="H78" s="115">
        <f>ROUND(E78-F78+G78,2)</f>
        <v>0</v>
      </c>
      <c r="I78" s="18" t="s">
        <v>985</v>
      </c>
      <c r="K78" s="18" t="s">
        <v>865</v>
      </c>
      <c r="L78" s="18" t="str">
        <f>_xlfn.IFNA(VLOOKUP(I78,科目余额表!B:M,11,0),K78)</f>
        <v>贷</v>
      </c>
    </row>
    <row r="79" spans="1:12">
      <c r="A79" s="112" t="s">
        <v>986</v>
      </c>
      <c r="B79" s="113" t="s">
        <v>987</v>
      </c>
      <c r="C79" s="111"/>
      <c r="D79" s="117"/>
      <c r="E79" s="114">
        <f>上期TB!E79</f>
        <v>0</v>
      </c>
      <c r="F79" s="1">
        <f>ROUND(SUMIF(新准则转换ETY!D:D,B79,新准则转换ETY!F:F),2)</f>
        <v>0</v>
      </c>
      <c r="G79" s="1">
        <f>ROUND(SUMIF(新准则转换ETY!D:D,B79,新准则转换ETY!G:G),2)</f>
        <v>0</v>
      </c>
      <c r="H79" s="115">
        <f>ROUND(E79-F79+G79,2)</f>
        <v>0</v>
      </c>
      <c r="I79" s="18" t="s">
        <v>988</v>
      </c>
      <c r="K79" s="18" t="s">
        <v>865</v>
      </c>
      <c r="L79" s="18" t="str">
        <f>_xlfn.IFNA(VLOOKUP(I79,科目余额表!B:M,11,0),K79)</f>
        <v>贷</v>
      </c>
    </row>
    <row r="80" spans="1:12">
      <c r="A80" s="112" t="s">
        <v>989</v>
      </c>
      <c r="B80" s="113"/>
      <c r="C80" s="111"/>
      <c r="D80" s="111"/>
      <c r="E80" s="111">
        <f>上期TB!E80</f>
        <v>649965285.88999999</v>
      </c>
      <c r="F80" s="111">
        <f t="shared" ref="F80:G80" si="11">F77-F78-F79</f>
        <v>0</v>
      </c>
      <c r="G80" s="111">
        <f t="shared" si="11"/>
        <v>0</v>
      </c>
      <c r="H80" s="111">
        <f>H77-H78-H79</f>
        <v>649965285.88999999</v>
      </c>
      <c r="L80" s="18">
        <f>_xlfn.IFNA(VLOOKUP(I80,科目余额表!B:M,11,0),K80)</f>
        <v>0</v>
      </c>
    </row>
    <row r="81" spans="1:12">
      <c r="A81" s="112" t="s">
        <v>990</v>
      </c>
      <c r="B81" s="113" t="s">
        <v>991</v>
      </c>
      <c r="C81" s="111"/>
      <c r="D81" s="111"/>
      <c r="E81" s="114">
        <f>上期TB!E81</f>
        <v>4354892550.1000004</v>
      </c>
      <c r="F81" s="1">
        <f>ROUND(SUMIF(新准则转换ETY!D:D,B81,新准则转换ETY!F:F),2)</f>
        <v>0</v>
      </c>
      <c r="G81" s="1">
        <f>ROUND(SUMIF(新准则转换ETY!D:D,B81,新准则转换ETY!G:G),2)</f>
        <v>0</v>
      </c>
      <c r="H81" s="115">
        <f t="shared" ref="H81" si="12">ROUND(E81+F81-G81,2)</f>
        <v>4354892550.1000004</v>
      </c>
      <c r="I81" s="18" t="s">
        <v>89</v>
      </c>
      <c r="K81" s="18" t="s">
        <v>843</v>
      </c>
      <c r="L81" s="18" t="str">
        <f>_xlfn.IFNA(VLOOKUP(I81,科目余额表!B:M,11,0),K81)</f>
        <v>借</v>
      </c>
    </row>
    <row r="82" spans="1:12">
      <c r="A82" s="112" t="s">
        <v>992</v>
      </c>
      <c r="B82" s="113" t="s">
        <v>993</v>
      </c>
      <c r="C82" s="111"/>
      <c r="D82" s="111"/>
      <c r="E82" s="114">
        <f>上期TB!E82</f>
        <v>1522351145.78</v>
      </c>
      <c r="F82" s="1">
        <f>ROUND(SUMIF(新准则转换ETY!D:D,B82,新准则转换ETY!F:F),2)</f>
        <v>0</v>
      </c>
      <c r="G82" s="1">
        <f>ROUND(SUMIF(新准则转换ETY!D:D,B82,新准则转换ETY!G:G),2)</f>
        <v>0</v>
      </c>
      <c r="H82" s="115">
        <f>ROUND(E82-F82+G82,2)</f>
        <v>1522351145.78</v>
      </c>
      <c r="I82" s="18" t="s">
        <v>469</v>
      </c>
      <c r="K82" s="18" t="s">
        <v>865</v>
      </c>
      <c r="L82" s="18" t="str">
        <f>_xlfn.IFNA(VLOOKUP(I82,科目余额表!B:M,11,0),K82)</f>
        <v>贷</v>
      </c>
    </row>
    <row r="83" spans="1:12">
      <c r="A83" s="112" t="s">
        <v>994</v>
      </c>
      <c r="B83" s="113" t="s">
        <v>995</v>
      </c>
      <c r="C83" s="111"/>
      <c r="D83" s="111"/>
      <c r="E83" s="114">
        <f>上期TB!E83</f>
        <v>7094592.7199999997</v>
      </c>
      <c r="F83" s="1">
        <f>ROUND(SUMIF(新准则转换ETY!D:D,B83,新准则转换ETY!F:F),2)</f>
        <v>0</v>
      </c>
      <c r="G83" s="1">
        <f>ROUND(SUMIF(新准则转换ETY!D:D,B83,新准则转换ETY!G:G),2)</f>
        <v>0</v>
      </c>
      <c r="H83" s="115">
        <f>ROUND(E83-F83+G83,2)</f>
        <v>7094592.7199999997</v>
      </c>
      <c r="I83" s="18" t="s">
        <v>780</v>
      </c>
      <c r="K83" s="18" t="s">
        <v>865</v>
      </c>
      <c r="L83" s="18" t="str">
        <f>_xlfn.IFNA(VLOOKUP(I83,科目余额表!B:M,11,0),K83)</f>
        <v>贷</v>
      </c>
    </row>
    <row r="84" spans="1:12">
      <c r="A84" s="112" t="s">
        <v>996</v>
      </c>
      <c r="B84" s="113"/>
      <c r="C84" s="111"/>
      <c r="D84" s="111"/>
      <c r="E84" s="111">
        <f>上期TB!E84</f>
        <v>2825446811.6000009</v>
      </c>
      <c r="F84" s="111">
        <f t="shared" ref="F84:G84" si="13">F81-F82-F83</f>
        <v>0</v>
      </c>
      <c r="G84" s="111">
        <f t="shared" si="13"/>
        <v>0</v>
      </c>
      <c r="H84" s="111">
        <f>H81-H82-H83</f>
        <v>2825446811.6000009</v>
      </c>
      <c r="L84" s="18">
        <f>_xlfn.IFNA(VLOOKUP(I84,科目余额表!B:M,11,0),K84)</f>
        <v>0</v>
      </c>
    </row>
    <row r="85" spans="1:12">
      <c r="A85" s="112" t="s">
        <v>997</v>
      </c>
      <c r="B85" s="113" t="s">
        <v>998</v>
      </c>
      <c r="C85" s="111"/>
      <c r="D85" s="111"/>
      <c r="E85" s="114">
        <f>上期TB!E85</f>
        <v>0</v>
      </c>
      <c r="F85" s="1">
        <f>ROUND(SUMIF(新准则转换ETY!D:D,B85,新准则转换ETY!F:F),2)</f>
        <v>0</v>
      </c>
      <c r="G85" s="1">
        <f>ROUND(SUMIF(新准则转换ETY!D:D,B85,新准则转换ETY!G:G),2)</f>
        <v>0</v>
      </c>
      <c r="H85" s="115">
        <f t="shared" ref="H85:H90" si="14">ROUND(E85+F85-G85,2)</f>
        <v>0</v>
      </c>
      <c r="I85" s="18" t="s">
        <v>465</v>
      </c>
      <c r="K85" s="18" t="s">
        <v>843</v>
      </c>
      <c r="L85" s="18" t="str">
        <f>_xlfn.IFNA(VLOOKUP(I85,科目余额表!B:M,11,0),K85)</f>
        <v>平</v>
      </c>
    </row>
    <row r="86" spans="1:12">
      <c r="A86" s="112" t="s">
        <v>999</v>
      </c>
      <c r="B86" s="113" t="s">
        <v>455</v>
      </c>
      <c r="C86" s="111"/>
      <c r="D86" s="111"/>
      <c r="E86" s="114">
        <f>上期TB!E86</f>
        <v>148814764.12</v>
      </c>
      <c r="F86" s="1">
        <f>ROUND(SUMIF(新准则转换ETY!D:D,B86,新准则转换ETY!F:F),2)</f>
        <v>0</v>
      </c>
      <c r="G86" s="1">
        <f>ROUND(SUMIF(新准则转换ETY!D:D,B86,新准则转换ETY!G:G),2)</f>
        <v>0</v>
      </c>
      <c r="H86" s="115">
        <f t="shared" si="14"/>
        <v>148814764.12</v>
      </c>
      <c r="I86" s="18" t="s">
        <v>455</v>
      </c>
      <c r="K86" s="18" t="s">
        <v>843</v>
      </c>
      <c r="L86" s="18" t="str">
        <f>_xlfn.IFNA(VLOOKUP(I86,科目余额表!B:M,11,0),K86)</f>
        <v>借</v>
      </c>
    </row>
    <row r="87" spans="1:12">
      <c r="A87" s="112" t="s">
        <v>1000</v>
      </c>
      <c r="B87" s="113" t="s">
        <v>1001</v>
      </c>
      <c r="C87" s="111"/>
      <c r="D87" s="111"/>
      <c r="E87" s="114">
        <f>上期TB!E87</f>
        <v>0</v>
      </c>
      <c r="F87" s="1">
        <f>ROUND(SUMIF(新准则转换ETY!D:D,B87,新准则转换ETY!F:F),2)</f>
        <v>0</v>
      </c>
      <c r="G87" s="1">
        <f>ROUND(SUMIF(新准则转换ETY!D:D,B87,新准则转换ETY!G:G),2)</f>
        <v>0</v>
      </c>
      <c r="H87" s="115">
        <f t="shared" si="14"/>
        <v>0</v>
      </c>
      <c r="I87" s="18" t="s">
        <v>476</v>
      </c>
      <c r="K87" s="18" t="s">
        <v>843</v>
      </c>
      <c r="L87" s="18" t="str">
        <f>_xlfn.IFNA(VLOOKUP(I87,科目余额表!B:M,11,0),K87)</f>
        <v>借</v>
      </c>
    </row>
    <row r="88" spans="1:12">
      <c r="A88" s="112" t="s">
        <v>1002</v>
      </c>
      <c r="B88" s="113" t="s">
        <v>1003</v>
      </c>
      <c r="C88" s="111"/>
      <c r="D88" s="111"/>
      <c r="E88" s="114">
        <f>上期TB!E88</f>
        <v>0</v>
      </c>
      <c r="F88" s="1">
        <f>ROUND(SUMIF(新准则转换ETY!D:D,B88,新准则转换ETY!F:F),2)</f>
        <v>0</v>
      </c>
      <c r="G88" s="1">
        <f>ROUND(SUMIF(新准则转换ETY!D:D,B88,新准则转换ETY!G:G),2)</f>
        <v>0</v>
      </c>
      <c r="H88" s="115">
        <f t="shared" si="14"/>
        <v>0</v>
      </c>
      <c r="I88" s="18" t="s">
        <v>1003</v>
      </c>
      <c r="K88" s="18" t="s">
        <v>843</v>
      </c>
      <c r="L88" s="18" t="str">
        <f>_xlfn.IFNA(VLOOKUP(I88,科目余额表!B:M,11,0),K88)</f>
        <v>借</v>
      </c>
    </row>
    <row r="89" spans="1:12">
      <c r="A89" s="112" t="s">
        <v>1004</v>
      </c>
      <c r="B89" s="113" t="s">
        <v>1005</v>
      </c>
      <c r="C89" s="111"/>
      <c r="D89" s="111"/>
      <c r="E89" s="114">
        <f>上期TB!E89</f>
        <v>0</v>
      </c>
      <c r="F89" s="1">
        <f>ROUND(SUMIF(新准则转换ETY!D:D,B89,新准则转换ETY!F:F),2)</f>
        <v>0</v>
      </c>
      <c r="G89" s="1">
        <f>ROUND(SUMIF(新准则转换ETY!D:D,B89,新准则转换ETY!G:G),2)</f>
        <v>0</v>
      </c>
      <c r="H89" s="115">
        <f t="shared" si="14"/>
        <v>0</v>
      </c>
      <c r="I89" s="18" t="s">
        <v>1005</v>
      </c>
      <c r="K89" s="18" t="s">
        <v>843</v>
      </c>
      <c r="L89" s="18" t="str">
        <f>_xlfn.IFNA(VLOOKUP(I89,科目余额表!B:M,11,0),K89)</f>
        <v>借</v>
      </c>
    </row>
    <row r="90" spans="1:12">
      <c r="A90" s="112" t="s">
        <v>1006</v>
      </c>
      <c r="B90" s="113" t="s">
        <v>1007</v>
      </c>
      <c r="C90" s="111"/>
      <c r="D90" s="111"/>
      <c r="E90" s="114">
        <f>上期TB!E90</f>
        <v>0</v>
      </c>
      <c r="F90" s="1">
        <f>ROUND(SUMIF(新准则转换ETY!D:D,B90,新准则转换ETY!F:F),2)</f>
        <v>0</v>
      </c>
      <c r="G90" s="1">
        <f>ROUND(SUMIF(新准则转换ETY!D:D,B90,新准则转换ETY!G:G),2)</f>
        <v>0</v>
      </c>
      <c r="H90" s="115">
        <f t="shared" si="14"/>
        <v>0</v>
      </c>
      <c r="I90" s="18" t="s">
        <v>91</v>
      </c>
      <c r="K90" s="18" t="s">
        <v>843</v>
      </c>
      <c r="L90" s="18" t="str">
        <f>_xlfn.IFNA(VLOOKUP(I90,科目余额表!B:M,11,0),K90)</f>
        <v>借</v>
      </c>
    </row>
    <row r="91" spans="1:12">
      <c r="A91" s="112" t="s">
        <v>1008</v>
      </c>
      <c r="B91" s="113" t="s">
        <v>1009</v>
      </c>
      <c r="C91" s="111"/>
      <c r="D91" s="111"/>
      <c r="E91" s="114">
        <f>上期TB!E91</f>
        <v>0</v>
      </c>
      <c r="F91" s="1">
        <f>ROUND(SUMIF(新准则转换ETY!D:D,B91,新准则转换ETY!F:F),2)</f>
        <v>0</v>
      </c>
      <c r="G91" s="1">
        <f>ROUND(SUMIF(新准则转换ETY!D:D,B91,新准则转换ETY!G:G),2)</f>
        <v>0</v>
      </c>
      <c r="H91" s="115">
        <f>ROUND(E91-F91+G91,2)</f>
        <v>0</v>
      </c>
      <c r="I91" s="18" t="s">
        <v>1010</v>
      </c>
      <c r="K91" s="18" t="s">
        <v>865</v>
      </c>
      <c r="L91" s="18" t="str">
        <f>_xlfn.IFNA(VLOOKUP(I91,科目余额表!B:M,11,0),K91)</f>
        <v>贷</v>
      </c>
    </row>
    <row r="92" spans="1:12">
      <c r="A92" s="112" t="s">
        <v>1011</v>
      </c>
      <c r="B92" s="113" t="s">
        <v>1012</v>
      </c>
      <c r="C92" s="111"/>
      <c r="D92" s="111"/>
      <c r="E92" s="114">
        <f>上期TB!E92</f>
        <v>0</v>
      </c>
      <c r="F92" s="1">
        <f>ROUND(SUMIF(新准则转换ETY!D:D,B92,新准则转换ETY!F:F),2)</f>
        <v>0</v>
      </c>
      <c r="G92" s="1">
        <f>ROUND(SUMIF(新准则转换ETY!D:D,B92,新准则转换ETY!G:G),2)</f>
        <v>0</v>
      </c>
      <c r="H92" s="115">
        <f>ROUND(E92-F92+G92,2)</f>
        <v>0</v>
      </c>
      <c r="I92" s="18" t="s">
        <v>1013</v>
      </c>
      <c r="K92" s="18" t="s">
        <v>865</v>
      </c>
      <c r="L92" s="18" t="str">
        <f>_xlfn.IFNA(VLOOKUP(I92,科目余额表!B:M,11,0),K92)</f>
        <v>贷</v>
      </c>
    </row>
    <row r="93" spans="1:12">
      <c r="A93" s="112" t="s">
        <v>1014</v>
      </c>
      <c r="B93" s="113"/>
      <c r="C93" s="111"/>
      <c r="D93" s="117" t="s">
        <v>856</v>
      </c>
      <c r="E93" s="111">
        <f>上期TB!E93</f>
        <v>0</v>
      </c>
      <c r="F93" s="111">
        <f t="shared" ref="F93:H93" si="15">F90-F91-F92</f>
        <v>0</v>
      </c>
      <c r="G93" s="111">
        <f t="shared" si="15"/>
        <v>0</v>
      </c>
      <c r="H93" s="111">
        <f t="shared" si="15"/>
        <v>0</v>
      </c>
      <c r="L93" s="18">
        <f>_xlfn.IFNA(VLOOKUP(I93,科目余额表!B:M,11,0),K93)</f>
        <v>0</v>
      </c>
    </row>
    <row r="94" spans="1:12">
      <c r="A94" s="112" t="s">
        <v>1015</v>
      </c>
      <c r="B94" s="113" t="s">
        <v>1016</v>
      </c>
      <c r="C94" s="111"/>
      <c r="D94" s="117"/>
      <c r="E94" s="114">
        <f>上期TB!E94</f>
        <v>0</v>
      </c>
      <c r="F94" s="1">
        <f>ROUND(SUMIF(新准则转换ETY!D:D,B94,新准则转换ETY!F:F),2)</f>
        <v>0</v>
      </c>
      <c r="G94" s="1">
        <f>ROUND(SUMIF(新准则转换ETY!D:D,B94,新准则转换ETY!G:G),2)</f>
        <v>0</v>
      </c>
      <c r="H94" s="115">
        <f t="shared" ref="H94" si="16">ROUND(E94+F94-G94,2)</f>
        <v>0</v>
      </c>
      <c r="I94" s="18" t="s">
        <v>90</v>
      </c>
      <c r="K94" s="18" t="s">
        <v>843</v>
      </c>
      <c r="L94" s="18" t="str">
        <f>_xlfn.IFNA(VLOOKUP(I94,科目余额表!B:M,11,0),K94)</f>
        <v>借</v>
      </c>
    </row>
    <row r="95" spans="1:12">
      <c r="A95" s="112" t="s">
        <v>1017</v>
      </c>
      <c r="B95" s="113" t="s">
        <v>1018</v>
      </c>
      <c r="C95" s="111"/>
      <c r="D95" s="117"/>
      <c r="E95" s="114">
        <f>上期TB!E95</f>
        <v>0</v>
      </c>
      <c r="F95" s="1">
        <f>ROUND(SUMIF(新准则转换ETY!D:D,B95,新准则转换ETY!F:F),2)</f>
        <v>0</v>
      </c>
      <c r="G95" s="1">
        <f>ROUND(SUMIF(新准则转换ETY!D:D,B95,新准则转换ETY!G:G),2)</f>
        <v>0</v>
      </c>
      <c r="H95" s="115">
        <f>ROUND(E95-F95+G95,2)</f>
        <v>0</v>
      </c>
      <c r="I95" s="18" t="s">
        <v>782</v>
      </c>
      <c r="K95" s="18" t="s">
        <v>865</v>
      </c>
      <c r="L95" s="18" t="str">
        <f>_xlfn.IFNA(VLOOKUP(I95,科目余额表!B:M,11,0),K95)</f>
        <v>贷</v>
      </c>
    </row>
    <row r="96" spans="1:12">
      <c r="A96" s="112" t="s">
        <v>1019</v>
      </c>
      <c r="B96" s="113" t="s">
        <v>1020</v>
      </c>
      <c r="C96" s="111"/>
      <c r="D96" s="117"/>
      <c r="E96" s="114">
        <f>上期TB!E96</f>
        <v>0</v>
      </c>
      <c r="F96" s="1">
        <f>ROUND(SUMIF(新准则转换ETY!D:D,B96,新准则转换ETY!F:F),2)</f>
        <v>0</v>
      </c>
      <c r="G96" s="1">
        <f>ROUND(SUMIF(新准则转换ETY!D:D,B96,新准则转换ETY!G:G),2)</f>
        <v>0</v>
      </c>
      <c r="H96" s="115">
        <f>ROUND(E96-F96+G96,2)</f>
        <v>0</v>
      </c>
      <c r="I96" s="18" t="s">
        <v>1021</v>
      </c>
      <c r="K96" s="18" t="s">
        <v>865</v>
      </c>
      <c r="L96" s="18" t="str">
        <f>_xlfn.IFNA(VLOOKUP(I96,科目余额表!B:M,11,0),K96)</f>
        <v>贷</v>
      </c>
    </row>
    <row r="97" spans="1:12">
      <c r="A97" s="112" t="s">
        <v>1022</v>
      </c>
      <c r="B97" s="113"/>
      <c r="C97" s="111"/>
      <c r="D97" s="111"/>
      <c r="E97" s="111">
        <f>上期TB!E97</f>
        <v>0</v>
      </c>
      <c r="F97" s="111">
        <f t="shared" ref="F97:H97" si="17">F94-F95-F96</f>
        <v>0</v>
      </c>
      <c r="G97" s="111">
        <f t="shared" si="17"/>
        <v>0</v>
      </c>
      <c r="H97" s="111">
        <f t="shared" si="17"/>
        <v>0</v>
      </c>
      <c r="L97" s="18">
        <f>_xlfn.IFNA(VLOOKUP(I97,科目余额表!B:M,11,0),K97)</f>
        <v>0</v>
      </c>
    </row>
    <row r="98" spans="1:12">
      <c r="A98" s="112" t="s">
        <v>1023</v>
      </c>
      <c r="B98" s="113" t="s">
        <v>1024</v>
      </c>
      <c r="C98" s="111"/>
      <c r="D98" s="111"/>
      <c r="E98" s="114">
        <f>上期TB!E98</f>
        <v>0</v>
      </c>
      <c r="F98" s="1">
        <f>ROUND(SUMIF(新准则转换ETY!D:D,B98,新准则转换ETY!F:F),2)</f>
        <v>0</v>
      </c>
      <c r="G98" s="1">
        <f>ROUND(SUMIF(新准则转换ETY!D:D,B98,新准则转换ETY!G:G),2)</f>
        <v>0</v>
      </c>
      <c r="H98" s="115">
        <f t="shared" ref="H98:H99" si="18">ROUND(E98+F98-G98,2)</f>
        <v>0</v>
      </c>
      <c r="I98" s="18" t="s">
        <v>1024</v>
      </c>
      <c r="K98" s="18" t="s">
        <v>843</v>
      </c>
      <c r="L98" s="18" t="str">
        <f>_xlfn.IFNA(VLOOKUP(I98,科目余额表!B:M,11,0),K98)</f>
        <v>借</v>
      </c>
    </row>
    <row r="99" spans="1:12">
      <c r="A99" s="112" t="s">
        <v>1025</v>
      </c>
      <c r="B99" s="113" t="s">
        <v>1026</v>
      </c>
      <c r="C99" s="111"/>
      <c r="D99" s="111"/>
      <c r="E99" s="114">
        <f>上期TB!E99</f>
        <v>0</v>
      </c>
      <c r="F99" s="1">
        <f>ROUND(SUMIF(新准则转换ETY!D:D,B99,新准则转换ETY!F:F),2)</f>
        <v>0</v>
      </c>
      <c r="G99" s="1">
        <f>ROUND(SUMIF(新准则转换ETY!D:D,B99,新准则转换ETY!G:G),2)</f>
        <v>0</v>
      </c>
      <c r="H99" s="115">
        <f t="shared" si="18"/>
        <v>0</v>
      </c>
      <c r="I99" s="18" t="s">
        <v>1027</v>
      </c>
      <c r="K99" s="18" t="s">
        <v>843</v>
      </c>
      <c r="L99" s="18" t="str">
        <f>_xlfn.IFNA(VLOOKUP(I99,科目余额表!B:M,11,0),K99)</f>
        <v>借</v>
      </c>
    </row>
    <row r="100" spans="1:12">
      <c r="A100" s="112" t="s">
        <v>1028</v>
      </c>
      <c r="B100" s="113" t="s">
        <v>1029</v>
      </c>
      <c r="C100" s="111"/>
      <c r="D100" s="111"/>
      <c r="E100" s="114">
        <f>上期TB!E100</f>
        <v>0</v>
      </c>
      <c r="F100" s="1">
        <f>ROUND(SUMIF(新准则转换ETY!D:D,B100,新准则转换ETY!F:F),2)</f>
        <v>0</v>
      </c>
      <c r="G100" s="1">
        <f>ROUND(SUMIF(新准则转换ETY!D:D,B100,新准则转换ETY!G:G),2)</f>
        <v>0</v>
      </c>
      <c r="H100" s="115">
        <f>ROUND(E100-F100+G100,2)</f>
        <v>0</v>
      </c>
      <c r="I100" s="18" t="s">
        <v>1030</v>
      </c>
      <c r="K100" s="18" t="s">
        <v>865</v>
      </c>
      <c r="L100" s="18" t="str">
        <f>_xlfn.IFNA(VLOOKUP(I100,科目余额表!B:M,11,0),K100)</f>
        <v>贷</v>
      </c>
    </row>
    <row r="101" spans="1:12">
      <c r="A101" s="112" t="s">
        <v>1031</v>
      </c>
      <c r="B101" s="113"/>
      <c r="C101" s="111"/>
      <c r="D101" s="111"/>
      <c r="E101" s="111">
        <f>上期TB!E101</f>
        <v>0</v>
      </c>
      <c r="F101" s="111">
        <f t="shared" ref="F101:H101" si="19">F99-F100</f>
        <v>0</v>
      </c>
      <c r="G101" s="111">
        <f t="shared" si="19"/>
        <v>0</v>
      </c>
      <c r="H101" s="111">
        <f t="shared" si="19"/>
        <v>0</v>
      </c>
      <c r="L101" s="18">
        <f>_xlfn.IFNA(VLOOKUP(I101,科目余额表!B:M,11,0),K101)</f>
        <v>0</v>
      </c>
    </row>
    <row r="102" spans="1:12">
      <c r="A102" s="112" t="s">
        <v>1032</v>
      </c>
      <c r="B102" s="113" t="s">
        <v>783</v>
      </c>
      <c r="C102" s="111"/>
      <c r="D102" s="111"/>
      <c r="E102" s="114">
        <f>上期TB!E102</f>
        <v>26751496.309999999</v>
      </c>
      <c r="F102" s="1">
        <f>ROUND(SUMIF(新准则转换ETY!D:D,B102,新准则转换ETY!F:F),2)</f>
        <v>0</v>
      </c>
      <c r="G102" s="1">
        <f>ROUND(SUMIF(新准则转换ETY!D:D,B102,新准则转换ETY!G:G),2)</f>
        <v>0</v>
      </c>
      <c r="H102" s="115">
        <f t="shared" ref="H102:H104" si="20">ROUND(E102+F102-G102,2)</f>
        <v>26751496.309999999</v>
      </c>
      <c r="I102" s="18" t="s">
        <v>783</v>
      </c>
      <c r="K102" s="18" t="s">
        <v>843</v>
      </c>
      <c r="L102" s="18" t="str">
        <f>_xlfn.IFNA(VLOOKUP(I102,科目余额表!B:M,11,0),K102)</f>
        <v>借</v>
      </c>
    </row>
    <row r="103" spans="1:12">
      <c r="A103" s="112" t="s">
        <v>1033</v>
      </c>
      <c r="B103" s="113" t="s">
        <v>784</v>
      </c>
      <c r="C103" s="111"/>
      <c r="D103" s="111"/>
      <c r="E103" s="114">
        <f>上期TB!E103</f>
        <v>0</v>
      </c>
      <c r="F103" s="1">
        <f>ROUND(SUMIF(新准则转换ETY!D:D,B103,新准则转换ETY!F:F),2)</f>
        <v>0</v>
      </c>
      <c r="G103" s="1">
        <f>ROUND(SUMIF(新准则转换ETY!D:D,B103,新准则转换ETY!G:G),2)</f>
        <v>0</v>
      </c>
      <c r="H103" s="115">
        <f t="shared" si="20"/>
        <v>0</v>
      </c>
      <c r="I103" s="18" t="s">
        <v>784</v>
      </c>
      <c r="K103" s="18" t="s">
        <v>843</v>
      </c>
      <c r="L103" s="18" t="str">
        <f>_xlfn.IFNA(VLOOKUP(I103,科目余额表!B:M,11,0),K103)</f>
        <v>借</v>
      </c>
    </row>
    <row r="104" spans="1:12">
      <c r="A104" s="112" t="s">
        <v>1034</v>
      </c>
      <c r="B104" s="113" t="s">
        <v>80</v>
      </c>
      <c r="C104" s="111"/>
      <c r="D104" s="111"/>
      <c r="E104" s="114">
        <f>上期TB!E104</f>
        <v>5764452392.1000004</v>
      </c>
      <c r="F104" s="1">
        <f>ROUND(SUMIF(新准则转换ETY!D:D,B104,新准则转换ETY!F:F),2)</f>
        <v>0</v>
      </c>
      <c r="G104" s="1">
        <f>ROUND(SUMIF(新准则转换ETY!D:D,B104,新准则转换ETY!G:G),2)</f>
        <v>0</v>
      </c>
      <c r="H104" s="115">
        <f t="shared" si="20"/>
        <v>5764452392.1000004</v>
      </c>
      <c r="I104" s="18" t="s">
        <v>1035</v>
      </c>
      <c r="K104" s="18" t="s">
        <v>843</v>
      </c>
      <c r="L104" s="18" t="str">
        <f>_xlfn.IFNA(VLOOKUP(I104,科目余额表!B:M,11,0),K104)</f>
        <v>借</v>
      </c>
    </row>
    <row r="105" spans="1:12">
      <c r="A105" s="120" t="s">
        <v>1036</v>
      </c>
      <c r="B105" s="113"/>
      <c r="C105" s="119"/>
      <c r="D105" s="119"/>
      <c r="E105" s="121">
        <f>上期TB!E105</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1037</v>
      </c>
      <c r="B106" s="113"/>
      <c r="C106" s="111"/>
      <c r="D106" s="111"/>
      <c r="E106" s="121">
        <f>上期TB!E106</f>
        <v>16795860784.460001</v>
      </c>
      <c r="F106" s="111">
        <f>F105+F57</f>
        <v>0</v>
      </c>
      <c r="G106" s="111">
        <f>G105+G57</f>
        <v>0</v>
      </c>
      <c r="H106" s="121">
        <f>H105+H57</f>
        <v>16795860784.460001</v>
      </c>
      <c r="L106" s="18">
        <f>_xlfn.IFNA(VLOOKUP(I106,科目余额表!B:M,11,0),K106)</f>
        <v>0</v>
      </c>
    </row>
    <row r="107" spans="1:12">
      <c r="A107" s="122" t="s">
        <v>1038</v>
      </c>
      <c r="B107" s="113"/>
      <c r="C107" s="111"/>
      <c r="D107" s="111"/>
      <c r="E107" s="111">
        <f>上期TB!E107</f>
        <v>0</v>
      </c>
      <c r="L107" s="18">
        <f>_xlfn.IFNA(VLOOKUP(I107,科目余额表!B:M,11,0),K107)</f>
        <v>0</v>
      </c>
    </row>
    <row r="108" spans="1:12">
      <c r="A108" s="123" t="s">
        <v>1039</v>
      </c>
      <c r="B108" s="113" t="s">
        <v>768</v>
      </c>
      <c r="C108" s="111"/>
      <c r="D108" s="111"/>
      <c r="E108" s="114">
        <f>上期TB!E108</f>
        <v>674000000</v>
      </c>
      <c r="F108" s="1">
        <f>ROUND(SUMIF(新准则转换ETY!D:D,B108,新准则转换ETY!F:F),2)</f>
        <v>0</v>
      </c>
      <c r="G108" s="1">
        <f>ROUND(SUMIF(新准则转换ETY!D:D,B108,新准则转换ETY!G:G),2)</f>
        <v>0</v>
      </c>
      <c r="H108" s="115">
        <f>ROUND(E108-F108+G108,2)</f>
        <v>674000000</v>
      </c>
      <c r="I108" s="18" t="s">
        <v>768</v>
      </c>
      <c r="K108" s="18" t="s">
        <v>865</v>
      </c>
      <c r="L108" s="18" t="str">
        <f>_xlfn.IFNA(VLOOKUP(I108,科目余额表!B:M,11,0),K108)</f>
        <v>贷</v>
      </c>
    </row>
    <row r="109" spans="1:12">
      <c r="A109" s="123" t="s">
        <v>1040</v>
      </c>
      <c r="B109" s="113" t="s">
        <v>1041</v>
      </c>
      <c r="C109" s="111"/>
      <c r="D109" s="111"/>
      <c r="E109" s="114">
        <f>上期TB!E109</f>
        <v>0</v>
      </c>
      <c r="F109" s="1">
        <f>ROUND(SUMIF(新准则转换ETY!D:D,B109,新准则转换ETY!F:F),2)</f>
        <v>0</v>
      </c>
      <c r="G109" s="1">
        <f>ROUND(SUMIF(新准则转换ETY!D:D,B109,新准则转换ETY!G:G),2)</f>
        <v>0</v>
      </c>
      <c r="H109" s="115">
        <f t="shared" ref="H109:H132" si="21">ROUND(E109-F109+G109,2)</f>
        <v>0</v>
      </c>
      <c r="I109" s="18" t="s">
        <v>1041</v>
      </c>
      <c r="K109" s="18" t="s">
        <v>865</v>
      </c>
      <c r="L109" s="18" t="str">
        <f>_xlfn.IFNA(VLOOKUP(I109,科目余额表!B:M,11,0),K109)</f>
        <v>贷</v>
      </c>
    </row>
    <row r="110" spans="1:12">
      <c r="A110" s="123" t="s">
        <v>1042</v>
      </c>
      <c r="B110" s="113" t="s">
        <v>1043</v>
      </c>
      <c r="C110" s="111"/>
      <c r="D110" s="111"/>
      <c r="E110" s="114">
        <f>上期TB!E110</f>
        <v>0</v>
      </c>
      <c r="F110" s="1">
        <f>ROUND(SUMIF(新准则转换ETY!D:D,B110,新准则转换ETY!F:F),2)</f>
        <v>0</v>
      </c>
      <c r="G110" s="1">
        <f>ROUND(SUMIF(新准则转换ETY!D:D,B110,新准则转换ETY!G:G),2)</f>
        <v>0</v>
      </c>
      <c r="H110" s="115">
        <f t="shared" si="21"/>
        <v>0</v>
      </c>
      <c r="I110" s="18" t="s">
        <v>1043</v>
      </c>
      <c r="K110" s="18" t="s">
        <v>865</v>
      </c>
      <c r="L110" s="18" t="str">
        <f>_xlfn.IFNA(VLOOKUP(I110,科目余额表!B:M,11,0),K110)</f>
        <v>贷</v>
      </c>
    </row>
    <row r="111" spans="1:12">
      <c r="A111" s="124" t="s">
        <v>1044</v>
      </c>
      <c r="B111" s="113" t="s">
        <v>528</v>
      </c>
      <c r="C111" s="111"/>
      <c r="D111" s="117" t="s">
        <v>856</v>
      </c>
      <c r="E111" s="114">
        <f>上期TB!E111</f>
        <v>0</v>
      </c>
      <c r="F111" s="1">
        <f>ROUND(SUMIF(新准则转换ETY!D:D,B111,新准则转换ETY!F:F),2)</f>
        <v>0</v>
      </c>
      <c r="G111" s="1">
        <f>ROUND(SUMIF(新准则转换ETY!D:D,B111,新准则转换ETY!G:G),2)</f>
        <v>0</v>
      </c>
      <c r="H111" s="115">
        <f t="shared" si="21"/>
        <v>0</v>
      </c>
      <c r="I111" s="18" t="s">
        <v>528</v>
      </c>
      <c r="K111" s="18" t="s">
        <v>865</v>
      </c>
      <c r="L111" s="18" t="str">
        <f>_xlfn.IFNA(VLOOKUP(I111,科目余额表!B:M,11,0),K111)</f>
        <v>贷</v>
      </c>
    </row>
    <row r="112" spans="1:12">
      <c r="A112" s="124" t="s">
        <v>1045</v>
      </c>
      <c r="B112" s="113" t="s">
        <v>1046</v>
      </c>
      <c r="C112" s="117" t="s">
        <v>858</v>
      </c>
      <c r="D112" s="117"/>
      <c r="E112" s="114">
        <f>上期TB!E112</f>
        <v>0</v>
      </c>
      <c r="F112" s="1">
        <f>ROUND(SUMIF(新准则转换ETY!D:D,B112,新准则转换ETY!F:F),2)</f>
        <v>0</v>
      </c>
      <c r="G112" s="1">
        <f>ROUND(SUMIF(新准则转换ETY!D:D,B112,新准则转换ETY!G:G),2)</f>
        <v>0</v>
      </c>
      <c r="H112" s="115">
        <f t="shared" si="21"/>
        <v>0</v>
      </c>
      <c r="I112" s="18" t="s">
        <v>1046</v>
      </c>
      <c r="K112" s="18" t="s">
        <v>865</v>
      </c>
      <c r="L112" s="18" t="str">
        <f>_xlfn.IFNA(VLOOKUP(I112,科目余额表!B:M,11,0),K112)</f>
        <v>贷</v>
      </c>
    </row>
    <row r="113" spans="1:12">
      <c r="A113" s="123" t="s">
        <v>1047</v>
      </c>
      <c r="B113" s="113" t="s">
        <v>1048</v>
      </c>
      <c r="C113" s="111"/>
      <c r="D113" s="111"/>
      <c r="E113" s="114">
        <f>上期TB!E113</f>
        <v>0</v>
      </c>
      <c r="F113" s="1">
        <f>ROUND(SUMIF(新准则转换ETY!D:D,B113,新准则转换ETY!F:F),2)</f>
        <v>0</v>
      </c>
      <c r="G113" s="1">
        <f>ROUND(SUMIF(新准则转换ETY!D:D,B113,新准则转换ETY!G:G),2)</f>
        <v>0</v>
      </c>
      <c r="H113" s="115">
        <f t="shared" si="21"/>
        <v>0</v>
      </c>
      <c r="I113" s="18" t="s">
        <v>1048</v>
      </c>
      <c r="K113" s="18" t="s">
        <v>865</v>
      </c>
      <c r="L113" s="18" t="str">
        <f>_xlfn.IFNA(VLOOKUP(I113,科目余额表!B:M,11,0),K113)</f>
        <v>贷</v>
      </c>
    </row>
    <row r="114" spans="1:12">
      <c r="A114" s="123" t="s">
        <v>1049</v>
      </c>
      <c r="B114" s="113" t="s">
        <v>785</v>
      </c>
      <c r="C114" s="111"/>
      <c r="D114" s="111"/>
      <c r="E114" s="114">
        <f>上期TB!E114</f>
        <v>0</v>
      </c>
      <c r="F114" s="1">
        <f>ROUND(SUMIF(新准则转换ETY!D:D,B114,新准则转换ETY!F:F),2)</f>
        <v>0</v>
      </c>
      <c r="G114" s="1">
        <f>ROUND(SUMIF(新准则转换ETY!D:D,B114,新准则转换ETY!G:G),2)</f>
        <v>0</v>
      </c>
      <c r="H114" s="115">
        <f t="shared" si="21"/>
        <v>0</v>
      </c>
      <c r="I114" s="18" t="s">
        <v>785</v>
      </c>
      <c r="K114" s="18" t="s">
        <v>865</v>
      </c>
      <c r="L114" s="18" t="str">
        <f>_xlfn.IFNA(VLOOKUP(I114,科目余额表!B:M,11,0),K114)</f>
        <v>平</v>
      </c>
    </row>
    <row r="115" spans="1:12">
      <c r="A115" s="124" t="s">
        <v>1050</v>
      </c>
      <c r="B115" s="113" t="s">
        <v>1051</v>
      </c>
      <c r="C115" s="111"/>
      <c r="D115" s="111"/>
      <c r="E115" s="114">
        <f>上期TB!E115</f>
        <v>148589378.94</v>
      </c>
      <c r="F115" s="1">
        <f>ROUND(SUMIF(新准则转换ETY!D:D,B115,新准则转换ETY!F:F),2)</f>
        <v>0</v>
      </c>
      <c r="G115" s="1">
        <f>ROUND(SUMIF(新准则转换ETY!D:D,B115,新准则转换ETY!G:G),2)</f>
        <v>0</v>
      </c>
      <c r="H115" s="115">
        <f t="shared" si="21"/>
        <v>148589378.94</v>
      </c>
      <c r="I115" s="18" t="s">
        <v>93</v>
      </c>
      <c r="K115" s="18" t="s">
        <v>865</v>
      </c>
      <c r="L115" s="18" t="str">
        <f>_xlfn.IFNA(VLOOKUP(I115,科目余额表!B:M,11,0),K115)</f>
        <v>贷</v>
      </c>
    </row>
    <row r="116" spans="1:12">
      <c r="A116" s="124" t="s">
        <v>1052</v>
      </c>
      <c r="B116" s="113" t="s">
        <v>1053</v>
      </c>
      <c r="C116" s="111"/>
      <c r="D116" s="111"/>
      <c r="E116" s="114">
        <f>上期TB!E116</f>
        <v>568697862.54999995</v>
      </c>
      <c r="F116" s="1">
        <f>ROUND(SUMIF(新准则转换ETY!D:D,B116,新准则转换ETY!F:F),2)</f>
        <v>0</v>
      </c>
      <c r="G116" s="1">
        <f>ROUND(SUMIF(新准则转换ETY!D:D,B116,新准则转换ETY!G:G),2)</f>
        <v>0</v>
      </c>
      <c r="H116" s="115">
        <f t="shared" si="21"/>
        <v>568697862.54999995</v>
      </c>
      <c r="I116" s="18" t="s">
        <v>800</v>
      </c>
      <c r="K116" s="18" t="s">
        <v>865</v>
      </c>
      <c r="L116" s="18" t="str">
        <f>_xlfn.IFNA(VLOOKUP(I116,科目余额表!B:M,11,0),K116)</f>
        <v>贷</v>
      </c>
    </row>
    <row r="117" spans="1:12">
      <c r="A117" s="123" t="s">
        <v>1054</v>
      </c>
      <c r="B117" s="113" t="s">
        <v>1055</v>
      </c>
      <c r="C117" s="111"/>
      <c r="D117" s="111"/>
      <c r="E117" s="114">
        <f>上期TB!E117</f>
        <v>22100269.77</v>
      </c>
      <c r="F117" s="1">
        <f>ROUND(SUMIF(新准则转换ETY!D:D,B117,新准则转换ETY!F:F),2)</f>
        <v>0</v>
      </c>
      <c r="G117" s="1">
        <f>ROUND(SUMIF(新准则转换ETY!D:D,B117,新准则转换ETY!G:G),2)</f>
        <v>0</v>
      </c>
      <c r="H117" s="115">
        <f t="shared" si="21"/>
        <v>22100269.77</v>
      </c>
      <c r="I117" s="18" t="s">
        <v>1056</v>
      </c>
      <c r="K117" s="18" t="s">
        <v>865</v>
      </c>
      <c r="L117" s="18" t="str">
        <f>_xlfn.IFNA(VLOOKUP(I117,科目余额表!B:M,11,0),K117)</f>
        <v>贷</v>
      </c>
    </row>
    <row r="118" spans="1:12">
      <c r="A118" s="123" t="s">
        <v>1057</v>
      </c>
      <c r="B118" s="113" t="s">
        <v>1058</v>
      </c>
      <c r="C118" s="111"/>
      <c r="D118" s="111"/>
      <c r="E118" s="114">
        <f>上期TB!E118</f>
        <v>0</v>
      </c>
      <c r="F118" s="1">
        <f>ROUND(SUMIF(新准则转换ETY!D:D,B118,新准则转换ETY!F:F),2)</f>
        <v>0</v>
      </c>
      <c r="G118" s="1">
        <f>ROUND(SUMIF(新准则转换ETY!D:D,B118,新准则转换ETY!G:G),2)</f>
        <v>0</v>
      </c>
      <c r="H118" s="115">
        <f t="shared" si="21"/>
        <v>0</v>
      </c>
      <c r="I118" s="18" t="s">
        <v>1058</v>
      </c>
      <c r="K118" s="18" t="s">
        <v>865</v>
      </c>
      <c r="L118" s="18" t="str">
        <f>_xlfn.IFNA(VLOOKUP(I118,科目余额表!B:M,11,0),K118)</f>
        <v>贷</v>
      </c>
    </row>
    <row r="119" spans="1:12">
      <c r="A119" s="124" t="s">
        <v>1059</v>
      </c>
      <c r="B119" s="113" t="s">
        <v>1060</v>
      </c>
      <c r="C119" s="111"/>
      <c r="D119" s="111"/>
      <c r="E119" s="114">
        <f>上期TB!E119</f>
        <v>0</v>
      </c>
      <c r="F119" s="1">
        <f>ROUND(SUMIF(新准则转换ETY!D:D,B119,新准则转换ETY!F:F),2)</f>
        <v>0</v>
      </c>
      <c r="G119" s="1">
        <f>ROUND(SUMIF(新准则转换ETY!D:D,B119,新准则转换ETY!G:G),2)</f>
        <v>0</v>
      </c>
      <c r="H119" s="115">
        <f t="shared" si="21"/>
        <v>0</v>
      </c>
      <c r="I119" s="18" t="s">
        <v>1060</v>
      </c>
      <c r="K119" s="18" t="s">
        <v>865</v>
      </c>
      <c r="L119" s="18" t="str">
        <f>_xlfn.IFNA(VLOOKUP(I119,科目余额表!B:M,11,0),K119)</f>
        <v>贷</v>
      </c>
    </row>
    <row r="120" spans="1:12">
      <c r="A120" s="123" t="s">
        <v>1061</v>
      </c>
      <c r="B120" s="113" t="s">
        <v>1062</v>
      </c>
      <c r="C120" s="111"/>
      <c r="D120" s="111"/>
      <c r="E120" s="114">
        <f>上期TB!E120</f>
        <v>0</v>
      </c>
      <c r="F120" s="1">
        <f>ROUND(SUMIF(新准则转换ETY!D:D,B120,新准则转换ETY!F:F),2)</f>
        <v>0</v>
      </c>
      <c r="G120" s="1">
        <f>ROUND(SUMIF(新准则转换ETY!D:D,B120,新准则转换ETY!G:G),2)</f>
        <v>0</v>
      </c>
      <c r="H120" s="115">
        <f t="shared" si="21"/>
        <v>0</v>
      </c>
      <c r="I120" s="18" t="s">
        <v>1062</v>
      </c>
      <c r="K120" s="18" t="s">
        <v>865</v>
      </c>
      <c r="L120" s="18" t="str">
        <f>_xlfn.IFNA(VLOOKUP(I120,科目余额表!B:M,11,0),K120)</f>
        <v>贷</v>
      </c>
    </row>
    <row r="121" spans="1:12">
      <c r="A121" s="123" t="s">
        <v>1063</v>
      </c>
      <c r="B121" s="113" t="s">
        <v>1064</v>
      </c>
      <c r="C121" s="111"/>
      <c r="D121" s="111"/>
      <c r="E121" s="114">
        <f>上期TB!E121</f>
        <v>0</v>
      </c>
      <c r="F121" s="1">
        <f>ROUND(SUMIF(新准则转换ETY!D:D,B121,新准则转换ETY!F:F),2)</f>
        <v>0</v>
      </c>
      <c r="G121" s="1">
        <f>ROUND(SUMIF(新准则转换ETY!D:D,B121,新准则转换ETY!G:G),2)</f>
        <v>0</v>
      </c>
      <c r="H121" s="115">
        <f t="shared" si="21"/>
        <v>0</v>
      </c>
      <c r="I121" s="18" t="s">
        <v>1064</v>
      </c>
      <c r="K121" s="18" t="s">
        <v>865</v>
      </c>
      <c r="L121" s="18" t="str">
        <f>_xlfn.IFNA(VLOOKUP(I121,科目余额表!B:M,11,0),K121)</f>
        <v>贷</v>
      </c>
    </row>
    <row r="122" spans="1:12">
      <c r="A122" s="123" t="s">
        <v>1065</v>
      </c>
      <c r="B122" s="113" t="s">
        <v>786</v>
      </c>
      <c r="C122" s="111"/>
      <c r="D122" s="111"/>
      <c r="E122" s="114">
        <f>上期TB!E122</f>
        <v>13636984.890000001</v>
      </c>
      <c r="F122" s="1">
        <f>ROUND(SUMIF(新准则转换ETY!D:D,B122,新准则转换ETY!F:F),2)</f>
        <v>0</v>
      </c>
      <c r="G122" s="1">
        <f>ROUND(SUMIF(新准则转换ETY!D:D,B122,新准则转换ETY!G:G),2)</f>
        <v>0</v>
      </c>
      <c r="H122" s="115">
        <f t="shared" si="21"/>
        <v>13636984.890000001</v>
      </c>
      <c r="I122" s="18" t="s">
        <v>786</v>
      </c>
      <c r="K122" s="18" t="s">
        <v>865</v>
      </c>
      <c r="L122" s="18" t="str">
        <f>_xlfn.IFNA(VLOOKUP(I122,科目余额表!B:M,11,0),K122)</f>
        <v>贷</v>
      </c>
    </row>
    <row r="123" spans="1:12">
      <c r="A123" s="123" t="s">
        <v>1066</v>
      </c>
      <c r="B123" s="113" t="s">
        <v>787</v>
      </c>
      <c r="C123" s="111"/>
      <c r="D123" s="111"/>
      <c r="E123" s="114">
        <f>上期TB!E123</f>
        <v>-13638389.939999999</v>
      </c>
      <c r="F123" s="1">
        <f>ROUND(SUMIF(新准则转换ETY!D:D,B123,新准则转换ETY!F:F),2)</f>
        <v>0</v>
      </c>
      <c r="G123" s="1">
        <f>ROUND(SUMIF(新准则转换ETY!D:D,B123,新准则转换ETY!G:G),2)</f>
        <v>0</v>
      </c>
      <c r="H123" s="115">
        <f t="shared" si="21"/>
        <v>-13638389.939999999</v>
      </c>
      <c r="I123" s="18" t="s">
        <v>787</v>
      </c>
      <c r="K123" s="18" t="s">
        <v>865</v>
      </c>
      <c r="L123" s="18" t="str">
        <f>_xlfn.IFNA(VLOOKUP(I123,科目余额表!B:M,11,0),K123)</f>
        <v>借</v>
      </c>
    </row>
    <row r="124" spans="1:12">
      <c r="A124" s="123" t="s">
        <v>1067</v>
      </c>
      <c r="B124" s="113" t="s">
        <v>1068</v>
      </c>
      <c r="C124" s="111"/>
      <c r="D124" s="111"/>
      <c r="E124" s="114">
        <f>上期TB!E124</f>
        <v>98861752.329999998</v>
      </c>
      <c r="F124" s="1">
        <f>ROUND(SUMIF(新准则转换ETY!D:D,B124,新准则转换ETY!F:F),2)</f>
        <v>0</v>
      </c>
      <c r="G124" s="1">
        <f>ROUND(SUMIF(新准则转换ETY!D:D,B124,新准则转换ETY!G:G),2)</f>
        <v>0</v>
      </c>
      <c r="H124" s="115">
        <f t="shared" si="21"/>
        <v>98861752.329999998</v>
      </c>
      <c r="I124" s="18" t="s">
        <v>558</v>
      </c>
      <c r="K124" s="18" t="s">
        <v>865</v>
      </c>
      <c r="L124" s="18" t="str">
        <f>_xlfn.IFNA(VLOOKUP(I124,科目余额表!B:M,11,0),K124)</f>
        <v>贷</v>
      </c>
    </row>
    <row r="125" spans="1:12">
      <c r="A125" s="123" t="s">
        <v>1069</v>
      </c>
      <c r="B125" s="113" t="s">
        <v>1070</v>
      </c>
      <c r="C125" s="111"/>
      <c r="D125" s="111"/>
      <c r="E125" s="114">
        <f>上期TB!E125</f>
        <v>0</v>
      </c>
      <c r="F125" s="1">
        <f>ROUND(SUMIF(新准则转换ETY!D:D,B125,新准则转换ETY!F:F),2)</f>
        <v>0</v>
      </c>
      <c r="G125" s="1">
        <f>ROUND(SUMIF(新准则转换ETY!D:D,B125,新准则转换ETY!G:G),2)</f>
        <v>0</v>
      </c>
      <c r="H125" s="115">
        <f t="shared" si="21"/>
        <v>0</v>
      </c>
      <c r="I125" s="18" t="s">
        <v>559</v>
      </c>
      <c r="K125" s="18" t="s">
        <v>865</v>
      </c>
      <c r="L125" s="18" t="str">
        <f>_xlfn.IFNA(VLOOKUP(I125,科目余额表!B:M,11,0),K125)</f>
        <v>贷</v>
      </c>
    </row>
    <row r="126" spans="1:12">
      <c r="A126" s="123" t="s">
        <v>1071</v>
      </c>
      <c r="B126" s="113" t="s">
        <v>560</v>
      </c>
      <c r="C126" s="111"/>
      <c r="D126" s="111"/>
      <c r="E126" s="114">
        <f>上期TB!E126</f>
        <v>777699873.33000004</v>
      </c>
      <c r="F126" s="1">
        <f>ROUND(SUMIF(新准则转换ETY!D:D,B126,新准则转换ETY!F:F),2)</f>
        <v>0</v>
      </c>
      <c r="G126" s="1">
        <f>ROUND(SUMIF(新准则转换ETY!D:D,B126,新准则转换ETY!G:G),2)</f>
        <v>0</v>
      </c>
      <c r="H126" s="115">
        <f>ROUND(E126-F126+G126,2)</f>
        <v>777699873.33000004</v>
      </c>
      <c r="I126" s="18" t="s">
        <v>560</v>
      </c>
      <c r="K126" s="18" t="s">
        <v>865</v>
      </c>
      <c r="L126" s="18" t="str">
        <f>_xlfn.IFNA(VLOOKUP(I126,科目余额表!B:M,11,0),K126)</f>
        <v>贷</v>
      </c>
    </row>
    <row r="127" spans="1:12">
      <c r="A127" s="123" t="s">
        <v>1072</v>
      </c>
      <c r="B127" s="113" t="s">
        <v>1073</v>
      </c>
      <c r="C127" s="111"/>
      <c r="D127" s="111"/>
      <c r="E127" s="114">
        <f>上期TB!E127</f>
        <v>0</v>
      </c>
      <c r="F127" s="1">
        <f>ROUND(SUMIF(新准则转换ETY!D:D,B127,新准则转换ETY!F:F),2)</f>
        <v>0</v>
      </c>
      <c r="G127" s="1">
        <f>ROUND(SUMIF(新准则转换ETY!D:D,B127,新准则转换ETY!G:G),2)</f>
        <v>0</v>
      </c>
      <c r="H127" s="115">
        <f t="shared" si="21"/>
        <v>0</v>
      </c>
      <c r="I127" s="18" t="s">
        <v>1073</v>
      </c>
      <c r="K127" s="18" t="s">
        <v>865</v>
      </c>
      <c r="L127" s="18" t="str">
        <f>_xlfn.IFNA(VLOOKUP(I127,科目余额表!B:M,11,0),K127)</f>
        <v>贷</v>
      </c>
    </row>
    <row r="128" spans="1:12">
      <c r="A128" s="123" t="s">
        <v>1074</v>
      </c>
      <c r="B128" s="113" t="s">
        <v>1075</v>
      </c>
      <c r="C128" s="111"/>
      <c r="D128" s="111"/>
      <c r="E128" s="114">
        <f>上期TB!E128</f>
        <v>0</v>
      </c>
      <c r="F128" s="1">
        <f>ROUND(SUMIF(新准则转换ETY!D:D,B128,新准则转换ETY!F:F),2)</f>
        <v>0</v>
      </c>
      <c r="G128" s="1">
        <f>ROUND(SUMIF(新准则转换ETY!D:D,B128,新准则转换ETY!G:G),2)</f>
        <v>0</v>
      </c>
      <c r="H128" s="115">
        <f t="shared" si="21"/>
        <v>0</v>
      </c>
      <c r="I128" s="18" t="s">
        <v>1075</v>
      </c>
      <c r="K128" s="18" t="s">
        <v>865</v>
      </c>
      <c r="L128" s="18" t="str">
        <f>_xlfn.IFNA(VLOOKUP(I128,科目余额表!B:M,11,0),K128)</f>
        <v>贷</v>
      </c>
    </row>
    <row r="129" spans="1:12">
      <c r="A129" s="123" t="s">
        <v>1076</v>
      </c>
      <c r="B129" s="113" t="s">
        <v>82</v>
      </c>
      <c r="C129" s="111"/>
      <c r="D129" s="117" t="s">
        <v>856</v>
      </c>
      <c r="E129" s="114">
        <f>上期TB!E129</f>
        <v>0</v>
      </c>
      <c r="F129" s="1">
        <f>ROUND(SUMIF(新准则转换ETY!D:D,B129,新准则转换ETY!F:F),2)</f>
        <v>0</v>
      </c>
      <c r="G129" s="1">
        <f>ROUND(SUMIF(新准则转换ETY!D:D,B129,新准则转换ETY!G:G),2)</f>
        <v>0</v>
      </c>
      <c r="H129" s="115">
        <f t="shared" si="21"/>
        <v>0</v>
      </c>
      <c r="I129" s="18" t="s">
        <v>82</v>
      </c>
      <c r="K129" s="18" t="s">
        <v>865</v>
      </c>
      <c r="L129" s="18" t="str">
        <f>_xlfn.IFNA(VLOOKUP(I129,科目余额表!B:M,11,0),K129)</f>
        <v>贷</v>
      </c>
    </row>
    <row r="130" spans="1:12">
      <c r="A130" s="123" t="s">
        <v>1077</v>
      </c>
      <c r="B130" s="113" t="s">
        <v>1078</v>
      </c>
      <c r="C130" s="111"/>
      <c r="D130" s="111"/>
      <c r="E130" s="114">
        <f>上期TB!E130</f>
        <v>0</v>
      </c>
      <c r="F130" s="1">
        <f>ROUND(SUMIF(新准则转换ETY!D:D,B130,新准则转换ETY!F:F),2)</f>
        <v>0</v>
      </c>
      <c r="G130" s="1">
        <f>ROUND(SUMIF(新准则转换ETY!D:D,B130,新准则转换ETY!G:G),2)</f>
        <v>0</v>
      </c>
      <c r="H130" s="115">
        <f t="shared" si="21"/>
        <v>0</v>
      </c>
      <c r="I130" s="18" t="s">
        <v>1078</v>
      </c>
      <c r="K130" s="18" t="s">
        <v>865</v>
      </c>
      <c r="L130" s="18" t="str">
        <f>_xlfn.IFNA(VLOOKUP(I130,科目余额表!B:M,11,0),K130)</f>
        <v>贷</v>
      </c>
    </row>
    <row r="131" spans="1:12">
      <c r="A131" s="123" t="s">
        <v>1079</v>
      </c>
      <c r="B131" s="113" t="s">
        <v>1080</v>
      </c>
      <c r="C131" s="111"/>
      <c r="D131" s="111"/>
      <c r="E131" s="114">
        <f>上期TB!E131</f>
        <v>0</v>
      </c>
      <c r="F131" s="1">
        <f>ROUND(SUMIF(新准则转换ETY!D:D,B131,新准则转换ETY!F:F),2)</f>
        <v>0</v>
      </c>
      <c r="G131" s="1">
        <f>ROUND(SUMIF(新准则转换ETY!D:D,B131,新准则转换ETY!G:G),2)</f>
        <v>0</v>
      </c>
      <c r="H131" s="115">
        <f t="shared" si="21"/>
        <v>0</v>
      </c>
      <c r="I131" s="18" t="s">
        <v>1080</v>
      </c>
      <c r="K131" s="18" t="s">
        <v>865</v>
      </c>
      <c r="L131" s="18" t="str">
        <f>_xlfn.IFNA(VLOOKUP(I131,科目余额表!B:M,11,0),K131)</f>
        <v>贷</v>
      </c>
    </row>
    <row r="132" spans="1:12">
      <c r="A132" s="123" t="s">
        <v>1081</v>
      </c>
      <c r="B132" s="113" t="s">
        <v>1082</v>
      </c>
      <c r="C132" s="111"/>
      <c r="D132" s="111"/>
      <c r="E132" s="114">
        <f>上期TB!E132</f>
        <v>0</v>
      </c>
      <c r="F132" s="1">
        <f>ROUND(SUMIF(新准则转换ETY!D:D,B132,新准则转换ETY!F:F),2)</f>
        <v>0</v>
      </c>
      <c r="G132" s="1">
        <f>ROUND(SUMIF(新准则转换ETY!D:D,B132,新准则转换ETY!G:G),2)</f>
        <v>0</v>
      </c>
      <c r="H132" s="115">
        <f t="shared" si="21"/>
        <v>0</v>
      </c>
      <c r="I132" s="18" t="s">
        <v>1082</v>
      </c>
      <c r="K132" s="18" t="s">
        <v>865</v>
      </c>
      <c r="L132" s="18" t="str">
        <f>_xlfn.IFNA(VLOOKUP(I132,科目余额表!B:M,11,0),K132)</f>
        <v>贷</v>
      </c>
    </row>
    <row r="133" spans="1:12">
      <c r="A133" s="122" t="s">
        <v>1083</v>
      </c>
      <c r="B133" s="113"/>
      <c r="C133" s="119"/>
      <c r="D133" s="119"/>
      <c r="E133" s="121">
        <f>上期TB!E133</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8">
        <f>_xlfn.IFNA(VLOOKUP(I133,科目余额表!B:M,11,0),K133)</f>
        <v>0</v>
      </c>
    </row>
    <row r="134" spans="1:12">
      <c r="A134" s="122" t="s">
        <v>1084</v>
      </c>
      <c r="B134" s="113"/>
      <c r="C134" s="111"/>
      <c r="D134" s="111"/>
      <c r="E134" s="111">
        <f>上期TB!E134</f>
        <v>0</v>
      </c>
      <c r="L134" s="18">
        <f>_xlfn.IFNA(VLOOKUP(I134,科目余额表!B:M,11,0),K134)</f>
        <v>0</v>
      </c>
    </row>
    <row r="135" spans="1:12">
      <c r="A135" s="123" t="s">
        <v>1085</v>
      </c>
      <c r="B135" s="113" t="s">
        <v>1086</v>
      </c>
      <c r="C135" s="111"/>
      <c r="D135" s="111"/>
      <c r="E135" s="111">
        <f>上期TB!E135</f>
        <v>0</v>
      </c>
      <c r="F135" s="1">
        <f>ROUND(SUMIF(新准则转换ETY!D:D,B135,新准则转换ETY!F:F),2)</f>
        <v>0</v>
      </c>
      <c r="G135" s="1">
        <f>ROUND(SUMIF(新准则转换ETY!D:D,B135,新准则转换ETY!G:G),2)</f>
        <v>0</v>
      </c>
      <c r="H135" s="115">
        <f t="shared" ref="H135:H149" si="23">ROUND(E135-F135+G135,2)</f>
        <v>0</v>
      </c>
      <c r="I135" s="18" t="s">
        <v>1086</v>
      </c>
      <c r="K135" s="18" t="s">
        <v>865</v>
      </c>
      <c r="L135" s="18" t="str">
        <f>_xlfn.IFNA(VLOOKUP(I135,科目余额表!B:M,11,0),K135)</f>
        <v>贷</v>
      </c>
    </row>
    <row r="136" spans="1:12">
      <c r="A136" s="123" t="s">
        <v>1087</v>
      </c>
      <c r="B136" s="113" t="s">
        <v>769</v>
      </c>
      <c r="C136" s="111"/>
      <c r="D136" s="111"/>
      <c r="E136" s="114">
        <f>上期TB!E136</f>
        <v>0</v>
      </c>
      <c r="F136" s="1">
        <f>ROUND(SUMIF(新准则转换ETY!D:D,B136,新准则转换ETY!F:F),2)</f>
        <v>0</v>
      </c>
      <c r="G136" s="1">
        <f>ROUND(SUMIF(新准则转换ETY!D:D,B136,新准则转换ETY!G:G),2)</f>
        <v>0</v>
      </c>
      <c r="H136" s="115">
        <f t="shared" si="23"/>
        <v>0</v>
      </c>
      <c r="I136" s="18" t="s">
        <v>769</v>
      </c>
      <c r="K136" s="18" t="s">
        <v>865</v>
      </c>
      <c r="L136" s="18" t="str">
        <f>_xlfn.IFNA(VLOOKUP(I136,科目余额表!B:M,11,0),K136)</f>
        <v>平</v>
      </c>
    </row>
    <row r="137" spans="1:12">
      <c r="A137" s="123" t="s">
        <v>1088</v>
      </c>
      <c r="B137" s="113" t="s">
        <v>789</v>
      </c>
      <c r="C137" s="111"/>
      <c r="D137" s="111"/>
      <c r="E137" s="114">
        <f>上期TB!E137</f>
        <v>3483543400</v>
      </c>
      <c r="F137" s="1">
        <f>ROUND(SUMIF(新准则转换ETY!D:D,B137,新准则转换ETY!F:F),2)</f>
        <v>0</v>
      </c>
      <c r="G137" s="1">
        <f>ROUND(SUMIF(新准则转换ETY!D:D,B137,新准则转换ETY!G:G),2)</f>
        <v>0</v>
      </c>
      <c r="H137" s="115">
        <f t="shared" si="23"/>
        <v>3483543400</v>
      </c>
      <c r="I137" s="18" t="s">
        <v>789</v>
      </c>
      <c r="K137" s="18" t="s">
        <v>865</v>
      </c>
      <c r="L137" s="18" t="str">
        <f>_xlfn.IFNA(VLOOKUP(I137,科目余额表!B:M,11,0),K137)</f>
        <v>贷</v>
      </c>
    </row>
    <row r="138" spans="1:12">
      <c r="A138" s="123" t="s">
        <v>1089</v>
      </c>
      <c r="B138" s="113" t="s">
        <v>1090</v>
      </c>
      <c r="C138" s="111"/>
      <c r="D138" s="111"/>
      <c r="E138" s="111">
        <f>上期TB!E138</f>
        <v>0</v>
      </c>
      <c r="F138" s="1">
        <f>ROUND(SUMIF(新准则转换ETY!D:D,B138,新准则转换ETY!F:F),2)</f>
        <v>0</v>
      </c>
      <c r="G138" s="1">
        <f>ROUND(SUMIF(新准则转换ETY!D:D,B138,新准则转换ETY!G:G),2)</f>
        <v>0</v>
      </c>
      <c r="H138" s="115">
        <f t="shared" si="23"/>
        <v>0</v>
      </c>
      <c r="I138" s="18" t="s">
        <v>1091</v>
      </c>
      <c r="K138" s="18" t="s">
        <v>865</v>
      </c>
      <c r="L138" s="18" t="str">
        <f>_xlfn.IFNA(VLOOKUP(I138,科目余额表!B:M,11,0),K138)</f>
        <v>贷</v>
      </c>
    </row>
    <row r="139" spans="1:12">
      <c r="A139" s="124" t="s">
        <v>1092</v>
      </c>
      <c r="B139" s="113" t="s">
        <v>1093</v>
      </c>
      <c r="C139" s="111"/>
      <c r="D139" s="111"/>
      <c r="E139" s="111">
        <f>上期TB!E139</f>
        <v>0</v>
      </c>
      <c r="F139" s="1">
        <f>ROUND(SUMIF(新准则转换ETY!D:D,B139,新准则转换ETY!F:F),2)</f>
        <v>0</v>
      </c>
      <c r="G139" s="1">
        <f>ROUND(SUMIF(新准则转换ETY!D:D,B139,新准则转换ETY!G:G),2)</f>
        <v>0</v>
      </c>
      <c r="H139" s="115">
        <f t="shared" si="23"/>
        <v>0</v>
      </c>
      <c r="I139" s="18" t="s">
        <v>1093</v>
      </c>
      <c r="K139" s="18" t="s">
        <v>865</v>
      </c>
      <c r="L139" s="18" t="str">
        <f>_xlfn.IFNA(VLOOKUP(I139,科目余额表!B:M,11,0),K139)</f>
        <v>贷</v>
      </c>
    </row>
    <row r="140" spans="1:12">
      <c r="A140" s="124" t="s">
        <v>1094</v>
      </c>
      <c r="B140" s="113" t="s">
        <v>92</v>
      </c>
      <c r="C140" s="111"/>
      <c r="D140" s="117" t="s">
        <v>856</v>
      </c>
      <c r="E140" s="111">
        <f>上期TB!E140</f>
        <v>0</v>
      </c>
      <c r="F140" s="1">
        <f>ROUND(SUMIF(新准则转换ETY!D:D,B140,新准则转换ETY!F:F),2)</f>
        <v>0</v>
      </c>
      <c r="G140" s="1">
        <f>ROUND(SUMIF(新准则转换ETY!D:D,B140,新准则转换ETY!G:G),2)</f>
        <v>0</v>
      </c>
      <c r="H140" s="115">
        <f t="shared" si="23"/>
        <v>0</v>
      </c>
      <c r="I140" s="18" t="s">
        <v>92</v>
      </c>
      <c r="K140" s="18" t="s">
        <v>865</v>
      </c>
      <c r="L140" s="18" t="str">
        <f>_xlfn.IFNA(VLOOKUP(I140,科目余额表!B:M,11,0),K140)</f>
        <v>贷</v>
      </c>
    </row>
    <row r="141" spans="1:12">
      <c r="A141" s="124" t="s">
        <v>1095</v>
      </c>
      <c r="B141" s="113" t="s">
        <v>1096</v>
      </c>
      <c r="C141" s="111"/>
      <c r="D141" s="117"/>
      <c r="E141" s="114">
        <f>上期TB!E141</f>
        <v>515290000</v>
      </c>
      <c r="F141" s="1">
        <f>ROUND(SUMIF(新准则转换ETY!D:D,B141,新准则转换ETY!F:F),2)</f>
        <v>0</v>
      </c>
      <c r="G141" s="1">
        <f>ROUND(SUMIF(新准则转换ETY!D:D,B141,新准则转换ETY!G:G),2)</f>
        <v>0</v>
      </c>
      <c r="H141" s="115">
        <f t="shared" si="23"/>
        <v>515290000</v>
      </c>
      <c r="I141" s="18" t="s">
        <v>1096</v>
      </c>
      <c r="K141" s="18" t="s">
        <v>865</v>
      </c>
      <c r="L141" s="18" t="str">
        <f>_xlfn.IFNA(VLOOKUP(I141,科目余额表!B:M,11,0),K141)</f>
        <v>贷</v>
      </c>
    </row>
    <row r="142" spans="1:12">
      <c r="A142" s="124" t="s">
        <v>1097</v>
      </c>
      <c r="B142" s="113" t="s">
        <v>1098</v>
      </c>
      <c r="C142" s="111"/>
      <c r="D142" s="117"/>
      <c r="E142" s="114">
        <f>上期TB!E142</f>
        <v>2347752966.29</v>
      </c>
      <c r="F142" s="1">
        <f>ROUND(SUMIF(新准则转换ETY!D:D,B142,新准则转换ETY!F:F),2)</f>
        <v>0</v>
      </c>
      <c r="G142" s="1">
        <f>ROUND(SUMIF(新准则转换ETY!D:D,B142,新准则转换ETY!G:G),2)</f>
        <v>0</v>
      </c>
      <c r="H142" s="115">
        <f t="shared" si="23"/>
        <v>2347752966.29</v>
      </c>
      <c r="I142" s="18" t="s">
        <v>94</v>
      </c>
      <c r="K142" s="18" t="s">
        <v>865</v>
      </c>
      <c r="L142" s="18" t="str">
        <f>_xlfn.IFNA(VLOOKUP(I142,科目余额表!B:M,11,0),K142)</f>
        <v>贷</v>
      </c>
    </row>
    <row r="143" spans="1:12">
      <c r="A143" s="124" t="s">
        <v>1099</v>
      </c>
      <c r="B143" s="113" t="s">
        <v>1100</v>
      </c>
      <c r="C143" s="111"/>
      <c r="D143" s="117"/>
      <c r="E143" s="114">
        <f>上期TB!E143</f>
        <v>0</v>
      </c>
      <c r="F143" s="1">
        <f>ROUND(SUMIF(新准则转换ETY!D:D,B143,新准则转换ETY!F:F),2)</f>
        <v>0</v>
      </c>
      <c r="G143" s="1">
        <f>ROUND(SUMIF(新准则转换ETY!D:D,B143,新准则转换ETY!G:G),2)</f>
        <v>0</v>
      </c>
      <c r="H143" s="115">
        <f t="shared" ref="H143" si="24">ROUND(E143+F143-G143,2)</f>
        <v>0</v>
      </c>
      <c r="I143" s="18" t="s">
        <v>1101</v>
      </c>
      <c r="K143" s="18" t="s">
        <v>832</v>
      </c>
      <c r="L143" s="18" t="s">
        <v>832</v>
      </c>
    </row>
    <row r="144" spans="1:12">
      <c r="A144" s="123" t="s">
        <v>1103</v>
      </c>
      <c r="B144" s="113"/>
      <c r="C144" s="111"/>
      <c r="D144" s="111"/>
      <c r="E144" s="114">
        <f>上期TB!E144</f>
        <v>2347752966.29</v>
      </c>
      <c r="F144" s="1"/>
      <c r="G144" s="1"/>
      <c r="H144" s="115">
        <f>H142-H143</f>
        <v>2347752966.29</v>
      </c>
    </row>
    <row r="145" spans="1:12">
      <c r="A145" s="123" t="s">
        <v>1104</v>
      </c>
      <c r="B145" s="113" t="s">
        <v>1105</v>
      </c>
      <c r="C145" s="111"/>
      <c r="D145" s="111"/>
      <c r="E145" s="114">
        <f>上期TB!E145</f>
        <v>0</v>
      </c>
      <c r="F145" s="1">
        <f>ROUND(SUMIF(新准则转换ETY!D:D,B145,新准则转换ETY!F:F),2)</f>
        <v>0</v>
      </c>
      <c r="G145" s="1">
        <f>ROUND(SUMIF(新准则转换ETY!D:D,B145,新准则转换ETY!G:G),2)</f>
        <v>0</v>
      </c>
      <c r="H145" s="115">
        <f t="shared" si="23"/>
        <v>0</v>
      </c>
      <c r="I145" s="18" t="s">
        <v>1105</v>
      </c>
      <c r="K145" s="18" t="s">
        <v>865</v>
      </c>
      <c r="L145" s="18" t="str">
        <f>_xlfn.IFNA(VLOOKUP(I145,科目余额表!B:M,11,0),K145)</f>
        <v>贷</v>
      </c>
    </row>
    <row r="146" spans="1:12">
      <c r="A146" s="123" t="s">
        <v>1106</v>
      </c>
      <c r="B146" s="113" t="s">
        <v>1107</v>
      </c>
      <c r="C146" s="111"/>
      <c r="D146" s="111"/>
      <c r="E146" s="114">
        <f>上期TB!E146</f>
        <v>0</v>
      </c>
      <c r="F146" s="1">
        <f>ROUND(SUMIF(新准则转换ETY!D:D,B146,新准则转换ETY!F:F),2)</f>
        <v>0</v>
      </c>
      <c r="G146" s="1">
        <f>ROUND(SUMIF(新准则转换ETY!D:D,B146,新准则转换ETY!G:G),2)</f>
        <v>0</v>
      </c>
      <c r="H146" s="115">
        <f t="shared" si="23"/>
        <v>0</v>
      </c>
      <c r="I146" s="18" t="s">
        <v>1107</v>
      </c>
      <c r="K146" s="18" t="s">
        <v>865</v>
      </c>
      <c r="L146" s="18" t="str">
        <f>_xlfn.IFNA(VLOOKUP(I146,科目余额表!B:M,11,0),K146)</f>
        <v>贷</v>
      </c>
    </row>
    <row r="147" spans="1:12">
      <c r="A147" s="123" t="s">
        <v>1108</v>
      </c>
      <c r="B147" s="113" t="s">
        <v>788</v>
      </c>
      <c r="C147" s="111"/>
      <c r="D147" s="111"/>
      <c r="E147" s="114">
        <f>上期TB!E147</f>
        <v>55530257.920000002</v>
      </c>
      <c r="F147" s="1">
        <f>ROUND(SUMIF(新准则转换ETY!D:D,B147,新准则转换ETY!F:F),2)</f>
        <v>0</v>
      </c>
      <c r="G147" s="1">
        <f>ROUND(SUMIF(新准则转换ETY!D:D,B147,新准则转换ETY!G:G),2)</f>
        <v>0</v>
      </c>
      <c r="H147" s="115">
        <f t="shared" si="23"/>
        <v>55530257.920000002</v>
      </c>
      <c r="I147" s="18" t="s">
        <v>788</v>
      </c>
      <c r="K147" s="18" t="s">
        <v>865</v>
      </c>
      <c r="L147" s="18" t="str">
        <f>_xlfn.IFNA(VLOOKUP(I147,科目余额表!B:M,11,0),K147)</f>
        <v>贷</v>
      </c>
    </row>
    <row r="148" spans="1:12">
      <c r="A148" s="123" t="s">
        <v>1109</v>
      </c>
      <c r="B148" s="113" t="s">
        <v>790</v>
      </c>
      <c r="C148" s="111"/>
      <c r="D148" s="111"/>
      <c r="E148" s="114">
        <f>上期TB!E148</f>
        <v>22684266.809999999</v>
      </c>
      <c r="F148" s="1">
        <f>ROUND(SUMIF(新准则转换ETY!D:D,B148,新准则转换ETY!F:F),2)</f>
        <v>0</v>
      </c>
      <c r="G148" s="1">
        <f>ROUND(SUMIF(新准则转换ETY!D:D,B148,新准则转换ETY!G:G),2)</f>
        <v>0</v>
      </c>
      <c r="H148" s="115">
        <f t="shared" si="23"/>
        <v>22684266.809999999</v>
      </c>
      <c r="I148" s="18" t="s">
        <v>790</v>
      </c>
      <c r="K148" s="18" t="s">
        <v>865</v>
      </c>
      <c r="L148" s="18" t="str">
        <f>_xlfn.IFNA(VLOOKUP(I148,科目余额表!B:M,11,0),K148)</f>
        <v>贷</v>
      </c>
    </row>
    <row r="149" spans="1:12">
      <c r="A149" s="123" t="s">
        <v>1110</v>
      </c>
      <c r="B149" s="113" t="s">
        <v>84</v>
      </c>
      <c r="C149" s="111"/>
      <c r="D149" s="111"/>
      <c r="E149" s="114">
        <f>上期TB!E149</f>
        <v>0</v>
      </c>
      <c r="F149" s="1">
        <f>ROUND(SUMIF(新准则转换ETY!D:D,B149,新准则转换ETY!F:F),2)</f>
        <v>0</v>
      </c>
      <c r="G149" s="1">
        <f>ROUND(SUMIF(新准则转换ETY!D:D,B149,新准则转换ETY!G:G),2)</f>
        <v>0</v>
      </c>
      <c r="H149" s="115">
        <f t="shared" si="23"/>
        <v>0</v>
      </c>
      <c r="I149" s="18" t="s">
        <v>84</v>
      </c>
      <c r="K149" s="18" t="s">
        <v>865</v>
      </c>
      <c r="L149" s="18" t="str">
        <f>_xlfn.IFNA(VLOOKUP(I149,科目余额表!B:M,11,0),K149)</f>
        <v>贷</v>
      </c>
    </row>
    <row r="150" spans="1:12">
      <c r="A150" s="122" t="s">
        <v>1111</v>
      </c>
      <c r="B150" s="113"/>
      <c r="C150" s="119"/>
      <c r="D150" s="119"/>
      <c r="E150" s="121">
        <f>上期TB!E150</f>
        <v>6424800891.0200005</v>
      </c>
      <c r="F150" s="111">
        <f t="shared" ref="F150:G150" si="25">F135+F136+F137+F140+F144+F145+F146+F147+F148+F149</f>
        <v>0</v>
      </c>
      <c r="G150" s="111">
        <f t="shared" si="25"/>
        <v>0</v>
      </c>
      <c r="H150" s="121">
        <f>H135+H136+H137+H140+H141+H144+H145+H146+H147+H148+H149</f>
        <v>6424800891.0200005</v>
      </c>
      <c r="L150" s="18">
        <f>_xlfn.IFNA(VLOOKUP(I150,科目余额表!B:M,11,0),K150)</f>
        <v>0</v>
      </c>
    </row>
    <row r="151" spans="1:12">
      <c r="A151" s="122" t="s">
        <v>1112</v>
      </c>
      <c r="B151" s="113"/>
      <c r="C151" s="111"/>
      <c r="D151" s="111"/>
      <c r="E151" s="121">
        <f>上期TB!E151</f>
        <v>8714748622.8899994</v>
      </c>
      <c r="F151" s="111">
        <f t="shared" ref="F151:H151" si="26">F150+F133</f>
        <v>0</v>
      </c>
      <c r="G151" s="111">
        <f t="shared" si="26"/>
        <v>0</v>
      </c>
      <c r="H151" s="121">
        <f t="shared" si="26"/>
        <v>8714748622.8899994</v>
      </c>
      <c r="L151" s="18">
        <f>_xlfn.IFNA(VLOOKUP(I151,科目余额表!B:M,11,0),K151)</f>
        <v>0</v>
      </c>
    </row>
    <row r="152" spans="1:12">
      <c r="A152" s="125" t="s">
        <v>1113</v>
      </c>
      <c r="B152" s="113"/>
      <c r="C152" s="111"/>
      <c r="D152" s="111"/>
      <c r="E152" s="111">
        <f>上期TB!E152</f>
        <v>0</v>
      </c>
      <c r="L152" s="18">
        <f>_xlfn.IFNA(VLOOKUP(I152,科目余额表!B:M,11,0),K152)</f>
        <v>0</v>
      </c>
    </row>
    <row r="153" spans="1:12">
      <c r="A153" s="123" t="s">
        <v>1114</v>
      </c>
      <c r="B153" s="113" t="s">
        <v>1115</v>
      </c>
      <c r="C153" s="111"/>
      <c r="D153" s="111"/>
      <c r="E153" s="114">
        <f>上期TB!E153</f>
        <v>3020000000</v>
      </c>
      <c r="F153" s="1">
        <f>ROUND(SUMIF(新准则转换ETY!D:D,B153,新准则转换ETY!F:F),2)</f>
        <v>0</v>
      </c>
      <c r="G153" s="1">
        <f>ROUND(SUMIF(新准则转换ETY!D:D,B153,新准则转换ETY!G:G),2)</f>
        <v>0</v>
      </c>
      <c r="H153" s="115">
        <f t="shared" ref="H153:H162" si="27">ROUND(E153-F153+G153,2)</f>
        <v>3020000000</v>
      </c>
      <c r="I153" s="18" t="s">
        <v>791</v>
      </c>
      <c r="K153" s="18" t="s">
        <v>865</v>
      </c>
      <c r="L153" s="18" t="str">
        <f>_xlfn.IFNA(VLOOKUP(I153,科目余额表!B:M,11,0),K153)</f>
        <v>贷</v>
      </c>
    </row>
    <row r="154" spans="1:12">
      <c r="A154" s="123" t="s">
        <v>1116</v>
      </c>
      <c r="B154" s="113" t="s">
        <v>1117</v>
      </c>
      <c r="C154" s="111"/>
      <c r="D154" s="111"/>
      <c r="E154" s="111">
        <f>上期TB!E154</f>
        <v>0</v>
      </c>
      <c r="F154" s="1">
        <f>ROUND(SUMIF(新准则转换ETY!D:D,B154,新准则转换ETY!F:F),2)</f>
        <v>0</v>
      </c>
      <c r="G154" s="1">
        <f>ROUND(SUMIF(新准则转换ETY!D:D,B154,新准则转换ETY!G:G),2)</f>
        <v>0</v>
      </c>
      <c r="H154" s="115">
        <f t="shared" si="27"/>
        <v>0</v>
      </c>
      <c r="I154" s="18" t="s">
        <v>1117</v>
      </c>
      <c r="K154" s="18" t="s">
        <v>865</v>
      </c>
      <c r="L154" s="18" t="str">
        <f>_xlfn.IFNA(VLOOKUP(I154,科目余额表!B:M,11,0),K154)</f>
        <v>贷</v>
      </c>
    </row>
    <row r="155" spans="1:12">
      <c r="A155" s="123" t="s">
        <v>1118</v>
      </c>
      <c r="B155" s="113"/>
      <c r="C155" s="111"/>
      <c r="D155" s="111"/>
      <c r="E155" s="111">
        <f>上期TB!E155</f>
        <v>0</v>
      </c>
      <c r="F155" s="1">
        <f>ROUND(SUMIF(新准则转换ETY!D:D,B155,新准则转换ETY!F:F),2)</f>
        <v>0</v>
      </c>
      <c r="G155" s="1">
        <f>ROUND(SUMIF(新准则转换ETY!D:D,B155,新准则转换ETY!G:G),2)</f>
        <v>0</v>
      </c>
      <c r="H155" s="115">
        <f t="shared" si="27"/>
        <v>0</v>
      </c>
      <c r="L155" s="18">
        <f>_xlfn.IFNA(VLOOKUP(I155,科目余额表!B:M,11,0),K155)</f>
        <v>0</v>
      </c>
    </row>
    <row r="156" spans="1:12">
      <c r="A156" s="123" t="s">
        <v>1119</v>
      </c>
      <c r="B156" s="113"/>
      <c r="C156" s="111"/>
      <c r="D156" s="111"/>
      <c r="E156" s="111">
        <f>上期TB!E156</f>
        <v>0</v>
      </c>
      <c r="F156" s="1">
        <f>ROUND(SUMIF(新准则转换ETY!D:D,B156,新准则转换ETY!F:F),2)</f>
        <v>0</v>
      </c>
      <c r="G156" s="1">
        <f>ROUND(SUMIF(新准则转换ETY!D:D,B156,新准则转换ETY!G:G),2)</f>
        <v>0</v>
      </c>
      <c r="H156" s="115">
        <f t="shared" si="27"/>
        <v>0</v>
      </c>
      <c r="L156" s="18">
        <f>_xlfn.IFNA(VLOOKUP(I156,科目余额表!B:M,11,0),K156)</f>
        <v>0</v>
      </c>
    </row>
    <row r="157" spans="1:12">
      <c r="A157" s="123" t="s">
        <v>1120</v>
      </c>
      <c r="B157" s="113" t="s">
        <v>792</v>
      </c>
      <c r="C157" s="111"/>
      <c r="D157" s="111"/>
      <c r="E157" s="114">
        <f>上期TB!E157</f>
        <v>3841836934.0599999</v>
      </c>
      <c r="F157" s="1">
        <f>ROUND(SUMIF(新准则转换ETY!D:D,B157,新准则转换ETY!F:F),2)</f>
        <v>0</v>
      </c>
      <c r="G157" s="1">
        <f>ROUND(SUMIF(新准则转换ETY!D:D,B157,新准则转换ETY!G:G),2)</f>
        <v>0</v>
      </c>
      <c r="H157" s="115">
        <f t="shared" si="27"/>
        <v>3841836934.0599999</v>
      </c>
      <c r="I157" s="18" t="s">
        <v>792</v>
      </c>
      <c r="K157" s="18" t="s">
        <v>865</v>
      </c>
      <c r="L157" s="18" t="str">
        <f>_xlfn.IFNA(VLOOKUP(I157,科目余额表!B:M,11,0),K157)</f>
        <v>贷</v>
      </c>
    </row>
    <row r="158" spans="1:12">
      <c r="A158" s="123" t="s">
        <v>1121</v>
      </c>
      <c r="B158" s="113" t="s">
        <v>1122</v>
      </c>
      <c r="C158" s="111"/>
      <c r="D158" s="111"/>
      <c r="E158" s="111">
        <f>上期TB!E158</f>
        <v>0</v>
      </c>
      <c r="F158" s="1">
        <f>ROUND(SUMIF(新准则转换ETY!D:D,B158,新准则转换ETY!F:F),2)</f>
        <v>0</v>
      </c>
      <c r="G158" s="1">
        <f>ROUND(SUMIF(新准则转换ETY!D:D,B158,新准则转换ETY!G:G),2)</f>
        <v>0</v>
      </c>
      <c r="H158" s="115">
        <f t="shared" si="27"/>
        <v>0</v>
      </c>
      <c r="I158" s="18" t="s">
        <v>1123</v>
      </c>
      <c r="K158" s="18" t="s">
        <v>865</v>
      </c>
      <c r="L158" s="18" t="str">
        <f>_xlfn.IFNA(VLOOKUP(I158,科目余额表!B:M,11,0),K158)</f>
        <v>贷</v>
      </c>
    </row>
    <row r="159" spans="1:12">
      <c r="A159" s="123" t="s">
        <v>1124</v>
      </c>
      <c r="B159" s="113" t="s">
        <v>793</v>
      </c>
      <c r="C159" s="111"/>
      <c r="D159" s="111"/>
      <c r="E159" s="114">
        <f>上期TB!E159</f>
        <v>68129543.510000005</v>
      </c>
      <c r="F159" s="1">
        <f>ROUND(SUMIF(新准则转换ETY!D:D,B159,新准则转换ETY!F:F),2)</f>
        <v>0</v>
      </c>
      <c r="G159" s="1">
        <f>ROUND(SUMIF(新准则转换ETY!D:D,B159,新准则转换ETY!G:G),2)</f>
        <v>0</v>
      </c>
      <c r="H159" s="115">
        <f t="shared" si="27"/>
        <v>68129543.510000005</v>
      </c>
      <c r="I159" s="18" t="s">
        <v>793</v>
      </c>
      <c r="K159" s="18" t="s">
        <v>865</v>
      </c>
      <c r="L159" s="18" t="str">
        <f>_xlfn.IFNA(VLOOKUP(I159,科目余额表!B:M,11,0),K159)</f>
        <v>贷</v>
      </c>
    </row>
    <row r="160" spans="1:12">
      <c r="A160" s="123" t="s">
        <v>1125</v>
      </c>
      <c r="B160" s="113" t="s">
        <v>1126</v>
      </c>
      <c r="C160" s="111"/>
      <c r="D160" s="111"/>
      <c r="E160" s="111">
        <f>上期TB!E160</f>
        <v>0</v>
      </c>
      <c r="F160" s="1">
        <f>ROUND(SUMIF(新准则转换ETY!D:D,B160,新准则转换ETY!F:F),2)</f>
        <v>0</v>
      </c>
      <c r="G160" s="1">
        <f>ROUND(SUMIF(新准则转换ETY!D:D,B160,新准则转换ETY!G:G),2)</f>
        <v>0</v>
      </c>
      <c r="H160" s="115">
        <f t="shared" si="27"/>
        <v>0</v>
      </c>
      <c r="I160" s="18" t="s">
        <v>1126</v>
      </c>
      <c r="K160" s="18" t="s">
        <v>865</v>
      </c>
      <c r="L160" s="18" t="str">
        <f>_xlfn.IFNA(VLOOKUP(I160,科目余额表!B:M,11,0),K160)</f>
        <v>贷</v>
      </c>
    </row>
    <row r="161" spans="1:12">
      <c r="A161" s="123" t="s">
        <v>1127</v>
      </c>
      <c r="B161" s="113" t="s">
        <v>70</v>
      </c>
      <c r="C161" s="111"/>
      <c r="D161" s="111"/>
      <c r="E161" s="114">
        <f>上期TB!E161</f>
        <v>155546840.28999999</v>
      </c>
      <c r="F161" s="1">
        <f>ROUND(SUMIF(新准则转换ETY!D:D,B161,新准则转换ETY!F:F),2)</f>
        <v>0</v>
      </c>
      <c r="G161" s="1">
        <f>ROUND(SUMIF(新准则转换ETY!D:D,B161,新准则转换ETY!G:G),2)</f>
        <v>0</v>
      </c>
      <c r="H161" s="115">
        <f t="shared" si="27"/>
        <v>155546840.28999999</v>
      </c>
      <c r="I161" s="18" t="s">
        <v>70</v>
      </c>
      <c r="K161" s="18" t="s">
        <v>865</v>
      </c>
      <c r="L161" s="18" t="str">
        <f>_xlfn.IFNA(VLOOKUP(I161,科目余额表!B:M,11,0),K161)</f>
        <v>贷</v>
      </c>
    </row>
    <row r="162" spans="1:12">
      <c r="A162" s="123" t="s">
        <v>1128</v>
      </c>
      <c r="B162" s="113" t="s">
        <v>1129</v>
      </c>
      <c r="C162" s="111"/>
      <c r="D162" s="111"/>
      <c r="E162" s="111">
        <f>上期TB!E162</f>
        <v>0</v>
      </c>
      <c r="F162" s="1">
        <f>ROUND(SUMIF(新准则转换ETY!D:D,B162,新准则转换ETY!F:F),2)</f>
        <v>0</v>
      </c>
      <c r="G162" s="1">
        <f>ROUND(SUMIF(新准则转换ETY!D:D,B162,新准则转换ETY!G:G),2)</f>
        <v>0</v>
      </c>
      <c r="H162" s="115">
        <f t="shared" si="27"/>
        <v>0</v>
      </c>
      <c r="I162" s="18" t="s">
        <v>1129</v>
      </c>
      <c r="K162" s="18" t="s">
        <v>865</v>
      </c>
      <c r="L162" s="18" t="str">
        <f>_xlfn.IFNA(VLOOKUP(I162,科目余额表!B:M,11,0),K162)</f>
        <v>贷</v>
      </c>
    </row>
    <row r="163" spans="1:12">
      <c r="A163" s="123" t="s">
        <v>1130</v>
      </c>
      <c r="B163" s="113" t="s">
        <v>72</v>
      </c>
      <c r="C163" s="111"/>
      <c r="D163" s="111"/>
      <c r="E163" s="111">
        <f>上期TB!E163</f>
        <v>1123892798.9500003</v>
      </c>
      <c r="F163" s="1">
        <f>ROUND(SUMIF(新准则转换ETY!D:D,B163,新准则转换ETY!F:F),2)</f>
        <v>0</v>
      </c>
      <c r="G163" s="1">
        <f>ROUND(SUMIF(新准则转换ETY!D:D,B163,新准则转换ETY!G:G),2)</f>
        <v>0</v>
      </c>
      <c r="H163" s="115">
        <f>H253</f>
        <v>1123892798.9499998</v>
      </c>
      <c r="I163" s="18" t="s">
        <v>72</v>
      </c>
      <c r="K163" s="18" t="s">
        <v>865</v>
      </c>
      <c r="L163" s="18" t="str">
        <f>_xlfn.IFNA(VLOOKUP(I163,科目余额表!B:M,11,0),K163)</f>
        <v>贷</v>
      </c>
    </row>
    <row r="164" spans="1:12">
      <c r="A164" s="123" t="s">
        <v>1131</v>
      </c>
      <c r="B164" s="113"/>
      <c r="C164" s="118"/>
      <c r="D164" s="118"/>
      <c r="E164" s="118">
        <f>上期TB!E164</f>
        <v>8209406116.8099995</v>
      </c>
      <c r="F164" s="118" t="str">
        <f t="shared" ref="F164:H164" si="28">IF((SUM(F153:F157,F159:F163)-F158-F155-F156)&lt;&gt;0,(SUM(F153:F157,F159:F163)-F158-F155-F156),"")</f>
        <v/>
      </c>
      <c r="G164" s="118" t="str">
        <f t="shared" si="28"/>
        <v/>
      </c>
      <c r="H164" s="118">
        <f t="shared" si="28"/>
        <v>8209406116.8099995</v>
      </c>
      <c r="L164" s="18">
        <f>_xlfn.IFNA(VLOOKUP(I164,科目余额表!B:M,11,0),K164)</f>
        <v>0</v>
      </c>
    </row>
    <row r="165" spans="1:12">
      <c r="A165" s="123" t="s">
        <v>1132</v>
      </c>
      <c r="B165" s="113" t="s">
        <v>1133</v>
      </c>
      <c r="C165" s="111"/>
      <c r="D165" s="111"/>
      <c r="E165" s="111">
        <f>上期TB!E165</f>
        <v>0</v>
      </c>
      <c r="F165" s="1">
        <f>ROUND(SUMIF(新准则转换ETY!D:D,B165,新准则转换ETY!F:F),2)</f>
        <v>0</v>
      </c>
      <c r="G165" s="1">
        <f>ROUND(SUMIF(新准则转换ETY!D:D,B165,新准则转换ETY!G:G),2)</f>
        <v>0</v>
      </c>
      <c r="H165" s="115">
        <f t="shared" ref="H165" si="29">ROUND(E165-F165+G165,2)</f>
        <v>0</v>
      </c>
      <c r="I165" s="18" t="s">
        <v>1133</v>
      </c>
      <c r="K165" s="18" t="s">
        <v>865</v>
      </c>
      <c r="L165" s="18" t="str">
        <f>_xlfn.IFNA(VLOOKUP(I165,科目余额表!B:M,11,0),K165)</f>
        <v>贷</v>
      </c>
    </row>
    <row r="166" spans="1:12">
      <c r="A166" s="126" t="s">
        <v>1134</v>
      </c>
      <c r="B166" s="113"/>
      <c r="C166" s="119"/>
      <c r="D166" s="119"/>
      <c r="E166" s="119">
        <f>上期TB!E166</f>
        <v>8209406116.8099995</v>
      </c>
      <c r="F166" s="119">
        <f t="shared" ref="F166:H166" si="30">SUM(F164:F165)</f>
        <v>0</v>
      </c>
      <c r="G166" s="119">
        <f t="shared" si="30"/>
        <v>0</v>
      </c>
      <c r="H166" s="119">
        <f t="shared" si="30"/>
        <v>8209406116.8099995</v>
      </c>
    </row>
    <row r="167" spans="1:12">
      <c r="A167" s="126" t="s">
        <v>1135</v>
      </c>
      <c r="B167" s="113"/>
      <c r="C167" s="119"/>
      <c r="D167" s="119"/>
      <c r="E167" s="119">
        <f>上期TB!E167</f>
        <v>16924154739.699999</v>
      </c>
      <c r="F167" s="119">
        <f t="shared" ref="F167:H167" si="31">SUM(F151,F166)</f>
        <v>0</v>
      </c>
      <c r="G167" s="119">
        <f t="shared" si="31"/>
        <v>0</v>
      </c>
      <c r="H167" s="119">
        <f t="shared" si="31"/>
        <v>16924154739.699999</v>
      </c>
    </row>
    <row r="168" spans="1:12">
      <c r="A168" s="125" t="s">
        <v>1136</v>
      </c>
      <c r="B168" s="113"/>
      <c r="C168" s="2"/>
      <c r="D168" s="2"/>
      <c r="E168" s="127">
        <f>上期TB!E168</f>
        <v>1557301756.5500002</v>
      </c>
      <c r="F168" s="127">
        <f t="shared" ref="F168:H168" si="32">SUM(F169:F174)-F170-F171</f>
        <v>0</v>
      </c>
      <c r="G168" s="127">
        <f t="shared" si="32"/>
        <v>0</v>
      </c>
      <c r="H168" s="127">
        <f t="shared" si="32"/>
        <v>1557301756.5499997</v>
      </c>
    </row>
    <row r="169" spans="1:12">
      <c r="A169" s="124" t="s">
        <v>1137</v>
      </c>
      <c r="B169" s="113" t="s">
        <v>86</v>
      </c>
      <c r="C169" s="2"/>
      <c r="D169" s="2"/>
      <c r="E169" s="111">
        <f>上期TB!E169</f>
        <v>1557301756.5500002</v>
      </c>
      <c r="F169" s="111">
        <f t="shared" ref="F169:G169" si="33">SUM(F170:F171)</f>
        <v>0</v>
      </c>
      <c r="G169" s="111">
        <f t="shared" si="33"/>
        <v>0</v>
      </c>
      <c r="H169" s="115">
        <f t="shared" ref="H169:H174" si="34">ROUND(E169-F169+G169,2)</f>
        <v>1557301756.55</v>
      </c>
      <c r="I169" s="18" t="s">
        <v>1138</v>
      </c>
    </row>
    <row r="170" spans="1:12">
      <c r="A170" s="124" t="s">
        <v>1139</v>
      </c>
      <c r="B170" s="113" t="s">
        <v>1140</v>
      </c>
      <c r="C170" s="2"/>
      <c r="D170" s="2"/>
      <c r="E170" s="114">
        <f>上期TB!E170</f>
        <v>1459507276.3900001</v>
      </c>
      <c r="F170" s="1">
        <f>ROUND(SUMIF(新准则转换ETY!D:D,B170,新准则转换ETY!F:F),2)</f>
        <v>0</v>
      </c>
      <c r="G170" s="1">
        <f>ROUND(SUMIF(新准则转换ETY!D:D,B170,新准则转换ETY!G:G),2)</f>
        <v>0</v>
      </c>
      <c r="H170" s="115">
        <f t="shared" si="34"/>
        <v>1459507276.3900001</v>
      </c>
      <c r="I170" s="18" t="s">
        <v>801</v>
      </c>
    </row>
    <row r="171" spans="1:12">
      <c r="A171" s="124" t="s">
        <v>1141</v>
      </c>
      <c r="B171" s="113" t="s">
        <v>1142</v>
      </c>
      <c r="C171" s="2"/>
      <c r="D171" s="2"/>
      <c r="E171" s="114">
        <f>上期TB!E171</f>
        <v>97794480.159999996</v>
      </c>
      <c r="F171" s="1">
        <f>ROUND(SUMIF(新准则转换ETY!D:D,B171,新准则转换ETY!F:F),2)</f>
        <v>0</v>
      </c>
      <c r="G171" s="1">
        <f>ROUND(SUMIF(新准则转换ETY!D:D,B171,新准则转换ETY!G:G),2)</f>
        <v>0</v>
      </c>
      <c r="H171" s="115">
        <f t="shared" si="34"/>
        <v>97794480.159999996</v>
      </c>
      <c r="I171" s="18" t="s">
        <v>802</v>
      </c>
    </row>
    <row r="172" spans="1:12">
      <c r="A172" s="124" t="s">
        <v>1143</v>
      </c>
      <c r="B172" s="113"/>
      <c r="C172" s="2"/>
      <c r="D172" s="2"/>
      <c r="E172" s="111">
        <f>上期TB!E172</f>
        <v>0</v>
      </c>
      <c r="F172" s="1">
        <f>ROUND(SUMIF(新准则转换ETY!D:D,B172,新准则转换ETY!F:F),2)</f>
        <v>0</v>
      </c>
      <c r="G172" s="1">
        <f>ROUND(SUMIF(新准则转换ETY!D:D,B172,新准则转换ETY!G:G),2)</f>
        <v>0</v>
      </c>
      <c r="H172" s="115">
        <f t="shared" si="34"/>
        <v>0</v>
      </c>
    </row>
    <row r="173" spans="1:12">
      <c r="A173" s="124" t="s">
        <v>1144</v>
      </c>
      <c r="B173" s="113" t="s">
        <v>1145</v>
      </c>
      <c r="C173" s="2"/>
      <c r="E173" s="111">
        <f>上期TB!E173</f>
        <v>0</v>
      </c>
      <c r="F173" s="1">
        <f>ROUND(SUMIF(新准则转换ETY!D:D,B173,新准则转换ETY!F:F),2)</f>
        <v>0</v>
      </c>
      <c r="G173" s="1">
        <f>ROUND(SUMIF(新准则转换ETY!D:D,B173,新准则转换ETY!G:G),2)</f>
        <v>0</v>
      </c>
      <c r="H173" s="115">
        <f t="shared" si="34"/>
        <v>0</v>
      </c>
      <c r="I173" s="18" t="s">
        <v>1145</v>
      </c>
    </row>
    <row r="174" spans="1:12">
      <c r="A174" s="124" t="s">
        <v>1146</v>
      </c>
      <c r="B174" s="113" t="s">
        <v>1147</v>
      </c>
      <c r="C174" s="2"/>
      <c r="E174" s="111">
        <f>上期TB!E174</f>
        <v>0</v>
      </c>
      <c r="F174" s="1">
        <f>ROUND(SUMIF(新准则转换ETY!D:D,B174,新准则转换ETY!F:F),2)</f>
        <v>0</v>
      </c>
      <c r="G174" s="1">
        <f>ROUND(SUMIF(新准则转换ETY!D:D,B174,新准则转换ETY!G:G),2)</f>
        <v>0</v>
      </c>
      <c r="H174" s="115">
        <f t="shared" si="34"/>
        <v>0</v>
      </c>
      <c r="I174" s="18" t="s">
        <v>1147</v>
      </c>
    </row>
    <row r="175" spans="1:12">
      <c r="A175" s="125" t="s">
        <v>1148</v>
      </c>
      <c r="B175" s="113"/>
      <c r="C175" s="2"/>
      <c r="D175" s="127"/>
      <c r="E175" s="127">
        <f>上期TB!E175</f>
        <v>1642696927.04</v>
      </c>
      <c r="F175" s="127">
        <f t="shared" ref="F175:H175" si="35">SUM(F176:F190)-F177-F178</f>
        <v>0</v>
      </c>
      <c r="G175" s="127">
        <f t="shared" si="35"/>
        <v>0</v>
      </c>
      <c r="H175" s="127">
        <f t="shared" si="35"/>
        <v>1642696927.04</v>
      </c>
    </row>
    <row r="176" spans="1:12">
      <c r="A176" s="123" t="s">
        <v>1149</v>
      </c>
      <c r="B176" s="113" t="s">
        <v>1150</v>
      </c>
      <c r="C176" s="3"/>
      <c r="E176" s="111">
        <f>上期TB!E176</f>
        <v>1355991048.6100001</v>
      </c>
      <c r="F176" s="111">
        <f t="shared" ref="F176:H176" si="36">SUM(F177:F178)</f>
        <v>0</v>
      </c>
      <c r="G176" s="111">
        <f t="shared" si="36"/>
        <v>0</v>
      </c>
      <c r="H176" s="111">
        <f t="shared" si="36"/>
        <v>1355991048.6100001</v>
      </c>
      <c r="I176" s="18" t="s">
        <v>1151</v>
      </c>
    </row>
    <row r="177" spans="1:9">
      <c r="A177" s="123" t="s">
        <v>1152</v>
      </c>
      <c r="B177" s="113" t="s">
        <v>1153</v>
      </c>
      <c r="C177" s="3"/>
      <c r="E177" s="114">
        <f>上期TB!E177</f>
        <v>1345692986.9000001</v>
      </c>
      <c r="F177" s="1">
        <f>ROUND(SUMIF(新准则转换ETY!D:D,B177,新准则转换ETY!F:F),2)</f>
        <v>0</v>
      </c>
      <c r="G177" s="1">
        <f>ROUND(SUMIF(新准则转换ETY!D:D,B177,新准则转换ETY!G:G),2)</f>
        <v>0</v>
      </c>
      <c r="H177" s="115">
        <f t="shared" ref="H177:H190" si="37">ROUND(E177+F177-G177,2)</f>
        <v>1345692986.9000001</v>
      </c>
      <c r="I177" s="18" t="s">
        <v>806</v>
      </c>
    </row>
    <row r="178" spans="1:9">
      <c r="A178" s="123" t="s">
        <v>1154</v>
      </c>
      <c r="B178" s="113" t="s">
        <v>1155</v>
      </c>
      <c r="C178" s="3"/>
      <c r="E178" s="114">
        <f>上期TB!E178</f>
        <v>10298061.710000001</v>
      </c>
      <c r="F178" s="1">
        <f>ROUND(SUMIF(新准则转换ETY!D:D,B178,新准则转换ETY!F:F),2)</f>
        <v>0</v>
      </c>
      <c r="G178" s="1">
        <f>ROUND(SUMIF(新准则转换ETY!D:D,B178,新准则转换ETY!G:G),2)</f>
        <v>0</v>
      </c>
      <c r="H178" s="115">
        <f t="shared" si="37"/>
        <v>10298061.710000001</v>
      </c>
      <c r="I178" s="18" t="s">
        <v>807</v>
      </c>
    </row>
    <row r="179" spans="1:9">
      <c r="A179" s="123" t="s">
        <v>1156</v>
      </c>
      <c r="B179" s="113"/>
      <c r="C179" s="3"/>
      <c r="E179" s="111">
        <f>上期TB!E179</f>
        <v>0</v>
      </c>
      <c r="F179" s="1">
        <f>ROUND(SUMIF(新准则转换ETY!D:D,B179,新准则转换ETY!F:F),2)</f>
        <v>0</v>
      </c>
      <c r="G179" s="1">
        <f>ROUND(SUMIF(新准则转换ETY!D:D,B179,新准则转换ETY!G:G),2)</f>
        <v>0</v>
      </c>
      <c r="H179" s="115">
        <f t="shared" si="37"/>
        <v>0</v>
      </c>
    </row>
    <row r="180" spans="1:9">
      <c r="A180" s="123" t="s">
        <v>1157</v>
      </c>
      <c r="B180" s="113" t="s">
        <v>1158</v>
      </c>
      <c r="C180" s="3"/>
      <c r="D180" s="3"/>
      <c r="E180" s="111">
        <f>上期TB!E180</f>
        <v>0</v>
      </c>
      <c r="F180" s="1">
        <f>ROUND(SUMIF(新准则转换ETY!D:D,B180,新准则转换ETY!F:F),2)</f>
        <v>0</v>
      </c>
      <c r="G180" s="1">
        <f>ROUND(SUMIF(新准则转换ETY!D:D,B180,新准则转换ETY!G:G),2)</f>
        <v>0</v>
      </c>
      <c r="H180" s="115">
        <f t="shared" si="37"/>
        <v>0</v>
      </c>
      <c r="I180" s="18" t="s">
        <v>1158</v>
      </c>
    </row>
    <row r="181" spans="1:9">
      <c r="A181" s="123" t="s">
        <v>1159</v>
      </c>
      <c r="B181" s="113" t="s">
        <v>1160</v>
      </c>
      <c r="C181" s="3"/>
      <c r="D181" s="3"/>
      <c r="E181" s="111">
        <f>上期TB!E181</f>
        <v>0</v>
      </c>
      <c r="F181" s="1">
        <f>ROUND(SUMIF(新准则转换ETY!D:D,B181,新准则转换ETY!F:F),2)</f>
        <v>0</v>
      </c>
      <c r="G181" s="1">
        <f>ROUND(SUMIF(新准则转换ETY!D:D,B181,新准则转换ETY!G:G),2)</f>
        <v>0</v>
      </c>
      <c r="H181" s="115">
        <f t="shared" si="37"/>
        <v>0</v>
      </c>
      <c r="I181" s="18" t="s">
        <v>1160</v>
      </c>
    </row>
    <row r="182" spans="1:9">
      <c r="A182" s="123" t="s">
        <v>1161</v>
      </c>
      <c r="B182" s="113" t="s">
        <v>1162</v>
      </c>
      <c r="C182" s="3"/>
      <c r="D182" s="3"/>
      <c r="E182" s="111">
        <f>上期TB!E182</f>
        <v>0</v>
      </c>
      <c r="F182" s="1">
        <f>ROUND(SUMIF(新准则转换ETY!D:D,B182,新准则转换ETY!F:F),2)</f>
        <v>0</v>
      </c>
      <c r="G182" s="1">
        <f>ROUND(SUMIF(新准则转换ETY!D:D,B182,新准则转换ETY!G:G),2)</f>
        <v>0</v>
      </c>
      <c r="H182" s="115">
        <f t="shared" si="37"/>
        <v>0</v>
      </c>
      <c r="I182" s="18" t="s">
        <v>1162</v>
      </c>
    </row>
    <row r="183" spans="1:9">
      <c r="A183" s="123" t="s">
        <v>1163</v>
      </c>
      <c r="B183" s="113" t="s">
        <v>1164</v>
      </c>
      <c r="C183" s="3"/>
      <c r="D183" s="3"/>
      <c r="E183" s="111">
        <f>上期TB!E183</f>
        <v>0</v>
      </c>
      <c r="F183" s="1">
        <f>ROUND(SUMIF(新准则转换ETY!D:D,B183,新准则转换ETY!F:F),2)</f>
        <v>0</v>
      </c>
      <c r="G183" s="1">
        <f>ROUND(SUMIF(新准则转换ETY!D:D,B183,新准则转换ETY!G:G),2)</f>
        <v>0</v>
      </c>
      <c r="H183" s="115">
        <f t="shared" si="37"/>
        <v>0</v>
      </c>
      <c r="I183" s="18" t="s">
        <v>1164</v>
      </c>
    </row>
    <row r="184" spans="1:9">
      <c r="A184" s="123" t="s">
        <v>1165</v>
      </c>
      <c r="B184" s="113" t="s">
        <v>1166</v>
      </c>
      <c r="C184" s="3"/>
      <c r="D184" s="3"/>
      <c r="E184" s="111">
        <f>上期TB!E184</f>
        <v>0</v>
      </c>
      <c r="F184" s="1">
        <f>ROUND(SUMIF(新准则转换ETY!D:D,B184,新准则转换ETY!F:F),2)</f>
        <v>0</v>
      </c>
      <c r="G184" s="1">
        <f>ROUND(SUMIF(新准则转换ETY!D:D,B184,新准则转换ETY!G:G),2)</f>
        <v>0</v>
      </c>
      <c r="H184" s="115">
        <f t="shared" si="37"/>
        <v>0</v>
      </c>
      <c r="I184" s="18" t="s">
        <v>1166</v>
      </c>
    </row>
    <row r="185" spans="1:9">
      <c r="A185" s="123" t="s">
        <v>1167</v>
      </c>
      <c r="B185" s="113" t="s">
        <v>1168</v>
      </c>
      <c r="C185" s="3"/>
      <c r="D185" s="3"/>
      <c r="E185" s="111">
        <f>上期TB!E185</f>
        <v>0</v>
      </c>
      <c r="F185" s="1">
        <f>ROUND(SUMIF(新准则转换ETY!D:D,B185,新准则转换ETY!F:F),2)</f>
        <v>0</v>
      </c>
      <c r="G185" s="1">
        <f>ROUND(SUMIF(新准则转换ETY!D:D,B185,新准则转换ETY!G:G),2)</f>
        <v>0</v>
      </c>
      <c r="H185" s="115">
        <f t="shared" si="37"/>
        <v>0</v>
      </c>
      <c r="I185" s="18" t="s">
        <v>1168</v>
      </c>
    </row>
    <row r="186" spans="1:9">
      <c r="A186" s="123" t="s">
        <v>1169</v>
      </c>
      <c r="B186" s="113" t="s">
        <v>1170</v>
      </c>
      <c r="C186" s="4"/>
      <c r="D186" s="4"/>
      <c r="E186" s="114">
        <f>上期TB!E186</f>
        <v>7567760.6699999999</v>
      </c>
      <c r="F186" s="1">
        <f>ROUND(SUMIF(新准则转换ETY!D:D,B186,新准则转换ETY!F:F),2)</f>
        <v>0</v>
      </c>
      <c r="G186" s="1">
        <f>ROUND(SUMIF(新准则转换ETY!D:D,B186,新准则转换ETY!G:G),2)</f>
        <v>0</v>
      </c>
      <c r="H186" s="115">
        <f t="shared" si="37"/>
        <v>7567760.6699999999</v>
      </c>
      <c r="I186" s="18" t="s">
        <v>808</v>
      </c>
    </row>
    <row r="187" spans="1:9">
      <c r="A187" s="123" t="s">
        <v>1171</v>
      </c>
      <c r="B187" s="113" t="s">
        <v>809</v>
      </c>
      <c r="C187" s="4"/>
      <c r="D187" s="4"/>
      <c r="E187" s="111">
        <f>上期TB!E187</f>
        <v>0</v>
      </c>
      <c r="F187" s="1">
        <f>ROUND(SUMIF(新准则转换ETY!D:D,B187,新准则转换ETY!F:F),2)</f>
        <v>0</v>
      </c>
      <c r="G187" s="1">
        <f>ROUND(SUMIF(新准则转换ETY!D:D,B187,新准则转换ETY!G:G),2)</f>
        <v>0</v>
      </c>
      <c r="H187" s="115">
        <f t="shared" si="37"/>
        <v>0</v>
      </c>
      <c r="I187" s="18" t="s">
        <v>809</v>
      </c>
    </row>
    <row r="188" spans="1:9">
      <c r="A188" s="123" t="s">
        <v>1172</v>
      </c>
      <c r="B188" s="113" t="s">
        <v>810</v>
      </c>
      <c r="C188" s="4"/>
      <c r="D188" s="4"/>
      <c r="E188" s="114">
        <f>上期TB!E188</f>
        <v>123240697.16</v>
      </c>
      <c r="F188" s="1">
        <f>ROUND(SUMIF(新准则转换ETY!D:D,B188,新准则转换ETY!F:F),2)</f>
        <v>0</v>
      </c>
      <c r="G188" s="1">
        <f>ROUND(SUMIF(新准则转换ETY!D:D,B188,新准则转换ETY!G:G),2)</f>
        <v>0</v>
      </c>
      <c r="H188" s="115">
        <f t="shared" si="37"/>
        <v>123240697.16</v>
      </c>
      <c r="I188" s="18" t="s">
        <v>810</v>
      </c>
    </row>
    <row r="189" spans="1:9">
      <c r="A189" s="123" t="s">
        <v>1173</v>
      </c>
      <c r="B189" s="113" t="s">
        <v>1174</v>
      </c>
      <c r="C189" s="4"/>
      <c r="D189" s="4"/>
      <c r="E189" s="111">
        <f>上期TB!E189</f>
        <v>0</v>
      </c>
      <c r="F189" s="1">
        <f>ROUND(SUMIF(新准则转换ETY!D:D,B189,新准则转换ETY!F:F),2)</f>
        <v>0</v>
      </c>
      <c r="G189" s="1">
        <f>ROUND(SUMIF(新准则转换ETY!D:D,B189,新准则转换ETY!G:G),2)</f>
        <v>0</v>
      </c>
      <c r="H189" s="115">
        <f t="shared" si="37"/>
        <v>0</v>
      </c>
      <c r="I189" s="18" t="s">
        <v>1174</v>
      </c>
    </row>
    <row r="190" spans="1:9">
      <c r="A190" s="123" t="s">
        <v>1175</v>
      </c>
      <c r="B190" s="113" t="s">
        <v>811</v>
      </c>
      <c r="C190" s="128"/>
      <c r="D190" s="128"/>
      <c r="E190" s="114">
        <f>上期TB!E190</f>
        <v>155897420.59999999</v>
      </c>
      <c r="F190" s="1">
        <f>ROUND(SUMIF(新准则转换ETY!D:D,B190,新准则转换ETY!F:F),2)</f>
        <v>0</v>
      </c>
      <c r="G190" s="1">
        <f>ROUND(SUMIF(新准则转换ETY!D:D,B190,新准则转换ETY!G:G),2)</f>
        <v>0</v>
      </c>
      <c r="H190" s="115">
        <f t="shared" si="37"/>
        <v>155897420.59999999</v>
      </c>
      <c r="I190" s="18" t="s">
        <v>811</v>
      </c>
    </row>
    <row r="191" spans="1:9">
      <c r="A191" s="123" t="s">
        <v>1176</v>
      </c>
      <c r="B191" s="113" t="s">
        <v>1177</v>
      </c>
      <c r="C191" s="128"/>
      <c r="D191" s="128"/>
      <c r="E191" s="114">
        <f>上期TB!E191</f>
        <v>74328000</v>
      </c>
      <c r="F191" s="1">
        <f>ROUND(SUMIF(新准则转换ETY!D:D,B191,新准则转换ETY!F:F),2)</f>
        <v>0</v>
      </c>
      <c r="G191" s="1">
        <f>ROUND(SUMIF(新准则转换ETY!D:D,B191,新准则转换ETY!G:G),2)</f>
        <v>0</v>
      </c>
      <c r="H191" s="115">
        <f t="shared" ref="H191:H202" si="38">ROUND(E191-F191+G191,2)</f>
        <v>74328000</v>
      </c>
      <c r="I191" s="18" t="s">
        <v>803</v>
      </c>
    </row>
    <row r="192" spans="1:9">
      <c r="A192" s="123" t="s">
        <v>1178</v>
      </c>
      <c r="B192" s="113" t="s">
        <v>1179</v>
      </c>
      <c r="C192" s="128"/>
      <c r="D192" s="128"/>
      <c r="E192" s="114">
        <f>上期TB!E192</f>
        <v>246513625.72</v>
      </c>
      <c r="F192" s="1">
        <f>ROUND(SUMIF(新准则转换ETY!D:D,B192,新准则转换ETY!F:F),2)</f>
        <v>0</v>
      </c>
      <c r="G192" s="1">
        <f>ROUND(SUMIF(新准则转换ETY!D:D,B192,新准则转换ETY!G:G),2)</f>
        <v>0</v>
      </c>
      <c r="H192" s="115">
        <f t="shared" si="38"/>
        <v>246513625.72</v>
      </c>
      <c r="I192" s="18" t="s">
        <v>804</v>
      </c>
    </row>
    <row r="193" spans="1:9">
      <c r="A193" s="123" t="s">
        <v>1180</v>
      </c>
      <c r="B193" s="113"/>
      <c r="C193" s="128"/>
      <c r="D193" s="128"/>
      <c r="E193" s="127">
        <f>上期TB!E193</f>
        <v>0</v>
      </c>
      <c r="H193" s="115">
        <f t="shared" si="38"/>
        <v>0</v>
      </c>
    </row>
    <row r="194" spans="1:9">
      <c r="A194" s="123" t="s">
        <v>1181</v>
      </c>
      <c r="B194" s="113"/>
      <c r="C194" s="128"/>
      <c r="D194" s="129" t="s">
        <v>856</v>
      </c>
      <c r="E194" s="127">
        <f>上期TB!E194</f>
        <v>0</v>
      </c>
      <c r="H194" s="115">
        <f t="shared" si="38"/>
        <v>0</v>
      </c>
    </row>
    <row r="195" spans="1:9">
      <c r="A195" s="123" t="s">
        <v>1182</v>
      </c>
      <c r="B195" s="113" t="s">
        <v>1183</v>
      </c>
      <c r="C195" s="128"/>
      <c r="D195" s="129" t="s">
        <v>856</v>
      </c>
      <c r="E195" s="111">
        <f>上期TB!E195</f>
        <v>0</v>
      </c>
      <c r="F195" s="1">
        <f>ROUND(SUMIF(新准则转换ETY!D:D,B195,新准则转换ETY!F:F),2)</f>
        <v>0</v>
      </c>
      <c r="G195" s="1">
        <f>ROUND(SUMIF(新准则转换ETY!D:D,B195,新准则转换ETY!G:G),2)</f>
        <v>0</v>
      </c>
      <c r="H195" s="115">
        <f t="shared" si="38"/>
        <v>0</v>
      </c>
      <c r="I195" s="18" t="s">
        <v>1184</v>
      </c>
    </row>
    <row r="196" spans="1:9">
      <c r="A196" s="123" t="s">
        <v>1185</v>
      </c>
      <c r="B196" s="113" t="s">
        <v>1186</v>
      </c>
      <c r="C196" s="128"/>
      <c r="D196" s="128"/>
      <c r="E196" s="111">
        <f>上期TB!E196</f>
        <v>0</v>
      </c>
      <c r="F196" s="1">
        <f>ROUND(SUMIF(新准则转换ETY!D:D,B196,新准则转换ETY!F:F),2)</f>
        <v>0</v>
      </c>
      <c r="G196" s="1">
        <f>ROUND(SUMIF(新准则转换ETY!D:D,B196,新准则转换ETY!G:G),2)</f>
        <v>0</v>
      </c>
      <c r="H196" s="115">
        <f t="shared" si="38"/>
        <v>0</v>
      </c>
      <c r="I196" s="18" t="s">
        <v>1187</v>
      </c>
    </row>
    <row r="197" spans="1:9">
      <c r="A197" s="123" t="s">
        <v>1188</v>
      </c>
      <c r="B197" s="113" t="s">
        <v>1189</v>
      </c>
      <c r="C197" s="128"/>
      <c r="D197" s="129" t="s">
        <v>856</v>
      </c>
      <c r="E197" s="111">
        <f>上期TB!E197</f>
        <v>0</v>
      </c>
      <c r="F197" s="1">
        <f>ROUND(SUMIF(新准则转换ETY!D:D,B197,新准则转换ETY!F:F),2)</f>
        <v>0</v>
      </c>
      <c r="G197" s="1">
        <f>ROUND(SUMIF(新准则转换ETY!D:D,B197,新准则转换ETY!G:G),2)</f>
        <v>0</v>
      </c>
      <c r="H197" s="115">
        <f t="shared" si="38"/>
        <v>0</v>
      </c>
      <c r="I197" s="18" t="s">
        <v>1190</v>
      </c>
    </row>
    <row r="198" spans="1:9">
      <c r="A198" s="123" t="s">
        <v>1191</v>
      </c>
      <c r="B198" s="113" t="s">
        <v>1192</v>
      </c>
      <c r="C198" s="128"/>
      <c r="D198" s="128"/>
      <c r="E198" s="114">
        <f>上期TB!E198</f>
        <v>20045068.129999999</v>
      </c>
      <c r="F198" s="1">
        <f>ROUND(SUMIF(新准则转换ETY!D:D,B198,新准则转换ETY!F:F),2)</f>
        <v>0</v>
      </c>
      <c r="G198" s="1">
        <f>ROUND(SUMIF(新准则转换ETY!D:D,B198,新准则转换ETY!G:G),2)</f>
        <v>0</v>
      </c>
      <c r="H198" s="115">
        <f t="shared" si="38"/>
        <v>20045068.129999999</v>
      </c>
      <c r="I198" s="18" t="s">
        <v>812</v>
      </c>
    </row>
    <row r="199" spans="1:9">
      <c r="A199" s="123" t="s">
        <v>1193</v>
      </c>
      <c r="B199" s="113" t="s">
        <v>1194</v>
      </c>
      <c r="C199" s="128"/>
      <c r="D199" s="128"/>
      <c r="E199" s="114">
        <f>上期TB!E199</f>
        <v>3131735.07</v>
      </c>
      <c r="F199" s="1">
        <f>ROUND(SUMIF(新准则转换ETY!D:D,B199,新准则转换ETY!F:F),2)</f>
        <v>0</v>
      </c>
      <c r="G199" s="1">
        <f>ROUND(SUMIF(新准则转换ETY!D:D,B199,新准则转换ETY!G:G),2)</f>
        <v>0</v>
      </c>
      <c r="H199" s="115">
        <f t="shared" si="38"/>
        <v>3131735.07</v>
      </c>
      <c r="I199" s="18" t="s">
        <v>813</v>
      </c>
    </row>
    <row r="200" spans="1:9">
      <c r="A200" s="123" t="s">
        <v>1195</v>
      </c>
      <c r="B200" s="113" t="s">
        <v>1196</v>
      </c>
      <c r="C200" s="128"/>
      <c r="D200" s="128"/>
      <c r="E200" s="111">
        <f>上期TB!E200</f>
        <v>0</v>
      </c>
      <c r="F200" s="1">
        <f>ROUND(SUMIF(新准则转换ETY!D:D,B200,新准则转换ETY!F:F),2)</f>
        <v>0</v>
      </c>
      <c r="G200" s="1">
        <f>ROUND(SUMIF(新准则转换ETY!D:D,B200,新准则转换ETY!G:G),2)</f>
        <v>0</v>
      </c>
      <c r="H200" s="115">
        <f t="shared" si="38"/>
        <v>0</v>
      </c>
      <c r="I200" s="18" t="s">
        <v>1197</v>
      </c>
    </row>
    <row r="201" spans="1:9">
      <c r="A201" s="122" t="s">
        <v>1198</v>
      </c>
      <c r="B201" s="113"/>
      <c r="C201" s="128"/>
      <c r="D201" s="128"/>
      <c r="E201" s="128">
        <f>上期TB!E201</f>
        <v>258623258.43000022</v>
      </c>
      <c r="F201" s="128">
        <f>F168-F175+F191+F192+F200+F195+F196+F199+F197+F198</f>
        <v>0</v>
      </c>
      <c r="G201" s="128">
        <f>G168-G175+G191+G192+G200+G195+G196+G199+G197+G198</f>
        <v>0</v>
      </c>
      <c r="H201" s="128">
        <f>H168-H175+H191+H192+H200+H195+H196+H199+H197+H198</f>
        <v>258623258.42999974</v>
      </c>
    </row>
    <row r="202" spans="1:9">
      <c r="A202" s="123" t="s">
        <v>1199</v>
      </c>
      <c r="B202" s="113" t="s">
        <v>1200</v>
      </c>
      <c r="C202" s="128"/>
      <c r="D202" s="128"/>
      <c r="E202" s="114">
        <f>上期TB!E202</f>
        <v>36628434.68</v>
      </c>
      <c r="F202" s="1">
        <f>ROUND(SUMIF(新准则转换ETY!D:D,B202,新准则转换ETY!F:F),2)</f>
        <v>0</v>
      </c>
      <c r="G202" s="1">
        <f>ROUND(SUMIF(新准则转换ETY!D:D,B202,新准则转换ETY!G:G),2)</f>
        <v>0</v>
      </c>
      <c r="H202" s="115">
        <f t="shared" si="38"/>
        <v>36628434.68</v>
      </c>
      <c r="I202" s="18" t="s">
        <v>805</v>
      </c>
    </row>
    <row r="203" spans="1:9">
      <c r="A203" s="123" t="s">
        <v>1201</v>
      </c>
      <c r="B203" s="113" t="s">
        <v>1202</v>
      </c>
      <c r="C203" s="128"/>
      <c r="D203" s="128"/>
      <c r="E203" s="114">
        <f>上期TB!E203</f>
        <v>550050</v>
      </c>
      <c r="F203" s="1">
        <f>ROUND(SUMIF(新准则转换ETY!D:D,B203,新准则转换ETY!F:F),2)</f>
        <v>0</v>
      </c>
      <c r="G203" s="1">
        <f>ROUND(SUMIF(新准则转换ETY!D:D,B203,新准则转换ETY!G:G),2)</f>
        <v>0</v>
      </c>
      <c r="H203" s="115">
        <f t="shared" ref="H203" si="39">ROUND(E203+F203-G203,2)</f>
        <v>550050</v>
      </c>
      <c r="I203" s="18" t="s">
        <v>814</v>
      </c>
    </row>
    <row r="204" spans="1:9">
      <c r="A204" s="122" t="s">
        <v>1203</v>
      </c>
      <c r="B204" s="113"/>
      <c r="C204" s="128"/>
      <c r="D204" s="128"/>
      <c r="E204" s="128">
        <f>上期TB!E204</f>
        <v>294701643.11000019</v>
      </c>
      <c r="F204" s="128">
        <f t="shared" ref="F204:H204" si="40">F201+F202-F203</f>
        <v>0</v>
      </c>
      <c r="G204" s="128">
        <f t="shared" si="40"/>
        <v>0</v>
      </c>
      <c r="H204" s="128">
        <f t="shared" si="40"/>
        <v>294701643.10999972</v>
      </c>
    </row>
    <row r="205" spans="1:9">
      <c r="A205" s="123" t="s">
        <v>1204</v>
      </c>
      <c r="B205" s="113" t="s">
        <v>87</v>
      </c>
      <c r="C205" s="128"/>
      <c r="D205" s="128"/>
      <c r="E205" s="114">
        <f>上期TB!E205</f>
        <v>8481128.6199999992</v>
      </c>
      <c r="F205" s="1">
        <f>ROUND(SUMIF(新准则转换ETY!D:D,B205,新准则转换ETY!F:F),2)</f>
        <v>0</v>
      </c>
      <c r="G205" s="1">
        <f>ROUND(SUMIF(新准则转换ETY!D:D,B205,新准则转换ETY!G:G),2)</f>
        <v>0</v>
      </c>
      <c r="H205" s="115">
        <f t="shared" ref="H205" si="41">ROUND(E205+F205-G205,2)</f>
        <v>8481128.6199999992</v>
      </c>
      <c r="I205" s="18" t="s">
        <v>731</v>
      </c>
    </row>
    <row r="206" spans="1:9">
      <c r="A206" s="122" t="s">
        <v>1205</v>
      </c>
      <c r="B206" s="113"/>
      <c r="C206" s="130"/>
      <c r="D206" s="130"/>
      <c r="E206" s="130">
        <f>上期TB!E206</f>
        <v>286220514.49000019</v>
      </c>
      <c r="F206" s="130">
        <f t="shared" ref="F206:H206" si="42">F204-F205</f>
        <v>0</v>
      </c>
      <c r="G206" s="130">
        <f t="shared" si="42"/>
        <v>0</v>
      </c>
      <c r="H206" s="130">
        <f t="shared" si="42"/>
        <v>286220514.48999971</v>
      </c>
    </row>
    <row r="207" spans="1:9">
      <c r="A207" s="124" t="s">
        <v>1206</v>
      </c>
      <c r="B207" s="113"/>
      <c r="C207" s="128"/>
      <c r="D207" s="128"/>
      <c r="E207" s="127">
        <f>上期TB!E207</f>
        <v>0</v>
      </c>
    </row>
    <row r="208" spans="1:9">
      <c r="A208" s="123" t="s">
        <v>1207</v>
      </c>
      <c r="B208" s="113"/>
      <c r="C208" s="128"/>
      <c r="D208" s="128"/>
      <c r="E208" s="127">
        <f>上期TB!E208</f>
        <v>0</v>
      </c>
    </row>
    <row r="209" spans="1:9">
      <c r="A209" s="123" t="s">
        <v>1208</v>
      </c>
      <c r="B209" s="113"/>
      <c r="C209" s="128"/>
      <c r="D209" s="128"/>
      <c r="E209" s="127">
        <f>上期TB!E209</f>
        <v>0</v>
      </c>
    </row>
    <row r="210" spans="1:9">
      <c r="A210" s="124" t="s">
        <v>1209</v>
      </c>
      <c r="B210" s="113"/>
      <c r="C210" s="128"/>
      <c r="D210" s="128"/>
      <c r="E210" s="127">
        <f>上期TB!E210</f>
        <v>0</v>
      </c>
    </row>
    <row r="211" spans="1:9">
      <c r="A211" s="123" t="s">
        <v>1210</v>
      </c>
      <c r="B211" s="113" t="s">
        <v>1211</v>
      </c>
      <c r="C211" s="128"/>
      <c r="D211" s="128"/>
      <c r="E211" s="127">
        <f>上期TB!E211</f>
        <v>286220514.49000019</v>
      </c>
      <c r="F211" s="1">
        <f>ROUND(SUMIF(新准则转换ETY!D:D,B211,新准则转换ETY!F:F),2)</f>
        <v>0</v>
      </c>
      <c r="G211" s="1">
        <f>ROUND(SUMIF(新准则转换ETY!D:D,B211,新准则转换ETY!G:G),2)</f>
        <v>0</v>
      </c>
      <c r="H211" s="1">
        <f>H206-H212</f>
        <v>286220514.48999971</v>
      </c>
      <c r="I211" s="18" t="s">
        <v>1211</v>
      </c>
    </row>
    <row r="212" spans="1:9">
      <c r="A212" s="123" t="s">
        <v>1212</v>
      </c>
      <c r="B212" s="113" t="s">
        <v>1213</v>
      </c>
      <c r="C212" s="128"/>
      <c r="D212" s="128"/>
      <c r="E212" s="128">
        <f>上期TB!E212</f>
        <v>0</v>
      </c>
      <c r="F212" s="128">
        <f t="shared" ref="F212:G212" si="43">F206-F211</f>
        <v>0</v>
      </c>
      <c r="G212" s="128">
        <f t="shared" si="43"/>
        <v>0</v>
      </c>
      <c r="H212" s="115">
        <f t="shared" ref="H212" si="44">ROUND(E212+F212-G212,2)</f>
        <v>0</v>
      </c>
      <c r="I212" s="18" t="s">
        <v>1213</v>
      </c>
    </row>
    <row r="213" spans="1:9">
      <c r="A213" s="125" t="s">
        <v>1214</v>
      </c>
      <c r="B213" s="113"/>
      <c r="C213" s="130"/>
      <c r="D213" s="130"/>
      <c r="E213" s="130">
        <f>上期TB!E213</f>
        <v>0</v>
      </c>
      <c r="F213" s="130">
        <f t="shared" ref="F213:H213" si="45">F214+F231</f>
        <v>0</v>
      </c>
      <c r="G213" s="130">
        <f t="shared" si="45"/>
        <v>0</v>
      </c>
      <c r="H213" s="130">
        <f t="shared" si="45"/>
        <v>0</v>
      </c>
    </row>
    <row r="214" spans="1:9">
      <c r="A214" s="124" t="s">
        <v>1215</v>
      </c>
      <c r="B214" s="113"/>
      <c r="C214" s="128"/>
      <c r="D214" s="128"/>
      <c r="E214" s="128">
        <f>上期TB!E214</f>
        <v>0</v>
      </c>
      <c r="F214" s="128">
        <f t="shared" ref="F214:H214" si="46">F215+F221</f>
        <v>0</v>
      </c>
      <c r="G214" s="128">
        <f t="shared" si="46"/>
        <v>0</v>
      </c>
      <c r="H214" s="128">
        <f t="shared" si="46"/>
        <v>0</v>
      </c>
    </row>
    <row r="215" spans="1:9">
      <c r="A215" s="124" t="s">
        <v>1216</v>
      </c>
      <c r="B215" s="113"/>
      <c r="C215" s="128"/>
      <c r="D215" s="128"/>
      <c r="E215" s="128">
        <f>上期TB!E215</f>
        <v>0</v>
      </c>
      <c r="F215" s="128">
        <f t="shared" ref="F215:H215" si="47">F216+F217+F218+F219+F220</f>
        <v>0</v>
      </c>
      <c r="G215" s="128">
        <f t="shared" si="47"/>
        <v>0</v>
      </c>
      <c r="H215" s="128">
        <f t="shared" si="47"/>
        <v>0</v>
      </c>
    </row>
    <row r="216" spans="1:9">
      <c r="A216" s="124" t="s">
        <v>1217</v>
      </c>
      <c r="B216" s="113"/>
      <c r="C216" s="128"/>
      <c r="D216" s="128"/>
      <c r="E216" s="127">
        <f>上期TB!E216</f>
        <v>0</v>
      </c>
      <c r="H216" s="115">
        <f t="shared" ref="H216:H220" si="48">ROUND(E216+F216-G216,2)</f>
        <v>0</v>
      </c>
    </row>
    <row r="217" spans="1:9">
      <c r="A217" s="124" t="s">
        <v>1218</v>
      </c>
      <c r="B217" s="113"/>
      <c r="C217" s="128"/>
      <c r="D217" s="128"/>
      <c r="E217" s="127">
        <f>上期TB!E217</f>
        <v>0</v>
      </c>
      <c r="H217" s="115">
        <f t="shared" si="48"/>
        <v>0</v>
      </c>
    </row>
    <row r="218" spans="1:9">
      <c r="A218" s="124" t="s">
        <v>1219</v>
      </c>
      <c r="B218" s="113"/>
      <c r="C218" s="128"/>
      <c r="D218" s="128"/>
      <c r="E218" s="127">
        <f>上期TB!E218</f>
        <v>0</v>
      </c>
      <c r="H218" s="115">
        <f t="shared" si="48"/>
        <v>0</v>
      </c>
    </row>
    <row r="219" spans="1:9">
      <c r="A219" s="124" t="s">
        <v>1220</v>
      </c>
      <c r="B219" s="113"/>
      <c r="C219" s="128"/>
      <c r="D219" s="128"/>
      <c r="E219" s="127">
        <f>上期TB!E219</f>
        <v>0</v>
      </c>
      <c r="H219" s="115">
        <f t="shared" si="48"/>
        <v>0</v>
      </c>
    </row>
    <row r="220" spans="1:9">
      <c r="A220" s="124" t="s">
        <v>1221</v>
      </c>
      <c r="B220" s="113"/>
      <c r="C220" s="128"/>
      <c r="D220" s="128"/>
      <c r="E220" s="127">
        <f>上期TB!E220</f>
        <v>0</v>
      </c>
      <c r="H220" s="115">
        <f t="shared" si="48"/>
        <v>0</v>
      </c>
    </row>
    <row r="221" spans="1:9">
      <c r="A221" s="124" t="s">
        <v>1222</v>
      </c>
      <c r="B221" s="113"/>
      <c r="C221" s="128"/>
      <c r="D221" s="128"/>
      <c r="E221" s="128">
        <f>上期TB!E221</f>
        <v>0</v>
      </c>
      <c r="F221" s="128">
        <f t="shared" ref="F221:H221" si="49">SUM(F222:F230)</f>
        <v>0</v>
      </c>
      <c r="G221" s="128">
        <f t="shared" si="49"/>
        <v>0</v>
      </c>
      <c r="H221" s="128">
        <f t="shared" si="49"/>
        <v>0</v>
      </c>
    </row>
    <row r="222" spans="1:9">
      <c r="A222" s="124" t="s">
        <v>1223</v>
      </c>
      <c r="B222" s="113"/>
      <c r="C222" s="128"/>
      <c r="D222" s="128"/>
      <c r="E222" s="127">
        <f>上期TB!E222</f>
        <v>0</v>
      </c>
      <c r="H222" s="115">
        <f t="shared" ref="H222:H231" si="50">ROUND(E222+F222-G222,2)</f>
        <v>0</v>
      </c>
    </row>
    <row r="223" spans="1:9">
      <c r="A223" s="124" t="s">
        <v>1224</v>
      </c>
      <c r="B223" s="113"/>
      <c r="C223" s="128"/>
      <c r="D223" s="128"/>
      <c r="E223" s="127">
        <f>上期TB!E223</f>
        <v>0</v>
      </c>
      <c r="H223" s="115">
        <f t="shared" si="50"/>
        <v>0</v>
      </c>
    </row>
    <row r="224" spans="1:9">
      <c r="A224" s="124" t="s">
        <v>1225</v>
      </c>
      <c r="B224" s="113"/>
      <c r="C224" s="131" t="s">
        <v>858</v>
      </c>
      <c r="D224" s="131"/>
      <c r="E224" s="127">
        <f>上期TB!E224</f>
        <v>0</v>
      </c>
      <c r="H224" s="115">
        <f t="shared" si="50"/>
        <v>0</v>
      </c>
    </row>
    <row r="225" spans="1:9">
      <c r="A225" s="124" t="s">
        <v>1226</v>
      </c>
      <c r="B225" s="113"/>
      <c r="C225" s="128"/>
      <c r="D225" s="128"/>
      <c r="E225" s="127">
        <f>上期TB!E225</f>
        <v>0</v>
      </c>
      <c r="H225" s="115">
        <f t="shared" si="50"/>
        <v>0</v>
      </c>
    </row>
    <row r="226" spans="1:9">
      <c r="A226" s="124" t="s">
        <v>1227</v>
      </c>
      <c r="B226" s="113"/>
      <c r="C226" s="131" t="s">
        <v>858</v>
      </c>
      <c r="D226" s="131"/>
      <c r="E226" s="127">
        <f>上期TB!E226</f>
        <v>0</v>
      </c>
      <c r="H226" s="115">
        <f t="shared" si="50"/>
        <v>0</v>
      </c>
    </row>
    <row r="227" spans="1:9">
      <c r="A227" s="124" t="s">
        <v>1228</v>
      </c>
      <c r="B227" s="113"/>
      <c r="C227" s="128"/>
      <c r="D227" s="128"/>
      <c r="E227" s="127">
        <f>上期TB!E227</f>
        <v>0</v>
      </c>
      <c r="H227" s="115">
        <f t="shared" si="50"/>
        <v>0</v>
      </c>
    </row>
    <row r="228" spans="1:9">
      <c r="A228" s="124" t="s">
        <v>1229</v>
      </c>
      <c r="B228" s="113"/>
      <c r="C228" s="128"/>
      <c r="D228" s="128"/>
      <c r="E228" s="127">
        <f>上期TB!E228</f>
        <v>0</v>
      </c>
      <c r="H228" s="115">
        <f t="shared" si="50"/>
        <v>0</v>
      </c>
    </row>
    <row r="229" spans="1:9">
      <c r="A229" s="124" t="s">
        <v>1230</v>
      </c>
      <c r="B229" s="113"/>
      <c r="C229" s="128"/>
      <c r="D229" s="128"/>
      <c r="E229" s="127">
        <f>上期TB!E229</f>
        <v>0</v>
      </c>
      <c r="H229" s="115">
        <f t="shared" si="50"/>
        <v>0</v>
      </c>
    </row>
    <row r="230" spans="1:9">
      <c r="A230" s="124" t="s">
        <v>1231</v>
      </c>
      <c r="B230" s="113"/>
      <c r="C230" s="128"/>
      <c r="D230" s="128"/>
      <c r="E230" s="127">
        <f>上期TB!E230</f>
        <v>0</v>
      </c>
      <c r="H230" s="115">
        <f t="shared" si="50"/>
        <v>0</v>
      </c>
    </row>
    <row r="231" spans="1:9">
      <c r="A231" s="124" t="s">
        <v>1232</v>
      </c>
      <c r="B231" s="113"/>
      <c r="C231" s="128"/>
      <c r="D231" s="128"/>
      <c r="E231" s="127">
        <f>上期TB!E231</f>
        <v>0</v>
      </c>
      <c r="H231" s="115">
        <f t="shared" si="50"/>
        <v>0</v>
      </c>
    </row>
    <row r="232" spans="1:9">
      <c r="A232" s="125" t="s">
        <v>1233</v>
      </c>
      <c r="B232" s="113"/>
      <c r="C232" s="130"/>
      <c r="D232" s="130"/>
      <c r="E232" s="130">
        <f>上期TB!E232</f>
        <v>286220514.49000019</v>
      </c>
      <c r="F232" s="130">
        <f t="shared" ref="F232:H232" si="51">F206+F213</f>
        <v>0</v>
      </c>
      <c r="G232" s="130">
        <f t="shared" si="51"/>
        <v>0</v>
      </c>
      <c r="H232" s="130">
        <f t="shared" si="51"/>
        <v>286220514.48999971</v>
      </c>
    </row>
    <row r="233" spans="1:9">
      <c r="A233" s="123" t="s">
        <v>1234</v>
      </c>
      <c r="B233" s="113"/>
      <c r="C233" s="128"/>
      <c r="D233" s="128"/>
      <c r="E233" s="128">
        <f>上期TB!E233</f>
        <v>286220514.49000019</v>
      </c>
      <c r="F233" s="128">
        <f t="shared" ref="F233:H233" si="52">F211+F214</f>
        <v>0</v>
      </c>
      <c r="G233" s="128">
        <f t="shared" si="52"/>
        <v>0</v>
      </c>
      <c r="H233" s="128">
        <f t="shared" si="52"/>
        <v>286220514.48999971</v>
      </c>
    </row>
    <row r="234" spans="1:9">
      <c r="A234" s="123" t="s">
        <v>1235</v>
      </c>
      <c r="B234" s="113"/>
      <c r="C234" s="128"/>
      <c r="D234" s="128"/>
      <c r="E234" s="128">
        <f>上期TB!E234</f>
        <v>0</v>
      </c>
      <c r="F234" s="128">
        <f t="shared" ref="F234:H234" si="53">F212+F231</f>
        <v>0</v>
      </c>
      <c r="G234" s="128">
        <f t="shared" si="53"/>
        <v>0</v>
      </c>
      <c r="H234" s="128">
        <f t="shared" si="53"/>
        <v>0</v>
      </c>
    </row>
    <row r="235" spans="1:9">
      <c r="A235" s="125" t="s">
        <v>1236</v>
      </c>
      <c r="B235" s="113"/>
      <c r="C235" s="130"/>
      <c r="D235" s="130"/>
      <c r="E235" s="127">
        <f>上期TB!E235</f>
        <v>0</v>
      </c>
    </row>
    <row r="236" spans="1:9">
      <c r="A236" s="123" t="s">
        <v>1237</v>
      </c>
      <c r="B236" s="113"/>
      <c r="C236" s="130"/>
      <c r="D236" s="130"/>
      <c r="E236" s="127">
        <f>上期TB!E236</f>
        <v>0</v>
      </c>
    </row>
    <row r="237" spans="1:9">
      <c r="A237" s="123" t="s">
        <v>1238</v>
      </c>
      <c r="B237" s="113"/>
      <c r="C237" s="130"/>
      <c r="D237" s="130"/>
      <c r="E237" s="127">
        <f>上期TB!E237</f>
        <v>0</v>
      </c>
    </row>
    <row r="238" spans="1:9">
      <c r="A238" s="124" t="s">
        <v>1239</v>
      </c>
      <c r="B238" s="113" t="s">
        <v>1240</v>
      </c>
      <c r="C238" s="130"/>
      <c r="D238" s="130"/>
      <c r="E238" s="132">
        <f>上期TB!E238</f>
        <v>837672284.46000004</v>
      </c>
      <c r="F238" s="1">
        <f>ROUND(SUMIF(新准则转换ETY!D:D,B238,新准则转换ETY!F:F),2)</f>
        <v>0</v>
      </c>
      <c r="G238" s="1">
        <f>ROUND(SUMIF(新准则转换ETY!D:D,B238,新准则转换ETY!G:G),2)</f>
        <v>0</v>
      </c>
      <c r="H238" s="115">
        <f>ROUND(E238-F238+G238,2)</f>
        <v>837672284.46000004</v>
      </c>
      <c r="I238" s="18" t="s">
        <v>1243</v>
      </c>
    </row>
    <row r="239" spans="1:9">
      <c r="A239" s="124" t="s">
        <v>1241</v>
      </c>
      <c r="B239" s="113" t="s">
        <v>1241</v>
      </c>
      <c r="C239" s="130"/>
      <c r="D239" s="130"/>
      <c r="E239" s="133">
        <f>上期TB!E239</f>
        <v>0</v>
      </c>
      <c r="F239" s="1">
        <f>ROUND(SUMIF(新准则转换ETY!D:D,B239,新准则转换ETY!F:F),2)</f>
        <v>0</v>
      </c>
      <c r="G239" s="1">
        <f>ROUND(SUMIF(新准则转换ETY!D:D,B239,新准则转换ETY!G:G),2)</f>
        <v>0</v>
      </c>
      <c r="H239" s="115">
        <f>ROUND(E239-F239+G239,2)</f>
        <v>0</v>
      </c>
    </row>
    <row r="240" spans="1:9">
      <c r="A240" s="123" t="s">
        <v>1242</v>
      </c>
      <c r="E240" s="111">
        <f>上期TB!E240</f>
        <v>837672284.46000004</v>
      </c>
      <c r="F240" s="1">
        <f>ROUND(SUMIF(新准则转换ETY!D:D,B240,新准则转换ETY!F:F),2)</f>
        <v>0</v>
      </c>
      <c r="G240" s="1">
        <f>ROUND(SUMIF(新准则转换ETY!D:D,B240,新准则转换ETY!G:G),2)</f>
        <v>0</v>
      </c>
      <c r="H240" s="115">
        <f>H238+H239</f>
        <v>837672284.46000004</v>
      </c>
    </row>
    <row r="241" spans="1:8">
      <c r="A241" s="125" t="s">
        <v>1244</v>
      </c>
      <c r="E241" s="134">
        <f>上期TB!E241</f>
        <v>1123892798.9500003</v>
      </c>
      <c r="F241" s="134">
        <f>F240+F206</f>
        <v>0</v>
      </c>
      <c r="G241" s="134">
        <f>G240+G206</f>
        <v>0</v>
      </c>
      <c r="H241" s="134">
        <f>H240+H206</f>
        <v>1123892798.9499998</v>
      </c>
    </row>
    <row r="242" spans="1:8">
      <c r="A242" s="123" t="s">
        <v>1245</v>
      </c>
      <c r="B242" s="18" t="s">
        <v>1246</v>
      </c>
      <c r="E242" s="135">
        <f>上期TB!E242</f>
        <v>0</v>
      </c>
      <c r="F242" s="1">
        <f>ROUND(SUMIF(新准则转换ETY!D:D,B242,新准则转换ETY!F:F),2)</f>
        <v>0</v>
      </c>
      <c r="G242" s="1">
        <f>ROUND(SUMIF(新准则转换ETY!D:D,B242,新准则转换ETY!G:G),2)</f>
        <v>0</v>
      </c>
      <c r="H242" s="115">
        <f t="shared" ref="H242:H247" si="54">ROUND(E242+F242-G242,2)</f>
        <v>0</v>
      </c>
    </row>
    <row r="243" spans="1:8">
      <c r="A243" s="123" t="s">
        <v>1247</v>
      </c>
      <c r="B243" s="18" t="s">
        <v>1248</v>
      </c>
      <c r="E243" s="135">
        <f>上期TB!E243</f>
        <v>0</v>
      </c>
      <c r="F243" s="1">
        <f>ROUND(SUMIF(新准则转换ETY!D:D,B243,新准则转换ETY!F:F),2)</f>
        <v>0</v>
      </c>
      <c r="G243" s="1">
        <f>ROUND(SUMIF(新准则转换ETY!D:D,B243,新准则转换ETY!G:G),2)</f>
        <v>0</v>
      </c>
      <c r="H243" s="115">
        <f t="shared" si="54"/>
        <v>0</v>
      </c>
    </row>
    <row r="244" spans="1:8">
      <c r="A244" s="123" t="s">
        <v>1249</v>
      </c>
      <c r="B244" s="18" t="s">
        <v>1250</v>
      </c>
      <c r="E244" s="135">
        <f>上期TB!E244</f>
        <v>0</v>
      </c>
      <c r="F244" s="1">
        <f>ROUND(SUMIF(新准则转换ETY!D:D,B244,新准则转换ETY!F:F),2)</f>
        <v>0</v>
      </c>
      <c r="G244" s="1">
        <f>ROUND(SUMIF(新准则转换ETY!D:D,B244,新准则转换ETY!G:G),2)</f>
        <v>0</v>
      </c>
      <c r="H244" s="115">
        <f t="shared" si="54"/>
        <v>0</v>
      </c>
    </row>
    <row r="245" spans="1:8">
      <c r="A245" s="123" t="s">
        <v>1251</v>
      </c>
      <c r="B245" s="18" t="s">
        <v>1252</v>
      </c>
      <c r="E245" s="135">
        <f>上期TB!E245</f>
        <v>0</v>
      </c>
      <c r="F245" s="1">
        <f>ROUND(SUMIF(新准则转换ETY!D:D,B245,新准则转换ETY!F:F),2)</f>
        <v>0</v>
      </c>
      <c r="G245" s="1">
        <f>ROUND(SUMIF(新准则转换ETY!D:D,B245,新准则转换ETY!G:G),2)</f>
        <v>0</v>
      </c>
      <c r="H245" s="115">
        <f t="shared" si="54"/>
        <v>0</v>
      </c>
    </row>
    <row r="246" spans="1:8">
      <c r="A246" s="123" t="s">
        <v>1253</v>
      </c>
      <c r="B246" s="18" t="s">
        <v>1254</v>
      </c>
      <c r="E246" s="135">
        <f>上期TB!E246</f>
        <v>0</v>
      </c>
      <c r="F246" s="1">
        <f>ROUND(SUMIF(新准则转换ETY!D:D,B246,新准则转换ETY!F:F),2)</f>
        <v>0</v>
      </c>
      <c r="G246" s="1">
        <f>ROUND(SUMIF(新准则转换ETY!D:D,B246,新准则转换ETY!G:G),2)</f>
        <v>0</v>
      </c>
      <c r="H246" s="115">
        <f t="shared" si="54"/>
        <v>0</v>
      </c>
    </row>
    <row r="247" spans="1:8">
      <c r="A247" s="123" t="s">
        <v>1255</v>
      </c>
      <c r="B247" s="18" t="s">
        <v>1256</v>
      </c>
      <c r="E247" s="135">
        <f>上期TB!E247</f>
        <v>0</v>
      </c>
      <c r="F247" s="1">
        <f>ROUND(SUMIF(新准则转换ETY!D:D,B247,新准则转换ETY!F:F),2)</f>
        <v>0</v>
      </c>
      <c r="G247" s="1">
        <f>ROUND(SUMIF(新准则转换ETY!D:D,B247,新准则转换ETY!G:G),2)</f>
        <v>0</v>
      </c>
      <c r="H247" s="115">
        <f t="shared" si="54"/>
        <v>0</v>
      </c>
    </row>
    <row r="248" spans="1:8">
      <c r="A248" s="125" t="s">
        <v>1257</v>
      </c>
      <c r="E248" s="134">
        <f>上期TB!E248</f>
        <v>1123892798.9500003</v>
      </c>
      <c r="F248" s="134">
        <f t="shared" ref="F248:H248" si="55">F241-SUM(F242:F247)</f>
        <v>0</v>
      </c>
      <c r="G248" s="134">
        <f t="shared" si="55"/>
        <v>0</v>
      </c>
      <c r="H248" s="134">
        <f t="shared" si="55"/>
        <v>1123892798.9499998</v>
      </c>
    </row>
    <row r="249" spans="1:8">
      <c r="A249" s="123" t="s">
        <v>1258</v>
      </c>
      <c r="B249" s="18" t="s">
        <v>1259</v>
      </c>
      <c r="E249" s="135">
        <f>上期TB!E249</f>
        <v>0</v>
      </c>
      <c r="F249" s="1">
        <f>ROUND(SUMIF(新准则转换ETY!D:D,B249,新准则转换ETY!F:F),2)</f>
        <v>0</v>
      </c>
      <c r="G249" s="1">
        <f>ROUND(SUMIF(新准则转换ETY!D:D,B249,新准则转换ETY!G:G),2)</f>
        <v>0</v>
      </c>
      <c r="H249" s="115">
        <f t="shared" ref="H249:H252" si="56">ROUND(E249+F249-G249,2)</f>
        <v>0</v>
      </c>
    </row>
    <row r="250" spans="1:8">
      <c r="A250" s="123" t="s">
        <v>1260</v>
      </c>
      <c r="B250" s="18" t="s">
        <v>1261</v>
      </c>
      <c r="E250" s="135">
        <f>上期TB!E250</f>
        <v>0</v>
      </c>
      <c r="F250" s="1">
        <f>ROUND(SUMIF(新准则转换ETY!D:D,B250,新准则转换ETY!F:F),2)</f>
        <v>0</v>
      </c>
      <c r="G250" s="1">
        <f>ROUND(SUMIF(新准则转换ETY!D:D,B250,新准则转换ETY!G:G),2)</f>
        <v>0</v>
      </c>
      <c r="H250" s="115">
        <f t="shared" si="56"/>
        <v>0</v>
      </c>
    </row>
    <row r="251" spans="1:8">
      <c r="A251" s="123" t="s">
        <v>1262</v>
      </c>
      <c r="B251" s="18" t="s">
        <v>1263</v>
      </c>
      <c r="E251" s="136">
        <f>上期TB!E251</f>
        <v>0</v>
      </c>
      <c r="F251" s="1">
        <f>ROUND(SUMIF(新准则转换ETY!D:D,B251,新准则转换ETY!F:F),2)</f>
        <v>0</v>
      </c>
      <c r="G251" s="1">
        <f>ROUND(SUMIF(新准则转换ETY!D:D,B251,新准则转换ETY!G:G),2)</f>
        <v>0</v>
      </c>
      <c r="H251" s="115">
        <f t="shared" si="56"/>
        <v>0</v>
      </c>
    </row>
    <row r="252" spans="1:8">
      <c r="A252" s="123" t="s">
        <v>1264</v>
      </c>
      <c r="B252" s="18" t="s">
        <v>1265</v>
      </c>
      <c r="E252" s="136">
        <f>上期TB!E252</f>
        <v>0</v>
      </c>
      <c r="F252" s="1">
        <f>ROUND(SUMIF(新准则转换ETY!D:D,B252,新准则转换ETY!F:F),2)</f>
        <v>0</v>
      </c>
      <c r="G252" s="1">
        <f>ROUND(SUMIF(新准则转换ETY!D:D,B252,新准则转换ETY!G:G),2)</f>
        <v>0</v>
      </c>
      <c r="H252" s="115">
        <f t="shared" si="56"/>
        <v>0</v>
      </c>
    </row>
    <row r="253" spans="1:8">
      <c r="A253" s="125" t="s">
        <v>1266</v>
      </c>
      <c r="E253" s="134">
        <f>上期TB!E253</f>
        <v>1123892798.9500003</v>
      </c>
      <c r="F253" s="134">
        <f t="shared" ref="F253:H253" si="57">F248-SUM(F249:F252)</f>
        <v>0</v>
      </c>
      <c r="G253" s="134">
        <f t="shared" si="57"/>
        <v>0</v>
      </c>
      <c r="H253" s="134">
        <f t="shared" si="57"/>
        <v>1123892798.9499998</v>
      </c>
    </row>
    <row r="254" spans="1:8">
      <c r="A254" s="123" t="s">
        <v>1267</v>
      </c>
      <c r="E254" s="134">
        <f>E167-E106</f>
        <v>128293955.23999786</v>
      </c>
      <c r="H254" s="134">
        <f>H167-H106</f>
        <v>128293955.23999786</v>
      </c>
    </row>
    <row r="255" spans="1:8">
      <c r="A255" s="123" t="s">
        <v>1268</v>
      </c>
      <c r="H255" s="134"/>
    </row>
    <row r="257" spans="5:5">
      <c r="E257" s="1"/>
    </row>
    <row r="258" spans="5:5">
      <c r="E258" s="134"/>
    </row>
  </sheetData>
  <phoneticPr fontId="1" type="noConversion"/>
  <conditionalFormatting sqref="I71:L71">
    <cfRule type="uniqueValues" dxfId="180" priority="5"/>
    <cfRule type="uniqueValues" dxfId="179" priority="6"/>
  </conditionalFormatting>
  <conditionalFormatting sqref="I68:L68 K69 I69:I70">
    <cfRule type="uniqueValues" dxfId="178" priority="3"/>
    <cfRule type="uniqueValues" dxfId="177" priority="4"/>
  </conditionalFormatting>
  <conditionalFormatting sqref="K70">
    <cfRule type="uniqueValues" dxfId="176" priority="1"/>
    <cfRule type="uniqueValues" dxfId="175"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sheetPr codeName="Sheet60"/>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2" customFormat="1">
      <c r="A1" s="262" t="s">
        <v>2015</v>
      </c>
      <c r="B1" s="262" t="s">
        <v>2402</v>
      </c>
      <c r="C1" s="262" t="s">
        <v>2403</v>
      </c>
      <c r="D1" s="262" t="s">
        <v>413</v>
      </c>
      <c r="E1" s="262" t="s">
        <v>2404</v>
      </c>
      <c r="F1" s="262" t="s">
        <v>2405</v>
      </c>
      <c r="G1" s="262" t="s">
        <v>2406</v>
      </c>
      <c r="H1" s="262" t="s">
        <v>2407</v>
      </c>
      <c r="I1" s="262" t="s">
        <v>2408</v>
      </c>
      <c r="J1" s="264" t="s">
        <v>2409</v>
      </c>
      <c r="K1" s="262" t="s">
        <v>2410</v>
      </c>
      <c r="L1" s="262" t="s">
        <v>2411</v>
      </c>
      <c r="M1" s="262" t="s">
        <v>2412</v>
      </c>
      <c r="N1" s="262" t="s">
        <v>2413</v>
      </c>
      <c r="O1" s="262" t="s">
        <v>2414</v>
      </c>
    </row>
    <row r="2" spans="1:15">
      <c r="A2" t="str">
        <f>IF(ABS(J2+E2)&gt;0,基础信息!$B$1,"")</f>
        <v/>
      </c>
      <c r="B2" s="256"/>
      <c r="C2" s="277"/>
      <c r="D2" s="256"/>
      <c r="E2" s="256"/>
      <c r="F2" s="256"/>
      <c r="G2" s="256"/>
      <c r="H2" s="256"/>
      <c r="I2" s="256"/>
      <c r="J2" s="230">
        <f t="shared" ref="J2:J23" si="0">E2+F2-G2-H2+I2</f>
        <v>0</v>
      </c>
      <c r="K2" s="256"/>
      <c r="L2" s="256"/>
      <c r="M2" s="256"/>
      <c r="N2">
        <f>K2+L2-M2</f>
        <v>0</v>
      </c>
      <c r="O2" s="256"/>
    </row>
    <row r="3" spans="1:15">
      <c r="A3" t="str">
        <f>IF(ABS(J3+E3)&gt;0,基础信息!$B$1,"")</f>
        <v/>
      </c>
      <c r="B3" s="256"/>
      <c r="C3" s="277"/>
      <c r="D3" s="256"/>
      <c r="E3" s="256"/>
      <c r="F3" s="256"/>
      <c r="G3" s="256"/>
      <c r="H3" s="256"/>
      <c r="I3" s="256"/>
      <c r="J3" s="230">
        <f t="shared" si="0"/>
        <v>0</v>
      </c>
      <c r="K3" s="256"/>
      <c r="L3" s="256"/>
      <c r="M3" s="256"/>
      <c r="N3">
        <f>K3+L3-M3</f>
        <v>0</v>
      </c>
      <c r="O3" s="256"/>
    </row>
    <row r="4" spans="1:15">
      <c r="A4" t="str">
        <f>IF(ABS(J4+E4)&gt;0,基础信息!$B$1,"")</f>
        <v/>
      </c>
      <c r="B4" s="256"/>
      <c r="C4" s="277"/>
      <c r="D4" s="256"/>
      <c r="E4" s="256"/>
      <c r="F4" s="256"/>
      <c r="G4" s="256"/>
      <c r="H4" s="256"/>
      <c r="I4" s="256"/>
      <c r="J4" s="230">
        <f t="shared" si="0"/>
        <v>0</v>
      </c>
      <c r="K4" s="256"/>
      <c r="L4" s="256"/>
      <c r="M4" s="256"/>
      <c r="N4">
        <f>K4+L4-M4</f>
        <v>0</v>
      </c>
      <c r="O4" s="256"/>
    </row>
    <row r="5" spans="1:15">
      <c r="A5" t="str">
        <f>IF(ABS(J5+E5)&gt;0,基础信息!$B$1,"")</f>
        <v/>
      </c>
      <c r="B5" s="256"/>
      <c r="C5" s="277"/>
      <c r="D5" s="256"/>
      <c r="E5" s="256"/>
      <c r="F5" s="256"/>
      <c r="G5" s="256"/>
      <c r="H5" s="256"/>
      <c r="I5" s="256"/>
      <c r="J5" s="230">
        <f t="shared" si="0"/>
        <v>0</v>
      </c>
      <c r="K5" s="256"/>
      <c r="L5" s="256"/>
      <c r="M5" s="256"/>
      <c r="N5">
        <f>K5+L5-M5</f>
        <v>0</v>
      </c>
      <c r="O5" s="256"/>
    </row>
    <row r="6" spans="1:15">
      <c r="A6" t="str">
        <f>IF(ABS(J6+E6)&gt;0,基础信息!$B$1,"")</f>
        <v/>
      </c>
      <c r="B6" s="256"/>
      <c r="C6" s="277"/>
      <c r="D6" s="256"/>
      <c r="E6" s="256"/>
      <c r="F6" s="256"/>
      <c r="G6" s="256"/>
      <c r="H6" s="256"/>
      <c r="I6" s="256"/>
      <c r="J6" s="230">
        <f t="shared" si="0"/>
        <v>0</v>
      </c>
      <c r="K6" s="256"/>
      <c r="L6" s="256"/>
      <c r="M6" s="256"/>
      <c r="N6">
        <f>K6+L6-M6</f>
        <v>0</v>
      </c>
      <c r="O6" s="256"/>
    </row>
    <row r="7" spans="1:15">
      <c r="A7" t="str">
        <f>IF(ABS(J7+E7)&gt;0,基础信息!$B$1,"")</f>
        <v/>
      </c>
      <c r="B7" s="256"/>
      <c r="C7" s="277"/>
      <c r="D7" s="256"/>
      <c r="E7" s="256"/>
      <c r="F7" s="256"/>
      <c r="G7" s="256"/>
      <c r="H7" s="256"/>
      <c r="I7" s="256"/>
      <c r="J7" s="230">
        <f t="shared" si="0"/>
        <v>0</v>
      </c>
      <c r="K7" s="256"/>
      <c r="L7" s="256"/>
      <c r="M7" s="256"/>
      <c r="N7">
        <f t="shared" ref="N7:N22" si="1">K7+L7-M7</f>
        <v>0</v>
      </c>
      <c r="O7" s="256"/>
    </row>
    <row r="8" spans="1:15">
      <c r="A8" t="str">
        <f>IF(ABS(J8+E8)&gt;0,基础信息!$B$1,"")</f>
        <v/>
      </c>
      <c r="B8" s="256"/>
      <c r="C8" s="277"/>
      <c r="D8" s="256"/>
      <c r="E8" s="256"/>
      <c r="F8" s="256"/>
      <c r="G8" s="256"/>
      <c r="H8" s="256"/>
      <c r="I8" s="256"/>
      <c r="J8" s="230">
        <f t="shared" si="0"/>
        <v>0</v>
      </c>
      <c r="K8" s="256"/>
      <c r="L8" s="256"/>
      <c r="M8" s="256"/>
      <c r="N8">
        <f t="shared" si="1"/>
        <v>0</v>
      </c>
      <c r="O8" s="256"/>
    </row>
    <row r="9" spans="1:15">
      <c r="A9" t="str">
        <f>IF(ABS(J9+E9)&gt;0,基础信息!$B$1,"")</f>
        <v/>
      </c>
      <c r="B9" s="256"/>
      <c r="C9" s="277"/>
      <c r="D9" s="256"/>
      <c r="E9" s="256"/>
      <c r="F9" s="256"/>
      <c r="G9" s="256"/>
      <c r="H9" s="256"/>
      <c r="I9" s="256"/>
      <c r="J9" s="230">
        <f t="shared" si="0"/>
        <v>0</v>
      </c>
      <c r="K9" s="256"/>
      <c r="L9" s="256"/>
      <c r="M9" s="256"/>
      <c r="N9">
        <f t="shared" si="1"/>
        <v>0</v>
      </c>
      <c r="O9" s="256"/>
    </row>
    <row r="10" spans="1:15">
      <c r="A10" t="str">
        <f>IF(ABS(J10+E10)&gt;0,基础信息!$B$1,"")</f>
        <v/>
      </c>
      <c r="B10" s="256"/>
      <c r="C10" s="277"/>
      <c r="D10" s="256"/>
      <c r="E10" s="256"/>
      <c r="F10" s="256"/>
      <c r="G10" s="256"/>
      <c r="H10" s="256"/>
      <c r="I10" s="256"/>
      <c r="J10" s="230">
        <f t="shared" si="0"/>
        <v>0</v>
      </c>
      <c r="K10" s="256"/>
      <c r="L10" s="256"/>
      <c r="M10" s="256"/>
      <c r="N10">
        <f t="shared" si="1"/>
        <v>0</v>
      </c>
      <c r="O10" s="256"/>
    </row>
    <row r="11" spans="1:15">
      <c r="A11" t="str">
        <f>IF(ABS(J11+E11)&gt;0,基础信息!$B$1,"")</f>
        <v/>
      </c>
      <c r="B11" s="256"/>
      <c r="C11" s="277"/>
      <c r="D11" s="256"/>
      <c r="E11" s="256"/>
      <c r="F11" s="256"/>
      <c r="G11" s="256"/>
      <c r="H11" s="256"/>
      <c r="I11" s="256"/>
      <c r="J11" s="230">
        <f t="shared" si="0"/>
        <v>0</v>
      </c>
      <c r="K11" s="256"/>
      <c r="L11" s="256"/>
      <c r="M11" s="256"/>
      <c r="N11">
        <f t="shared" si="1"/>
        <v>0</v>
      </c>
      <c r="O11" s="256"/>
    </row>
    <row r="12" spans="1:15">
      <c r="A12" t="str">
        <f>IF(ABS(J12+E12)&gt;0,基础信息!$B$1,"")</f>
        <v/>
      </c>
      <c r="B12" s="256"/>
      <c r="C12" s="277"/>
      <c r="D12" s="256"/>
      <c r="E12" s="256"/>
      <c r="F12" s="256"/>
      <c r="G12" s="256"/>
      <c r="H12" s="256"/>
      <c r="I12" s="256"/>
      <c r="J12" s="230">
        <f t="shared" si="0"/>
        <v>0</v>
      </c>
      <c r="K12" s="256"/>
      <c r="L12" s="256"/>
      <c r="M12" s="256"/>
      <c r="N12">
        <f t="shared" si="1"/>
        <v>0</v>
      </c>
      <c r="O12" s="256"/>
    </row>
    <row r="13" spans="1:15">
      <c r="A13" t="str">
        <f>IF(ABS(J13+E13)&gt;0,基础信息!$B$1,"")</f>
        <v/>
      </c>
      <c r="B13" s="256"/>
      <c r="C13" s="277"/>
      <c r="D13" s="256"/>
      <c r="E13" s="256"/>
      <c r="F13" s="256"/>
      <c r="G13" s="256"/>
      <c r="H13" s="256"/>
      <c r="I13" s="256"/>
      <c r="J13" s="230">
        <f t="shared" si="0"/>
        <v>0</v>
      </c>
      <c r="K13" s="256"/>
      <c r="L13" s="256"/>
      <c r="M13" s="256"/>
      <c r="N13">
        <f t="shared" si="1"/>
        <v>0</v>
      </c>
      <c r="O13" s="256"/>
    </row>
    <row r="14" spans="1:15">
      <c r="A14" t="str">
        <f>IF(ABS(J14+E14)&gt;0,基础信息!$B$1,"")</f>
        <v/>
      </c>
      <c r="B14" s="256"/>
      <c r="C14" s="277"/>
      <c r="D14" s="256"/>
      <c r="E14" s="256"/>
      <c r="F14" s="256"/>
      <c r="G14" s="256"/>
      <c r="H14" s="256"/>
      <c r="I14" s="256"/>
      <c r="J14" s="230">
        <f t="shared" si="0"/>
        <v>0</v>
      </c>
      <c r="K14" s="256"/>
      <c r="L14" s="256"/>
      <c r="M14" s="256"/>
      <c r="N14">
        <f t="shared" si="1"/>
        <v>0</v>
      </c>
      <c r="O14" s="256"/>
    </row>
    <row r="15" spans="1:15">
      <c r="A15" t="str">
        <f>IF(ABS(J15+E15)&gt;0,基础信息!$B$1,"")</f>
        <v/>
      </c>
      <c r="B15" s="256"/>
      <c r="C15" s="277"/>
      <c r="D15" s="256"/>
      <c r="E15" s="256"/>
      <c r="F15" s="256"/>
      <c r="G15" s="256"/>
      <c r="H15" s="256"/>
      <c r="I15" s="256"/>
      <c r="J15" s="230">
        <f t="shared" si="0"/>
        <v>0</v>
      </c>
      <c r="K15" s="256"/>
      <c r="L15" s="256"/>
      <c r="M15" s="256"/>
      <c r="N15">
        <f t="shared" si="1"/>
        <v>0</v>
      </c>
      <c r="O15" s="256"/>
    </row>
    <row r="16" spans="1:15">
      <c r="A16" t="str">
        <f>IF(ABS(J16+E16)&gt;0,基础信息!$B$1,"")</f>
        <v/>
      </c>
      <c r="B16" s="256"/>
      <c r="C16" s="277"/>
      <c r="D16" s="256"/>
      <c r="E16" s="256"/>
      <c r="F16" s="256"/>
      <c r="G16" s="256"/>
      <c r="H16" s="256"/>
      <c r="I16" s="256"/>
      <c r="J16" s="230">
        <f t="shared" si="0"/>
        <v>0</v>
      </c>
      <c r="K16" s="256"/>
      <c r="L16" s="256"/>
      <c r="M16" s="256"/>
      <c r="N16">
        <f t="shared" si="1"/>
        <v>0</v>
      </c>
      <c r="O16" s="256"/>
    </row>
    <row r="17" spans="1:15">
      <c r="A17" t="str">
        <f>IF(ABS(J17+E17)&gt;0,基础信息!$B$1,"")</f>
        <v/>
      </c>
      <c r="B17" s="256"/>
      <c r="C17" s="277"/>
      <c r="D17" s="256"/>
      <c r="E17" s="256"/>
      <c r="F17" s="256"/>
      <c r="G17" s="256"/>
      <c r="H17" s="256"/>
      <c r="I17" s="256"/>
      <c r="J17" s="230">
        <f t="shared" si="0"/>
        <v>0</v>
      </c>
      <c r="K17" s="256"/>
      <c r="L17" s="256"/>
      <c r="M17" s="256"/>
      <c r="N17">
        <f t="shared" si="1"/>
        <v>0</v>
      </c>
      <c r="O17" s="256"/>
    </row>
    <row r="18" spans="1:15">
      <c r="A18" t="str">
        <f>IF(ABS(J18+E18)&gt;0,基础信息!$B$1,"")</f>
        <v/>
      </c>
      <c r="B18" s="256"/>
      <c r="C18" s="277"/>
      <c r="D18" s="256"/>
      <c r="E18" s="256"/>
      <c r="F18" s="256"/>
      <c r="G18" s="256"/>
      <c r="H18" s="256"/>
      <c r="I18" s="256"/>
      <c r="J18" s="230">
        <f t="shared" si="0"/>
        <v>0</v>
      </c>
      <c r="K18" s="256"/>
      <c r="L18" s="256"/>
      <c r="M18" s="256"/>
      <c r="N18">
        <f t="shared" si="1"/>
        <v>0</v>
      </c>
      <c r="O18" s="256"/>
    </row>
    <row r="19" spans="1:15">
      <c r="A19" t="str">
        <f>IF(ABS(J19+E19)&gt;0,基础信息!$B$1,"")</f>
        <v/>
      </c>
      <c r="B19" s="256"/>
      <c r="C19" s="277"/>
      <c r="D19" s="256"/>
      <c r="E19" s="256"/>
      <c r="F19" s="256"/>
      <c r="G19" s="256"/>
      <c r="H19" s="256"/>
      <c r="I19" s="256"/>
      <c r="J19" s="230">
        <f t="shared" si="0"/>
        <v>0</v>
      </c>
      <c r="K19" s="256"/>
      <c r="L19" s="256"/>
      <c r="M19" s="256"/>
      <c r="N19">
        <f t="shared" si="1"/>
        <v>0</v>
      </c>
      <c r="O19" s="256"/>
    </row>
    <row r="20" spans="1:15">
      <c r="A20" t="str">
        <f>IF(ABS(J20+E20)&gt;0,基础信息!$B$1,"")</f>
        <v/>
      </c>
      <c r="B20" s="256"/>
      <c r="C20" s="277"/>
      <c r="D20" s="256"/>
      <c r="E20" s="256"/>
      <c r="F20" s="256"/>
      <c r="G20" s="256"/>
      <c r="H20" s="256"/>
      <c r="I20" s="256"/>
      <c r="J20" s="230">
        <f t="shared" si="0"/>
        <v>0</v>
      </c>
      <c r="K20" s="256"/>
      <c r="L20" s="256"/>
      <c r="M20" s="256"/>
      <c r="N20">
        <f t="shared" si="1"/>
        <v>0</v>
      </c>
      <c r="O20" s="256"/>
    </row>
    <row r="21" spans="1:15">
      <c r="A21" t="str">
        <f>IF(ABS(J21+E21)&gt;0,基础信息!$B$1,"")</f>
        <v/>
      </c>
      <c r="B21" s="256"/>
      <c r="C21" s="277"/>
      <c r="D21" s="256"/>
      <c r="E21" s="256"/>
      <c r="F21" s="256"/>
      <c r="G21" s="256"/>
      <c r="H21" s="256"/>
      <c r="I21" s="256"/>
      <c r="J21" s="230">
        <f t="shared" si="0"/>
        <v>0</v>
      </c>
      <c r="K21" s="256"/>
      <c r="L21" s="256"/>
      <c r="M21" s="256"/>
      <c r="N21">
        <f t="shared" si="1"/>
        <v>0</v>
      </c>
      <c r="O21" s="256"/>
    </row>
    <row r="22" spans="1:15">
      <c r="A22" t="str">
        <f>IF(ABS(J22+E22)&gt;0,基础信息!$B$1,"")</f>
        <v/>
      </c>
      <c r="B22" s="256"/>
      <c r="C22" s="277"/>
      <c r="D22" s="256"/>
      <c r="E22" s="256"/>
      <c r="F22" s="256"/>
      <c r="G22" s="256"/>
      <c r="H22" s="256"/>
      <c r="I22" s="256"/>
      <c r="J22" s="230">
        <f t="shared" si="0"/>
        <v>0</v>
      </c>
      <c r="K22" s="256"/>
      <c r="L22" s="256"/>
      <c r="M22" s="256"/>
      <c r="N22">
        <f t="shared" si="1"/>
        <v>0</v>
      </c>
      <c r="O22" s="256"/>
    </row>
    <row r="23" spans="1:15">
      <c r="A23" t="str">
        <f>IF(ABS(J23+E23)&gt;0,基础信息!$B$1,"")</f>
        <v/>
      </c>
      <c r="B23" s="256"/>
      <c r="C23" s="277"/>
      <c r="D23" s="256"/>
      <c r="E23" s="256"/>
      <c r="F23" s="256"/>
      <c r="G23" s="256"/>
      <c r="H23" s="256"/>
      <c r="I23" s="256"/>
      <c r="J23" s="230">
        <f t="shared" si="0"/>
        <v>0</v>
      </c>
      <c r="K23" s="256"/>
      <c r="L23" s="256"/>
      <c r="M23" s="256"/>
      <c r="O23" s="256"/>
    </row>
    <row r="24" spans="1:15">
      <c r="A24" t="str">
        <f>IF(ABS(J24+E24)&gt;0,基础信息!$B$1,"")</f>
        <v/>
      </c>
      <c r="B24" s="256"/>
      <c r="C24" s="277"/>
    </row>
    <row r="25" spans="1:15">
      <c r="B25" s="256"/>
      <c r="C25" s="277"/>
    </row>
    <row r="26" spans="1:15">
      <c r="B26" s="256"/>
      <c r="C26" s="277"/>
    </row>
    <row r="27" spans="1:15">
      <c r="B27" s="256"/>
      <c r="C27"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codeName="Sheet61">
    <tabColor rgb="FFFFC000"/>
  </sheetPr>
  <dimension ref="A1:C8"/>
  <sheetViews>
    <sheetView workbookViewId="0">
      <selection activeCell="F14" sqref="F14"/>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5" t="s">
        <v>199</v>
      </c>
      <c r="C1" s="155" t="s">
        <v>200</v>
      </c>
    </row>
    <row r="2" spans="1:3" ht="14.4">
      <c r="A2" s="138" t="s">
        <v>2415</v>
      </c>
      <c r="B2" s="294">
        <f>ROUND(SUMIF(以公允价值计量且其变动计入当期损益的金融资产明细表!C:C,以公允价值计量且其变动计入当期损益的金融资产!A2,以公允价值计量且其变动计入当期损益的金融资产明细表!J:J),2)</f>
        <v>0</v>
      </c>
      <c r="C2" s="294">
        <f>ROUND(SUMIF(以公允价值计量且其变动计入当期损益的金融资产明细表!C:C,以公允价值计量且其变动计入当期损益的金融资产!A2,以公允价值计量且其变动计入当期损益的金融资产明细表!E:E),2)</f>
        <v>0</v>
      </c>
    </row>
    <row r="3" spans="1:3" ht="14.4">
      <c r="A3" s="138" t="s">
        <v>2416</v>
      </c>
      <c r="B3" s="294">
        <f>ROUND(SUMIF(以公允价值计量且其变动计入当期损益的金融资产明细表!C:C,以公允价值计量且其变动计入当期损益的金融资产!A3,以公允价值计量且其变动计入当期损益的金融资产明细表!J:J),2)</f>
        <v>0</v>
      </c>
      <c r="C3" s="294">
        <f>ROUND(SUMIF(以公允价值计量且其变动计入当期损益的金融资产明细表!C:C,以公允价值计量且其变动计入当期损益的金融资产!A3,以公允价值计量且其变动计入当期损益的金融资产明细表!E:E),2)</f>
        <v>0</v>
      </c>
    </row>
    <row r="4" spans="1:3" ht="14.4">
      <c r="A4" s="138" t="s">
        <v>2417</v>
      </c>
      <c r="B4" s="294">
        <f>ROUND(SUMIF(以公允价值计量且其变动计入当期损益的金融资产明细表!C:C,以公允价值计量且其变动计入当期损益的金融资产!A4,以公允价值计量且其变动计入当期损益的金融资产明细表!J:J),2)</f>
        <v>0</v>
      </c>
      <c r="C4" s="294">
        <f>ROUND(SUMIF(以公允价值计量且其变动计入当期损益的金融资产明细表!C:C,以公允价值计量且其变动计入当期损益的金融资产!A4,以公允价值计量且其变动计入当期损益的金融资产明细表!E:E),2)</f>
        <v>0</v>
      </c>
    </row>
    <row r="5" spans="1:3" ht="14.4">
      <c r="A5" s="138" t="s">
        <v>2419</v>
      </c>
      <c r="B5" s="294">
        <f>ROUND(SUMIF(以公允价值计量且其变动计入当期损益的金融资产明细表!C:C,以公允价值计量且其变动计入当期损益的金融资产!A5,以公允价值计量且其变动计入当期损益的金融资产明细表!J:J),2)</f>
        <v>0</v>
      </c>
      <c r="C5" s="294">
        <f>ROUND(SUMIF(以公允价值计量且其变动计入当期损益的金融资产明细表!C:C,以公允价值计量且其变动计入当期损益的金融资产!A5,以公允价值计量且其变动计入当期损益的金融资产明细表!E:E),2)</f>
        <v>0</v>
      </c>
    </row>
    <row r="6" spans="1:3" ht="14.4">
      <c r="A6" s="138" t="s">
        <v>2420</v>
      </c>
      <c r="B6" s="294">
        <f>ROUND(SUMIF(以公允价值计量且其变动计入当期损益的金融资产明细表!C:C,以公允价值计量且其变动计入当期损益的金融资产!A6,以公允价值计量且其变动计入当期损益的金融资产明细表!J:J),2)</f>
        <v>0</v>
      </c>
      <c r="C6" s="294">
        <f>ROUND(SUMIF(以公允价值计量且其变动计入当期损益的金融资产明细表!C:C,以公允价值计量且其变动计入当期损益的金融资产!A6,以公允价值计量且其变动计入当期损益的金融资产明细表!E:E),2)</f>
        <v>0</v>
      </c>
    </row>
    <row r="7" spans="1:3" ht="14.4">
      <c r="A7" s="138" t="s">
        <v>202</v>
      </c>
      <c r="B7" s="294">
        <f>ROUND(SUMIF(以公允价值计量且其变动计入当期损益的金融资产明细表!C:C,以公允价值计量且其变动计入当期损益的金融资产!A7,以公允价值计量且其变动计入当期损益的金融资产明细表!J:J),2)</f>
        <v>0</v>
      </c>
      <c r="C7" s="294">
        <f>ROUND(SUMIF(以公允价值计量且其变动计入当期损益的金融资产明细表!C:C,以公允价值计量且其变动计入当期损益的金融资产!A7,以公允价值计量且其变动计入当期损益的金融资产明细表!E:E),2)</f>
        <v>0</v>
      </c>
    </row>
    <row r="8" spans="1:3" ht="14.4">
      <c r="A8" s="35" t="s">
        <v>204</v>
      </c>
      <c r="B8" s="156">
        <f>ROUND(SUM(B2:B7),2)</f>
        <v>0</v>
      </c>
      <c r="C8" s="156">
        <f>ROUND(SUM(C2:C7),2)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sheetPr codeName="Sheet62"/>
  <dimension ref="A1:O28"/>
  <sheetViews>
    <sheetView workbookViewId="0">
      <selection activeCell="A4" sqref="A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style="230" bestFit="1" customWidth="1"/>
    <col min="12" max="13" width="20.44140625" style="230" bestFit="1" customWidth="1"/>
    <col min="14" max="14" width="9.5546875" style="230" bestFit="1" customWidth="1"/>
    <col min="15" max="15" width="27.109375" bestFit="1" customWidth="1"/>
    <col min="16" max="16" width="33.6640625" bestFit="1" customWidth="1"/>
  </cols>
  <sheetData>
    <row r="1" spans="1:15" s="262" customFormat="1">
      <c r="A1" s="262" t="s">
        <v>2015</v>
      </c>
      <c r="B1" s="262" t="s">
        <v>2402</v>
      </c>
      <c r="C1" s="262" t="s">
        <v>2403</v>
      </c>
      <c r="D1" s="262" t="s">
        <v>413</v>
      </c>
      <c r="E1" s="262" t="s">
        <v>2404</v>
      </c>
      <c r="F1" s="262" t="s">
        <v>2405</v>
      </c>
      <c r="G1" s="262" t="s">
        <v>2406</v>
      </c>
      <c r="H1" s="262" t="s">
        <v>2407</v>
      </c>
      <c r="I1" s="262" t="s">
        <v>2408</v>
      </c>
      <c r="J1" s="264" t="s">
        <v>2409</v>
      </c>
      <c r="K1" s="264" t="s">
        <v>2410</v>
      </c>
      <c r="L1" s="264" t="s">
        <v>2411</v>
      </c>
      <c r="M1" s="264" t="s">
        <v>2412</v>
      </c>
      <c r="N1" s="264" t="s">
        <v>2413</v>
      </c>
      <c r="O1" s="262" t="s">
        <v>2414</v>
      </c>
    </row>
    <row r="2" spans="1:15">
      <c r="A2" t="str">
        <f>IF(ABS(J2+E2)&gt;0,基础信息!$B$1,"")</f>
        <v/>
      </c>
      <c r="B2" s="256"/>
      <c r="C2" s="277"/>
      <c r="D2" s="256"/>
      <c r="E2" s="256"/>
      <c r="F2" s="256"/>
      <c r="G2" s="256"/>
      <c r="H2" s="256"/>
      <c r="I2" s="256"/>
      <c r="J2" s="230">
        <f t="shared" ref="J2:J23" si="0">E2+F2-G2-H2+I2</f>
        <v>0</v>
      </c>
      <c r="K2" s="290"/>
      <c r="L2" s="290"/>
      <c r="M2" s="290"/>
      <c r="N2" s="230">
        <f>K2+L2-M2</f>
        <v>0</v>
      </c>
      <c r="O2" s="256"/>
    </row>
    <row r="3" spans="1:15">
      <c r="A3" t="str">
        <f>IF(ABS(J3+E3)&gt;0,基础信息!$B$1,"")</f>
        <v/>
      </c>
      <c r="B3" s="256"/>
      <c r="C3" s="277"/>
      <c r="D3" s="256"/>
      <c r="E3" s="256"/>
      <c r="F3" s="256"/>
      <c r="G3" s="256"/>
      <c r="H3" s="256"/>
      <c r="I3" s="256"/>
      <c r="J3" s="230">
        <f t="shared" si="0"/>
        <v>0</v>
      </c>
      <c r="K3" s="290"/>
      <c r="L3" s="290"/>
      <c r="M3" s="290"/>
      <c r="N3" s="230">
        <f>K3+L3-M3</f>
        <v>0</v>
      </c>
      <c r="O3" s="256"/>
    </row>
    <row r="4" spans="1:15">
      <c r="A4" t="str">
        <f>IF(ABS(J4+E4)&gt;0,基础信息!$B$1,"")</f>
        <v/>
      </c>
      <c r="B4" s="256"/>
      <c r="C4" s="277"/>
      <c r="D4" s="256"/>
      <c r="E4" s="256"/>
      <c r="F4" s="256"/>
      <c r="G4" s="256"/>
      <c r="H4" s="256"/>
      <c r="I4" s="256"/>
      <c r="J4" s="230">
        <f t="shared" si="0"/>
        <v>0</v>
      </c>
      <c r="K4" s="290"/>
      <c r="L4" s="290"/>
      <c r="M4" s="290"/>
      <c r="N4" s="230">
        <f>K4+L4-M4</f>
        <v>0</v>
      </c>
      <c r="O4" s="256"/>
    </row>
    <row r="5" spans="1:15">
      <c r="A5" t="str">
        <f>IF(ABS(J5+E5)&gt;0,基础信息!$B$1,"")</f>
        <v/>
      </c>
      <c r="B5" s="256"/>
      <c r="C5" s="277"/>
      <c r="D5" s="256"/>
      <c r="E5" s="256"/>
      <c r="F5" s="256"/>
      <c r="G5" s="256"/>
      <c r="H5" s="256"/>
      <c r="I5" s="256"/>
      <c r="J5" s="230">
        <f t="shared" si="0"/>
        <v>0</v>
      </c>
      <c r="K5" s="290"/>
      <c r="L5" s="290"/>
      <c r="M5" s="290"/>
      <c r="N5" s="230">
        <f>K5+L5-M5</f>
        <v>0</v>
      </c>
      <c r="O5" s="256"/>
    </row>
    <row r="6" spans="1:15">
      <c r="A6" t="str">
        <f>IF(ABS(J6+E6)&gt;0,基础信息!$B$1,"")</f>
        <v/>
      </c>
      <c r="B6" s="256"/>
      <c r="C6" s="277"/>
      <c r="D6" s="256"/>
      <c r="E6" s="256"/>
      <c r="F6" s="256"/>
      <c r="G6" s="256"/>
      <c r="H6" s="256"/>
      <c r="I6" s="256"/>
      <c r="J6" s="230">
        <f t="shared" si="0"/>
        <v>0</v>
      </c>
      <c r="K6" s="290"/>
      <c r="L6" s="290"/>
      <c r="M6" s="290"/>
      <c r="N6" s="230">
        <f>K6+L6-M6</f>
        <v>0</v>
      </c>
      <c r="O6" s="256"/>
    </row>
    <row r="7" spans="1:15">
      <c r="A7" t="str">
        <f>IF(ABS(J7+E7)&gt;0,基础信息!$B$1,"")</f>
        <v/>
      </c>
      <c r="B7" s="256"/>
      <c r="C7" s="277"/>
      <c r="D7" s="256"/>
      <c r="E7" s="256"/>
      <c r="F7" s="256"/>
      <c r="G7" s="256"/>
      <c r="H7" s="256"/>
      <c r="I7" s="256"/>
      <c r="J7" s="230">
        <f t="shared" si="0"/>
        <v>0</v>
      </c>
      <c r="K7" s="290"/>
      <c r="L7" s="290"/>
      <c r="M7" s="290"/>
      <c r="N7" s="230">
        <f t="shared" ref="N7:N22" si="1">K7+L7-M7</f>
        <v>0</v>
      </c>
      <c r="O7" s="256"/>
    </row>
    <row r="8" spans="1:15">
      <c r="A8" t="str">
        <f>IF(ABS(J8+E8)&gt;0,基础信息!$B$1,"")</f>
        <v/>
      </c>
      <c r="B8" s="256"/>
      <c r="C8" s="277"/>
      <c r="D8" s="256"/>
      <c r="E8" s="256"/>
      <c r="F8" s="256"/>
      <c r="G8" s="256"/>
      <c r="H8" s="256"/>
      <c r="I8" s="256"/>
      <c r="J8" s="230">
        <f t="shared" si="0"/>
        <v>0</v>
      </c>
      <c r="K8" s="290"/>
      <c r="L8" s="290"/>
      <c r="M8" s="290"/>
      <c r="N8" s="230">
        <f t="shared" si="1"/>
        <v>0</v>
      </c>
      <c r="O8" s="256"/>
    </row>
    <row r="9" spans="1:15">
      <c r="A9" t="str">
        <f>IF(ABS(J9+E9)&gt;0,基础信息!$B$1,"")</f>
        <v/>
      </c>
      <c r="B9" s="256"/>
      <c r="C9" s="277"/>
      <c r="D9" s="256"/>
      <c r="E9" s="256"/>
      <c r="F9" s="256"/>
      <c r="G9" s="256"/>
      <c r="H9" s="256"/>
      <c r="I9" s="256"/>
      <c r="J9" s="230">
        <f t="shared" si="0"/>
        <v>0</v>
      </c>
      <c r="K9" s="290"/>
      <c r="L9" s="290"/>
      <c r="M9" s="290"/>
      <c r="N9" s="230">
        <f t="shared" si="1"/>
        <v>0</v>
      </c>
      <c r="O9" s="256"/>
    </row>
    <row r="10" spans="1:15">
      <c r="A10" t="str">
        <f>IF(ABS(J10+E10)&gt;0,基础信息!$B$1,"")</f>
        <v/>
      </c>
      <c r="B10" s="256"/>
      <c r="C10" s="277"/>
      <c r="D10" s="256"/>
      <c r="E10" s="256"/>
      <c r="F10" s="256"/>
      <c r="G10" s="256"/>
      <c r="H10" s="256"/>
      <c r="I10" s="256"/>
      <c r="J10" s="230">
        <f t="shared" si="0"/>
        <v>0</v>
      </c>
      <c r="K10" s="290"/>
      <c r="L10" s="290"/>
      <c r="M10" s="290"/>
      <c r="N10" s="230">
        <f t="shared" si="1"/>
        <v>0</v>
      </c>
      <c r="O10" s="256"/>
    </row>
    <row r="11" spans="1:15">
      <c r="A11" t="str">
        <f>IF(ABS(J11+E11)&gt;0,基础信息!$B$1,"")</f>
        <v/>
      </c>
      <c r="B11" s="256"/>
      <c r="C11" s="277"/>
      <c r="D11" s="256"/>
      <c r="E11" s="256"/>
      <c r="F11" s="256"/>
      <c r="G11" s="256"/>
      <c r="H11" s="256"/>
      <c r="I11" s="256"/>
      <c r="J11" s="230">
        <f t="shared" si="0"/>
        <v>0</v>
      </c>
      <c r="K11" s="290"/>
      <c r="L11" s="290"/>
      <c r="M11" s="290"/>
      <c r="N11" s="230">
        <f t="shared" si="1"/>
        <v>0</v>
      </c>
      <c r="O11" s="256"/>
    </row>
    <row r="12" spans="1:15">
      <c r="A12" t="str">
        <f>IF(ABS(J12+E12)&gt;0,基础信息!$B$1,"")</f>
        <v/>
      </c>
      <c r="B12" s="256"/>
      <c r="C12" s="277"/>
      <c r="D12" s="256"/>
      <c r="E12" s="256"/>
      <c r="F12" s="256"/>
      <c r="G12" s="256"/>
      <c r="H12" s="256"/>
      <c r="I12" s="256"/>
      <c r="J12" s="230">
        <f t="shared" si="0"/>
        <v>0</v>
      </c>
      <c r="K12" s="290"/>
      <c r="L12" s="290"/>
      <c r="M12" s="290"/>
      <c r="N12" s="230">
        <f t="shared" si="1"/>
        <v>0</v>
      </c>
      <c r="O12" s="256"/>
    </row>
    <row r="13" spans="1:15">
      <c r="A13" t="str">
        <f>IF(ABS(J13+E13)&gt;0,基础信息!$B$1,"")</f>
        <v/>
      </c>
      <c r="B13" s="256"/>
      <c r="C13" s="277"/>
      <c r="D13" s="256"/>
      <c r="E13" s="256"/>
      <c r="F13" s="256"/>
      <c r="G13" s="256"/>
      <c r="H13" s="256"/>
      <c r="I13" s="256"/>
      <c r="J13" s="230">
        <f t="shared" si="0"/>
        <v>0</v>
      </c>
      <c r="K13" s="290"/>
      <c r="L13" s="290"/>
      <c r="M13" s="290"/>
      <c r="N13" s="230">
        <f t="shared" si="1"/>
        <v>0</v>
      </c>
      <c r="O13" s="256"/>
    </row>
    <row r="14" spans="1:15">
      <c r="A14" t="str">
        <f>IF(ABS(J14+E14)&gt;0,基础信息!$B$1,"")</f>
        <v/>
      </c>
      <c r="B14" s="256"/>
      <c r="C14" s="277"/>
      <c r="D14" s="256"/>
      <c r="E14" s="256"/>
      <c r="F14" s="256"/>
      <c r="G14" s="256"/>
      <c r="H14" s="256"/>
      <c r="I14" s="256"/>
      <c r="J14" s="230">
        <f t="shared" si="0"/>
        <v>0</v>
      </c>
      <c r="K14" s="290"/>
      <c r="L14" s="290"/>
      <c r="M14" s="290"/>
      <c r="N14" s="230">
        <f t="shared" si="1"/>
        <v>0</v>
      </c>
      <c r="O14" s="256"/>
    </row>
    <row r="15" spans="1:15">
      <c r="A15" t="str">
        <f>IF(ABS(J15+E15)&gt;0,基础信息!$B$1,"")</f>
        <v/>
      </c>
      <c r="B15" s="256"/>
      <c r="C15" s="277"/>
      <c r="D15" s="256"/>
      <c r="E15" s="256"/>
      <c r="F15" s="256"/>
      <c r="G15" s="256"/>
      <c r="H15" s="256"/>
      <c r="I15" s="256"/>
      <c r="J15" s="230">
        <f t="shared" si="0"/>
        <v>0</v>
      </c>
      <c r="K15" s="290"/>
      <c r="L15" s="290"/>
      <c r="M15" s="290"/>
      <c r="N15" s="230">
        <f t="shared" si="1"/>
        <v>0</v>
      </c>
      <c r="O15" s="256"/>
    </row>
    <row r="16" spans="1:15">
      <c r="A16" t="str">
        <f>IF(ABS(J16+E16)&gt;0,基础信息!$B$1,"")</f>
        <v/>
      </c>
      <c r="B16" s="256"/>
      <c r="C16" s="277"/>
      <c r="D16" s="256"/>
      <c r="E16" s="256"/>
      <c r="F16" s="256"/>
      <c r="G16" s="256"/>
      <c r="H16" s="256"/>
      <c r="I16" s="256"/>
      <c r="J16" s="230">
        <f t="shared" si="0"/>
        <v>0</v>
      </c>
      <c r="K16" s="290"/>
      <c r="L16" s="290"/>
      <c r="M16" s="290"/>
      <c r="N16" s="230">
        <f t="shared" si="1"/>
        <v>0</v>
      </c>
      <c r="O16" s="256"/>
    </row>
    <row r="17" spans="1:15">
      <c r="A17" t="str">
        <f>IF(ABS(J17+E17)&gt;0,基础信息!$B$1,"")</f>
        <v/>
      </c>
      <c r="B17" s="256"/>
      <c r="C17" s="277"/>
      <c r="D17" s="256"/>
      <c r="E17" s="256"/>
      <c r="F17" s="256"/>
      <c r="G17" s="256"/>
      <c r="H17" s="256"/>
      <c r="I17" s="256"/>
      <c r="J17" s="230">
        <f t="shared" si="0"/>
        <v>0</v>
      </c>
      <c r="K17" s="290"/>
      <c r="L17" s="290"/>
      <c r="M17" s="290"/>
      <c r="N17" s="230">
        <f t="shared" si="1"/>
        <v>0</v>
      </c>
      <c r="O17" s="256"/>
    </row>
    <row r="18" spans="1:15">
      <c r="A18" t="str">
        <f>IF(ABS(J18+E18)&gt;0,基础信息!$B$1,"")</f>
        <v/>
      </c>
      <c r="B18" s="256"/>
      <c r="C18" s="277"/>
      <c r="D18" s="256"/>
      <c r="E18" s="256"/>
      <c r="F18" s="256"/>
      <c r="G18" s="256"/>
      <c r="H18" s="256"/>
      <c r="I18" s="256"/>
      <c r="J18" s="230">
        <f t="shared" si="0"/>
        <v>0</v>
      </c>
      <c r="K18" s="290"/>
      <c r="L18" s="290"/>
      <c r="M18" s="290"/>
      <c r="N18" s="230">
        <f t="shared" si="1"/>
        <v>0</v>
      </c>
      <c r="O18" s="256"/>
    </row>
    <row r="19" spans="1:15">
      <c r="A19" t="str">
        <f>IF(ABS(J19+E19)&gt;0,基础信息!$B$1,"")</f>
        <v/>
      </c>
      <c r="B19" s="256"/>
      <c r="C19" s="277"/>
      <c r="D19" s="256"/>
      <c r="E19" s="256"/>
      <c r="F19" s="256"/>
      <c r="G19" s="256"/>
      <c r="H19" s="256"/>
      <c r="I19" s="256"/>
      <c r="J19" s="230">
        <f t="shared" si="0"/>
        <v>0</v>
      </c>
      <c r="K19" s="290"/>
      <c r="L19" s="290"/>
      <c r="M19" s="290"/>
      <c r="N19" s="230">
        <f t="shared" si="1"/>
        <v>0</v>
      </c>
      <c r="O19" s="256"/>
    </row>
    <row r="20" spans="1:15">
      <c r="A20" t="str">
        <f>IF(ABS(J20+E20)&gt;0,基础信息!$B$1,"")</f>
        <v/>
      </c>
      <c r="B20" s="256"/>
      <c r="C20" s="277"/>
      <c r="D20" s="256"/>
      <c r="E20" s="256"/>
      <c r="F20" s="256"/>
      <c r="G20" s="256"/>
      <c r="H20" s="256"/>
      <c r="I20" s="256"/>
      <c r="J20" s="230">
        <f t="shared" si="0"/>
        <v>0</v>
      </c>
      <c r="K20" s="290"/>
      <c r="L20" s="290"/>
      <c r="M20" s="290"/>
      <c r="N20" s="230">
        <f t="shared" si="1"/>
        <v>0</v>
      </c>
      <c r="O20" s="256"/>
    </row>
    <row r="21" spans="1:15">
      <c r="A21" t="str">
        <f>IF(ABS(J21+E21)&gt;0,基础信息!$B$1,"")</f>
        <v/>
      </c>
      <c r="B21" s="256"/>
      <c r="C21" s="277"/>
      <c r="D21" s="256"/>
      <c r="E21" s="256"/>
      <c r="F21" s="256"/>
      <c r="G21" s="256"/>
      <c r="H21" s="256"/>
      <c r="I21" s="256"/>
      <c r="J21" s="230">
        <f t="shared" si="0"/>
        <v>0</v>
      </c>
      <c r="K21" s="290"/>
      <c r="L21" s="290"/>
      <c r="M21" s="290"/>
      <c r="N21" s="230">
        <f t="shared" si="1"/>
        <v>0</v>
      </c>
      <c r="O21" s="256"/>
    </row>
    <row r="22" spans="1:15">
      <c r="A22" t="str">
        <f>IF(ABS(J22+E22)&gt;0,基础信息!$B$1,"")</f>
        <v/>
      </c>
      <c r="B22" s="256"/>
      <c r="C22" s="277"/>
      <c r="D22" s="256"/>
      <c r="E22" s="256"/>
      <c r="F22" s="256"/>
      <c r="G22" s="256"/>
      <c r="H22" s="256"/>
      <c r="I22" s="256"/>
      <c r="J22" s="230">
        <f t="shared" si="0"/>
        <v>0</v>
      </c>
      <c r="K22" s="290"/>
      <c r="L22" s="290"/>
      <c r="M22" s="290"/>
      <c r="N22" s="230">
        <f t="shared" si="1"/>
        <v>0</v>
      </c>
      <c r="O22" s="256"/>
    </row>
    <row r="23" spans="1:15">
      <c r="A23" t="str">
        <f>IF(ABS(J23+E23)&gt;0,基础信息!$B$1,"")</f>
        <v/>
      </c>
      <c r="B23" s="256"/>
      <c r="C23" s="277"/>
      <c r="D23" s="256"/>
      <c r="E23" s="256"/>
      <c r="F23" s="256"/>
      <c r="G23" s="256"/>
      <c r="H23" s="256"/>
      <c r="I23" s="256"/>
      <c r="J23" s="230">
        <f t="shared" si="0"/>
        <v>0</v>
      </c>
      <c r="K23" s="290"/>
      <c r="L23" s="290"/>
      <c r="M23" s="290"/>
      <c r="O23" s="256"/>
    </row>
    <row r="24" spans="1:15">
      <c r="A24" t="str">
        <f>IF(ABS(J24+E24)&gt;0,基础信息!$B$1,"")</f>
        <v/>
      </c>
      <c r="B24" s="256"/>
      <c r="C24" s="277"/>
      <c r="D24" s="256"/>
      <c r="E24" s="256"/>
      <c r="F24" s="256"/>
      <c r="G24" s="256"/>
      <c r="H24" s="256"/>
      <c r="I24" s="256"/>
      <c r="K24" s="290"/>
      <c r="L24" s="290"/>
      <c r="M24" s="290"/>
      <c r="O24" s="256"/>
    </row>
    <row r="25" spans="1:15">
      <c r="B25" s="256"/>
      <c r="C25" s="277"/>
      <c r="D25" s="256"/>
      <c r="E25" s="256"/>
      <c r="F25" s="256"/>
      <c r="G25" s="256"/>
      <c r="H25" s="256"/>
      <c r="I25" s="256"/>
      <c r="K25" s="290"/>
      <c r="L25" s="290"/>
      <c r="M25" s="290"/>
      <c r="O25" s="256"/>
    </row>
    <row r="26" spans="1:15">
      <c r="B26" s="256"/>
      <c r="C26" s="277"/>
      <c r="D26" s="256"/>
      <c r="E26" s="256"/>
      <c r="F26" s="256"/>
      <c r="G26" s="256"/>
      <c r="H26" s="256"/>
      <c r="I26" s="256"/>
      <c r="K26" s="290"/>
      <c r="L26" s="290"/>
      <c r="M26" s="290"/>
      <c r="O26" s="256"/>
    </row>
    <row r="27" spans="1:15">
      <c r="B27" s="256"/>
      <c r="C27" s="277"/>
      <c r="D27" s="256"/>
      <c r="E27" s="256"/>
      <c r="F27" s="256"/>
      <c r="G27" s="256"/>
      <c r="H27" s="256"/>
      <c r="I27" s="256"/>
      <c r="K27" s="290"/>
      <c r="L27" s="290"/>
      <c r="M27" s="290"/>
      <c r="O27" s="256"/>
    </row>
    <row r="28" spans="1:15">
      <c r="C28"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codeName="Sheet63">
    <tabColor rgb="FFFFC000"/>
  </sheetPr>
  <dimension ref="A1:C10"/>
  <sheetViews>
    <sheetView workbookViewId="0">
      <selection activeCell="E9" sqref="E9"/>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4" t="s">
        <v>199</v>
      </c>
      <c r="C1" s="154" t="s">
        <v>200</v>
      </c>
    </row>
    <row r="2" spans="1:3" ht="14.4">
      <c r="A2" s="138" t="s">
        <v>2422</v>
      </c>
      <c r="B2" s="295">
        <f>ROUND(SUMIF(衍生金融资产明细表!B:B,衍生金融资产!A2,衍生金融资产明细表!C:C),2)</f>
        <v>0</v>
      </c>
      <c r="C2" s="295">
        <f>ROUND(SUMIF(衍生金融资产明细表!B:B,衍生金融资产!A2,衍生金融资产明细表!D:D),2)</f>
        <v>0</v>
      </c>
    </row>
    <row r="3" spans="1:3" ht="14.4">
      <c r="A3" s="138" t="s">
        <v>2423</v>
      </c>
      <c r="B3" s="295">
        <f>ROUND(SUMIF(衍生金融资产明细表!B:B,衍生金融资产!A3,衍生金融资产明细表!C:C),2)</f>
        <v>0</v>
      </c>
      <c r="C3" s="295">
        <f>ROUND(SUMIF(衍生金融资产明细表!B:B,衍生金融资产!A3,衍生金融资产明细表!D:D),2)</f>
        <v>0</v>
      </c>
    </row>
    <row r="4" spans="1:3" ht="14.4">
      <c r="A4" s="138"/>
      <c r="B4" s="295">
        <f>ROUND(SUMIF(衍生金融资产明细表!B:B,衍生金融资产!A4,衍生金融资产明细表!C:C),2)</f>
        <v>0</v>
      </c>
      <c r="C4" s="295">
        <f>ROUND(SUMIF(衍生金融资产明细表!B:B,衍生金融资产!A4,衍生金融资产明细表!D:D),2)</f>
        <v>0</v>
      </c>
    </row>
    <row r="5" spans="1:3" ht="14.4">
      <c r="A5" s="138"/>
      <c r="B5" s="295">
        <f>ROUND(SUMIF(衍生金融资产明细表!B:B,衍生金融资产!A5,衍生金融资产明细表!C:C),2)</f>
        <v>0</v>
      </c>
      <c r="C5" s="295">
        <f>ROUND(SUMIF(衍生金融资产明细表!B:B,衍生金融资产!A5,衍生金融资产明细表!D:D),2)</f>
        <v>0</v>
      </c>
    </row>
    <row r="6" spans="1:3" ht="14.4">
      <c r="A6" s="138"/>
      <c r="B6" s="295">
        <f>ROUND(SUMIF(衍生金融资产明细表!B:B,衍生金融资产!A6,衍生金融资产明细表!C:C),2)</f>
        <v>0</v>
      </c>
      <c r="C6" s="295">
        <f>ROUND(SUMIF(衍生金融资产明细表!B:B,衍生金融资产!A6,衍生金融资产明细表!D:D),2)</f>
        <v>0</v>
      </c>
    </row>
    <row r="7" spans="1:3" ht="14.4">
      <c r="A7" s="138"/>
      <c r="B7" s="295">
        <f>ROUND(SUMIF(衍生金融资产明细表!B:B,衍生金融资产!A7,衍生金融资产明细表!C:C),2)</f>
        <v>0</v>
      </c>
      <c r="C7" s="295">
        <f>ROUND(SUMIF(衍生金融资产明细表!B:B,衍生金融资产!A7,衍生金融资产明细表!D:D),2)</f>
        <v>0</v>
      </c>
    </row>
    <row r="8" spans="1:3" ht="14.4">
      <c r="A8" s="138"/>
      <c r="B8" s="295">
        <f>ROUND(SUMIF(衍生金融资产明细表!B:B,衍生金融资产!A8,衍生金融资产明细表!C:C),2)</f>
        <v>0</v>
      </c>
      <c r="C8" s="295">
        <f>ROUND(SUMIF(衍生金融资产明细表!B:B,衍生金融资产!A8,衍生金融资产明细表!D:D),2)</f>
        <v>0</v>
      </c>
    </row>
    <row r="9" spans="1:3" ht="14.4">
      <c r="A9" s="138"/>
      <c r="B9" s="295">
        <f>ROUND(SUMIF(衍生金融资产明细表!B:B,衍生金融资产!A9,衍生金融资产明细表!C:C),2)</f>
        <v>0</v>
      </c>
      <c r="C9" s="295">
        <f>ROUND(SUMIF(衍生金融资产明细表!B:B,衍生金融资产!A9,衍生金融资产明细表!D:D),2)</f>
        <v>0</v>
      </c>
    </row>
    <row r="10" spans="1:3">
      <c r="A10" s="62" t="s">
        <v>204</v>
      </c>
      <c r="B10" s="1">
        <f>ROUND(SUM(B2:B9),2)</f>
        <v>0</v>
      </c>
      <c r="C10" s="1">
        <f>ROUND(SUM(C2:C9),2)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sheetPr codeName="Sheet64"/>
  <dimension ref="A1:D14"/>
  <sheetViews>
    <sheetView workbookViewId="0">
      <selection activeCell="A5" sqref="A5"/>
    </sheetView>
  </sheetViews>
  <sheetFormatPr defaultRowHeight="13.8"/>
  <sheetData>
    <row r="1" spans="1:4">
      <c r="A1" s="262" t="s">
        <v>2015</v>
      </c>
      <c r="B1" s="262" t="s">
        <v>2016</v>
      </c>
      <c r="C1" s="262" t="s">
        <v>199</v>
      </c>
      <c r="D1" s="262" t="s">
        <v>200</v>
      </c>
    </row>
    <row r="2" spans="1:4">
      <c r="A2" t="str">
        <f>IF((ABS(C2)+ABS(D2))&gt;0,基础信息!$B$1,"")</f>
        <v/>
      </c>
      <c r="B2" s="277"/>
      <c r="C2" s="256"/>
      <c r="D2" s="256"/>
    </row>
    <row r="3" spans="1:4">
      <c r="A3" t="str">
        <f>IF((ABS(C3)+ABS(D3))&gt;0,基础信息!$B$1,"")</f>
        <v/>
      </c>
      <c r="B3" s="277"/>
      <c r="C3" s="256"/>
      <c r="D3" s="256"/>
    </row>
    <row r="4" spans="1:4">
      <c r="A4" t="str">
        <f>IF((ABS(C4)+ABS(D4))&gt;0,基础信息!$B$1,"")</f>
        <v/>
      </c>
      <c r="B4" s="277"/>
      <c r="C4" s="256"/>
      <c r="D4" s="256"/>
    </row>
    <row r="5" spans="1:4">
      <c r="A5" t="str">
        <f>IF((ABS(C5)+ABS(D5))&gt;0,基础信息!$B$1,"")</f>
        <v/>
      </c>
      <c r="B5" s="277"/>
      <c r="C5" s="256"/>
      <c r="D5" s="256"/>
    </row>
    <row r="6" spans="1:4">
      <c r="A6" t="str">
        <f>IF((ABS(C6)+ABS(D6))&gt;0,基础信息!$B$1,"")</f>
        <v/>
      </c>
      <c r="B6" s="277"/>
      <c r="C6" s="256"/>
      <c r="D6" s="256"/>
    </row>
    <row r="7" spans="1:4">
      <c r="A7" t="str">
        <f>IF((ABS(C7)+ABS(D7))&gt;0,基础信息!$B$1,"")</f>
        <v/>
      </c>
      <c r="B7" s="277"/>
      <c r="C7" s="256"/>
      <c r="D7" s="256"/>
    </row>
    <row r="8" spans="1:4">
      <c r="A8" t="str">
        <f>IF((ABS(C8)+ABS(D8))&gt;0,基础信息!$B$1,"")</f>
        <v/>
      </c>
      <c r="B8" s="277"/>
      <c r="C8" s="256"/>
      <c r="D8" s="256"/>
    </row>
    <row r="9" spans="1:4">
      <c r="A9" t="str">
        <f>IF((ABS(C9)+ABS(D9))&gt;0,基础信息!$B$1,"")</f>
        <v/>
      </c>
      <c r="B9" s="277"/>
      <c r="C9" s="256"/>
      <c r="D9" s="256"/>
    </row>
    <row r="10" spans="1:4">
      <c r="A10" t="str">
        <f>IF((ABS(C10)+ABS(D10))&gt;0,基础信息!$B$1,"")</f>
        <v/>
      </c>
      <c r="B10" s="277"/>
      <c r="C10" s="256"/>
      <c r="D10" s="256"/>
    </row>
    <row r="11" spans="1:4">
      <c r="A11" t="str">
        <f>IF((ABS(C11)+ABS(D11))&gt;0,基础信息!$B$1,"")</f>
        <v/>
      </c>
      <c r="B11" s="277"/>
      <c r="C11" s="256"/>
      <c r="D11" s="256"/>
    </row>
    <row r="12" spans="1:4">
      <c r="A12" t="str">
        <f>IF((ABS(C12)+ABS(D12))&gt;0,基础信息!$B$1,"")</f>
        <v/>
      </c>
      <c r="B12" s="277"/>
      <c r="C12" s="256"/>
      <c r="D12" s="256"/>
    </row>
    <row r="13" spans="1:4">
      <c r="A13" t="str">
        <f>IF((ABS(C13)+ABS(D13))&gt;0,基础信息!$B$1,"")</f>
        <v/>
      </c>
      <c r="B13" s="277"/>
      <c r="C13" s="256"/>
      <c r="D13" s="256"/>
    </row>
    <row r="14" spans="1:4">
      <c r="A14" t="str">
        <f>IF((ABS(C14)+ABS(D14))&gt;0,基础信息!$B$1,"")</f>
        <v/>
      </c>
      <c r="B14" s="277"/>
      <c r="C14" s="256"/>
      <c r="D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codeName="Sheet65">
    <tabColor rgb="FFFFC000"/>
  </sheetPr>
  <dimension ref="A1:G7"/>
  <sheetViews>
    <sheetView workbookViewId="0">
      <selection activeCell="E29" sqref="E29"/>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32" t="s">
        <v>206</v>
      </c>
      <c r="B2" s="297">
        <f>ROUND(SUMIF(应收票据明细表!C:C,A2,应收票据明细表!F:F),2)</f>
        <v>0</v>
      </c>
      <c r="C2" s="298">
        <f>ROUND(SUMIF(应收票据明细表!C:C,应收票据分类新金融工具准则!A2,应收票据明细表!K:K),2)</f>
        <v>0</v>
      </c>
      <c r="D2" s="69">
        <f>ROUND(B2-C2,2)</f>
        <v>0</v>
      </c>
      <c r="E2" s="279"/>
      <c r="F2" s="279"/>
      <c r="G2" s="69">
        <f>ROUND(E2-F2,2)</f>
        <v>0</v>
      </c>
    </row>
    <row r="3" spans="1:7" ht="15">
      <c r="A3" s="532" t="s">
        <v>207</v>
      </c>
      <c r="B3" s="297">
        <f>ROUND(SUMIF(应收票据明细表!C:C,A3,应收票据明细表!F:F),2)</f>
        <v>0</v>
      </c>
      <c r="C3" s="298">
        <f>ROUND(SUMIF(应收票据明细表!C:C,应收票据分类新金融工具准则!A3,应收票据明细表!K:K),2)</f>
        <v>0</v>
      </c>
      <c r="D3" s="69">
        <f>ROUND(B3-C3,2)</f>
        <v>0</v>
      </c>
      <c r="E3" s="279"/>
      <c r="F3" s="279"/>
      <c r="G3" s="69">
        <f>ROUND(E3-F3,2)</f>
        <v>0</v>
      </c>
    </row>
    <row r="4" spans="1:7" ht="14.4">
      <c r="A4" s="20" t="s">
        <v>204</v>
      </c>
      <c r="B4" s="152">
        <f>ROUND(SUM(B2:B3),2)</f>
        <v>0</v>
      </c>
      <c r="C4" s="152">
        <f>ROUND(SUM(C2:C3),2)</f>
        <v>0</v>
      </c>
      <c r="D4" s="152">
        <f>ROUND(SUM(D2:D3),2)</f>
        <v>0</v>
      </c>
      <c r="E4" s="152">
        <f>ROUND(SUM(E2:E3),2)</f>
        <v>0</v>
      </c>
      <c r="F4" s="152">
        <f>ROUND(SUM(F2:F3),2)</f>
        <v>0</v>
      </c>
      <c r="G4" s="152">
        <f>ROUND(SUM(G2:G3),2)</f>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codeName="Sheet66">
    <tabColor rgb="FF92D050"/>
  </sheetPr>
  <dimension ref="A1:B4"/>
  <sheetViews>
    <sheetView workbookViewId="0">
      <selection activeCell="F7" sqref="F7"/>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4" t="s">
        <v>208</v>
      </c>
    </row>
    <row r="2" spans="1:2" ht="15">
      <c r="A2" s="532" t="s">
        <v>206</v>
      </c>
      <c r="B2" s="299">
        <f>ROUND(SUMIF(已质押票据明细表!C:C,已质押应收票据!A2,已质押票据明细表!F:F),2)</f>
        <v>0</v>
      </c>
    </row>
    <row r="3" spans="1:2" ht="15">
      <c r="A3" s="532" t="s">
        <v>207</v>
      </c>
      <c r="B3" s="299">
        <f>ROUND(SUMIF(已质押票据明细表!C:C,已质押应收票据!A3,已质押票据明细表!F:F),2)</f>
        <v>0</v>
      </c>
    </row>
    <row r="4" spans="1:2" ht="14.4">
      <c r="A4" s="20" t="s">
        <v>204</v>
      </c>
      <c r="B4" s="158">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sheetPr codeName="Sheet67"/>
  <dimension ref="A1:H21"/>
  <sheetViews>
    <sheetView workbookViewId="0">
      <selection activeCell="A5" sqref="A5"/>
    </sheetView>
  </sheetViews>
  <sheetFormatPr defaultRowHeight="13.8"/>
  <sheetData>
    <row r="1" spans="1:8">
      <c r="A1" t="s">
        <v>2427</v>
      </c>
      <c r="B1" t="s">
        <v>2425</v>
      </c>
      <c r="C1" t="s">
        <v>2426</v>
      </c>
      <c r="D1" t="s">
        <v>2424</v>
      </c>
      <c r="E1" t="s">
        <v>404</v>
      </c>
      <c r="F1" t="s">
        <v>183</v>
      </c>
      <c r="G1" t="s">
        <v>213</v>
      </c>
      <c r="H1" t="s">
        <v>2428</v>
      </c>
    </row>
    <row r="2" spans="1:8">
      <c r="A2" t="str">
        <f>IF(ABS(F2)&gt;0,基础信息!$B$1,"")</f>
        <v/>
      </c>
      <c r="B2" s="256"/>
      <c r="C2" s="277"/>
      <c r="D2" s="256"/>
      <c r="E2" s="256"/>
      <c r="F2" s="256"/>
      <c r="G2" s="256"/>
      <c r="H2" s="256"/>
    </row>
    <row r="3" spans="1:8">
      <c r="A3" t="str">
        <f>IF(ABS(F3)&gt;0,基础信息!$B$1,"")</f>
        <v/>
      </c>
      <c r="B3" s="256"/>
      <c r="C3" s="277"/>
      <c r="D3" s="256"/>
      <c r="E3" s="256"/>
      <c r="F3" s="256"/>
      <c r="G3" s="256"/>
      <c r="H3" s="256"/>
    </row>
    <row r="4" spans="1:8">
      <c r="A4" t="str">
        <f>IF(ABS(F4)&gt;0,基础信息!$B$1,"")</f>
        <v/>
      </c>
      <c r="B4" s="256"/>
      <c r="C4" s="277"/>
      <c r="D4" s="256"/>
      <c r="E4" s="256"/>
      <c r="F4" s="256"/>
      <c r="G4" s="256"/>
      <c r="H4" s="256"/>
    </row>
    <row r="5" spans="1:8">
      <c r="A5" t="str">
        <f>IF(ABS(F5)&gt;0,基础信息!$B$1,"")</f>
        <v/>
      </c>
      <c r="B5" s="256"/>
      <c r="C5" s="277"/>
      <c r="D5" s="256"/>
      <c r="E5" s="256"/>
      <c r="F5" s="256"/>
      <c r="G5" s="256"/>
      <c r="H5" s="256"/>
    </row>
    <row r="6" spans="1:8">
      <c r="A6" t="str">
        <f>IF(ABS(F6)&gt;0,基础信息!$B$1,"")</f>
        <v/>
      </c>
      <c r="B6" s="256"/>
      <c r="C6" s="277"/>
      <c r="D6" s="256"/>
      <c r="E6" s="256"/>
      <c r="F6" s="256"/>
      <c r="G6" s="256"/>
      <c r="H6" s="256"/>
    </row>
    <row r="7" spans="1:8">
      <c r="A7" t="str">
        <f>IF(ABS(F7)&gt;0,基础信息!$B$1,"")</f>
        <v/>
      </c>
      <c r="B7" s="256"/>
      <c r="C7" s="277"/>
      <c r="D7" s="256"/>
      <c r="E7" s="256"/>
      <c r="F7" s="256"/>
      <c r="G7" s="256"/>
      <c r="H7" s="256"/>
    </row>
    <row r="8" spans="1:8">
      <c r="A8" t="str">
        <f>IF(ABS(F8)&gt;0,基础信息!$B$1,"")</f>
        <v/>
      </c>
      <c r="B8" s="256"/>
      <c r="C8" s="277"/>
      <c r="D8" s="256"/>
      <c r="E8" s="256"/>
      <c r="F8" s="256"/>
      <c r="G8" s="256"/>
      <c r="H8" s="256"/>
    </row>
    <row r="9" spans="1:8">
      <c r="A9" t="str">
        <f>IF(ABS(F9)&gt;0,基础信息!$B$1,"")</f>
        <v/>
      </c>
      <c r="B9" s="256"/>
      <c r="C9" s="277"/>
      <c r="D9" s="256"/>
      <c r="E9" s="256"/>
      <c r="F9" s="256"/>
      <c r="G9" s="256"/>
      <c r="H9" s="256"/>
    </row>
    <row r="10" spans="1:8">
      <c r="A10" t="str">
        <f>IF(ABS(F10)&gt;0,基础信息!$B$1,"")</f>
        <v/>
      </c>
      <c r="B10" s="256"/>
      <c r="C10" s="277"/>
      <c r="D10" s="256"/>
      <c r="E10" s="256"/>
      <c r="F10" s="256"/>
      <c r="G10" s="256"/>
      <c r="H10" s="256"/>
    </row>
    <row r="11" spans="1:8">
      <c r="A11" t="str">
        <f>IF(ABS(F11)&gt;0,基础信息!$B$1,"")</f>
        <v/>
      </c>
      <c r="B11" s="256"/>
      <c r="C11" s="277"/>
      <c r="D11" s="256"/>
      <c r="E11" s="256"/>
      <c r="F11" s="256"/>
      <c r="G11" s="256"/>
      <c r="H11" s="256"/>
    </row>
    <row r="12" spans="1:8">
      <c r="A12" t="str">
        <f>IF(ABS(F12)&gt;0,基础信息!$B$1,"")</f>
        <v/>
      </c>
      <c r="B12" s="256"/>
      <c r="C12" s="277"/>
      <c r="D12" s="256"/>
      <c r="E12" s="256"/>
      <c r="F12" s="256"/>
      <c r="G12" s="256"/>
      <c r="H12" s="256"/>
    </row>
    <row r="13" spans="1:8">
      <c r="A13" t="str">
        <f>IF(ABS(F13)&gt;0,基础信息!$B$1,"")</f>
        <v/>
      </c>
      <c r="B13" s="256"/>
      <c r="C13" s="277"/>
      <c r="D13" s="256"/>
      <c r="E13" s="256"/>
      <c r="F13" s="256"/>
      <c r="G13" s="256"/>
      <c r="H13" s="256"/>
    </row>
    <row r="14" spans="1:8">
      <c r="A14" t="str">
        <f>IF(ABS(F14)&gt;0,基础信息!$B$1,"")</f>
        <v/>
      </c>
      <c r="B14" s="256"/>
      <c r="C14" s="277"/>
      <c r="D14" s="256"/>
      <c r="E14" s="256"/>
      <c r="F14" s="256"/>
      <c r="G14" s="256"/>
      <c r="H14" s="256"/>
    </row>
    <row r="15" spans="1:8">
      <c r="A15" t="str">
        <f>IF(ABS(F15)&gt;0,基础信息!$B$1,"")</f>
        <v/>
      </c>
      <c r="B15" s="256"/>
      <c r="C15" s="277"/>
      <c r="D15" s="256"/>
      <c r="E15" s="256"/>
      <c r="F15" s="256"/>
      <c r="G15" s="256"/>
      <c r="H15" s="256"/>
    </row>
    <row r="16" spans="1:8">
      <c r="A16" t="str">
        <f>IF(ABS(F16)&gt;0,基础信息!$B$1,"")</f>
        <v/>
      </c>
      <c r="B16" s="256"/>
      <c r="C16" s="277"/>
      <c r="D16" s="256"/>
      <c r="E16" s="256"/>
      <c r="F16" s="256"/>
      <c r="G16" s="256"/>
      <c r="H16" s="256"/>
    </row>
    <row r="17" spans="1:8">
      <c r="A17" t="str">
        <f>IF(ABS(F17)&gt;0,基础信息!$B$1,"")</f>
        <v/>
      </c>
      <c r="B17" s="256"/>
      <c r="C17" s="277"/>
      <c r="D17" s="256"/>
      <c r="E17" s="256"/>
      <c r="F17" s="256"/>
      <c r="G17" s="256"/>
      <c r="H17" s="256"/>
    </row>
    <row r="18" spans="1:8">
      <c r="A18" t="str">
        <f>IF(ABS(F18)&gt;0,基础信息!$B$1,"")</f>
        <v/>
      </c>
      <c r="B18" s="256"/>
      <c r="C18" s="277"/>
      <c r="D18" s="256"/>
      <c r="E18" s="256"/>
      <c r="F18" s="256"/>
      <c r="G18" s="256"/>
      <c r="H18" s="256"/>
    </row>
    <row r="19" spans="1:8">
      <c r="A19" t="str">
        <f>IF(ABS(F19)&gt;0,基础信息!$B$1,"")</f>
        <v/>
      </c>
      <c r="B19" s="256"/>
      <c r="C19" s="277"/>
      <c r="D19" s="256"/>
      <c r="E19" s="256"/>
      <c r="F19" s="256"/>
      <c r="G19" s="256"/>
      <c r="H19" s="256"/>
    </row>
    <row r="20" spans="1:8">
      <c r="A20" t="str">
        <f>IF(ABS(F20)&gt;0,基础信息!$B$1,"")</f>
        <v/>
      </c>
      <c r="B20" s="256"/>
      <c r="C20" s="277"/>
      <c r="D20" s="256"/>
      <c r="E20" s="256"/>
      <c r="F20" s="256"/>
      <c r="G20" s="256"/>
      <c r="H20" s="256"/>
    </row>
    <row r="21" spans="1:8">
      <c r="A21" t="str">
        <f>IF(ABS(F21)&gt;0,基础信息!$B$1,"")</f>
        <v/>
      </c>
      <c r="B21" s="256"/>
      <c r="C21" s="277"/>
      <c r="D21" s="256"/>
      <c r="E21" s="256"/>
      <c r="F21" s="256"/>
      <c r="G21" s="256"/>
      <c r="H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codeName="Sheet68">
    <tabColor rgb="FFFFC000"/>
  </sheetPr>
  <dimension ref="A1:C4"/>
  <sheetViews>
    <sheetView workbookViewId="0">
      <selection activeCell="C4" sqref="C4"/>
    </sheetView>
  </sheetViews>
  <sheetFormatPr defaultRowHeight="13.8"/>
  <cols>
    <col min="1" max="1" width="13.88671875" style="72"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32" t="s">
        <v>206</v>
      </c>
      <c r="B2" s="299">
        <f>ROUND(SUMIF(已背书或贴现且在资产负债表日尚未到期的应收票据明细表!C:C,已背书或贴现且在资产负债表日尚未到期的应收票据!A2,已背书或贴现且在资产负债表日尚未到期的应收票据明细表!K:K),2)</f>
        <v>0</v>
      </c>
      <c r="C2" s="299">
        <f>ROUND(SUMIF(已背书或贴现且在资产负债表日尚未到期的应收票据明细表!C:C,已背书或贴现且在资产负债表日尚未到期的应收票据!A2,已背书或贴现且在资产负债表日尚未到期的应收票据明细表!L:L),2)</f>
        <v>0</v>
      </c>
    </row>
    <row r="3" spans="1:3" ht="15">
      <c r="A3" s="532" t="s">
        <v>207</v>
      </c>
      <c r="B3" s="299">
        <f>ROUND(SUMIF(已背书或贴现且在资产负债表日尚未到期的应收票据明细表!C:C,已背书或贴现且在资产负债表日尚未到期的应收票据!A3,已背书或贴现且在资产负债表日尚未到期的应收票据明细表!K:K),2)</f>
        <v>0</v>
      </c>
      <c r="C3" s="299">
        <f>ROUND(SUMIF(已背书或贴现且在资产负债表日尚未到期的应收票据明细表!C:C,已背书或贴现且在资产负债表日尚未到期的应收票据!A3,已背书或贴现且在资产负债表日尚未到期的应收票据明细表!L:L),2)</f>
        <v>0</v>
      </c>
    </row>
    <row r="4" spans="1:3" ht="14.4">
      <c r="A4" s="20" t="s">
        <v>204</v>
      </c>
      <c r="B4" s="158">
        <f>ROUND(SUM(B2:B3),2)</f>
        <v>0</v>
      </c>
      <c r="C4" s="158">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sheetPr codeName="Sheet69"/>
  <dimension ref="A1:L160"/>
  <sheetViews>
    <sheetView workbookViewId="0">
      <selection activeCell="K23" sqref="K23"/>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2427</v>
      </c>
      <c r="B1" t="s">
        <v>2425</v>
      </c>
      <c r="C1" t="s">
        <v>2426</v>
      </c>
      <c r="D1" t="s">
        <v>2429</v>
      </c>
      <c r="E1" t="s">
        <v>2424</v>
      </c>
      <c r="F1" t="s">
        <v>404</v>
      </c>
      <c r="G1" t="s">
        <v>183</v>
      </c>
      <c r="H1" t="s">
        <v>213</v>
      </c>
      <c r="I1" t="s">
        <v>2432</v>
      </c>
      <c r="J1" t="s">
        <v>2433</v>
      </c>
      <c r="K1" t="s">
        <v>2430</v>
      </c>
      <c r="L1" t="s">
        <v>2431</v>
      </c>
    </row>
    <row r="2" spans="1:12">
      <c r="A2" t="str">
        <f>IF(ABS(G2)&gt;0,基础信息!$B$1,"")</f>
        <v/>
      </c>
      <c r="B2" s="256"/>
      <c r="C2" s="277"/>
      <c r="D2" s="277"/>
      <c r="E2" s="256"/>
      <c r="F2" s="256"/>
      <c r="G2" s="256"/>
      <c r="H2" s="256"/>
      <c r="I2" s="256"/>
      <c r="J2" s="256"/>
      <c r="K2" s="256"/>
      <c r="L2" s="256"/>
    </row>
    <row r="3" spans="1:12">
      <c r="A3" t="str">
        <f>IF(ABS(G3)&gt;0,基础信息!$B$1,"")</f>
        <v/>
      </c>
      <c r="B3" s="256"/>
      <c r="C3" s="277"/>
      <c r="D3" s="277"/>
      <c r="E3" s="256"/>
      <c r="F3" s="256"/>
      <c r="G3" s="256"/>
      <c r="H3" s="256"/>
      <c r="I3" s="256"/>
      <c r="J3" s="256"/>
      <c r="K3" s="256"/>
      <c r="L3" s="256"/>
    </row>
    <row r="4" spans="1:12">
      <c r="A4" t="str">
        <f>IF(ABS(G4)&gt;0,基础信息!$B$1,"")</f>
        <v/>
      </c>
      <c r="B4" s="256"/>
      <c r="C4" s="277"/>
      <c r="D4" s="277"/>
      <c r="E4" s="256"/>
      <c r="F4" s="256"/>
      <c r="G4" s="256"/>
      <c r="H4" s="256"/>
      <c r="I4" s="256"/>
      <c r="J4" s="256"/>
      <c r="K4" s="256"/>
      <c r="L4" s="256"/>
    </row>
    <row r="5" spans="1:12">
      <c r="A5" t="str">
        <f>IF(ABS(G5)&gt;0,基础信息!$B$1,"")</f>
        <v/>
      </c>
      <c r="B5" s="256"/>
      <c r="C5" s="277"/>
      <c r="D5" s="277"/>
      <c r="E5" s="256"/>
      <c r="F5" s="256"/>
      <c r="G5" s="256"/>
      <c r="H5" s="256"/>
      <c r="I5" s="256"/>
      <c r="J5" s="256"/>
      <c r="K5" s="256"/>
      <c r="L5" s="256"/>
    </row>
    <row r="6" spans="1:12">
      <c r="A6" t="str">
        <f>IF(ABS(G6)&gt;0,基础信息!$B$1,"")</f>
        <v/>
      </c>
      <c r="B6" s="256"/>
      <c r="C6" s="277"/>
      <c r="D6" s="277"/>
      <c r="E6" s="256"/>
      <c r="F6" s="256"/>
      <c r="G6" s="256"/>
      <c r="H6" s="256"/>
      <c r="I6" s="256"/>
      <c r="J6" s="256"/>
      <c r="K6" s="256"/>
      <c r="L6" s="256"/>
    </row>
    <row r="7" spans="1:12">
      <c r="A7" t="str">
        <f>IF(ABS(G7)&gt;0,基础信息!$B$1,"")</f>
        <v/>
      </c>
      <c r="B7" s="256"/>
      <c r="C7" s="277"/>
      <c r="D7" s="277"/>
      <c r="E7" s="256"/>
      <c r="F7" s="256"/>
      <c r="G7" s="256"/>
      <c r="H7" s="256"/>
      <c r="I7" s="256"/>
      <c r="J7" s="256"/>
      <c r="K7" s="256"/>
      <c r="L7" s="256"/>
    </row>
    <row r="8" spans="1:12">
      <c r="A8" t="str">
        <f>IF(ABS(G8)&gt;0,基础信息!$B$1,"")</f>
        <v/>
      </c>
      <c r="B8" s="256"/>
      <c r="C8" s="277"/>
      <c r="D8" s="277"/>
      <c r="E8" s="256"/>
      <c r="F8" s="256"/>
      <c r="G8" s="256"/>
      <c r="H8" s="256"/>
      <c r="I8" s="256"/>
      <c r="J8" s="256"/>
      <c r="K8" s="256"/>
      <c r="L8" s="256"/>
    </row>
    <row r="9" spans="1:12">
      <c r="A9" t="str">
        <f>IF(ABS(G9)&gt;0,基础信息!$B$1,"")</f>
        <v/>
      </c>
      <c r="B9" s="256"/>
      <c r="C9" s="277"/>
      <c r="D9" s="277"/>
      <c r="E9" s="256"/>
      <c r="F9" s="256"/>
      <c r="G9" s="256"/>
      <c r="H9" s="256"/>
      <c r="I9" s="256"/>
      <c r="J9" s="256"/>
      <c r="K9" s="256"/>
      <c r="L9" s="256"/>
    </row>
    <row r="10" spans="1:12">
      <c r="A10" t="str">
        <f>IF(ABS(G10)&gt;0,基础信息!$B$1,"")</f>
        <v/>
      </c>
      <c r="B10" s="256"/>
      <c r="C10" s="277"/>
      <c r="D10" s="277"/>
      <c r="E10" s="256"/>
      <c r="F10" s="256"/>
      <c r="G10" s="256"/>
      <c r="H10" s="256"/>
      <c r="I10" s="256"/>
      <c r="J10" s="256"/>
      <c r="K10" s="256"/>
      <c r="L10" s="256"/>
    </row>
    <row r="11" spans="1:12">
      <c r="A11" t="str">
        <f>IF(ABS(G11)&gt;0,基础信息!$B$1,"")</f>
        <v/>
      </c>
      <c r="B11" s="256"/>
      <c r="C11" s="277"/>
      <c r="D11" s="277"/>
      <c r="E11" s="256"/>
      <c r="F11" s="256"/>
      <c r="G11" s="256"/>
      <c r="H11" s="256"/>
      <c r="I11" s="256"/>
      <c r="J11" s="256"/>
      <c r="K11" s="256"/>
      <c r="L11" s="256"/>
    </row>
    <row r="12" spans="1:12">
      <c r="A12" t="str">
        <f>IF(ABS(G12)&gt;0,基础信息!$B$1,"")</f>
        <v/>
      </c>
      <c r="B12" s="256"/>
      <c r="C12" s="277"/>
      <c r="D12" s="277"/>
      <c r="E12" s="256"/>
      <c r="F12" s="256"/>
      <c r="G12" s="256"/>
      <c r="H12" s="256"/>
      <c r="I12" s="256"/>
      <c r="J12" s="256"/>
      <c r="K12" s="256"/>
      <c r="L12" s="256"/>
    </row>
    <row r="13" spans="1:12">
      <c r="A13" t="str">
        <f>IF(ABS(G13)&gt;0,基础信息!$B$1,"")</f>
        <v/>
      </c>
      <c r="B13" s="256"/>
      <c r="C13" s="277"/>
      <c r="D13" s="277"/>
      <c r="E13" s="256"/>
      <c r="F13" s="256"/>
      <c r="G13" s="256"/>
      <c r="H13" s="256"/>
      <c r="I13" s="256"/>
      <c r="J13" s="256"/>
      <c r="K13" s="256"/>
      <c r="L13" s="256"/>
    </row>
    <row r="14" spans="1:12">
      <c r="A14" t="str">
        <f>IF(ABS(G14)&gt;0,基础信息!$B$1,"")</f>
        <v/>
      </c>
      <c r="B14" s="256"/>
      <c r="C14" s="277"/>
      <c r="D14" s="277"/>
      <c r="E14" s="256"/>
      <c r="F14" s="256"/>
      <c r="G14" s="256"/>
      <c r="H14" s="256"/>
      <c r="I14" s="256"/>
      <c r="J14" s="256"/>
      <c r="K14" s="256"/>
      <c r="L14" s="256"/>
    </row>
    <row r="15" spans="1:12">
      <c r="A15" t="str">
        <f>IF(ABS(G15)&gt;0,基础信息!$B$1,"")</f>
        <v/>
      </c>
      <c r="B15" s="256"/>
      <c r="C15" s="277"/>
      <c r="D15" s="277"/>
      <c r="E15" s="256"/>
      <c r="F15" s="256"/>
      <c r="G15" s="256"/>
      <c r="H15" s="256"/>
      <c r="I15" s="256"/>
      <c r="J15" s="256"/>
      <c r="K15" s="256"/>
      <c r="L15" s="256"/>
    </row>
    <row r="16" spans="1:12">
      <c r="A16" t="str">
        <f>IF(ABS(G16)&gt;0,基础信息!$B$1,"")</f>
        <v/>
      </c>
      <c r="B16" s="256"/>
      <c r="C16" s="277"/>
      <c r="D16" s="277"/>
      <c r="E16" s="256"/>
      <c r="F16" s="256"/>
      <c r="G16" s="256"/>
      <c r="H16" s="256"/>
      <c r="I16" s="256"/>
      <c r="J16" s="256"/>
      <c r="K16" s="256"/>
      <c r="L16" s="256"/>
    </row>
    <row r="17" spans="1:12">
      <c r="A17" t="str">
        <f>IF(ABS(G17)&gt;0,基础信息!$B$1,"")</f>
        <v/>
      </c>
      <c r="B17" s="256"/>
      <c r="C17" s="277"/>
      <c r="D17" s="277"/>
      <c r="E17" s="256"/>
      <c r="F17" s="256"/>
      <c r="G17" s="256"/>
      <c r="H17" s="256"/>
      <c r="I17" s="256"/>
      <c r="J17" s="256"/>
      <c r="K17" s="256"/>
      <c r="L17" s="256"/>
    </row>
    <row r="18" spans="1:12">
      <c r="A18" t="str">
        <f>IF(ABS(G18)&gt;0,基础信息!$B$1,"")</f>
        <v/>
      </c>
      <c r="B18" s="256"/>
      <c r="C18" s="277"/>
      <c r="D18" s="277"/>
      <c r="E18" s="256"/>
      <c r="F18" s="256"/>
      <c r="G18" s="256"/>
      <c r="H18" s="256"/>
      <c r="I18" s="256"/>
      <c r="J18" s="256"/>
      <c r="K18" s="256"/>
      <c r="L18" s="256"/>
    </row>
    <row r="19" spans="1:12">
      <c r="A19" t="str">
        <f>IF(ABS(G19)&gt;0,基础信息!$B$1,"")</f>
        <v/>
      </c>
      <c r="B19" s="256"/>
      <c r="C19" s="277"/>
      <c r="D19" s="277"/>
      <c r="E19" s="256"/>
      <c r="F19" s="256"/>
      <c r="G19" s="256"/>
      <c r="H19" s="256"/>
      <c r="I19" s="256"/>
      <c r="J19" s="256"/>
      <c r="K19" s="256"/>
      <c r="L19" s="256"/>
    </row>
    <row r="20" spans="1:12">
      <c r="A20" t="str">
        <f>IF(ABS(G20)&gt;0,基础信息!$B$1,"")</f>
        <v/>
      </c>
      <c r="B20" s="256"/>
      <c r="C20" s="277"/>
      <c r="D20" s="277"/>
      <c r="E20" s="256"/>
      <c r="F20" s="256"/>
      <c r="G20" s="256"/>
      <c r="H20" s="256"/>
      <c r="I20" s="256"/>
      <c r="J20" s="256"/>
      <c r="K20" s="256"/>
      <c r="L20" s="256"/>
    </row>
    <row r="21" spans="1:12">
      <c r="A21" t="str">
        <f>IF(ABS(G21)&gt;0,基础信息!$B$1,"")</f>
        <v/>
      </c>
      <c r="B21" s="256"/>
      <c r="C21" s="277"/>
      <c r="D21" s="277"/>
      <c r="E21" s="256"/>
      <c r="F21" s="256"/>
      <c r="G21" s="256"/>
      <c r="H21" s="256"/>
      <c r="I21" s="256"/>
      <c r="J21" s="256"/>
      <c r="K21" s="256"/>
      <c r="L21" s="256"/>
    </row>
    <row r="22" spans="1:12">
      <c r="A22" t="str">
        <f>IF(ABS(G22)&gt;0,基础信息!$B$1,"")</f>
        <v/>
      </c>
      <c r="B22" s="256"/>
      <c r="C22" s="277"/>
      <c r="D22" s="277"/>
      <c r="E22" s="256"/>
      <c r="F22" s="256"/>
      <c r="G22" s="256"/>
      <c r="H22" s="256"/>
      <c r="I22" s="256"/>
      <c r="J22" s="256"/>
      <c r="K22" s="256"/>
      <c r="L22" s="256"/>
    </row>
    <row r="23" spans="1:12">
      <c r="A23" t="str">
        <f>IF(ABS(G23)&gt;0,基础信息!$B$1,"")</f>
        <v/>
      </c>
      <c r="B23" s="256"/>
      <c r="C23" s="277"/>
      <c r="D23" s="277"/>
      <c r="E23" s="256"/>
      <c r="F23" s="256"/>
      <c r="G23" s="256"/>
      <c r="H23" s="256"/>
      <c r="I23" s="256"/>
      <c r="J23" s="256"/>
      <c r="K23" s="256"/>
      <c r="L23" s="256"/>
    </row>
    <row r="24" spans="1:12">
      <c r="A24" t="str">
        <f>IF(ABS(G24)&gt;0,基础信息!$B$1,"")</f>
        <v/>
      </c>
      <c r="B24" s="256"/>
      <c r="C24" s="277"/>
      <c r="D24" s="277"/>
      <c r="E24" s="256"/>
      <c r="F24" s="256"/>
      <c r="G24" s="256"/>
      <c r="H24" s="256"/>
      <c r="I24" s="256"/>
      <c r="J24" s="256"/>
      <c r="K24" s="256"/>
      <c r="L24" s="256"/>
    </row>
    <row r="25" spans="1:12">
      <c r="A25" t="str">
        <f>IF(ABS(G25)&gt;0,基础信息!$B$1,"")</f>
        <v/>
      </c>
      <c r="B25" s="256"/>
      <c r="C25" s="277"/>
      <c r="D25" s="277"/>
      <c r="E25" s="256"/>
      <c r="F25" s="256"/>
      <c r="G25" s="256"/>
      <c r="H25" s="256"/>
      <c r="I25" s="256"/>
      <c r="J25" s="256"/>
      <c r="K25" s="256"/>
      <c r="L25" s="256"/>
    </row>
    <row r="26" spans="1:12">
      <c r="A26" t="str">
        <f>IF(ABS(G26)&gt;0,基础信息!$B$1,"")</f>
        <v/>
      </c>
      <c r="B26" s="256"/>
      <c r="C26" s="277"/>
      <c r="D26" s="277"/>
      <c r="E26" s="256"/>
      <c r="F26" s="256"/>
      <c r="G26" s="256"/>
      <c r="H26" s="256"/>
      <c r="I26" s="256"/>
      <c r="J26" s="256"/>
      <c r="K26" s="256"/>
      <c r="L26" s="256"/>
    </row>
    <row r="27" spans="1:12">
      <c r="A27" t="str">
        <f>IF(ABS(G27)&gt;0,基础信息!$B$1,"")</f>
        <v/>
      </c>
      <c r="B27" s="256"/>
      <c r="C27" s="277"/>
      <c r="D27" s="277"/>
      <c r="E27" s="256"/>
      <c r="F27" s="256"/>
      <c r="G27" s="256"/>
      <c r="H27" s="256"/>
      <c r="I27" s="256"/>
      <c r="J27" s="256"/>
      <c r="K27" s="256"/>
      <c r="L27" s="256"/>
    </row>
    <row r="28" spans="1:12">
      <c r="A28" t="str">
        <f>IF(ABS(G28)&gt;0,基础信息!$B$1,"")</f>
        <v/>
      </c>
      <c r="B28" s="256"/>
      <c r="C28" s="277"/>
      <c r="D28" s="277"/>
      <c r="E28" s="256"/>
      <c r="F28" s="256"/>
      <c r="G28" s="256"/>
      <c r="H28" s="256"/>
      <c r="I28" s="256"/>
      <c r="J28" s="256"/>
      <c r="K28" s="256"/>
      <c r="L28" s="256"/>
    </row>
    <row r="29" spans="1:12">
      <c r="A29" t="str">
        <f>IF(ABS(G29)&gt;0,基础信息!$B$1,"")</f>
        <v/>
      </c>
      <c r="B29" s="256"/>
      <c r="C29" s="277"/>
      <c r="D29" s="277"/>
      <c r="E29" s="256"/>
      <c r="F29" s="256"/>
      <c r="G29" s="256"/>
      <c r="H29" s="256"/>
      <c r="I29" s="256"/>
      <c r="J29" s="256"/>
      <c r="K29" s="256"/>
      <c r="L29" s="256"/>
    </row>
    <row r="30" spans="1:12">
      <c r="A30" t="str">
        <f>IF(ABS(G30)&gt;0,基础信息!$B$1,"")</f>
        <v/>
      </c>
      <c r="B30" s="256"/>
      <c r="C30" s="277"/>
      <c r="D30" s="277"/>
      <c r="E30" s="256"/>
      <c r="F30" s="256"/>
      <c r="G30" s="256"/>
      <c r="H30" s="256"/>
      <c r="I30" s="256"/>
      <c r="J30" s="256"/>
      <c r="K30" s="256"/>
      <c r="L30" s="256"/>
    </row>
    <row r="31" spans="1:12">
      <c r="A31" t="str">
        <f>IF(ABS(G31)&gt;0,基础信息!$B$1,"")</f>
        <v/>
      </c>
      <c r="B31" s="256"/>
      <c r="C31" s="277"/>
      <c r="D31" s="277"/>
      <c r="E31" s="256"/>
      <c r="F31" s="256"/>
      <c r="G31" s="256"/>
      <c r="H31" s="256"/>
      <c r="I31" s="256"/>
      <c r="J31" s="256"/>
      <c r="K31" s="256"/>
      <c r="L31" s="256"/>
    </row>
    <row r="32" spans="1:12">
      <c r="A32" t="str">
        <f>IF(ABS(G32)&gt;0,基础信息!$B$1,"")</f>
        <v/>
      </c>
      <c r="B32" s="256"/>
      <c r="C32" s="277"/>
      <c r="D32" s="277"/>
      <c r="E32" s="256"/>
      <c r="F32" s="256"/>
      <c r="G32" s="256"/>
      <c r="H32" s="256"/>
      <c r="I32" s="256"/>
      <c r="J32" s="256"/>
      <c r="K32" s="256"/>
      <c r="L32" s="256"/>
    </row>
    <row r="33" spans="1:12">
      <c r="A33" t="str">
        <f>IF(ABS(G33)&gt;0,基础信息!$B$1,"")</f>
        <v/>
      </c>
      <c r="B33" s="256"/>
      <c r="C33" s="277"/>
      <c r="D33" s="277"/>
      <c r="E33" s="256"/>
      <c r="F33" s="256"/>
      <c r="G33" s="256"/>
      <c r="H33" s="256"/>
      <c r="I33" s="256"/>
      <c r="J33" s="256"/>
      <c r="K33" s="256"/>
      <c r="L33" s="256"/>
    </row>
    <row r="34" spans="1:12">
      <c r="A34" t="str">
        <f>IF(ABS(G34)&gt;0,基础信息!$B$1,"")</f>
        <v/>
      </c>
      <c r="B34" s="256"/>
      <c r="C34" s="277"/>
      <c r="D34" s="277"/>
      <c r="E34" s="256"/>
      <c r="F34" s="256"/>
      <c r="G34" s="256"/>
      <c r="H34" s="256"/>
      <c r="I34" s="256"/>
      <c r="J34" s="256"/>
      <c r="K34" s="256"/>
      <c r="L34" s="256"/>
    </row>
    <row r="35" spans="1:12">
      <c r="A35" t="str">
        <f>IF(ABS(G35)&gt;0,基础信息!$B$1,"")</f>
        <v/>
      </c>
      <c r="B35" s="256"/>
      <c r="C35" s="277"/>
      <c r="D35" s="277"/>
      <c r="E35" s="256"/>
      <c r="F35" s="256"/>
      <c r="G35" s="256"/>
      <c r="H35" s="256"/>
      <c r="I35" s="256"/>
      <c r="J35" s="256"/>
      <c r="K35" s="256"/>
      <c r="L35" s="256"/>
    </row>
    <row r="36" spans="1:12">
      <c r="A36" t="str">
        <f>IF(ABS(G36)&gt;0,基础信息!$B$1,"")</f>
        <v/>
      </c>
      <c r="B36" s="256"/>
      <c r="C36" s="277"/>
      <c r="D36" s="277"/>
      <c r="E36" s="256"/>
      <c r="F36" s="256"/>
      <c r="G36" s="256"/>
      <c r="H36" s="256"/>
      <c r="I36" s="256"/>
      <c r="J36" s="256"/>
      <c r="K36" s="256"/>
      <c r="L36" s="256"/>
    </row>
    <row r="37" spans="1:12">
      <c r="A37" t="str">
        <f>IF(ABS(G37)&gt;0,基础信息!$B$1,"")</f>
        <v/>
      </c>
      <c r="B37" s="256"/>
      <c r="C37" s="277"/>
      <c r="D37" s="277"/>
      <c r="E37" s="256"/>
      <c r="F37" s="256"/>
      <c r="G37" s="256"/>
      <c r="H37" s="256"/>
      <c r="I37" s="256"/>
      <c r="J37" s="256"/>
      <c r="K37" s="256"/>
      <c r="L37" s="256"/>
    </row>
    <row r="38" spans="1:12">
      <c r="A38" t="str">
        <f>IF(ABS(G38)&gt;0,基础信息!$B$1,"")</f>
        <v/>
      </c>
      <c r="B38" s="256"/>
      <c r="C38" s="277"/>
      <c r="D38" s="277"/>
      <c r="E38" s="256"/>
      <c r="F38" s="256"/>
      <c r="G38" s="256"/>
      <c r="H38" s="256"/>
      <c r="I38" s="256"/>
      <c r="J38" s="256"/>
      <c r="K38" s="256"/>
      <c r="L38" s="256"/>
    </row>
    <row r="39" spans="1:12">
      <c r="A39" t="str">
        <f>IF(ABS(G39)&gt;0,基础信息!$B$1,"")</f>
        <v/>
      </c>
      <c r="B39" s="256"/>
      <c r="C39" s="277"/>
      <c r="D39" s="277"/>
      <c r="E39" s="256"/>
      <c r="F39" s="256"/>
      <c r="G39" s="256"/>
      <c r="H39" s="256"/>
      <c r="I39" s="256"/>
      <c r="J39" s="256"/>
      <c r="K39" s="256"/>
      <c r="L39" s="256"/>
    </row>
    <row r="40" spans="1:12">
      <c r="A40" t="str">
        <f>IF(ABS(G40)&gt;0,基础信息!$B$1,"")</f>
        <v/>
      </c>
      <c r="B40" s="256"/>
      <c r="C40" s="277"/>
      <c r="D40" s="277"/>
      <c r="E40" s="256"/>
      <c r="F40" s="256"/>
      <c r="G40" s="256"/>
      <c r="H40" s="256"/>
      <c r="I40" s="256"/>
      <c r="J40" s="256"/>
      <c r="K40" s="256"/>
      <c r="L40" s="256"/>
    </row>
    <row r="41" spans="1:12">
      <c r="A41" t="str">
        <f>IF(ABS(G41)&gt;0,基础信息!$B$1,"")</f>
        <v/>
      </c>
      <c r="B41" s="256"/>
      <c r="C41" s="277"/>
      <c r="D41" s="277"/>
      <c r="E41" s="256"/>
      <c r="F41" s="256"/>
      <c r="G41" s="256"/>
      <c r="H41" s="256"/>
      <c r="I41" s="256"/>
      <c r="J41" s="256"/>
      <c r="K41" s="256"/>
      <c r="L41" s="256"/>
    </row>
    <row r="42" spans="1:12">
      <c r="A42" t="str">
        <f>IF(ABS(G42)&gt;0,基础信息!$B$1,"")</f>
        <v/>
      </c>
      <c r="B42" s="256"/>
      <c r="C42" s="277"/>
      <c r="D42" s="277"/>
      <c r="E42" s="256"/>
      <c r="F42" s="256"/>
      <c r="G42" s="256"/>
      <c r="H42" s="256"/>
      <c r="I42" s="256"/>
      <c r="J42" s="256"/>
      <c r="K42" s="256"/>
      <c r="L42" s="256"/>
    </row>
    <row r="43" spans="1:12">
      <c r="A43" t="str">
        <f>IF(ABS(G43)&gt;0,基础信息!$B$1,"")</f>
        <v/>
      </c>
      <c r="B43" s="256"/>
      <c r="C43" s="277"/>
      <c r="D43" s="277"/>
      <c r="E43" s="256"/>
      <c r="F43" s="256"/>
      <c r="G43" s="256"/>
      <c r="H43" s="256"/>
      <c r="I43" s="256"/>
      <c r="J43" s="256"/>
      <c r="K43" s="256"/>
      <c r="L43" s="256"/>
    </row>
    <row r="44" spans="1:12">
      <c r="A44" t="str">
        <f>IF(ABS(G44)&gt;0,基础信息!$B$1,"")</f>
        <v/>
      </c>
      <c r="B44" s="256"/>
      <c r="C44" s="277"/>
      <c r="D44" s="277"/>
      <c r="E44" s="256"/>
      <c r="F44" s="256"/>
      <c r="G44" s="256"/>
      <c r="H44" s="256"/>
      <c r="I44" s="256"/>
      <c r="J44" s="256"/>
      <c r="K44" s="256"/>
      <c r="L44" s="256"/>
    </row>
    <row r="45" spans="1:12">
      <c r="A45" t="str">
        <f>IF(ABS(G45)&gt;0,基础信息!$B$1,"")</f>
        <v/>
      </c>
      <c r="B45" s="256"/>
      <c r="C45" s="277"/>
      <c r="D45" s="277"/>
      <c r="E45" s="256"/>
      <c r="F45" s="256"/>
      <c r="G45" s="256"/>
      <c r="H45" s="256"/>
      <c r="I45" s="256"/>
      <c r="J45" s="256"/>
      <c r="K45" s="256"/>
      <c r="L45" s="256"/>
    </row>
    <row r="46" spans="1:12">
      <c r="A46" t="str">
        <f>IF(ABS(G46)&gt;0,基础信息!$B$1,"")</f>
        <v/>
      </c>
      <c r="B46" s="256"/>
      <c r="C46" s="277"/>
      <c r="D46" s="277"/>
      <c r="E46" s="256"/>
      <c r="F46" s="256"/>
      <c r="G46" s="256"/>
      <c r="H46" s="256"/>
      <c r="I46" s="256"/>
      <c r="J46" s="256"/>
      <c r="K46" s="256"/>
      <c r="L46" s="256"/>
    </row>
    <row r="47" spans="1:12">
      <c r="A47" t="str">
        <f>IF(ABS(G47)&gt;0,基础信息!$B$1,"")</f>
        <v/>
      </c>
      <c r="B47" s="256"/>
      <c r="C47" s="277"/>
      <c r="D47" s="277"/>
      <c r="E47" s="256"/>
      <c r="F47" s="256"/>
      <c r="G47" s="256"/>
      <c r="H47" s="256"/>
      <c r="I47" s="256"/>
      <c r="J47" s="256"/>
      <c r="K47" s="256"/>
      <c r="L47" s="256"/>
    </row>
    <row r="48" spans="1:12">
      <c r="A48" t="str">
        <f>IF(ABS(G48)&gt;0,基础信息!$B$1,"")</f>
        <v/>
      </c>
      <c r="B48" s="256"/>
      <c r="C48" s="277"/>
      <c r="D48" s="277"/>
      <c r="E48" s="256"/>
      <c r="F48" s="256"/>
      <c r="G48" s="256"/>
      <c r="H48" s="256"/>
      <c r="I48" s="256"/>
      <c r="J48" s="256"/>
      <c r="K48" s="256"/>
      <c r="L48" s="256"/>
    </row>
    <row r="49" spans="1:12">
      <c r="A49" t="str">
        <f>IF(ABS(G49)&gt;0,基础信息!$B$1,"")</f>
        <v/>
      </c>
      <c r="B49" s="256"/>
      <c r="C49" s="277"/>
      <c r="D49" s="277"/>
      <c r="E49" s="256"/>
      <c r="F49" s="256"/>
      <c r="G49" s="256"/>
      <c r="H49" s="256"/>
      <c r="I49" s="256"/>
      <c r="J49" s="256"/>
      <c r="K49" s="256"/>
      <c r="L49" s="256"/>
    </row>
    <row r="50" spans="1:12">
      <c r="A50" t="str">
        <f>IF(ABS(G50)&gt;0,基础信息!$B$1,"")</f>
        <v/>
      </c>
      <c r="B50" s="256"/>
      <c r="C50" s="277"/>
      <c r="D50" s="277"/>
      <c r="E50" s="256"/>
      <c r="F50" s="256"/>
      <c r="G50" s="256"/>
      <c r="H50" s="256"/>
      <c r="I50" s="256"/>
      <c r="J50" s="256"/>
      <c r="K50" s="256"/>
      <c r="L50" s="256"/>
    </row>
    <row r="51" spans="1:12">
      <c r="A51" t="str">
        <f>IF(ABS(G51)&gt;0,基础信息!$B$1,"")</f>
        <v/>
      </c>
      <c r="B51" s="256"/>
      <c r="C51" s="277"/>
      <c r="D51" s="277"/>
      <c r="E51" s="256"/>
      <c r="F51" s="256"/>
      <c r="G51" s="256"/>
      <c r="H51" s="256"/>
      <c r="I51" s="256"/>
      <c r="J51" s="256"/>
      <c r="K51" s="256"/>
      <c r="L51" s="256"/>
    </row>
    <row r="52" spans="1:12">
      <c r="A52" t="str">
        <f>IF(ABS(G52)&gt;0,基础信息!$B$1,"")</f>
        <v/>
      </c>
      <c r="B52" s="256"/>
      <c r="C52" s="277"/>
      <c r="D52" s="277"/>
      <c r="E52" s="256"/>
      <c r="F52" s="256"/>
      <c r="G52" s="256"/>
      <c r="H52" s="256"/>
      <c r="I52" s="256"/>
      <c r="J52" s="256"/>
      <c r="K52" s="256"/>
      <c r="L52" s="256"/>
    </row>
    <row r="53" spans="1:12">
      <c r="A53" t="str">
        <f>IF(ABS(G53)&gt;0,基础信息!$B$1,"")</f>
        <v/>
      </c>
      <c r="B53" s="256"/>
      <c r="C53" s="277"/>
      <c r="D53" s="277"/>
      <c r="E53" s="256"/>
      <c r="F53" s="256"/>
      <c r="G53" s="256"/>
      <c r="H53" s="256"/>
      <c r="I53" s="256"/>
      <c r="J53" s="256"/>
      <c r="K53" s="256"/>
      <c r="L53" s="256"/>
    </row>
    <row r="54" spans="1:12">
      <c r="A54" t="str">
        <f>IF(ABS(G54)&gt;0,基础信息!$B$1,"")</f>
        <v/>
      </c>
      <c r="B54" s="256"/>
      <c r="C54" s="277"/>
      <c r="D54" s="277"/>
      <c r="E54" s="256"/>
      <c r="F54" s="256"/>
      <c r="G54" s="256"/>
      <c r="H54" s="256"/>
      <c r="I54" s="256"/>
      <c r="J54" s="256"/>
      <c r="K54" s="256"/>
      <c r="L54" s="256"/>
    </row>
    <row r="55" spans="1:12">
      <c r="A55" t="str">
        <f>IF(ABS(G55)&gt;0,基础信息!$B$1,"")</f>
        <v/>
      </c>
      <c r="B55" s="256"/>
      <c r="C55" s="277"/>
      <c r="D55" s="277"/>
      <c r="E55" s="256"/>
      <c r="F55" s="256"/>
      <c r="G55" s="256"/>
      <c r="H55" s="256"/>
      <c r="I55" s="256"/>
      <c r="J55" s="256"/>
      <c r="K55" s="256"/>
      <c r="L55" s="256"/>
    </row>
    <row r="56" spans="1:12">
      <c r="A56" t="str">
        <f>IF(ABS(G56)&gt;0,基础信息!$B$1,"")</f>
        <v/>
      </c>
      <c r="B56" s="256"/>
      <c r="C56" s="277"/>
      <c r="D56" s="277"/>
      <c r="E56" s="256"/>
      <c r="F56" s="256"/>
      <c r="G56" s="256"/>
      <c r="H56" s="256"/>
      <c r="I56" s="256"/>
      <c r="J56" s="256"/>
      <c r="K56" s="256"/>
      <c r="L56" s="256"/>
    </row>
    <row r="57" spans="1:12">
      <c r="A57" t="str">
        <f>IF(ABS(G57)&gt;0,基础信息!$B$1,"")</f>
        <v/>
      </c>
      <c r="B57" s="256"/>
      <c r="C57" s="277"/>
      <c r="D57" s="277"/>
      <c r="E57" s="256"/>
      <c r="F57" s="256"/>
      <c r="G57" s="256"/>
      <c r="H57" s="256"/>
      <c r="I57" s="256"/>
      <c r="J57" s="256"/>
      <c r="K57" s="256"/>
      <c r="L57" s="256"/>
    </row>
    <row r="58" spans="1:12">
      <c r="A58" t="str">
        <f>IF(ABS(G58)&gt;0,基础信息!$B$1,"")</f>
        <v/>
      </c>
      <c r="B58" s="256"/>
      <c r="C58" s="277"/>
      <c r="D58" s="277"/>
      <c r="E58" s="256"/>
      <c r="F58" s="256"/>
      <c r="G58" s="256"/>
      <c r="H58" s="256"/>
      <c r="I58" s="256"/>
      <c r="J58" s="256"/>
      <c r="K58" s="256"/>
      <c r="L58" s="256"/>
    </row>
    <row r="59" spans="1:12">
      <c r="A59" t="str">
        <f>IF(ABS(G59)&gt;0,基础信息!$B$1,"")</f>
        <v/>
      </c>
      <c r="B59" s="256"/>
      <c r="C59" s="277"/>
      <c r="D59" s="277"/>
      <c r="E59" s="256"/>
      <c r="F59" s="256"/>
      <c r="G59" s="256"/>
      <c r="H59" s="256"/>
      <c r="I59" s="256"/>
      <c r="J59" s="256"/>
      <c r="K59" s="256"/>
      <c r="L59" s="256"/>
    </row>
    <row r="60" spans="1:12">
      <c r="A60" t="str">
        <f>IF(ABS(G60)&gt;0,基础信息!$B$1,"")</f>
        <v/>
      </c>
      <c r="B60" s="256"/>
      <c r="C60" s="277"/>
      <c r="D60" s="277"/>
      <c r="E60" s="256"/>
      <c r="F60" s="256"/>
      <c r="G60" s="256"/>
      <c r="H60" s="256"/>
      <c r="I60" s="256"/>
      <c r="J60" s="256"/>
      <c r="K60" s="256"/>
      <c r="L60" s="256"/>
    </row>
    <row r="61" spans="1:12">
      <c r="A61" t="str">
        <f>IF(ABS(G61)&gt;0,基础信息!$B$1,"")</f>
        <v/>
      </c>
      <c r="B61" s="256"/>
      <c r="C61" s="277"/>
      <c r="D61" s="277"/>
      <c r="E61" s="256"/>
      <c r="F61" s="256"/>
      <c r="G61" s="256"/>
      <c r="H61" s="256"/>
      <c r="I61" s="256"/>
      <c r="J61" s="256"/>
      <c r="K61" s="256"/>
      <c r="L61" s="256"/>
    </row>
    <row r="62" spans="1:12">
      <c r="A62" t="str">
        <f>IF(ABS(G62)&gt;0,基础信息!$B$1,"")</f>
        <v/>
      </c>
      <c r="B62" s="256"/>
      <c r="C62" s="277"/>
      <c r="D62" s="277"/>
      <c r="E62" s="256"/>
      <c r="F62" s="256"/>
      <c r="G62" s="256"/>
      <c r="H62" s="256"/>
      <c r="I62" s="256"/>
      <c r="J62" s="256"/>
      <c r="K62" s="256"/>
      <c r="L62" s="256"/>
    </row>
    <row r="63" spans="1:12">
      <c r="A63" t="str">
        <f>IF(ABS(G63)&gt;0,基础信息!$B$1,"")</f>
        <v/>
      </c>
      <c r="B63" s="256"/>
      <c r="C63" s="277"/>
      <c r="D63" s="277"/>
      <c r="E63" s="256"/>
      <c r="F63" s="256"/>
      <c r="G63" s="256"/>
      <c r="H63" s="256"/>
      <c r="I63" s="256"/>
      <c r="J63" s="256"/>
      <c r="K63" s="256"/>
      <c r="L63" s="256"/>
    </row>
    <row r="64" spans="1:12">
      <c r="A64" t="str">
        <f>IF(ABS(G64)&gt;0,基础信息!$B$1,"")</f>
        <v/>
      </c>
      <c r="B64" s="256"/>
      <c r="C64" s="277"/>
      <c r="D64" s="277"/>
      <c r="E64" s="256"/>
      <c r="F64" s="256"/>
      <c r="G64" s="256"/>
      <c r="H64" s="256"/>
      <c r="I64" s="256"/>
      <c r="J64" s="256"/>
      <c r="K64" s="256"/>
      <c r="L64" s="256"/>
    </row>
    <row r="65" spans="1:12">
      <c r="A65" t="str">
        <f>IF(ABS(G65)&gt;0,基础信息!$B$1,"")</f>
        <v/>
      </c>
      <c r="B65" s="256"/>
      <c r="C65" s="277"/>
      <c r="D65" s="277"/>
      <c r="E65" s="256"/>
      <c r="F65" s="256"/>
      <c r="G65" s="256"/>
      <c r="H65" s="256"/>
      <c r="I65" s="256"/>
      <c r="J65" s="256"/>
      <c r="K65" s="256"/>
      <c r="L65" s="256"/>
    </row>
    <row r="66" spans="1:12">
      <c r="A66" t="str">
        <f>IF(ABS(G66)&gt;0,基础信息!$B$1,"")</f>
        <v/>
      </c>
      <c r="B66" s="256"/>
      <c r="C66" s="277"/>
      <c r="D66" s="277"/>
      <c r="E66" s="256"/>
      <c r="F66" s="256"/>
      <c r="G66" s="256"/>
      <c r="H66" s="256"/>
      <c r="I66" s="256"/>
      <c r="J66" s="256"/>
      <c r="K66" s="256"/>
      <c r="L66" s="256"/>
    </row>
    <row r="67" spans="1:12">
      <c r="A67" t="str">
        <f>IF(ABS(G67)&gt;0,基础信息!$B$1,"")</f>
        <v/>
      </c>
      <c r="B67" s="256"/>
      <c r="C67" s="277"/>
      <c r="D67" s="277"/>
      <c r="E67" s="256"/>
      <c r="F67" s="256"/>
      <c r="G67" s="256"/>
      <c r="H67" s="256"/>
      <c r="I67" s="256"/>
      <c r="J67" s="256"/>
      <c r="K67" s="256"/>
      <c r="L67" s="256"/>
    </row>
    <row r="68" spans="1:12">
      <c r="A68" t="str">
        <f>IF(ABS(G68)&gt;0,基础信息!$B$1,"")</f>
        <v/>
      </c>
      <c r="B68" s="256"/>
      <c r="C68" s="277"/>
      <c r="D68" s="277"/>
      <c r="E68" s="256"/>
      <c r="F68" s="256"/>
      <c r="G68" s="256"/>
      <c r="H68" s="256"/>
      <c r="I68" s="256"/>
      <c r="J68" s="256"/>
      <c r="K68" s="256"/>
      <c r="L68" s="256"/>
    </row>
    <row r="69" spans="1:12">
      <c r="A69" t="str">
        <f>IF(ABS(G69)&gt;0,基础信息!$B$1,"")</f>
        <v/>
      </c>
      <c r="B69" s="256"/>
      <c r="C69" s="277"/>
      <c r="D69" s="277"/>
      <c r="E69" s="256"/>
      <c r="F69" s="256"/>
      <c r="G69" s="256"/>
      <c r="H69" s="256"/>
      <c r="I69" s="256"/>
      <c r="J69" s="256"/>
      <c r="K69" s="256"/>
      <c r="L69" s="256"/>
    </row>
    <row r="70" spans="1:12">
      <c r="A70" t="str">
        <f>IF(ABS(G70)&gt;0,基础信息!$B$1,"")</f>
        <v/>
      </c>
      <c r="B70" s="256"/>
      <c r="C70" s="277"/>
      <c r="D70" s="277"/>
      <c r="E70" s="256"/>
      <c r="F70" s="256"/>
      <c r="G70" s="256"/>
      <c r="H70" s="256"/>
      <c r="I70" s="256"/>
      <c r="J70" s="256"/>
      <c r="K70" s="256"/>
      <c r="L70" s="256"/>
    </row>
    <row r="71" spans="1:12">
      <c r="A71" t="str">
        <f>IF(ABS(G71)&gt;0,基础信息!$B$1,"")</f>
        <v/>
      </c>
      <c r="B71" s="256"/>
      <c r="C71" s="277"/>
      <c r="D71" s="277"/>
      <c r="E71" s="256"/>
      <c r="F71" s="256"/>
      <c r="G71" s="256"/>
      <c r="H71" s="256"/>
      <c r="I71" s="256"/>
      <c r="J71" s="256"/>
      <c r="K71" s="256"/>
      <c r="L71" s="256"/>
    </row>
    <row r="72" spans="1:12">
      <c r="A72" t="str">
        <f>IF(ABS(G72)&gt;0,基础信息!$B$1,"")</f>
        <v/>
      </c>
      <c r="B72" s="256"/>
      <c r="C72" s="277"/>
      <c r="D72" s="277"/>
      <c r="E72" s="256"/>
      <c r="F72" s="256"/>
      <c r="G72" s="256"/>
      <c r="H72" s="256"/>
      <c r="I72" s="256"/>
      <c r="J72" s="256"/>
      <c r="K72" s="256"/>
      <c r="L72" s="256"/>
    </row>
    <row r="73" spans="1:12">
      <c r="A73" t="str">
        <f>IF(ABS(G73)&gt;0,基础信息!$B$1,"")</f>
        <v/>
      </c>
      <c r="B73" s="256"/>
      <c r="C73" s="277"/>
      <c r="D73" s="277"/>
      <c r="E73" s="256"/>
      <c r="F73" s="256"/>
      <c r="G73" s="256"/>
      <c r="H73" s="256"/>
      <c r="I73" s="256"/>
      <c r="J73" s="256"/>
      <c r="K73" s="256"/>
      <c r="L73" s="256"/>
    </row>
    <row r="74" spans="1:12">
      <c r="A74" t="str">
        <f>IF(ABS(G74)&gt;0,基础信息!$B$1,"")</f>
        <v/>
      </c>
      <c r="B74" s="256"/>
      <c r="C74" s="277"/>
      <c r="D74" s="277"/>
      <c r="E74" s="256"/>
      <c r="F74" s="256"/>
      <c r="G74" s="256"/>
      <c r="H74" s="256"/>
      <c r="I74" s="256"/>
      <c r="J74" s="256"/>
      <c r="K74" s="256"/>
      <c r="L74" s="256"/>
    </row>
    <row r="75" spans="1:12">
      <c r="A75" t="str">
        <f>IF(ABS(G75)&gt;0,基础信息!$B$1,"")</f>
        <v/>
      </c>
      <c r="B75" s="256"/>
      <c r="C75" s="277"/>
      <c r="D75" s="277"/>
      <c r="E75" s="256"/>
      <c r="F75" s="256"/>
      <c r="G75" s="256"/>
      <c r="H75" s="256"/>
      <c r="I75" s="256"/>
      <c r="J75" s="256"/>
      <c r="K75" s="256"/>
      <c r="L75" s="256"/>
    </row>
    <row r="76" spans="1:12">
      <c r="A76" t="str">
        <f>IF(ABS(G76)&gt;0,基础信息!$B$1,"")</f>
        <v/>
      </c>
      <c r="B76" s="256"/>
      <c r="C76" s="277"/>
      <c r="D76" s="277"/>
      <c r="E76" s="256"/>
      <c r="F76" s="256"/>
      <c r="G76" s="256"/>
      <c r="H76" s="256"/>
      <c r="I76" s="256"/>
      <c r="J76" s="256"/>
      <c r="K76" s="256"/>
      <c r="L76" s="256"/>
    </row>
    <row r="77" spans="1:12">
      <c r="A77" t="str">
        <f>IF(ABS(G77)&gt;0,基础信息!$B$1,"")</f>
        <v/>
      </c>
      <c r="B77" s="256"/>
      <c r="C77" s="277"/>
      <c r="D77" s="277"/>
      <c r="E77" s="256"/>
      <c r="F77" s="256"/>
      <c r="G77" s="256"/>
      <c r="H77" s="256"/>
      <c r="I77" s="256"/>
      <c r="J77" s="256"/>
      <c r="K77" s="256"/>
      <c r="L77" s="256"/>
    </row>
    <row r="78" spans="1:12">
      <c r="A78" t="str">
        <f>IF(ABS(G78)&gt;0,基础信息!$B$1,"")</f>
        <v/>
      </c>
      <c r="B78" s="256"/>
      <c r="C78" s="277"/>
      <c r="D78" s="277"/>
      <c r="E78" s="256"/>
      <c r="F78" s="256"/>
      <c r="G78" s="256"/>
      <c r="H78" s="256"/>
      <c r="I78" s="256"/>
      <c r="J78" s="256"/>
      <c r="K78" s="256"/>
      <c r="L78" s="256"/>
    </row>
    <row r="79" spans="1:12">
      <c r="A79" t="str">
        <f>IF(ABS(G79)&gt;0,基础信息!$B$1,"")</f>
        <v/>
      </c>
      <c r="B79" s="256"/>
      <c r="C79" s="277"/>
      <c r="D79" s="277"/>
      <c r="E79" s="256"/>
      <c r="F79" s="256"/>
      <c r="G79" s="256"/>
      <c r="H79" s="256"/>
      <c r="I79" s="256"/>
      <c r="J79" s="256"/>
      <c r="K79" s="256"/>
      <c r="L79" s="256"/>
    </row>
    <row r="80" spans="1:12">
      <c r="A80" t="str">
        <f>IF(ABS(G80)&gt;0,基础信息!$B$1,"")</f>
        <v/>
      </c>
      <c r="B80" s="256"/>
      <c r="C80" s="277"/>
      <c r="D80" s="277"/>
      <c r="E80" s="256"/>
      <c r="F80" s="256"/>
      <c r="G80" s="256"/>
      <c r="H80" s="256"/>
      <c r="I80" s="256"/>
      <c r="J80" s="256"/>
      <c r="K80" s="256"/>
      <c r="L80" s="256"/>
    </row>
    <row r="81" spans="1:12">
      <c r="A81" t="str">
        <f>IF(ABS(G81)&gt;0,基础信息!$B$1,"")</f>
        <v/>
      </c>
      <c r="B81" s="256"/>
      <c r="C81" s="277"/>
      <c r="D81" s="277"/>
      <c r="E81" s="256"/>
      <c r="F81" s="256"/>
      <c r="G81" s="256"/>
      <c r="H81" s="256"/>
      <c r="I81" s="256"/>
      <c r="J81" s="256"/>
      <c r="K81" s="256"/>
      <c r="L81" s="256"/>
    </row>
    <row r="82" spans="1:12">
      <c r="A82" t="str">
        <f>IF(ABS(G82)&gt;0,基础信息!$B$1,"")</f>
        <v/>
      </c>
      <c r="B82" s="256"/>
      <c r="C82" s="277"/>
      <c r="D82" s="277"/>
      <c r="E82" s="256"/>
      <c r="F82" s="256"/>
      <c r="G82" s="256"/>
      <c r="H82" s="256"/>
      <c r="I82" s="256"/>
      <c r="J82" s="256"/>
      <c r="K82" s="256"/>
      <c r="L82" s="256"/>
    </row>
    <row r="83" spans="1:12">
      <c r="A83" t="str">
        <f>IF(ABS(G83)&gt;0,基础信息!$B$1,"")</f>
        <v/>
      </c>
      <c r="B83" s="256"/>
      <c r="C83" s="277"/>
      <c r="D83" s="277"/>
      <c r="E83" s="256"/>
      <c r="F83" s="256"/>
      <c r="G83" s="256"/>
      <c r="H83" s="256"/>
      <c r="I83" s="256"/>
      <c r="J83" s="256"/>
      <c r="K83" s="256"/>
      <c r="L83" s="256"/>
    </row>
    <row r="84" spans="1:12">
      <c r="A84" t="str">
        <f>IF(ABS(G84)&gt;0,基础信息!$B$1,"")</f>
        <v/>
      </c>
      <c r="B84" s="256"/>
      <c r="C84" s="277"/>
      <c r="D84" s="277"/>
      <c r="E84" s="256"/>
      <c r="F84" s="256"/>
      <c r="G84" s="256"/>
      <c r="H84" s="256"/>
      <c r="I84" s="256"/>
      <c r="J84" s="256"/>
      <c r="K84" s="256"/>
      <c r="L84" s="256"/>
    </row>
    <row r="85" spans="1:12">
      <c r="A85" t="str">
        <f>IF(ABS(G85)&gt;0,基础信息!$B$1,"")</f>
        <v/>
      </c>
      <c r="B85" s="256"/>
      <c r="C85" s="277"/>
      <c r="D85" s="277"/>
      <c r="E85" s="256"/>
      <c r="F85" s="256"/>
      <c r="G85" s="256"/>
      <c r="H85" s="256"/>
      <c r="I85" s="256"/>
      <c r="J85" s="256"/>
      <c r="K85" s="256"/>
      <c r="L85" s="256"/>
    </row>
    <row r="86" spans="1:12">
      <c r="A86" t="str">
        <f>IF(ABS(G86)&gt;0,基础信息!$B$1,"")</f>
        <v/>
      </c>
      <c r="B86" s="256"/>
      <c r="C86" s="277"/>
      <c r="D86" s="277"/>
      <c r="E86" s="256"/>
      <c r="F86" s="256"/>
      <c r="G86" s="256"/>
      <c r="H86" s="256"/>
      <c r="I86" s="256"/>
      <c r="J86" s="256"/>
      <c r="K86" s="256"/>
      <c r="L86" s="256"/>
    </row>
    <row r="87" spans="1:12">
      <c r="A87" t="str">
        <f>IF(ABS(G87)&gt;0,基础信息!$B$1,"")</f>
        <v/>
      </c>
      <c r="B87" s="256"/>
      <c r="C87" s="277"/>
      <c r="D87" s="277"/>
      <c r="E87" s="256"/>
      <c r="F87" s="256"/>
      <c r="G87" s="256"/>
      <c r="H87" s="256"/>
      <c r="I87" s="256"/>
      <c r="J87" s="256"/>
      <c r="K87" s="256"/>
      <c r="L87" s="256"/>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sheetPr codeName="Sheet7"/>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1269</v>
      </c>
      <c r="C1" s="62" t="s">
        <v>1270</v>
      </c>
      <c r="D1" s="62" t="s">
        <v>1271</v>
      </c>
      <c r="E1" s="62" t="s">
        <v>1272</v>
      </c>
      <c r="F1" s="106" t="s">
        <v>825</v>
      </c>
      <c r="G1" s="106" t="s">
        <v>826</v>
      </c>
      <c r="H1" s="62" t="s">
        <v>1273</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codeName="Sheet70">
    <tabColor rgb="FFFFC000"/>
  </sheetPr>
  <dimension ref="A1:B4"/>
  <sheetViews>
    <sheetView workbookViewId="0">
      <selection activeCell="I23" sqref="I23"/>
    </sheetView>
  </sheetViews>
  <sheetFormatPr defaultRowHeight="13.8"/>
  <cols>
    <col min="1" max="1" width="13.88671875" style="71" bestFit="1" customWidth="1"/>
    <col min="2" max="2" width="24.21875" style="1" customWidth="1"/>
    <col min="3" max="16384" width="8.88671875" style="18"/>
  </cols>
  <sheetData>
    <row r="1" spans="1:2" ht="14.4">
      <c r="A1" s="44" t="s">
        <v>205</v>
      </c>
      <c r="B1" s="154" t="s">
        <v>209</v>
      </c>
    </row>
    <row r="2" spans="1:2" ht="15">
      <c r="A2" s="532" t="s">
        <v>206</v>
      </c>
      <c r="B2" s="299">
        <f>ROUND(SUMIF(因出票人未履约而转为应收账款的票据明细表!C:C,因出票人未履约而转为应收账款的票据!A2,因出票人未履约而转为应收账款的票据明细表!F:F),2)</f>
        <v>0</v>
      </c>
    </row>
    <row r="3" spans="1:2" ht="15">
      <c r="A3" s="532" t="s">
        <v>207</v>
      </c>
      <c r="B3" s="299">
        <f>ROUND(SUMIF(因出票人未履约而转为应收账款的票据明细表!C:C,因出票人未履约而转为应收账款的票据!A3,因出票人未履约而转为应收账款的票据明细表!F:F),2)</f>
        <v>0</v>
      </c>
    </row>
    <row r="4" spans="1:2" ht="14.4">
      <c r="A4" s="44" t="s">
        <v>204</v>
      </c>
      <c r="B4" s="158">
        <f>ROUND(SUM(B2:B3),2)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sheetPr codeName="Sheet71"/>
  <dimension ref="A1:G21"/>
  <sheetViews>
    <sheetView workbookViewId="0">
      <selection activeCell="L23" sqref="L23"/>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2427</v>
      </c>
      <c r="B1" t="s">
        <v>2425</v>
      </c>
      <c r="C1" t="s">
        <v>2426</v>
      </c>
      <c r="D1" t="s">
        <v>2424</v>
      </c>
      <c r="E1" t="s">
        <v>404</v>
      </c>
      <c r="F1" t="s">
        <v>183</v>
      </c>
      <c r="G1" t="s">
        <v>213</v>
      </c>
    </row>
    <row r="2" spans="1:7">
      <c r="A2" t="str">
        <f>IF(ABS(F2)&gt;0,基础信息!$B$1,"")</f>
        <v/>
      </c>
      <c r="B2" s="256"/>
      <c r="C2" s="277"/>
      <c r="D2" s="256"/>
      <c r="E2" s="256"/>
      <c r="F2" s="256"/>
      <c r="G2" s="256"/>
    </row>
    <row r="3" spans="1:7">
      <c r="A3" t="str">
        <f>IF(ABS(F3)&gt;0,基础信息!$B$1,"")</f>
        <v/>
      </c>
      <c r="B3" s="256"/>
      <c r="C3" s="277"/>
      <c r="D3" s="256"/>
      <c r="E3" s="256"/>
      <c r="F3" s="256"/>
      <c r="G3" s="256"/>
    </row>
    <row r="4" spans="1:7">
      <c r="A4" t="str">
        <f>IF(ABS(F4)&gt;0,基础信息!$B$1,"")</f>
        <v/>
      </c>
      <c r="B4" s="256"/>
      <c r="C4" s="277"/>
      <c r="D4" s="256"/>
      <c r="E4" s="256"/>
      <c r="F4" s="256"/>
      <c r="G4" s="256"/>
    </row>
    <row r="5" spans="1:7">
      <c r="A5" t="str">
        <f>IF(ABS(F5)&gt;0,基础信息!$B$1,"")</f>
        <v/>
      </c>
      <c r="B5" s="256"/>
      <c r="C5" s="277"/>
      <c r="D5" s="256"/>
      <c r="E5" s="256"/>
      <c r="F5" s="256"/>
      <c r="G5" s="256"/>
    </row>
    <row r="6" spans="1:7">
      <c r="A6" t="str">
        <f>IF(ABS(F6)&gt;0,基础信息!$B$1,"")</f>
        <v/>
      </c>
      <c r="B6" s="256"/>
      <c r="C6" s="277"/>
      <c r="D6" s="256"/>
      <c r="E6" s="256"/>
      <c r="F6" s="256"/>
      <c r="G6" s="256"/>
    </row>
    <row r="7" spans="1:7">
      <c r="A7" t="str">
        <f>IF(ABS(F7)&gt;0,基础信息!$B$1,"")</f>
        <v/>
      </c>
      <c r="B7" s="256"/>
      <c r="C7" s="277"/>
      <c r="D7" s="256"/>
      <c r="E7" s="256"/>
      <c r="F7" s="256"/>
      <c r="G7" s="256"/>
    </row>
    <row r="8" spans="1:7">
      <c r="A8" t="str">
        <f>IF(ABS(F8)&gt;0,基础信息!$B$1,"")</f>
        <v/>
      </c>
      <c r="B8" s="256"/>
      <c r="C8" s="277"/>
      <c r="D8" s="256"/>
      <c r="E8" s="256"/>
      <c r="F8" s="256"/>
      <c r="G8" s="256"/>
    </row>
    <row r="9" spans="1:7">
      <c r="A9" t="str">
        <f>IF(ABS(F9)&gt;0,基础信息!$B$1,"")</f>
        <v/>
      </c>
      <c r="B9" s="256"/>
      <c r="C9" s="277"/>
      <c r="D9" s="256"/>
      <c r="E9" s="256"/>
      <c r="F9" s="256"/>
      <c r="G9" s="256"/>
    </row>
    <row r="10" spans="1:7">
      <c r="A10" t="str">
        <f>IF(ABS(F10)&gt;0,基础信息!$B$1,"")</f>
        <v/>
      </c>
      <c r="B10" s="256"/>
      <c r="C10" s="277"/>
      <c r="D10" s="256"/>
      <c r="E10" s="256"/>
      <c r="F10" s="256"/>
      <c r="G10" s="256"/>
    </row>
    <row r="11" spans="1:7">
      <c r="A11" t="str">
        <f>IF(ABS(F11)&gt;0,基础信息!$B$1,"")</f>
        <v/>
      </c>
      <c r="B11" s="256"/>
      <c r="C11" s="277"/>
      <c r="D11" s="256"/>
      <c r="E11" s="256"/>
      <c r="F11" s="256"/>
      <c r="G11" s="256"/>
    </row>
    <row r="12" spans="1:7">
      <c r="A12" t="str">
        <f>IF(ABS(F12)&gt;0,基础信息!$B$1,"")</f>
        <v/>
      </c>
      <c r="B12" s="256"/>
      <c r="C12" s="277"/>
      <c r="D12" s="256"/>
      <c r="E12" s="256"/>
      <c r="F12" s="256"/>
      <c r="G12" s="256"/>
    </row>
    <row r="13" spans="1:7">
      <c r="A13" t="str">
        <f>IF(ABS(F13)&gt;0,基础信息!$B$1,"")</f>
        <v/>
      </c>
      <c r="B13" s="256"/>
      <c r="C13" s="277"/>
      <c r="D13" s="256"/>
      <c r="E13" s="256"/>
      <c r="F13" s="256"/>
      <c r="G13" s="256"/>
    </row>
    <row r="14" spans="1:7">
      <c r="A14" t="str">
        <f>IF(ABS(F14)&gt;0,基础信息!$B$1,"")</f>
        <v/>
      </c>
      <c r="B14" s="256"/>
      <c r="C14" s="277"/>
      <c r="D14" s="256"/>
      <c r="E14" s="256"/>
      <c r="F14" s="256"/>
      <c r="G14" s="256"/>
    </row>
    <row r="15" spans="1:7">
      <c r="A15" t="str">
        <f>IF(ABS(F15)&gt;0,基础信息!$B$1,"")</f>
        <v/>
      </c>
      <c r="B15" s="256"/>
      <c r="C15" s="277"/>
      <c r="D15" s="256"/>
      <c r="E15" s="256"/>
      <c r="F15" s="256"/>
      <c r="G15" s="256"/>
    </row>
    <row r="16" spans="1:7">
      <c r="A16" t="str">
        <f>IF(ABS(F16)&gt;0,基础信息!$B$1,"")</f>
        <v/>
      </c>
      <c r="B16" s="256"/>
      <c r="C16" s="277"/>
      <c r="D16" s="256"/>
      <c r="E16" s="256"/>
      <c r="F16" s="256"/>
      <c r="G16" s="256"/>
    </row>
    <row r="17" spans="1:7">
      <c r="A17" t="str">
        <f>IF(ABS(F17)&gt;0,基础信息!$B$1,"")</f>
        <v/>
      </c>
      <c r="B17" s="256"/>
      <c r="C17" s="277"/>
      <c r="D17" s="256"/>
      <c r="E17" s="256"/>
      <c r="F17" s="256"/>
      <c r="G17" s="256"/>
    </row>
    <row r="18" spans="1:7">
      <c r="A18" t="str">
        <f>IF(ABS(F18)&gt;0,基础信息!$B$1,"")</f>
        <v/>
      </c>
      <c r="B18" s="256"/>
      <c r="C18" s="277"/>
      <c r="D18" s="256"/>
      <c r="E18" s="256"/>
      <c r="F18" s="256"/>
      <c r="G18" s="256"/>
    </row>
    <row r="19" spans="1:7">
      <c r="A19" t="str">
        <f>IF(ABS(F19)&gt;0,基础信息!$B$1,"")</f>
        <v/>
      </c>
      <c r="B19" s="256"/>
      <c r="C19" s="277"/>
      <c r="D19" s="256"/>
      <c r="E19" s="256"/>
      <c r="F19" s="256"/>
      <c r="G19" s="256"/>
    </row>
    <row r="20" spans="1:7">
      <c r="A20" t="str">
        <f>IF(ABS(F20)&gt;0,基础信息!$B$1,"")</f>
        <v/>
      </c>
      <c r="B20" s="256"/>
      <c r="C20" s="277"/>
      <c r="D20" s="256"/>
      <c r="E20" s="256"/>
      <c r="F20" s="256"/>
      <c r="G20" s="256"/>
    </row>
    <row r="21" spans="1:7">
      <c r="A21" t="str">
        <f>IF(ABS(F21)&gt;0,基础信息!$B$1,"")</f>
        <v/>
      </c>
      <c r="B21" s="256"/>
      <c r="C21" s="277"/>
      <c r="D21" s="256"/>
      <c r="E21" s="256"/>
      <c r="F21" s="256"/>
      <c r="G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codeName="Sheet72">
    <tabColor rgb="FFFFC000"/>
  </sheetPr>
  <dimension ref="A1:E8"/>
  <sheetViews>
    <sheetView workbookViewId="0">
      <selection activeCell="D11" sqref="D11"/>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4201</v>
      </c>
      <c r="C1" s="20" t="s">
        <v>213</v>
      </c>
      <c r="D1" s="20" t="s">
        <v>224</v>
      </c>
      <c r="E1" s="20" t="s">
        <v>225</v>
      </c>
    </row>
    <row r="2" spans="1:5" ht="14.4">
      <c r="A2" s="19" t="s">
        <v>206</v>
      </c>
      <c r="B2" s="21">
        <f>ROUND(SUM(B3:B4),2)</f>
        <v>0</v>
      </c>
      <c r="C2" s="21">
        <f>ROUND(SUM(C3:C4),2)</f>
        <v>0</v>
      </c>
      <c r="D2" s="21" t="str">
        <f>IFERROR(C2/B2*100,"")</f>
        <v/>
      </c>
      <c r="E2" s="269"/>
    </row>
    <row r="3" spans="1:5" ht="14.4">
      <c r="A3" s="269"/>
      <c r="B3" s="281"/>
      <c r="C3" s="281"/>
      <c r="D3" s="21" t="str">
        <f t="shared" ref="D3:D8" si="0">IFERROR(C3/B3*100,"")</f>
        <v/>
      </c>
      <c r="E3" s="269"/>
    </row>
    <row r="4" spans="1:5" ht="14.4">
      <c r="A4" s="269"/>
      <c r="B4" s="281"/>
      <c r="C4" s="281"/>
      <c r="D4" s="21" t="str">
        <f t="shared" si="0"/>
        <v/>
      </c>
      <c r="E4" s="269"/>
    </row>
    <row r="5" spans="1:5" ht="14.4">
      <c r="A5" s="19" t="s">
        <v>207</v>
      </c>
      <c r="B5" s="21">
        <f>ROUND(SUM(B6:B7),2)</f>
        <v>0</v>
      </c>
      <c r="C5" s="21">
        <f>ROUND(SUM(C6:C7),2)</f>
        <v>0</v>
      </c>
      <c r="D5" s="21" t="str">
        <f t="shared" si="0"/>
        <v/>
      </c>
      <c r="E5" s="269"/>
    </row>
    <row r="6" spans="1:5" ht="14.4">
      <c r="A6" s="269"/>
      <c r="B6" s="281"/>
      <c r="C6" s="281"/>
      <c r="D6" s="21" t="str">
        <f t="shared" si="0"/>
        <v/>
      </c>
      <c r="E6" s="269"/>
    </row>
    <row r="7" spans="1:5" ht="14.4">
      <c r="A7" s="269"/>
      <c r="B7" s="281"/>
      <c r="C7" s="281"/>
      <c r="D7" s="21" t="str">
        <f t="shared" si="0"/>
        <v/>
      </c>
      <c r="E7" s="269"/>
    </row>
    <row r="8" spans="1:5" ht="14.4">
      <c r="A8" s="19" t="s">
        <v>282</v>
      </c>
      <c r="B8" s="21">
        <f>ROUND(SUM(B5,B2),2)</f>
        <v>0</v>
      </c>
      <c r="C8" s="21">
        <f>ROUND(SUM(C5,C2),2)</f>
        <v>0</v>
      </c>
      <c r="D8" s="21" t="str">
        <f t="shared" si="0"/>
        <v/>
      </c>
      <c r="E8" s="269"/>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codeName="Sheet73">
    <tabColor rgb="FFFFC000"/>
  </sheetPr>
  <dimension ref="A1:D4"/>
  <sheetViews>
    <sheetView workbookViewId="0">
      <selection activeCell="D12" sqref="D12"/>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32" t="s">
        <v>206</v>
      </c>
      <c r="B2" s="300">
        <f>ROUND(SUMIF(应收票据明细表!C:C,A2,应收票据明细表!F:F),2)</f>
        <v>0</v>
      </c>
      <c r="C2" s="300">
        <f>ROUND(SUMIF(应收票据明细表!C:C,A2,应收票据明细表!K:K),2)</f>
        <v>0</v>
      </c>
      <c r="D2" s="21" t="str">
        <f>IFERROR(C2/B2*100,"")</f>
        <v/>
      </c>
    </row>
    <row r="3" spans="1:4" ht="15">
      <c r="A3" s="532" t="s">
        <v>207</v>
      </c>
      <c r="B3" s="300">
        <f>ROUND(SUMIF(应收票据明细表!C:C,A3,应收票据明细表!F:F),2)</f>
        <v>0</v>
      </c>
      <c r="C3" s="300">
        <f>ROUND(SUMIF(应收票据明细表!C:C,A3,应收票据明细表!K:K),2)</f>
        <v>0</v>
      </c>
      <c r="D3" s="21" t="str">
        <f>IFERROR(C3/B3*100,"")</f>
        <v/>
      </c>
    </row>
    <row r="4" spans="1:4" ht="14.4">
      <c r="A4" s="19" t="s">
        <v>1324</v>
      </c>
      <c r="B4" s="21">
        <f>ROUND(SUM(B2:B3),2)</f>
        <v>0</v>
      </c>
      <c r="C4" s="21">
        <f>ROUND(SUM(C2:C3),2)</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codeName="Sheet74">
    <tabColor rgb="FFFFC000"/>
  </sheetPr>
  <dimension ref="A1:H4"/>
  <sheetViews>
    <sheetView workbookViewId="0">
      <selection activeCell="D10" sqref="D10"/>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32" t="s">
        <v>206</v>
      </c>
      <c r="B2" s="295">
        <f>ROUND(SUMIF(应收票据明细表!C:C,A2,应收票据明细表!G:G),2)</f>
        <v>0</v>
      </c>
      <c r="C2" s="295">
        <f>ROUND(SUMIF(应收票据明细表!C:C,A2,应收票据明细表!H:H),2)</f>
        <v>0</v>
      </c>
      <c r="D2" s="268"/>
      <c r="E2" s="295">
        <f>ROUND(SUMIF(应收票据明细表!C:C,A2,应收票据明细表!I:I),2)</f>
        <v>0</v>
      </c>
      <c r="F2" s="295">
        <f>ROUND(SUMIF(应收票据明细表!C:C,A2,应收票据明细表!J:J),2)</f>
        <v>0</v>
      </c>
      <c r="G2" s="268"/>
      <c r="H2" s="69">
        <f>ROUND(B2+C2+D2-E2-F2-G2,2)</f>
        <v>0</v>
      </c>
    </row>
    <row r="3" spans="1:8" ht="15">
      <c r="A3" s="532" t="s">
        <v>207</v>
      </c>
      <c r="B3" s="295">
        <f>ROUND(SUMIF(应收票据明细表!C:C,A3,应收票据明细表!G:G),2)</f>
        <v>0</v>
      </c>
      <c r="C3" s="295">
        <f>ROUND(SUMIF(应收票据明细表!C:C,A3,应收票据明细表!H:H),2)</f>
        <v>0</v>
      </c>
      <c r="D3" s="268"/>
      <c r="E3" s="295">
        <f>ROUND(SUMIF(应收票据明细表!C:C,A3,应收票据明细表!I:I),2)</f>
        <v>0</v>
      </c>
      <c r="F3" s="295">
        <f>ROUND(SUMIF(应收票据明细表!C:C,A3,应收票据明细表!J:J),2)</f>
        <v>0</v>
      </c>
      <c r="G3" s="268"/>
      <c r="H3" s="69">
        <f>ROUND(B3+C3+D3-E3-F3-G3,2)</f>
        <v>0</v>
      </c>
    </row>
    <row r="4" spans="1:8" ht="14.4">
      <c r="A4" s="19" t="s">
        <v>1324</v>
      </c>
      <c r="B4" s="69">
        <f>ROUND(SUM(B2:B3),2)</f>
        <v>0</v>
      </c>
      <c r="C4" s="69">
        <f>ROUND(SUM(C2:C3),2)</f>
        <v>0</v>
      </c>
      <c r="D4" s="69">
        <f>ROUND(SUM(D2:D3),2)</f>
        <v>0</v>
      </c>
      <c r="E4" s="69">
        <f>ROUND(SUM(E2:E3),2)</f>
        <v>0</v>
      </c>
      <c r="F4" s="69">
        <f>ROUND(SUM(F2:F3),2)</f>
        <v>0</v>
      </c>
      <c r="G4" s="69">
        <f>ROUND(SUM(G2:G3),2)</f>
        <v>0</v>
      </c>
      <c r="H4" s="69">
        <f>ROUND(B4+C4+D4-E4-F4-G4,2)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codeName="Sheet75">
    <tabColor rgb="FFFFC000"/>
  </sheetPr>
  <dimension ref="A1:C4"/>
  <sheetViews>
    <sheetView workbookViewId="0">
      <selection activeCell="I22" sqref="I22"/>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4" t="s">
        <v>4202</v>
      </c>
      <c r="C1" s="20" t="s">
        <v>232</v>
      </c>
    </row>
    <row r="2" spans="1:3" ht="14.4">
      <c r="A2" s="269"/>
      <c r="B2" s="268"/>
      <c r="C2" s="282"/>
    </row>
    <row r="3" spans="1:3" ht="14.4">
      <c r="A3" s="269"/>
      <c r="B3" s="268"/>
      <c r="C3" s="282"/>
    </row>
    <row r="4" spans="1:3" ht="14.4">
      <c r="A4" s="19" t="s">
        <v>1324</v>
      </c>
      <c r="B4" s="69">
        <f>SUM(B2:B3)</f>
        <v>0</v>
      </c>
      <c r="C4" s="44"/>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codeName="Sheet76">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4" t="s">
        <v>4203</v>
      </c>
      <c r="D1" s="20" t="s">
        <v>234</v>
      </c>
      <c r="E1" s="20" t="s">
        <v>4628</v>
      </c>
      <c r="F1" s="20" t="s">
        <v>4630</v>
      </c>
    </row>
    <row r="2" spans="1:6" ht="14.4">
      <c r="A2" s="19" t="s">
        <v>206</v>
      </c>
      <c r="B2" s="44"/>
      <c r="C2" s="69">
        <f>SUM(C3:C4)</f>
        <v>0</v>
      </c>
      <c r="D2" s="44"/>
      <c r="E2" s="44"/>
      <c r="F2" s="44"/>
    </row>
    <row r="3" spans="1:6" ht="14.4">
      <c r="A3" s="269"/>
      <c r="B3" s="282"/>
      <c r="C3" s="268"/>
      <c r="D3" s="282"/>
      <c r="E3" s="282"/>
      <c r="F3" s="282"/>
    </row>
    <row r="4" spans="1:6" ht="14.4">
      <c r="A4" s="269"/>
      <c r="B4" s="282"/>
      <c r="C4" s="268"/>
      <c r="D4" s="282"/>
      <c r="E4" s="282"/>
      <c r="F4" s="282"/>
    </row>
    <row r="5" spans="1:6" ht="14.4">
      <c r="A5" s="19" t="s">
        <v>207</v>
      </c>
      <c r="B5" s="44"/>
      <c r="C5" s="69">
        <f>SUM(C6:C7)</f>
        <v>0</v>
      </c>
      <c r="D5" s="44"/>
      <c r="E5" s="44"/>
      <c r="F5" s="44"/>
    </row>
    <row r="6" spans="1:6" ht="14.4">
      <c r="A6" s="269"/>
      <c r="B6" s="282"/>
      <c r="C6" s="268"/>
      <c r="D6" s="282"/>
      <c r="E6" s="282"/>
      <c r="F6" s="282"/>
    </row>
    <row r="7" spans="1:6" ht="14.4">
      <c r="A7" s="269"/>
      <c r="B7" s="282"/>
      <c r="C7" s="268"/>
      <c r="D7" s="282"/>
      <c r="E7" s="282"/>
      <c r="F7" s="282"/>
    </row>
    <row r="8" spans="1:6" ht="14.4">
      <c r="A8" s="19" t="s">
        <v>1324</v>
      </c>
      <c r="B8" s="44"/>
      <c r="C8" s="69">
        <f>SUM(C5,C2)</f>
        <v>0</v>
      </c>
      <c r="D8" s="44"/>
      <c r="E8" s="44"/>
      <c r="F8" s="44"/>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sheetPr codeName="Sheet77"/>
  <dimension ref="A1:O30"/>
  <sheetViews>
    <sheetView workbookViewId="0">
      <selection activeCell="K25" sqref="K25"/>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2427</v>
      </c>
      <c r="B1" t="s">
        <v>2425</v>
      </c>
      <c r="C1" t="s">
        <v>2426</v>
      </c>
      <c r="D1" t="s">
        <v>2424</v>
      </c>
      <c r="E1" t="s">
        <v>404</v>
      </c>
      <c r="F1" t="s">
        <v>183</v>
      </c>
      <c r="G1" t="s">
        <v>2435</v>
      </c>
      <c r="H1" t="s">
        <v>2389</v>
      </c>
      <c r="I1" t="s">
        <v>2436</v>
      </c>
      <c r="J1" t="s">
        <v>2437</v>
      </c>
      <c r="K1" t="s">
        <v>2438</v>
      </c>
      <c r="L1" t="s">
        <v>2190</v>
      </c>
      <c r="M1" t="s">
        <v>2434</v>
      </c>
      <c r="N1" t="s">
        <v>4629</v>
      </c>
      <c r="O1" t="s">
        <v>4628</v>
      </c>
    </row>
    <row r="2" spans="1:15">
      <c r="A2" t="str">
        <f>IF(ABS(F2)&gt;0,基础信息!$B$1,"")</f>
        <v/>
      </c>
      <c r="B2" s="256"/>
      <c r="C2" s="277"/>
      <c r="D2" s="256"/>
      <c r="E2" s="256"/>
      <c r="F2" s="256"/>
      <c r="G2" s="256"/>
      <c r="H2" s="256"/>
      <c r="I2" s="256"/>
      <c r="J2" s="256"/>
      <c r="K2" s="260">
        <f>G2+H2-I2-J2</f>
        <v>0</v>
      </c>
      <c r="L2" s="277"/>
      <c r="M2" s="256"/>
      <c r="N2" s="256"/>
      <c r="O2" s="256"/>
    </row>
    <row r="3" spans="1:15">
      <c r="A3" t="str">
        <f>IF(ABS(F3)&gt;0,基础信息!$B$1,"")</f>
        <v/>
      </c>
      <c r="B3" s="256"/>
      <c r="C3" s="277"/>
      <c r="D3" s="256"/>
      <c r="E3" s="256"/>
      <c r="F3" s="256"/>
      <c r="G3" s="256"/>
      <c r="H3" s="256"/>
      <c r="I3" s="256"/>
      <c r="J3" s="256"/>
      <c r="K3" s="260">
        <f t="shared" ref="K3:K21" si="0">G3+H3-I3-J3</f>
        <v>0</v>
      </c>
      <c r="L3" s="277"/>
      <c r="M3" s="256"/>
      <c r="N3" s="256"/>
      <c r="O3" s="256"/>
    </row>
    <row r="4" spans="1:15">
      <c r="A4" t="str">
        <f>IF(ABS(F4)&gt;0,基础信息!$B$1,"")</f>
        <v/>
      </c>
      <c r="B4" s="256"/>
      <c r="C4" s="277"/>
      <c r="D4" s="256"/>
      <c r="E4" s="256"/>
      <c r="F4" s="256"/>
      <c r="G4" s="256"/>
      <c r="H4" s="256"/>
      <c r="I4" s="256"/>
      <c r="J4" s="256"/>
      <c r="K4" s="260">
        <f t="shared" si="0"/>
        <v>0</v>
      </c>
      <c r="L4" s="277"/>
      <c r="M4" s="256"/>
      <c r="N4" s="256"/>
      <c r="O4" s="256"/>
    </row>
    <row r="5" spans="1:15">
      <c r="A5" t="str">
        <f>IF(ABS(F5)&gt;0,基础信息!$B$1,"")</f>
        <v/>
      </c>
      <c r="B5" s="256"/>
      <c r="C5" s="277"/>
      <c r="D5" s="256"/>
      <c r="E5" s="256"/>
      <c r="F5" s="256"/>
      <c r="G5" s="256"/>
      <c r="H5" s="256"/>
      <c r="I5" s="256"/>
      <c r="J5" s="256"/>
      <c r="K5" s="260">
        <f t="shared" si="0"/>
        <v>0</v>
      </c>
      <c r="L5" s="277"/>
      <c r="M5" s="256"/>
      <c r="N5" s="256"/>
      <c r="O5" s="256"/>
    </row>
    <row r="6" spans="1:15">
      <c r="A6" t="str">
        <f>IF(ABS(F6)&gt;0,基础信息!$B$1,"")</f>
        <v/>
      </c>
      <c r="B6" s="256"/>
      <c r="C6" s="277"/>
      <c r="D6" s="256"/>
      <c r="E6" s="256"/>
      <c r="F6" s="256"/>
      <c r="G6" s="256"/>
      <c r="H6" s="256"/>
      <c r="I6" s="256"/>
      <c r="J6" s="256"/>
      <c r="K6" s="260">
        <f t="shared" si="0"/>
        <v>0</v>
      </c>
      <c r="L6" s="277"/>
      <c r="M6" s="256"/>
      <c r="N6" s="256"/>
      <c r="O6" s="256"/>
    </row>
    <row r="7" spans="1:15">
      <c r="A7" t="str">
        <f>IF(ABS(F7)&gt;0,基础信息!$B$1,"")</f>
        <v/>
      </c>
      <c r="B7" s="256"/>
      <c r="C7" s="277"/>
      <c r="D7" s="256"/>
      <c r="E7" s="256"/>
      <c r="F7" s="256"/>
      <c r="G7" s="256"/>
      <c r="H7" s="256"/>
      <c r="I7" s="256"/>
      <c r="J7" s="256"/>
      <c r="K7" s="260">
        <f t="shared" si="0"/>
        <v>0</v>
      </c>
      <c r="L7" s="277"/>
      <c r="M7" s="256"/>
      <c r="N7" s="256"/>
      <c r="O7" s="256"/>
    </row>
    <row r="8" spans="1:15">
      <c r="A8" t="str">
        <f>IF(ABS(F8)&gt;0,基础信息!$B$1,"")</f>
        <v/>
      </c>
      <c r="B8" s="256"/>
      <c r="C8" s="277"/>
      <c r="D8" s="256"/>
      <c r="E8" s="256"/>
      <c r="F8" s="256"/>
      <c r="G8" s="256"/>
      <c r="H8" s="256"/>
      <c r="I8" s="256"/>
      <c r="J8" s="256"/>
      <c r="K8" s="260">
        <f t="shared" si="0"/>
        <v>0</v>
      </c>
      <c r="L8" s="277"/>
      <c r="M8" s="256"/>
      <c r="N8" s="256"/>
      <c r="O8" s="256"/>
    </row>
    <row r="9" spans="1:15">
      <c r="A9" t="str">
        <f>IF(ABS(F9)&gt;0,基础信息!$B$1,"")</f>
        <v/>
      </c>
      <c r="B9" s="256"/>
      <c r="C9" s="277"/>
      <c r="D9" s="256"/>
      <c r="E9" s="256"/>
      <c r="F9" s="256"/>
      <c r="G9" s="256"/>
      <c r="H9" s="256"/>
      <c r="I9" s="256"/>
      <c r="J9" s="256"/>
      <c r="K9" s="260">
        <f t="shared" si="0"/>
        <v>0</v>
      </c>
      <c r="L9" s="277"/>
      <c r="M9" s="256"/>
      <c r="N9" s="256"/>
      <c r="O9" s="256"/>
    </row>
    <row r="10" spans="1:15">
      <c r="A10" t="str">
        <f>IF(ABS(F10)&gt;0,基础信息!$B$1,"")</f>
        <v/>
      </c>
      <c r="B10" s="256"/>
      <c r="C10" s="277"/>
      <c r="D10" s="256"/>
      <c r="E10" s="256"/>
      <c r="F10" s="256"/>
      <c r="G10" s="256"/>
      <c r="H10" s="256"/>
      <c r="I10" s="256"/>
      <c r="J10" s="256"/>
      <c r="K10" s="260">
        <f t="shared" si="0"/>
        <v>0</v>
      </c>
      <c r="L10" s="277"/>
      <c r="M10" s="256"/>
      <c r="N10" s="256"/>
      <c r="O10" s="256"/>
    </row>
    <row r="11" spans="1:15">
      <c r="A11" t="str">
        <f>IF(ABS(F11)&gt;0,基础信息!$B$1,"")</f>
        <v/>
      </c>
      <c r="B11" s="256"/>
      <c r="C11" s="277"/>
      <c r="D11" s="256"/>
      <c r="E11" s="256"/>
      <c r="F11" s="256"/>
      <c r="G11" s="256"/>
      <c r="H11" s="256"/>
      <c r="I11" s="256"/>
      <c r="J11" s="256"/>
      <c r="K11" s="260">
        <f t="shared" si="0"/>
        <v>0</v>
      </c>
      <c r="L11" s="277"/>
      <c r="M11" s="256"/>
      <c r="N11" s="256"/>
      <c r="O11" s="256"/>
    </row>
    <row r="12" spans="1:15">
      <c r="A12" t="str">
        <f>IF(ABS(F12)&gt;0,基础信息!$B$1,"")</f>
        <v/>
      </c>
      <c r="B12" s="256"/>
      <c r="C12" s="277"/>
      <c r="D12" s="256"/>
      <c r="E12" s="256"/>
      <c r="F12" s="256"/>
      <c r="G12" s="256"/>
      <c r="H12" s="256"/>
      <c r="I12" s="256"/>
      <c r="J12" s="256"/>
      <c r="K12" s="260">
        <f t="shared" si="0"/>
        <v>0</v>
      </c>
      <c r="L12" s="277"/>
      <c r="M12" s="256"/>
      <c r="N12" s="256"/>
      <c r="O12" s="256"/>
    </row>
    <row r="13" spans="1:15">
      <c r="A13" t="str">
        <f>IF(ABS(F13)&gt;0,基础信息!$B$1,"")</f>
        <v/>
      </c>
      <c r="B13" s="256"/>
      <c r="C13" s="277"/>
      <c r="D13" s="256"/>
      <c r="E13" s="256"/>
      <c r="F13" s="256"/>
      <c r="G13" s="256"/>
      <c r="H13" s="256"/>
      <c r="I13" s="256"/>
      <c r="J13" s="256"/>
      <c r="K13" s="260">
        <f t="shared" si="0"/>
        <v>0</v>
      </c>
      <c r="L13" s="277"/>
      <c r="M13" s="256"/>
      <c r="N13" s="256"/>
      <c r="O13" s="256"/>
    </row>
    <row r="14" spans="1:15">
      <c r="A14" t="str">
        <f>IF(ABS(F14)&gt;0,基础信息!$B$1,"")</f>
        <v/>
      </c>
      <c r="B14" s="256"/>
      <c r="C14" s="277"/>
      <c r="D14" s="256"/>
      <c r="E14" s="256"/>
      <c r="F14" s="256"/>
      <c r="G14" s="256"/>
      <c r="H14" s="256"/>
      <c r="I14" s="256"/>
      <c r="J14" s="256"/>
      <c r="K14" s="260">
        <f t="shared" si="0"/>
        <v>0</v>
      </c>
      <c r="L14" s="277"/>
      <c r="M14" s="256"/>
      <c r="N14" s="256"/>
      <c r="O14" s="256"/>
    </row>
    <row r="15" spans="1:15">
      <c r="A15" t="str">
        <f>IF(ABS(F15)&gt;0,基础信息!$B$1,"")</f>
        <v/>
      </c>
      <c r="B15" s="256"/>
      <c r="C15" s="277"/>
      <c r="D15" s="256"/>
      <c r="E15" s="256"/>
      <c r="F15" s="256"/>
      <c r="G15" s="256"/>
      <c r="H15" s="256"/>
      <c r="I15" s="256"/>
      <c r="J15" s="256"/>
      <c r="K15" s="260">
        <f t="shared" si="0"/>
        <v>0</v>
      </c>
      <c r="L15" s="277"/>
      <c r="M15" s="256"/>
      <c r="N15" s="256"/>
      <c r="O15" s="256"/>
    </row>
    <row r="16" spans="1:15">
      <c r="A16" t="str">
        <f>IF(ABS(F16)&gt;0,基础信息!$B$1,"")</f>
        <v/>
      </c>
      <c r="B16" s="256"/>
      <c r="C16" s="277"/>
      <c r="D16" s="256"/>
      <c r="E16" s="256"/>
      <c r="F16" s="256"/>
      <c r="G16" s="256"/>
      <c r="H16" s="256"/>
      <c r="I16" s="256"/>
      <c r="J16" s="256"/>
      <c r="K16" s="260">
        <f t="shared" si="0"/>
        <v>0</v>
      </c>
      <c r="L16" s="277"/>
      <c r="M16" s="256"/>
      <c r="N16" s="256"/>
      <c r="O16" s="256"/>
    </row>
    <row r="17" spans="1:15">
      <c r="A17" t="str">
        <f>IF(ABS(F17)&gt;0,基础信息!$B$1,"")</f>
        <v/>
      </c>
      <c r="B17" s="256"/>
      <c r="C17" s="277"/>
      <c r="D17" s="256"/>
      <c r="E17" s="256"/>
      <c r="F17" s="256"/>
      <c r="G17" s="256"/>
      <c r="H17" s="256"/>
      <c r="I17" s="256"/>
      <c r="J17" s="256"/>
      <c r="K17" s="260">
        <f t="shared" si="0"/>
        <v>0</v>
      </c>
      <c r="L17" s="277"/>
      <c r="M17" s="256"/>
      <c r="N17" s="256"/>
      <c r="O17" s="256"/>
    </row>
    <row r="18" spans="1:15">
      <c r="A18" t="str">
        <f>IF(ABS(F18)&gt;0,基础信息!$B$1,"")</f>
        <v/>
      </c>
      <c r="B18" s="256"/>
      <c r="C18" s="277"/>
      <c r="D18" s="256"/>
      <c r="E18" s="256"/>
      <c r="F18" s="256"/>
      <c r="G18" s="256"/>
      <c r="H18" s="256"/>
      <c r="I18" s="256"/>
      <c r="J18" s="256"/>
      <c r="K18" s="260">
        <f t="shared" si="0"/>
        <v>0</v>
      </c>
      <c r="L18" s="277"/>
      <c r="M18" s="256"/>
      <c r="N18" s="256"/>
      <c r="O18" s="256"/>
    </row>
    <row r="19" spans="1:15">
      <c r="A19" t="str">
        <f>IF(ABS(F19)&gt;0,基础信息!$B$1,"")</f>
        <v/>
      </c>
      <c r="B19" s="256"/>
      <c r="C19" s="277"/>
      <c r="D19" s="256"/>
      <c r="E19" s="256"/>
      <c r="F19" s="256"/>
      <c r="G19" s="256"/>
      <c r="H19" s="256"/>
      <c r="I19" s="256"/>
      <c r="J19" s="256"/>
      <c r="K19" s="260">
        <f t="shared" si="0"/>
        <v>0</v>
      </c>
      <c r="L19" s="277"/>
      <c r="M19" s="256"/>
      <c r="N19" s="256"/>
      <c r="O19" s="256"/>
    </row>
    <row r="20" spans="1:15">
      <c r="A20" t="str">
        <f>IF(ABS(F20)&gt;0,基础信息!$B$1,"")</f>
        <v/>
      </c>
      <c r="B20" s="256"/>
      <c r="C20" s="277"/>
      <c r="D20" s="256"/>
      <c r="E20" s="256"/>
      <c r="F20" s="256"/>
      <c r="G20" s="256"/>
      <c r="H20" s="256"/>
      <c r="I20" s="256"/>
      <c r="J20" s="256"/>
      <c r="K20" s="260">
        <f t="shared" si="0"/>
        <v>0</v>
      </c>
      <c r="L20" s="277"/>
      <c r="M20" s="256"/>
      <c r="N20" s="256"/>
      <c r="O20" s="256"/>
    </row>
    <row r="21" spans="1:15">
      <c r="A21" t="str">
        <f>IF(ABS(F21)&gt;0,基础信息!$B$1,"")</f>
        <v/>
      </c>
      <c r="B21" s="256"/>
      <c r="C21" s="277"/>
      <c r="D21" s="256"/>
      <c r="E21" s="256"/>
      <c r="F21" s="256"/>
      <c r="G21" s="256"/>
      <c r="H21" s="256"/>
      <c r="I21" s="256"/>
      <c r="J21" s="256"/>
      <c r="K21" s="260">
        <f t="shared" si="0"/>
        <v>0</v>
      </c>
      <c r="L21" s="277"/>
      <c r="M21" s="256"/>
      <c r="N21" s="256"/>
      <c r="O21" s="256"/>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codeName="Sheet78">
    <tabColor rgb="FFFFC000"/>
  </sheetPr>
  <dimension ref="A1:F4"/>
  <sheetViews>
    <sheetView workbookViewId="0">
      <selection activeCell="C11" sqref="C11"/>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7">
        <f>ROUND(SUMIF(应收账款明细表!C:C,"单项金额重大并单项计提坏账准备",应收账款明细表!H:H),2)</f>
        <v>0</v>
      </c>
      <c r="C2" s="157" t="str">
        <f>IFERROR(B2/$B$4*100,"")</f>
        <v/>
      </c>
      <c r="D2" s="157">
        <f>ROUND(SUMIF(应收账款明细表!C:C,"单项金额重大并单项计提坏账准备",应收账款明细表!S:S),2)</f>
        <v>0</v>
      </c>
      <c r="E2" s="523" t="str">
        <f>IFERROR(D2/B2*100,"")</f>
        <v/>
      </c>
      <c r="F2" s="1">
        <f>ROUND(B2-D2,2)</f>
        <v>0</v>
      </c>
    </row>
    <row r="3" spans="1:6">
      <c r="A3" s="70" t="s">
        <v>245</v>
      </c>
      <c r="B3" s="157">
        <f>ROUND(SUMIF(应收账款明细表!C:C,"按信用风险特征组合计提坏账准备",应收账款明细表!H:H),2)</f>
        <v>0</v>
      </c>
      <c r="C3" s="157" t="str">
        <f t="shared" ref="C3:C4" si="0">IFERROR(B3/$B$4*100,"")</f>
        <v/>
      </c>
      <c r="D3" s="157">
        <f>ROUND(SUMIF(应收账款明细表!C:C,"按信用风险特征组合计提坏账准备",应收账款明细表!S:S),2)</f>
        <v>0</v>
      </c>
      <c r="E3" s="523" t="str">
        <f>IFERROR(D3/B3*100,"")</f>
        <v/>
      </c>
      <c r="F3" s="1">
        <f>ROUND(B3-D3,2)</f>
        <v>0</v>
      </c>
    </row>
    <row r="4" spans="1:6" ht="14.4">
      <c r="A4" s="23" t="s">
        <v>204</v>
      </c>
      <c r="B4" s="157">
        <f>ROUND(SUM(B1:B3),2)</f>
        <v>0</v>
      </c>
      <c r="C4" s="157" t="str">
        <f t="shared" si="0"/>
        <v/>
      </c>
      <c r="D4" s="157">
        <f>ROUND(SUM(D1:D3),2)</f>
        <v>0</v>
      </c>
      <c r="E4" s="155" t="s">
        <v>239</v>
      </c>
      <c r="F4" s="157">
        <f>ROUND(SUM(F1:F3),2)</f>
        <v>0</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codeName="Sheet79">
    <tabColor rgb="FFFFC000"/>
  </sheetPr>
  <dimension ref="A1:F4"/>
  <sheetViews>
    <sheetView workbookViewId="0">
      <selection activeCell="B4" sqref="B4 D4 F2:F4"/>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205</v>
      </c>
      <c r="B1" s="40" t="s">
        <v>4205</v>
      </c>
      <c r="C1" s="40" t="s">
        <v>242</v>
      </c>
      <c r="D1" s="40" t="s">
        <v>219</v>
      </c>
      <c r="E1" s="40" t="s">
        <v>243</v>
      </c>
      <c r="F1" s="67" t="s">
        <v>221</v>
      </c>
    </row>
    <row r="2" spans="1:6">
      <c r="A2" s="70" t="s">
        <v>244</v>
      </c>
      <c r="B2" s="275"/>
      <c r="C2" s="157" t="str">
        <f>IFERROR(B2/$B$4*100,"")</f>
        <v/>
      </c>
      <c r="D2" s="275"/>
      <c r="E2" s="274" t="str">
        <f>IFERROR(D2/B2*100,"")</f>
        <v/>
      </c>
      <c r="F2" s="18">
        <f>ROUND(B2-D2,2)</f>
        <v>0</v>
      </c>
    </row>
    <row r="3" spans="1:6">
      <c r="A3" s="70" t="s">
        <v>245</v>
      </c>
      <c r="B3" s="275"/>
      <c r="C3" s="157" t="str">
        <f t="shared" ref="C3:C4" si="0">IFERROR(B3/$B$4*100,"")</f>
        <v/>
      </c>
      <c r="D3" s="275"/>
      <c r="E3" s="274" t="str">
        <f>IFERROR(D3/B3*100,"")</f>
        <v/>
      </c>
      <c r="F3" s="18">
        <f>ROUND(B3-D3,2)</f>
        <v>0</v>
      </c>
    </row>
    <row r="4" spans="1:6" ht="14.4">
      <c r="A4" s="23" t="s">
        <v>204</v>
      </c>
      <c r="B4" s="39">
        <f>ROUND(SUM(B1:B3),2)</f>
        <v>0</v>
      </c>
      <c r="C4" s="157" t="str">
        <f t="shared" si="0"/>
        <v/>
      </c>
      <c r="D4" s="39">
        <f>ROUND(SUM(D1:D3),2)</f>
        <v>0</v>
      </c>
      <c r="E4" s="155" t="s">
        <v>239</v>
      </c>
      <c r="F4" s="39">
        <f>ROUND(SUM(F1:F3),2)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sheetPr codeName="Sheet8"/>
  <dimension ref="A1:L258"/>
  <sheetViews>
    <sheetView view="pageBreakPreview" zoomScale="85" zoomScaleNormal="100" zoomScaleSheetLayoutView="85" workbookViewId="0">
      <selection activeCell="F206" sqref="F206:G206"/>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827</v>
      </c>
      <c r="B1" s="109" t="s">
        <v>828</v>
      </c>
      <c r="C1" s="62" t="s">
        <v>829</v>
      </c>
      <c r="D1" s="62" t="s">
        <v>830</v>
      </c>
      <c r="E1" s="62" t="s">
        <v>831</v>
      </c>
      <c r="F1" s="62" t="s">
        <v>832</v>
      </c>
      <c r="G1" s="62" t="s">
        <v>826</v>
      </c>
      <c r="H1" s="62" t="s">
        <v>833</v>
      </c>
    </row>
    <row r="2" spans="1:12">
      <c r="A2" s="110" t="s">
        <v>834</v>
      </c>
      <c r="B2" s="110"/>
      <c r="C2" s="111"/>
      <c r="D2" s="111"/>
      <c r="E2" s="111"/>
      <c r="I2" s="18" t="s">
        <v>835</v>
      </c>
      <c r="J2" s="18" t="s">
        <v>836</v>
      </c>
      <c r="K2" s="18" t="s">
        <v>837</v>
      </c>
      <c r="L2" s="18" t="s">
        <v>838</v>
      </c>
    </row>
    <row r="3" spans="1:12">
      <c r="A3" s="112" t="s">
        <v>839</v>
      </c>
      <c r="B3" s="112"/>
      <c r="C3" s="111"/>
      <c r="D3" s="111"/>
      <c r="E3" s="111">
        <f>SUM(E4:E6)</f>
        <v>820851019.66999996</v>
      </c>
      <c r="F3" s="111">
        <f t="shared" ref="F3:G3" si="0">SUM(C4:C6)</f>
        <v>0</v>
      </c>
      <c r="G3" s="111">
        <f t="shared" si="0"/>
        <v>0</v>
      </c>
      <c r="H3" s="111">
        <f>SUM(H4:H6)</f>
        <v>820851019.66999996</v>
      </c>
    </row>
    <row r="4" spans="1:12">
      <c r="A4" s="112" t="s">
        <v>840</v>
      </c>
      <c r="B4" s="113" t="s">
        <v>841</v>
      </c>
      <c r="C4" s="111"/>
      <c r="D4" s="111"/>
      <c r="E4" s="114">
        <f>IF(K4=L4,_xlfn.IFNA(VLOOKUP(I4,科目余额表!B:M,12,0),0),-_xlfn.IFNA(VLOOKUP(I4,科目余额表!B:M,12,0),0))</f>
        <v>0</v>
      </c>
      <c r="F4" s="1">
        <f>ROUND(SUMIF(上期ETY!D:D,B4,上期ETY!F:F),2)</f>
        <v>0</v>
      </c>
      <c r="G4" s="1">
        <f>ROUND(SUMIF(上期ETY!D:D,B4,上期ETY!G:G),2)</f>
        <v>0</v>
      </c>
      <c r="H4" s="115">
        <f>ROUND(E4+F4-G4,2)</f>
        <v>0</v>
      </c>
      <c r="I4" s="18" t="s">
        <v>842</v>
      </c>
      <c r="K4" s="18" t="s">
        <v>843</v>
      </c>
      <c r="L4" s="18" t="str">
        <f>_xlfn.IFNA(VLOOKUP(I4,科目余额表!B:M,11,0),K4)</f>
        <v>借</v>
      </c>
    </row>
    <row r="5" spans="1:12">
      <c r="A5" s="112" t="s">
        <v>844</v>
      </c>
      <c r="B5" s="113" t="s">
        <v>845</v>
      </c>
      <c r="C5" s="111"/>
      <c r="D5" s="111"/>
      <c r="E5" s="114">
        <f>IF(K5=L5,_xlfn.IFNA(VLOOKUP(I5,科目余额表!B:M,12,0),0),-_xlfn.IFNA(VLOOKUP(I5,科目余额表!B:M,12,0),0))</f>
        <v>761094784.53999996</v>
      </c>
      <c r="F5" s="1">
        <f>ROUND(SUMIF(上期ETY!D:D,B5,上期ETY!F:F),2)</f>
        <v>0</v>
      </c>
      <c r="G5" s="1">
        <f>ROUND(SUMIF(上期ETY!D:D,B5,上期ETY!G:G),2)</f>
        <v>0</v>
      </c>
      <c r="H5" s="115">
        <f>ROUND(E5+F5-G5,2)</f>
        <v>761094784.53999996</v>
      </c>
      <c r="I5" s="18" t="s">
        <v>846</v>
      </c>
      <c r="K5" s="18" t="s">
        <v>843</v>
      </c>
      <c r="L5" s="18" t="str">
        <f>_xlfn.IFNA(VLOOKUP(I5,科目余额表!B:M,11,0),K5)</f>
        <v>借</v>
      </c>
    </row>
    <row r="6" spans="1:12">
      <c r="A6" s="112" t="s">
        <v>847</v>
      </c>
      <c r="B6" s="113" t="s">
        <v>193</v>
      </c>
      <c r="C6" s="111"/>
      <c r="D6" s="111"/>
      <c r="E6" s="114">
        <f>IF(K6=L6,_xlfn.IFNA(VLOOKUP(I6,科目余额表!B:M,12,0),0),-_xlfn.IFNA(VLOOKUP(I6,科目余额表!B:M,12,0),0))</f>
        <v>59756235.130000003</v>
      </c>
      <c r="F6" s="1">
        <f>ROUND(SUMIF(上期ETY!D:D,B6,上期ETY!F:F),2)</f>
        <v>0</v>
      </c>
      <c r="G6" s="1">
        <f>ROUND(SUMIF(上期ETY!D:D,B6,上期ETY!G:G),2)</f>
        <v>0</v>
      </c>
      <c r="H6" s="115">
        <f t="shared" ref="H6:H56" si="1">ROUND(E6+F6-G6,2)</f>
        <v>59756235.130000003</v>
      </c>
      <c r="I6" s="18" t="s">
        <v>848</v>
      </c>
      <c r="K6" s="18" t="s">
        <v>843</v>
      </c>
      <c r="L6" s="18" t="str">
        <f>_xlfn.IFNA(VLOOKUP(I6,科目余额表!B:M,11,0),K6)</f>
        <v>借</v>
      </c>
    </row>
    <row r="7" spans="1:12">
      <c r="A7" s="112" t="s">
        <v>849</v>
      </c>
      <c r="B7" s="113" t="s">
        <v>850</v>
      </c>
      <c r="C7" s="111"/>
      <c r="D7" s="111"/>
      <c r="E7" s="114">
        <f>IF(K7=L7,_xlfn.IFNA(VLOOKUP(I7,科目余额表!B:M,12,0),0),-_xlfn.IFNA(VLOOKUP(I7,科目余额表!B:M,12,0),0))</f>
        <v>0</v>
      </c>
      <c r="F7" s="1">
        <f>ROUND(SUMIF(上期ETY!D:D,B7,上期ETY!F:F),2)</f>
        <v>0</v>
      </c>
      <c r="G7" s="1">
        <f>ROUND(SUMIF(上期ETY!D:D,B7,上期ETY!G:G),2)</f>
        <v>0</v>
      </c>
      <c r="H7" s="115">
        <f t="shared" si="1"/>
        <v>0</v>
      </c>
      <c r="I7" s="18" t="s">
        <v>851</v>
      </c>
      <c r="K7" s="18" t="s">
        <v>843</v>
      </c>
      <c r="L7" s="18" t="str">
        <f>_xlfn.IFNA(VLOOKUP(I7,科目余额表!B:M,11,0),K7)</f>
        <v>借</v>
      </c>
    </row>
    <row r="8" spans="1:12">
      <c r="A8" s="112" t="s">
        <v>852</v>
      </c>
      <c r="B8" s="113" t="s">
        <v>853</v>
      </c>
      <c r="C8" s="111"/>
      <c r="D8" s="111"/>
      <c r="E8" s="114">
        <f>IF(K8=L8,_xlfn.IFNA(VLOOKUP(I8,科目余额表!B:M,12,0),0),-_xlfn.IFNA(VLOOKUP(I8,科目余额表!B:M,12,0),0))</f>
        <v>0</v>
      </c>
      <c r="F8" s="1">
        <f>ROUND(SUMIF(上期ETY!D:D,B8,上期ETY!F:F),2)</f>
        <v>0</v>
      </c>
      <c r="G8" s="1">
        <f>ROUND(SUMIF(上期ETY!D:D,B8,上期ETY!G:G),2)</f>
        <v>0</v>
      </c>
      <c r="H8" s="115">
        <f t="shared" si="1"/>
        <v>0</v>
      </c>
      <c r="I8" s="18" t="s">
        <v>854</v>
      </c>
      <c r="K8" s="18" t="s">
        <v>843</v>
      </c>
      <c r="L8" s="18" t="str">
        <f>_xlfn.IFNA(VLOOKUP(I8,科目余额表!B:M,11,0),K8)</f>
        <v>借</v>
      </c>
    </row>
    <row r="9" spans="1:12">
      <c r="A9" s="116" t="s">
        <v>855</v>
      </c>
      <c r="B9" s="113" t="s">
        <v>5</v>
      </c>
      <c r="C9" s="111"/>
      <c r="D9" s="117" t="s">
        <v>856</v>
      </c>
      <c r="E9" s="114">
        <f>IF(K9=L9,_xlfn.IFNA(VLOOKUP(I9,科目余额表!B:M,12,0),0),-_xlfn.IFNA(VLOOKUP(I9,科目余额表!B:M,12,0),0))</f>
        <v>0</v>
      </c>
      <c r="F9" s="1">
        <f>ROUND(SUMIF(上期ETY!D:D,B9,上期ETY!F:F),2)</f>
        <v>0</v>
      </c>
      <c r="G9" s="1">
        <f>ROUND(SUMIF(上期ETY!D:D,B9,上期ETY!G:G),2)</f>
        <v>0</v>
      </c>
      <c r="H9" s="115">
        <f t="shared" si="1"/>
        <v>0</v>
      </c>
      <c r="I9" s="18" t="s">
        <v>5</v>
      </c>
      <c r="K9" s="18" t="s">
        <v>843</v>
      </c>
      <c r="L9" s="18" t="str">
        <f>_xlfn.IFNA(VLOOKUP(I9,科目余额表!B:M,11,0),K9)</f>
        <v>借</v>
      </c>
    </row>
    <row r="10" spans="1:12">
      <c r="A10" s="116" t="s">
        <v>857</v>
      </c>
      <c r="B10" s="113" t="s">
        <v>3</v>
      </c>
      <c r="C10" s="117" t="s">
        <v>858</v>
      </c>
      <c r="D10" s="117"/>
      <c r="E10" s="114">
        <f>IF(K10=L10,_xlfn.IFNA(VLOOKUP(I10,科目余额表!B:M,12,0),0),-_xlfn.IFNA(VLOOKUP(I10,科目余额表!B:M,12,0),0))</f>
        <v>0</v>
      </c>
      <c r="F10" s="1">
        <f>ROUND(SUMIF(上期ETY!D:D,B10,上期ETY!F:F),2)</f>
        <v>0</v>
      </c>
      <c r="G10" s="1">
        <f>ROUND(SUMIF(上期ETY!D:D,B10,上期ETY!G:G),2)</f>
        <v>0</v>
      </c>
      <c r="H10" s="115">
        <f t="shared" si="1"/>
        <v>0</v>
      </c>
      <c r="I10" s="18" t="s">
        <v>3</v>
      </c>
      <c r="K10" s="18" t="s">
        <v>843</v>
      </c>
      <c r="L10" s="18" t="str">
        <f>_xlfn.IFNA(VLOOKUP(I10,科目余额表!B:M,11,0),K10)</f>
        <v>借</v>
      </c>
    </row>
    <row r="11" spans="1:12">
      <c r="A11" s="113" t="s">
        <v>859</v>
      </c>
      <c r="B11" s="113" t="s">
        <v>452</v>
      </c>
      <c r="C11" s="111"/>
      <c r="D11" s="111"/>
      <c r="E11" s="114">
        <f>IF(K11=L11,_xlfn.IFNA(VLOOKUP(I11,科目余额表!B:M,12,0),0),-_xlfn.IFNA(VLOOKUP(I11,科目余额表!B:M,12,0),0))</f>
        <v>0</v>
      </c>
      <c r="F11" s="1">
        <f>ROUND(SUMIF(上期ETY!D:D,B11,上期ETY!F:F),2)</f>
        <v>0</v>
      </c>
      <c r="G11" s="1">
        <f>ROUND(SUMIF(上期ETY!D:D,B11,上期ETY!G:G),2)</f>
        <v>0</v>
      </c>
      <c r="H11" s="115">
        <f t="shared" si="1"/>
        <v>0</v>
      </c>
      <c r="I11" s="18" t="s">
        <v>452</v>
      </c>
      <c r="K11" s="18" t="s">
        <v>843</v>
      </c>
      <c r="L11" s="18" t="str">
        <f>_xlfn.IFNA(VLOOKUP(I11,科目余额表!B:M,11,0),K11)</f>
        <v>借</v>
      </c>
    </row>
    <row r="12" spans="1:12">
      <c r="A12" s="113" t="s">
        <v>860</v>
      </c>
      <c r="B12" s="113" t="s">
        <v>861</v>
      </c>
      <c r="C12" s="111"/>
      <c r="D12" s="111"/>
      <c r="E12" s="114">
        <f>IF(K12=L12,_xlfn.IFNA(VLOOKUP(I12,科目余额表!B:M,12,0),0),-_xlfn.IFNA(VLOOKUP(I12,科目余额表!B:M,12,0),0))</f>
        <v>2000000</v>
      </c>
      <c r="F12" s="1">
        <f>ROUND(SUMIF(上期ETY!D:D,B12,上期ETY!F:F),2)</f>
        <v>0</v>
      </c>
      <c r="G12" s="1">
        <f>ROUND(SUMIF(上期ETY!D:D,B12,上期ETY!G:G),2)</f>
        <v>0</v>
      </c>
      <c r="H12" s="115">
        <f t="shared" si="1"/>
        <v>2000000</v>
      </c>
      <c r="I12" s="18" t="s">
        <v>6</v>
      </c>
      <c r="K12" s="18" t="s">
        <v>843</v>
      </c>
      <c r="L12" s="18" t="str">
        <f>_xlfn.IFNA(VLOOKUP(I12,科目余额表!B:M,11,0),K12)</f>
        <v>借</v>
      </c>
    </row>
    <row r="13" spans="1:12">
      <c r="A13" s="113" t="s">
        <v>862</v>
      </c>
      <c r="B13" s="113" t="s">
        <v>863</v>
      </c>
      <c r="C13" s="111"/>
      <c r="D13" s="111"/>
      <c r="E13" s="114">
        <f>IF(K13=L13,_xlfn.IFNA(VLOOKUP(I13,科目余额表!B:M,12,0),0),-_xlfn.IFNA(VLOOKUP(I13,科目余额表!B:M,12,0),0))</f>
        <v>0</v>
      </c>
      <c r="F13" s="1">
        <f>ROUND(SUMIF(上期ETY!D:D,B13,上期ETY!F:F),2)</f>
        <v>0</v>
      </c>
      <c r="G13" s="1">
        <f>ROUND(SUMIF(上期ETY!D:D,B13,上期ETY!G:G),2)</f>
        <v>0</v>
      </c>
      <c r="H13" s="115">
        <f>ROUND(E13-F13+G13,2)</f>
        <v>0</v>
      </c>
      <c r="I13" s="18" t="s">
        <v>864</v>
      </c>
      <c r="K13" s="18" t="s">
        <v>865</v>
      </c>
      <c r="L13" s="18" t="str">
        <f>_xlfn.IFNA(VLOOKUP(I13,科目余额表!B:M,11,0),K13)</f>
        <v>贷</v>
      </c>
    </row>
    <row r="14" spans="1:12">
      <c r="A14" s="112" t="s">
        <v>866</v>
      </c>
      <c r="B14" s="113"/>
      <c r="C14" s="111"/>
      <c r="D14" s="111"/>
      <c r="E14" s="111">
        <f>E12-E13</f>
        <v>2000000</v>
      </c>
      <c r="F14" s="111">
        <f t="shared" ref="F14:H14" si="2">F12-F13</f>
        <v>0</v>
      </c>
      <c r="G14" s="111">
        <f t="shared" si="2"/>
        <v>0</v>
      </c>
      <c r="H14" s="111">
        <f t="shared" si="2"/>
        <v>2000000</v>
      </c>
      <c r="L14" s="18">
        <f>_xlfn.IFNA(VLOOKUP(I14,科目余额表!B:M,11,0),K14)</f>
        <v>0</v>
      </c>
    </row>
    <row r="15" spans="1:12">
      <c r="A15" s="112" t="s">
        <v>867</v>
      </c>
      <c r="B15" s="113" t="s">
        <v>868</v>
      </c>
      <c r="C15" s="111"/>
      <c r="D15" s="111"/>
      <c r="E15" s="114">
        <f>IF(K15=L15,_xlfn.IFNA(VLOOKUP(I15,科目余额表!B:M,12,0),0),-_xlfn.IFNA(VLOOKUP(I15,科目余额表!B:M,12,0),0))</f>
        <v>120902358.69</v>
      </c>
      <c r="F15" s="1">
        <f>ROUND(SUMIF(上期ETY!D:D,B15,上期ETY!F:F),2)</f>
        <v>0</v>
      </c>
      <c r="G15" s="1">
        <f>ROUND(SUMIF(上期ETY!D:D,B15,上期ETY!G:G),2)</f>
        <v>0</v>
      </c>
      <c r="H15" s="115">
        <f t="shared" si="1"/>
        <v>120902358.69</v>
      </c>
      <c r="I15" s="18" t="s">
        <v>9</v>
      </c>
      <c r="K15" s="18" t="s">
        <v>843</v>
      </c>
      <c r="L15" s="18" t="str">
        <f>_xlfn.IFNA(VLOOKUP(I15,科目余额表!B:M,11,0),K15)</f>
        <v>借</v>
      </c>
    </row>
    <row r="16" spans="1:12">
      <c r="A16" s="112" t="s">
        <v>869</v>
      </c>
      <c r="B16" s="113" t="s">
        <v>870</v>
      </c>
      <c r="C16" s="111"/>
      <c r="D16" s="111"/>
      <c r="E16" s="114">
        <f>IF(K16=L16,_xlfn.IFNA(VLOOKUP(I16,科目余额表!B:M,12,0),0),-_xlfn.IFNA(VLOOKUP(I16,科目余额表!B:M,12,0),0))</f>
        <v>32762887</v>
      </c>
      <c r="F16" s="1">
        <f>ROUND(SUMIF(上期ETY!D:D,B16,上期ETY!F:F),2)</f>
        <v>0</v>
      </c>
      <c r="G16" s="1">
        <f>ROUND(SUMIF(上期ETY!D:D,B16,上期ETY!G:G),2)</f>
        <v>0</v>
      </c>
      <c r="H16" s="115">
        <f>ROUND(E16-F16+G16,2)</f>
        <v>32762887</v>
      </c>
      <c r="I16" s="18" t="s">
        <v>871</v>
      </c>
      <c r="K16" s="18" t="s">
        <v>865</v>
      </c>
      <c r="L16" s="18" t="str">
        <f>_xlfn.IFNA(VLOOKUP(I16,科目余额表!B:M,11,0),K16)</f>
        <v>贷</v>
      </c>
    </row>
    <row r="17" spans="1:12">
      <c r="A17" s="113" t="s">
        <v>872</v>
      </c>
      <c r="B17" s="113"/>
      <c r="C17" s="111"/>
      <c r="D17" s="111"/>
      <c r="E17" s="111">
        <f>E15-E16</f>
        <v>88139471.689999998</v>
      </c>
      <c r="F17" s="111">
        <f t="shared" ref="F17:H17" si="3">F15-F16</f>
        <v>0</v>
      </c>
      <c r="G17" s="111"/>
      <c r="H17" s="111">
        <f t="shared" si="3"/>
        <v>88139471.689999998</v>
      </c>
      <c r="L17" s="18">
        <f>_xlfn.IFNA(VLOOKUP(I17,科目余额表!B:M,11,0),K17)</f>
        <v>0</v>
      </c>
    </row>
    <row r="18" spans="1:12">
      <c r="A18" s="113" t="s">
        <v>873</v>
      </c>
      <c r="B18" s="113" t="s">
        <v>7</v>
      </c>
      <c r="C18" s="111"/>
      <c r="D18" s="117" t="s">
        <v>856</v>
      </c>
      <c r="E18" s="114">
        <f>IF(K18=L18,_xlfn.IFNA(VLOOKUP(I18,科目余额表!B:M,12,0),0),-_xlfn.IFNA(VLOOKUP(I18,科目余额表!B:M,12,0),0))</f>
        <v>0</v>
      </c>
      <c r="F18" s="1">
        <f>ROUND(SUMIF(上期ETY!D:D,B18,上期ETY!F:F),2)</f>
        <v>0</v>
      </c>
      <c r="G18" s="1">
        <f>ROUND(SUMIF(上期ETY!D:D,B18,上期ETY!G:G),2)</f>
        <v>0</v>
      </c>
      <c r="H18" s="115">
        <f t="shared" si="1"/>
        <v>0</v>
      </c>
      <c r="I18" s="18" t="s">
        <v>7</v>
      </c>
      <c r="K18" s="18" t="s">
        <v>843</v>
      </c>
      <c r="L18" s="18" t="str">
        <f>_xlfn.IFNA(VLOOKUP(I18,科目余额表!B:M,11,0),K18)</f>
        <v>借</v>
      </c>
    </row>
    <row r="19" spans="1:12">
      <c r="A19" s="112" t="s">
        <v>874</v>
      </c>
      <c r="B19" s="113" t="s">
        <v>875</v>
      </c>
      <c r="C19" s="111"/>
      <c r="D19" s="111"/>
      <c r="E19" s="114">
        <f>IF(K19=L19,_xlfn.IFNA(VLOOKUP(I19,科目余额表!B:M,12,0),0),-_xlfn.IFNA(VLOOKUP(I19,科目余额表!B:M,12,0),0))</f>
        <v>360794.15</v>
      </c>
      <c r="F19" s="1">
        <f>ROUND(SUMIF(上期ETY!D:D,B19,上期ETY!F:F),2)</f>
        <v>0</v>
      </c>
      <c r="G19" s="1">
        <f>ROUND(SUMIF(上期ETY!D:D,B19,上期ETY!G:G),2)</f>
        <v>0</v>
      </c>
      <c r="H19" s="115">
        <f t="shared" si="1"/>
        <v>360794.15</v>
      </c>
      <c r="I19" s="18" t="s">
        <v>876</v>
      </c>
      <c r="K19" s="18" t="s">
        <v>843</v>
      </c>
      <c r="L19" s="18" t="str">
        <f>_xlfn.IFNA(VLOOKUP(I19,科目余额表!B:M,11,0),K19)</f>
        <v>借</v>
      </c>
    </row>
    <row r="20" spans="1:12">
      <c r="A20" s="112" t="s">
        <v>877</v>
      </c>
      <c r="B20" s="113" t="s">
        <v>878</v>
      </c>
      <c r="C20" s="111"/>
      <c r="D20" s="111"/>
      <c r="E20" s="114">
        <f>IF(K20=L20,_xlfn.IFNA(VLOOKUP(I20,科目余额表!B:M,12,0),0),-_xlfn.IFNA(VLOOKUP(I20,科目余额表!B:M,12,0),0))</f>
        <v>0</v>
      </c>
      <c r="F20" s="1">
        <f>ROUND(SUMIF(上期ETY!D:D,B20,上期ETY!F:F),2)</f>
        <v>0</v>
      </c>
      <c r="G20" s="1">
        <f>ROUND(SUMIF(上期ETY!D:D,B20,上期ETY!G:G),2)</f>
        <v>0</v>
      </c>
      <c r="H20" s="115">
        <f t="shared" si="1"/>
        <v>0</v>
      </c>
      <c r="I20" s="18" t="s">
        <v>878</v>
      </c>
      <c r="K20" s="18" t="s">
        <v>843</v>
      </c>
      <c r="L20" s="18" t="str">
        <f>_xlfn.IFNA(VLOOKUP(I20,科目余额表!B:M,11,0),K20)</f>
        <v>借</v>
      </c>
    </row>
    <row r="21" spans="1:12">
      <c r="A21" s="112" t="s">
        <v>879</v>
      </c>
      <c r="B21" s="113" t="s">
        <v>880</v>
      </c>
      <c r="C21" s="111"/>
      <c r="D21" s="111"/>
      <c r="E21" s="114">
        <f>IF(K21=L21,_xlfn.IFNA(VLOOKUP(I21,科目余额表!B:M,12,0),0),-_xlfn.IFNA(VLOOKUP(I21,科目余额表!B:M,12,0),0))</f>
        <v>0</v>
      </c>
      <c r="F21" s="1">
        <f>ROUND(SUMIF(上期ETY!D:D,B21,上期ETY!F:F),2)</f>
        <v>0</v>
      </c>
      <c r="G21" s="1">
        <f>ROUND(SUMIF(上期ETY!D:D,B21,上期ETY!G:G),2)</f>
        <v>0</v>
      </c>
      <c r="H21" s="115">
        <f t="shared" si="1"/>
        <v>0</v>
      </c>
      <c r="I21" s="18" t="s">
        <v>880</v>
      </c>
      <c r="K21" s="18" t="s">
        <v>843</v>
      </c>
      <c r="L21" s="18" t="str">
        <f>_xlfn.IFNA(VLOOKUP(I21,科目余额表!B:M,11,0),K21)</f>
        <v>借</v>
      </c>
    </row>
    <row r="22" spans="1:12">
      <c r="A22" s="112" t="s">
        <v>881</v>
      </c>
      <c r="B22" s="113" t="s">
        <v>882</v>
      </c>
      <c r="C22" s="111"/>
      <c r="D22" s="111"/>
      <c r="E22" s="114">
        <f>IF(K22=L22,_xlfn.IFNA(VLOOKUP(I22,科目余额表!B:M,12,0),0),-_xlfn.IFNA(VLOOKUP(I22,科目余额表!B:M,12,0),0))</f>
        <v>0</v>
      </c>
      <c r="F22" s="1">
        <f>ROUND(SUMIF(上期ETY!D:D,B22,上期ETY!F:F),2)</f>
        <v>0</v>
      </c>
      <c r="G22" s="1">
        <f>ROUND(SUMIF(上期ETY!D:D,B22,上期ETY!G:G),2)</f>
        <v>0</v>
      </c>
      <c r="H22" s="115">
        <f t="shared" si="1"/>
        <v>0</v>
      </c>
      <c r="I22" s="18" t="s">
        <v>882</v>
      </c>
      <c r="K22" s="18" t="s">
        <v>843</v>
      </c>
      <c r="L22" s="18" t="str">
        <f>_xlfn.IFNA(VLOOKUP(I22,科目余额表!B:M,11,0),K22)</f>
        <v>借</v>
      </c>
    </row>
    <row r="23" spans="1:12">
      <c r="A23" s="112" t="s">
        <v>883</v>
      </c>
      <c r="B23" s="113" t="s">
        <v>884</v>
      </c>
      <c r="C23" s="111"/>
      <c r="D23" s="111"/>
      <c r="E23" s="114">
        <f>IF(K23=L23,_xlfn.IFNA(VLOOKUP(I23,科目余额表!B:M,12,0),0),-_xlfn.IFNA(VLOOKUP(I23,科目余额表!B:M,12,0),0))</f>
        <v>97663506.840000004</v>
      </c>
      <c r="F23" s="1">
        <f>ROUND(SUMIF(上期ETY!D:D,B23,上期ETY!F:F),2)</f>
        <v>0</v>
      </c>
      <c r="G23" s="1">
        <f>ROUND(SUMIF(上期ETY!D:D,B23,上期ETY!G:G),2)</f>
        <v>0</v>
      </c>
      <c r="H23" s="115">
        <f t="shared" si="1"/>
        <v>97663506.840000004</v>
      </c>
      <c r="I23" s="18" t="s">
        <v>302</v>
      </c>
      <c r="K23" s="18" t="s">
        <v>843</v>
      </c>
      <c r="L23" s="18" t="str">
        <f>_xlfn.IFNA(VLOOKUP(I23,科目余额表!B:M,11,0),K23)</f>
        <v>借</v>
      </c>
    </row>
    <row r="24" spans="1:12">
      <c r="A24" s="112" t="s">
        <v>885</v>
      </c>
      <c r="B24" s="113" t="s">
        <v>886</v>
      </c>
      <c r="C24" s="111"/>
      <c r="D24" s="111"/>
      <c r="E24" s="114">
        <f>IF(K24=L24,_xlfn.IFNA(VLOOKUP(I24,科目余额表!B:M,12,0),0),-_xlfn.IFNA(VLOOKUP(I24,科目余额表!B:M,12,0),0))</f>
        <v>0</v>
      </c>
      <c r="F24" s="1">
        <f>ROUND(SUMIF(上期ETY!D:D,B24,上期ETY!F:F),2)</f>
        <v>0</v>
      </c>
      <c r="G24" s="1">
        <f>ROUND(SUMIF(上期ETY!D:D,B24,上期ETY!G:G),2)</f>
        <v>0</v>
      </c>
      <c r="H24" s="115">
        <f>ROUND(E24-F24+G24,2)</f>
        <v>0</v>
      </c>
      <c r="I24" s="18" t="s">
        <v>887</v>
      </c>
      <c r="K24" s="18" t="s">
        <v>865</v>
      </c>
      <c r="L24" s="18" t="str">
        <f>_xlfn.IFNA(VLOOKUP(I24,科目余额表!B:M,11,0),K24)</f>
        <v>贷</v>
      </c>
    </row>
    <row r="25" spans="1:12">
      <c r="A25" s="112" t="s">
        <v>888</v>
      </c>
      <c r="B25" s="113"/>
      <c r="C25" s="111"/>
      <c r="D25" s="111"/>
      <c r="E25" s="111">
        <f>E23-E24</f>
        <v>97663506.840000004</v>
      </c>
      <c r="F25" s="1">
        <f>ROUND(SUMIF(上期ETY!D:D,B25,上期ETY!F:F),2)</f>
        <v>0</v>
      </c>
      <c r="G25" s="1">
        <f>ROUND(SUMIF(上期ETY!D:D,B25,上期ETY!G:G),2)</f>
        <v>0</v>
      </c>
      <c r="H25" s="115">
        <f>H23-H24</f>
        <v>97663506.840000004</v>
      </c>
      <c r="L25" s="18">
        <f>_xlfn.IFNA(VLOOKUP(I25,科目余额表!B:M,11,0),K25)</f>
        <v>0</v>
      </c>
    </row>
    <row r="26" spans="1:12">
      <c r="A26" s="403" t="s">
        <v>2934</v>
      </c>
      <c r="B26" s="113" t="s">
        <v>2447</v>
      </c>
      <c r="C26" s="111"/>
      <c r="D26" s="111"/>
      <c r="E26" s="114">
        <f>IF(K26=L26,_xlfn.IFNA(VLOOKUP(I26,科目余额表!B:M,12,0),0),-_xlfn.IFNA(VLOOKUP(I26,科目余额表!B:M,12,0),0))</f>
        <v>0</v>
      </c>
      <c r="F26" s="1">
        <f>ROUND(SUMIF(上期ETY!D:D,B26,上期ETY!F:F),2)</f>
        <v>0</v>
      </c>
      <c r="G26" s="1">
        <f>ROUND(SUMIF(上期ETY!D:D,B26,上期ETY!G:G),2)</f>
        <v>0</v>
      </c>
      <c r="H26" s="115">
        <f t="shared" si="1"/>
        <v>0</v>
      </c>
      <c r="I26" s="18" t="s">
        <v>303</v>
      </c>
      <c r="K26" s="18" t="s">
        <v>843</v>
      </c>
      <c r="L26" s="18" t="str">
        <f>_xlfn.IFNA(VLOOKUP(I26,科目余额表!B:M,11,0),K26)</f>
        <v>借</v>
      </c>
    </row>
    <row r="27" spans="1:12">
      <c r="A27" s="403" t="s">
        <v>2935</v>
      </c>
      <c r="B27" s="113" t="s">
        <v>2936</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51" t="s">
        <v>2936</v>
      </c>
      <c r="K27" s="18" t="s">
        <v>865</v>
      </c>
      <c r="L27" s="18" t="str">
        <f>_xlfn.IFNA(VLOOKUP(I27,科目余额表!B:M,11,0),K27)</f>
        <v>贷</v>
      </c>
    </row>
    <row r="28" spans="1:12">
      <c r="A28" s="112" t="s">
        <v>889</v>
      </c>
      <c r="B28" s="113"/>
      <c r="C28" s="111"/>
      <c r="D28" s="111"/>
      <c r="E28" s="111">
        <f>E26-E27</f>
        <v>0</v>
      </c>
      <c r="F28" s="1">
        <f>ROUND(SUMIF(上期ETY!D:D,B28,上期ETY!F:F),2)</f>
        <v>0</v>
      </c>
      <c r="G28" s="1">
        <f>ROUND(SUMIF(上期ETY!D:D,B28,上期ETY!G:G),2)</f>
        <v>0</v>
      </c>
      <c r="H28" s="115">
        <f>H26-H27</f>
        <v>0</v>
      </c>
    </row>
    <row r="29" spans="1:12">
      <c r="A29" s="112" t="s">
        <v>890</v>
      </c>
      <c r="B29" s="113" t="s">
        <v>891</v>
      </c>
      <c r="C29" s="111"/>
      <c r="D29" s="111"/>
      <c r="E29" s="114">
        <f>IF(K29=L29,_xlfn.IFNA(VLOOKUP(I29,科目余额表!B:M,12,0),0),-_xlfn.IFNA(VLOOKUP(I29,科目余额表!B:M,12,0),0))</f>
        <v>2082719395.77</v>
      </c>
      <c r="F29" s="1">
        <f>ROUND(SUMIF(上期ETY!D:D,B29,上期ETY!F:F),2)</f>
        <v>0</v>
      </c>
      <c r="G29" s="1">
        <f>ROUND(SUMIF(上期ETY!D:D,B29,上期ETY!G:G),2)</f>
        <v>0</v>
      </c>
      <c r="H29" s="115">
        <f t="shared" si="1"/>
        <v>2082719395.77</v>
      </c>
      <c r="I29" s="18" t="s">
        <v>10</v>
      </c>
      <c r="K29" s="18" t="s">
        <v>843</v>
      </c>
      <c r="L29" s="18" t="str">
        <f>_xlfn.IFNA(VLOOKUP(I29,科目余额表!B:M,11,0),K29)</f>
        <v>借</v>
      </c>
    </row>
    <row r="30" spans="1:12">
      <c r="A30" s="112" t="s">
        <v>892</v>
      </c>
      <c r="B30" s="113" t="s">
        <v>893</v>
      </c>
      <c r="C30" s="111"/>
      <c r="D30" s="111"/>
      <c r="E30" s="114">
        <f>IF(K30=L30,_xlfn.IFNA(VLOOKUP(I30,科目余额表!B:M,12,0),0),-_xlfn.IFNA(VLOOKUP(I30,科目余额表!B:M,12,0),0))</f>
        <v>0</v>
      </c>
      <c r="F30" s="1">
        <f>ROUND(SUMIF(上期ETY!D:D,B30,上期ETY!F:F),2)</f>
        <v>0</v>
      </c>
      <c r="G30" s="1">
        <f>ROUND(SUMIF(上期ETY!D:D,B30,上期ETY!G:G),2)</f>
        <v>0</v>
      </c>
      <c r="H30" s="115">
        <f>ROUND(E30-F30+G30,2)</f>
        <v>0</v>
      </c>
      <c r="I30" s="18" t="s">
        <v>894</v>
      </c>
      <c r="K30" s="18" t="s">
        <v>865</v>
      </c>
      <c r="L30" s="18" t="str">
        <f>_xlfn.IFNA(VLOOKUP(I30,科目余额表!B:M,11,0),K30)</f>
        <v>贷</v>
      </c>
    </row>
    <row r="31" spans="1:12">
      <c r="A31" s="112" t="s">
        <v>895</v>
      </c>
      <c r="B31" s="113"/>
      <c r="C31" s="111"/>
      <c r="D31" s="111"/>
      <c r="E31" s="111">
        <f>E29-E30</f>
        <v>2082719395.77</v>
      </c>
      <c r="F31" s="1">
        <f>ROUND(SUMIF(上期ETY!D:D,B31,上期ETY!F:F),2)</f>
        <v>0</v>
      </c>
      <c r="G31" s="1">
        <f>ROUND(SUMIF(上期ETY!D:D,B31,上期ETY!G:G),2)</f>
        <v>0</v>
      </c>
      <c r="H31" s="115">
        <f>H29-H30</f>
        <v>2082719395.77</v>
      </c>
      <c r="L31" s="18">
        <f>_xlfn.IFNA(VLOOKUP(I31,科目余额表!B:M,11,0),K31)</f>
        <v>0</v>
      </c>
    </row>
    <row r="32" spans="1:12">
      <c r="A32" s="112" t="s">
        <v>896</v>
      </c>
      <c r="B32" s="113" t="s">
        <v>897</v>
      </c>
      <c r="C32" s="111"/>
      <c r="D32" s="111"/>
      <c r="E32" s="114">
        <f>IF(K32=L32,_xlfn.IFNA(VLOOKUP(I32,科目余额表!B:M,12,0),0),-_xlfn.IFNA(VLOOKUP(I32,科目余额表!B:M,12,0),0))</f>
        <v>0</v>
      </c>
      <c r="F32" s="1">
        <f>ROUND(SUMIF(上期ETY!D:D,B32,上期ETY!F:F),2)</f>
        <v>0</v>
      </c>
      <c r="G32" s="1">
        <f>ROUND(SUMIF(上期ETY!D:D,B32,上期ETY!G:G),2)</f>
        <v>0</v>
      </c>
      <c r="H32" s="115">
        <f t="shared" si="1"/>
        <v>0</v>
      </c>
      <c r="I32" s="18" t="s">
        <v>897</v>
      </c>
      <c r="K32" s="18" t="s">
        <v>843</v>
      </c>
      <c r="L32" s="18" t="str">
        <f>_xlfn.IFNA(VLOOKUP(I32,科目余额表!B:M,11,0),K32)</f>
        <v>借</v>
      </c>
    </row>
    <row r="33" spans="1:12">
      <c r="A33" s="112" t="s">
        <v>898</v>
      </c>
      <c r="B33" s="113" t="s">
        <v>899</v>
      </c>
      <c r="C33" s="111"/>
      <c r="D33" s="111"/>
      <c r="E33" s="114">
        <f>IF(K33=L33,_xlfn.IFNA(VLOOKUP(I33,科目余额表!B:M,12,0),0),-_xlfn.IFNA(VLOOKUP(I33,科目余额表!B:M,12,0),0))</f>
        <v>1004936201.12</v>
      </c>
      <c r="F33" s="1">
        <f>ROUND(SUMIF(上期ETY!D:D,B33,上期ETY!F:F),2)</f>
        <v>0</v>
      </c>
      <c r="G33" s="1">
        <f>ROUND(SUMIF(上期ETY!D:D,B33,上期ETY!G:G),2)</f>
        <v>0</v>
      </c>
      <c r="H33" s="115">
        <f t="shared" si="1"/>
        <v>1004936201.12</v>
      </c>
      <c r="I33" s="18" t="s">
        <v>799</v>
      </c>
      <c r="K33" s="18" t="s">
        <v>843</v>
      </c>
      <c r="L33" s="18" t="str">
        <f>_xlfn.IFNA(VLOOKUP(I33,科目余额表!B:M,11,0),K33)</f>
        <v>借</v>
      </c>
    </row>
    <row r="34" spans="1:12">
      <c r="A34" s="112" t="s">
        <v>900</v>
      </c>
      <c r="B34" s="113"/>
      <c r="C34" s="111"/>
      <c r="D34" s="111"/>
      <c r="E34" s="111">
        <f>SUM(E35:E48)</f>
        <v>94178028.810000002</v>
      </c>
      <c r="F34" s="111">
        <f t="shared" ref="F34:G34" si="4">SUM(F35:F47)</f>
        <v>0</v>
      </c>
      <c r="G34" s="111">
        <f t="shared" si="4"/>
        <v>0</v>
      </c>
      <c r="H34" s="111">
        <f>SUM(H35:H48)</f>
        <v>94178028.810000002</v>
      </c>
      <c r="L34" s="18">
        <f>_xlfn.IFNA(VLOOKUP(I34,科目余额表!B:M,11,0),K34)</f>
        <v>0</v>
      </c>
    </row>
    <row r="35" spans="1:12">
      <c r="A35" s="112" t="s">
        <v>901</v>
      </c>
      <c r="B35" s="113" t="s">
        <v>902</v>
      </c>
      <c r="C35" s="111"/>
      <c r="D35" s="111"/>
      <c r="E35" s="114">
        <f>IF(K35=L35,_xlfn.IFNA(VLOOKUP(I35,科目余额表!B:M,12,0),0),-_xlfn.IFNA(VLOOKUP(I35,科目余额表!B:M,12,0),0))</f>
        <v>0</v>
      </c>
      <c r="F35" s="1">
        <f>ROUND(SUMIF(上期ETY!D:D,B35,上期ETY!F:F),2)</f>
        <v>0</v>
      </c>
      <c r="G35" s="1">
        <f>ROUND(SUMIF(上期ETY!D:D,B35,上期ETY!G:G),2)</f>
        <v>0</v>
      </c>
      <c r="H35" s="115">
        <f t="shared" si="1"/>
        <v>0</v>
      </c>
      <c r="I35" s="18" t="s">
        <v>345</v>
      </c>
      <c r="K35" s="18" t="s">
        <v>843</v>
      </c>
      <c r="L35" s="18" t="str">
        <f>_xlfn.IFNA(VLOOKUP(I35,科目余额表!B:M,11,0),K35)</f>
        <v>平</v>
      </c>
    </row>
    <row r="36" spans="1:12">
      <c r="A36" s="112" t="s">
        <v>903</v>
      </c>
      <c r="B36" s="113" t="s">
        <v>904</v>
      </c>
      <c r="C36" s="111"/>
      <c r="D36" s="111"/>
      <c r="E36" s="114">
        <f>IF(K36=L36,_xlfn.IFNA(VLOOKUP(I36,科目余额表!B:M,12,0),0),-_xlfn.IFNA(VLOOKUP(I36,科目余额表!B:M,12,0),0))</f>
        <v>0</v>
      </c>
      <c r="F36" s="1">
        <f>ROUND(SUMIF(上期ETY!D:D,B36,上期ETY!F:F),2)</f>
        <v>0</v>
      </c>
      <c r="G36" s="1">
        <f>ROUND(SUMIF(上期ETY!D:D,B36,上期ETY!G:G),2)</f>
        <v>0</v>
      </c>
      <c r="H36" s="115">
        <f t="shared" si="1"/>
        <v>0</v>
      </c>
      <c r="I36" s="18" t="s">
        <v>905</v>
      </c>
      <c r="K36" s="18" t="s">
        <v>843</v>
      </c>
      <c r="L36" s="18" t="str">
        <f>_xlfn.IFNA(VLOOKUP(I36,科目余额表!B:M,11,0),K36)</f>
        <v>借</v>
      </c>
    </row>
    <row r="37" spans="1:12">
      <c r="A37" s="112" t="s">
        <v>906</v>
      </c>
      <c r="B37" s="113" t="s">
        <v>907</v>
      </c>
      <c r="C37" s="111"/>
      <c r="D37" s="111"/>
      <c r="E37" s="114">
        <f>IF(K37=L37,_xlfn.IFNA(VLOOKUP(I37,科目余额表!B:M,12,0),0),-_xlfn.IFNA(VLOOKUP(I37,科目余额表!B:M,12,0),0))</f>
        <v>0</v>
      </c>
      <c r="F37" s="1">
        <f>ROUND(SUMIF(上期ETY!D:D,B37,上期ETY!F:F),2)</f>
        <v>0</v>
      </c>
      <c r="G37" s="1">
        <f>ROUND(SUMIF(上期ETY!D:D,B37,上期ETY!G:G),2)</f>
        <v>0</v>
      </c>
      <c r="H37" s="115">
        <f t="shared" si="1"/>
        <v>0</v>
      </c>
      <c r="I37" s="18" t="s">
        <v>796</v>
      </c>
      <c r="K37" s="18" t="s">
        <v>843</v>
      </c>
      <c r="L37" s="18" t="str">
        <f>_xlfn.IFNA(VLOOKUP(I37,科目余额表!B:M,11,0),K37)</f>
        <v>借</v>
      </c>
    </row>
    <row r="38" spans="1:12">
      <c r="A38" s="112" t="s">
        <v>908</v>
      </c>
      <c r="B38" s="113" t="s">
        <v>909</v>
      </c>
      <c r="C38" s="111"/>
      <c r="D38" s="111"/>
      <c r="E38" s="114">
        <f>IF(K38=L38,_xlfn.IFNA(VLOOKUP(I38,科目余额表!B:M,12,0),0),-_xlfn.IFNA(VLOOKUP(I38,科目余额表!B:M,12,0),0))</f>
        <v>34457144.560000002</v>
      </c>
      <c r="F38" s="1">
        <f>ROUND(SUMIF(上期ETY!D:D,B38,上期ETY!F:F),2)</f>
        <v>0</v>
      </c>
      <c r="G38" s="1">
        <f>ROUND(SUMIF(上期ETY!D:D,B38,上期ETY!G:G),2)</f>
        <v>0</v>
      </c>
      <c r="H38" s="115">
        <f t="shared" si="1"/>
        <v>34457144.560000002</v>
      </c>
      <c r="I38" s="18" t="s">
        <v>356</v>
      </c>
      <c r="K38" s="18" t="s">
        <v>843</v>
      </c>
      <c r="L38" s="18" t="str">
        <f>_xlfn.IFNA(VLOOKUP(I38,科目余额表!B:M,11,0),K38)</f>
        <v>借</v>
      </c>
    </row>
    <row r="39" spans="1:12">
      <c r="A39" s="112" t="s">
        <v>910</v>
      </c>
      <c r="B39" s="113" t="s">
        <v>911</v>
      </c>
      <c r="C39" s="111"/>
      <c r="D39" s="111"/>
      <c r="E39" s="114">
        <f>IF(K39=L39,_xlfn.IFNA(VLOOKUP(I39,科目余额表!B:M,12,0),0),-_xlfn.IFNA(VLOOKUP(I39,科目余额表!B:M,12,0),0))</f>
        <v>0</v>
      </c>
      <c r="F39" s="1">
        <f>ROUND(SUMIF(上期ETY!D:D,B39,上期ETY!F:F),2)</f>
        <v>0</v>
      </c>
      <c r="G39" s="1">
        <f>ROUND(SUMIF(上期ETY!D:D,B39,上期ETY!G:G),2)</f>
        <v>0</v>
      </c>
      <c r="H39" s="115">
        <f t="shared" si="1"/>
        <v>0</v>
      </c>
      <c r="I39" s="18" t="s">
        <v>912</v>
      </c>
      <c r="K39" s="18" t="s">
        <v>843</v>
      </c>
      <c r="L39" s="18" t="str">
        <f>_xlfn.IFNA(VLOOKUP(I39,科目余额表!B:M,11,0),K39)</f>
        <v>借</v>
      </c>
    </row>
    <row r="40" spans="1:12">
      <c r="A40" s="112" t="s">
        <v>913</v>
      </c>
      <c r="B40" s="113" t="s">
        <v>914</v>
      </c>
      <c r="C40" s="111"/>
      <c r="D40" s="111"/>
      <c r="E40" s="114">
        <f>IF(K40=L40,_xlfn.IFNA(VLOOKUP(I40,科目余额表!B:M,12,0),0),-_xlfn.IFNA(VLOOKUP(I40,科目余额表!B:M,12,0),0))+_xlfn.IFNA(VLOOKUP(J40,科目余额表!B:M,12,0),0)</f>
        <v>48881090</v>
      </c>
      <c r="F40" s="1">
        <f>ROUND(SUMIF(上期ETY!D:D,B40,上期ETY!F:F),2)</f>
        <v>0</v>
      </c>
      <c r="G40" s="1">
        <f>ROUND(SUMIF(上期ETY!D:D,B40,上期ETY!G:G),2)</f>
        <v>0</v>
      </c>
      <c r="H40" s="115">
        <f t="shared" si="1"/>
        <v>48881090</v>
      </c>
      <c r="I40" s="18" t="s">
        <v>354</v>
      </c>
      <c r="J40" s="18" t="s">
        <v>915</v>
      </c>
      <c r="K40" s="18" t="s">
        <v>843</v>
      </c>
      <c r="L40" s="18" t="str">
        <f>_xlfn.IFNA(VLOOKUP(I40,科目余额表!B:M,11,0),K40)</f>
        <v>借</v>
      </c>
    </row>
    <row r="41" spans="1:12">
      <c r="A41" s="112" t="s">
        <v>916</v>
      </c>
      <c r="B41" s="113" t="s">
        <v>917</v>
      </c>
      <c r="C41" s="111"/>
      <c r="D41" s="111"/>
      <c r="E41" s="114">
        <f>IF(K41=L41,_xlfn.IFNA(VLOOKUP(I41,科目余额表!B:M,12,0),0),-_xlfn.IFNA(VLOOKUP(I41,科目余额表!B:M,12,0),0))</f>
        <v>0</v>
      </c>
      <c r="F41" s="1">
        <f>ROUND(SUMIF(上期ETY!D:D,B41,上期ETY!F:F),2)</f>
        <v>0</v>
      </c>
      <c r="G41" s="1">
        <f>ROUND(SUMIF(上期ETY!D:D,B41,上期ETY!G:G),2)</f>
        <v>0</v>
      </c>
      <c r="H41" s="115">
        <f t="shared" si="1"/>
        <v>0</v>
      </c>
      <c r="I41" s="18" t="s">
        <v>357</v>
      </c>
      <c r="K41" s="18" t="s">
        <v>843</v>
      </c>
      <c r="L41" s="18" t="str">
        <f>_xlfn.IFNA(VLOOKUP(I41,科目余额表!B:M,11,0),K41)</f>
        <v>借</v>
      </c>
    </row>
    <row r="42" spans="1:12">
      <c r="A42" s="112" t="s">
        <v>918</v>
      </c>
      <c r="B42" s="113" t="s">
        <v>919</v>
      </c>
      <c r="C42" s="111"/>
      <c r="D42" s="111"/>
      <c r="E42" s="114">
        <f>IF(K42=L42,_xlfn.IFNA(VLOOKUP(I42,科目余额表!B:M,12,0),0),-_xlfn.IFNA(VLOOKUP(I42,科目余额表!B:M,12,0),0))</f>
        <v>0</v>
      </c>
      <c r="F42" s="1">
        <f>ROUND(SUMIF(上期ETY!D:D,B42,上期ETY!F:F),2)</f>
        <v>0</v>
      </c>
      <c r="G42" s="1">
        <f>ROUND(SUMIF(上期ETY!D:D,B42,上期ETY!G:G),2)</f>
        <v>0</v>
      </c>
      <c r="H42" s="115">
        <f t="shared" si="1"/>
        <v>0</v>
      </c>
      <c r="I42" s="18" t="s">
        <v>920</v>
      </c>
      <c r="K42" s="18" t="s">
        <v>843</v>
      </c>
      <c r="L42" s="18" t="str">
        <f>_xlfn.IFNA(VLOOKUP(I42,科目余额表!B:M,11,0),K42)</f>
        <v>借</v>
      </c>
    </row>
    <row r="43" spans="1:12">
      <c r="A43" s="112" t="s">
        <v>921</v>
      </c>
      <c r="B43" s="113" t="s">
        <v>922</v>
      </c>
      <c r="C43" s="111"/>
      <c r="D43" s="111"/>
      <c r="E43" s="114">
        <f>IF(K43=L43,_xlfn.IFNA(VLOOKUP(I43,科目余额表!B:M,12,0),0),-_xlfn.IFNA(VLOOKUP(I43,科目余额表!B:M,12,0),0))</f>
        <v>10839794.25</v>
      </c>
      <c r="F43" s="1">
        <f>ROUND(SUMIF(上期ETY!D:D,B43,上期ETY!F:F),2)</f>
        <v>0</v>
      </c>
      <c r="G43" s="1">
        <f>ROUND(SUMIF(上期ETY!D:D,B43,上期ETY!G:G),2)</f>
        <v>0</v>
      </c>
      <c r="H43" s="115">
        <f t="shared" si="1"/>
        <v>10839794.25</v>
      </c>
      <c r="I43" s="18" t="s">
        <v>359</v>
      </c>
      <c r="K43" s="18" t="s">
        <v>843</v>
      </c>
      <c r="L43" s="18" t="str">
        <f>_xlfn.IFNA(VLOOKUP(I43,科目余额表!B:M,11,0),K43)</f>
        <v>借</v>
      </c>
    </row>
    <row r="44" spans="1:12">
      <c r="A44" s="112" t="s">
        <v>923</v>
      </c>
      <c r="B44" s="113" t="s">
        <v>924</v>
      </c>
      <c r="C44" s="111"/>
      <c r="D44" s="111"/>
      <c r="E44" s="114">
        <f>IF(K44=L44,_xlfn.IFNA(VLOOKUP(I44,科目余额表!B:M,12,0),0),-_xlfn.IFNA(VLOOKUP(I44,科目余额表!B:M,12,0),0))</f>
        <v>0</v>
      </c>
      <c r="F44" s="1">
        <f>ROUND(SUMIF(上期ETY!D:D,B44,上期ETY!F:F),2)</f>
        <v>0</v>
      </c>
      <c r="G44" s="1">
        <f>ROUND(SUMIF(上期ETY!D:D,B44,上期ETY!G:G),2)</f>
        <v>0</v>
      </c>
      <c r="H44" s="115">
        <f t="shared" si="1"/>
        <v>0</v>
      </c>
      <c r="I44" s="18" t="s">
        <v>347</v>
      </c>
      <c r="K44" s="18" t="s">
        <v>843</v>
      </c>
      <c r="L44" s="18" t="str">
        <f>_xlfn.IFNA(VLOOKUP(I44,科目余额表!B:M,11,0),K44)</f>
        <v>借</v>
      </c>
    </row>
    <row r="45" spans="1:12">
      <c r="A45" s="112" t="s">
        <v>925</v>
      </c>
      <c r="B45" s="113" t="s">
        <v>926</v>
      </c>
      <c r="C45" s="111"/>
      <c r="D45" s="111"/>
      <c r="E45" s="114">
        <f>IF(K45=L45,_xlfn.IFNA(VLOOKUP(I45,科目余额表!B:M,12,0),0),-_xlfn.IFNA(VLOOKUP(I45,科目余额表!B:M,12,0),0))</f>
        <v>0</v>
      </c>
      <c r="F45" s="1">
        <f>ROUND(SUMIF(上期ETY!D:D,B45,上期ETY!F:F),2)</f>
        <v>0</v>
      </c>
      <c r="G45" s="1">
        <f>ROUND(SUMIF(上期ETY!D:D,B45,上期ETY!G:G),2)</f>
        <v>0</v>
      </c>
      <c r="H45" s="115">
        <f t="shared" si="1"/>
        <v>0</v>
      </c>
      <c r="I45" s="18" t="s">
        <v>361</v>
      </c>
      <c r="K45" s="18" t="s">
        <v>843</v>
      </c>
      <c r="L45" s="18" t="str">
        <f>_xlfn.IFNA(VLOOKUP(I45,科目余额表!B:M,11,0),K45)</f>
        <v>借</v>
      </c>
    </row>
    <row r="46" spans="1:12">
      <c r="A46" s="112" t="s">
        <v>927</v>
      </c>
      <c r="B46" s="113" t="s">
        <v>928</v>
      </c>
      <c r="C46" s="111"/>
      <c r="D46" s="111"/>
      <c r="E46" s="114">
        <f>IF(K46=L46,_xlfn.IFNA(VLOOKUP(I46,科目余额表!B:M,12,0),0),-_xlfn.IFNA(VLOOKUP(I46,科目余额表!B:M,12,0),0))</f>
        <v>0</v>
      </c>
      <c r="F46" s="1">
        <f>ROUND(SUMIF(上期ETY!D:D,B46,上期ETY!F:F),2)</f>
        <v>0</v>
      </c>
      <c r="G46" s="1">
        <f>ROUND(SUMIF(上期ETY!D:D,B46,上期ETY!G:G),2)</f>
        <v>0</v>
      </c>
      <c r="H46" s="115">
        <f t="shared" si="1"/>
        <v>0</v>
      </c>
      <c r="I46" s="18" t="s">
        <v>363</v>
      </c>
      <c r="K46" s="18" t="s">
        <v>843</v>
      </c>
      <c r="L46" s="18" t="str">
        <f>_xlfn.IFNA(VLOOKUP(I46,科目余额表!B:M,11,0),K46)</f>
        <v>借</v>
      </c>
    </row>
    <row r="47" spans="1:12">
      <c r="A47" s="112" t="s">
        <v>929</v>
      </c>
      <c r="B47" s="113" t="s">
        <v>930</v>
      </c>
      <c r="C47" s="111"/>
      <c r="D47" s="111"/>
      <c r="E47" s="114">
        <f>IF(K47=L47,_xlfn.IFNA(VLOOKUP(I47,科目余额表!B:M,12,0),0),-_xlfn.IFNA(VLOOKUP(I47,科目余额表!B:M,12,0),0))</f>
        <v>0</v>
      </c>
      <c r="F47" s="1">
        <f>ROUND(SUMIF(上期ETY!D:D,B47,上期ETY!F:F),2)</f>
        <v>0</v>
      </c>
      <c r="G47" s="1">
        <f>ROUND(SUMIF(上期ETY!D:D,B47,上期ETY!G:G),2)</f>
        <v>0</v>
      </c>
      <c r="H47" s="115">
        <f t="shared" si="1"/>
        <v>0</v>
      </c>
      <c r="I47" s="18" t="s">
        <v>931</v>
      </c>
      <c r="K47" s="18" t="s">
        <v>843</v>
      </c>
      <c r="L47" s="18" t="str">
        <f>_xlfn.IFNA(VLOOKUP(I47,科目余额表!B:M,11,0),K47)</f>
        <v>借</v>
      </c>
    </row>
    <row r="48" spans="1:12">
      <c r="A48" s="112" t="s">
        <v>932</v>
      </c>
      <c r="B48" s="113" t="s">
        <v>933</v>
      </c>
      <c r="C48" s="111"/>
      <c r="D48" s="111"/>
      <c r="E48" s="114">
        <f>IF(K48=L48,_xlfn.IFNA(VLOOKUP(I48,科目余额表!B:M,12,0),0),-_xlfn.IFNA(VLOOKUP(I48,科目余额表!B:M,12,0),0))</f>
        <v>0</v>
      </c>
      <c r="F48" s="1">
        <f>ROUND(SUMIF(上期ETY!D:D,B48,上期ETY!F:F),2)</f>
        <v>0</v>
      </c>
      <c r="G48" s="1">
        <f>ROUND(SUMIF(上期ETY!D:D,B48,上期ETY!G:G),2)</f>
        <v>0</v>
      </c>
      <c r="H48" s="115">
        <f t="shared" si="1"/>
        <v>0</v>
      </c>
      <c r="I48" s="18" t="s">
        <v>934</v>
      </c>
      <c r="K48" s="18" t="s">
        <v>843</v>
      </c>
      <c r="L48" s="18" t="str">
        <f>_xlfn.IFNA(VLOOKUP(I48,科目余额表!B:M,11,0),K48)</f>
        <v>借</v>
      </c>
    </row>
    <row r="49" spans="1:12">
      <c r="A49" s="112" t="s">
        <v>935</v>
      </c>
      <c r="B49" s="113" t="s">
        <v>936</v>
      </c>
      <c r="C49" s="111"/>
      <c r="D49" s="111"/>
      <c r="E49" s="114">
        <f>IF(K49=L49,_xlfn.IFNA(VLOOKUP(I49,科目余额表!B:M,12,0),0),-_xlfn.IFNA(VLOOKUP(I49,科目余额表!B:M,12,0),0))</f>
        <v>0</v>
      </c>
      <c r="F49" s="1">
        <f>ROUND(SUMIF(上期ETY!D:D,B49,上期ETY!F:F),2)</f>
        <v>0</v>
      </c>
      <c r="G49" s="1">
        <f>ROUND(SUMIF(上期ETY!D:D,B49,上期ETY!G:G),2)</f>
        <v>0</v>
      </c>
      <c r="H49" s="115">
        <f>ROUND(E49-F49+G49,2)</f>
        <v>0</v>
      </c>
      <c r="I49" s="18" t="s">
        <v>937</v>
      </c>
      <c r="K49" s="18" t="s">
        <v>865</v>
      </c>
      <c r="L49" s="18" t="str">
        <f>_xlfn.IFNA(VLOOKUP(I49,科目余额表!B:M,11,0),K49)</f>
        <v>贷</v>
      </c>
    </row>
    <row r="50" spans="1:12">
      <c r="A50" s="112" t="s">
        <v>938</v>
      </c>
      <c r="B50" s="113" t="s">
        <v>78</v>
      </c>
      <c r="C50" s="111"/>
      <c r="D50" s="111"/>
      <c r="E50" s="111">
        <f>E34-E49</f>
        <v>94178028.810000002</v>
      </c>
      <c r="F50" s="111">
        <f t="shared" ref="F50:G50" si="5">F34-F49</f>
        <v>0</v>
      </c>
      <c r="G50" s="111">
        <f t="shared" si="5"/>
        <v>0</v>
      </c>
      <c r="H50" s="111">
        <f>H34-H49</f>
        <v>94178028.810000002</v>
      </c>
      <c r="L50" s="18">
        <f>_xlfn.IFNA(VLOOKUP(I50,科目余额表!B:M,11,0),K50)</f>
        <v>0</v>
      </c>
    </row>
    <row r="51" spans="1:12">
      <c r="A51" s="112" t="s">
        <v>939</v>
      </c>
      <c r="B51" s="113" t="s">
        <v>940</v>
      </c>
      <c r="C51" s="111"/>
      <c r="D51" s="111"/>
      <c r="E51" s="114">
        <f>IF(K51=L51,_xlfn.IFNA(VLOOKUP(I51,科目余额表!B:M,12,0),0),-_xlfn.IFNA(VLOOKUP(I51,科目余额表!B:M,12,0),0))</f>
        <v>0</v>
      </c>
      <c r="F51" s="1">
        <f>ROUND(SUMIF(上期ETY!D:D,B51,上期ETY!F:F),2)</f>
        <v>0</v>
      </c>
      <c r="G51" s="1">
        <f>ROUND(SUMIF(上期ETY!D:D,B51,上期ETY!G:G),2)</f>
        <v>0</v>
      </c>
      <c r="H51" s="115">
        <f t="shared" si="1"/>
        <v>0</v>
      </c>
      <c r="I51" s="18" t="s">
        <v>77</v>
      </c>
      <c r="K51" s="18" t="s">
        <v>843</v>
      </c>
      <c r="L51" s="18" t="str">
        <f>_xlfn.IFNA(VLOOKUP(I51,科目余额表!B:M,11,0),K51)</f>
        <v>借</v>
      </c>
    </row>
    <row r="52" spans="1:12">
      <c r="A52" s="112" t="s">
        <v>941</v>
      </c>
      <c r="B52" s="113" t="s">
        <v>942</v>
      </c>
      <c r="C52" s="111"/>
      <c r="D52" s="111"/>
      <c r="E52" s="114">
        <f>IF(K52=L52,_xlfn.IFNA(VLOOKUP(I52,科目余额表!B:M,12,0),0),-_xlfn.IFNA(VLOOKUP(I52,科目余额表!B:M,12,0),0))</f>
        <v>0</v>
      </c>
      <c r="F52" s="1">
        <f>ROUND(SUMIF(上期ETY!D:D,B52,上期ETY!F:F),2)</f>
        <v>0</v>
      </c>
      <c r="G52" s="1">
        <f>ROUND(SUMIF(上期ETY!D:D,B52,上期ETY!G:G),2)</f>
        <v>0</v>
      </c>
      <c r="H52" s="115">
        <f>ROUND(E52-F52+G52,2)</f>
        <v>0</v>
      </c>
      <c r="I52" s="18" t="s">
        <v>943</v>
      </c>
      <c r="K52" s="18" t="s">
        <v>865</v>
      </c>
      <c r="L52" s="18" t="str">
        <f>_xlfn.IFNA(VLOOKUP(I52,科目余额表!B:M,11,0),K52)</f>
        <v>贷</v>
      </c>
    </row>
    <row r="53" spans="1:12">
      <c r="A53" s="112" t="s">
        <v>944</v>
      </c>
      <c r="B53" s="113"/>
      <c r="C53" s="111"/>
      <c r="D53" s="117" t="s">
        <v>856</v>
      </c>
      <c r="E53" s="111">
        <f>E51-E52</f>
        <v>0</v>
      </c>
      <c r="F53" s="111">
        <f t="shared" ref="F53:H53" si="6">F51-F52</f>
        <v>0</v>
      </c>
      <c r="G53" s="111">
        <f t="shared" si="6"/>
        <v>0</v>
      </c>
      <c r="H53" s="111">
        <f t="shared" si="6"/>
        <v>0</v>
      </c>
      <c r="L53" s="18">
        <f>_xlfn.IFNA(VLOOKUP(I53,科目余额表!B:M,11,0),K53)</f>
        <v>0</v>
      </c>
    </row>
    <row r="54" spans="1:12">
      <c r="A54" s="113" t="s">
        <v>945</v>
      </c>
      <c r="B54" s="113" t="s">
        <v>946</v>
      </c>
      <c r="C54" s="111"/>
      <c r="D54" s="111"/>
      <c r="E54" s="114">
        <f>IF(K54=L54,_xlfn.IFNA(VLOOKUP(I54,科目余额表!B:M,12,0),0),-_xlfn.IFNA(VLOOKUP(I54,科目余额表!B:M,12,0),0))</f>
        <v>0</v>
      </c>
      <c r="F54" s="1">
        <f>ROUND(SUMIF(上期ETY!D:D,B54,上期ETY!F:F),2)</f>
        <v>0</v>
      </c>
      <c r="G54" s="1">
        <f>ROUND(SUMIF(上期ETY!D:D,B54,上期ETY!G:G),2)</f>
        <v>0</v>
      </c>
      <c r="H54" s="115">
        <f t="shared" si="1"/>
        <v>0</v>
      </c>
      <c r="I54" s="18" t="s">
        <v>946</v>
      </c>
      <c r="K54" s="18" t="s">
        <v>843</v>
      </c>
      <c r="L54" s="18" t="str">
        <f>_xlfn.IFNA(VLOOKUP(I54,科目余额表!B:M,11,0),K54)</f>
        <v>借</v>
      </c>
    </row>
    <row r="55" spans="1:12">
      <c r="A55" s="112" t="s">
        <v>947</v>
      </c>
      <c r="B55" s="113" t="s">
        <v>948</v>
      </c>
      <c r="C55" s="111"/>
      <c r="D55" s="111"/>
      <c r="E55" s="114">
        <f>IF(K55=L55,_xlfn.IFNA(VLOOKUP(I55,科目余额表!B:M,12,0),0),-_xlfn.IFNA(VLOOKUP(I55,科目余额表!B:M,12,0),0))</f>
        <v>0</v>
      </c>
      <c r="F55" s="1">
        <f>ROUND(SUMIF(上期ETY!D:D,B55,上期ETY!F:F),2)</f>
        <v>0</v>
      </c>
      <c r="G55" s="1">
        <f>ROUND(SUMIF(上期ETY!D:D,B55,上期ETY!G:G),2)</f>
        <v>0</v>
      </c>
      <c r="H55" s="115">
        <f t="shared" si="1"/>
        <v>0</v>
      </c>
      <c r="I55" s="18" t="s">
        <v>948</v>
      </c>
      <c r="K55" s="18" t="s">
        <v>843</v>
      </c>
      <c r="L55" s="18" t="str">
        <f>_xlfn.IFNA(VLOOKUP(I55,科目余额表!B:M,11,0),K55)</f>
        <v>借</v>
      </c>
    </row>
    <row r="56" spans="1:12">
      <c r="A56" s="112" t="s">
        <v>949</v>
      </c>
      <c r="B56" s="113" t="s">
        <v>79</v>
      </c>
      <c r="C56" s="111"/>
      <c r="D56" s="111"/>
      <c r="E56" s="114">
        <f>IF(K56=L56,_xlfn.IFNA(VLOOKUP(I56,科目余额表!B:M,12,0),0),-_xlfn.IFNA(VLOOKUP(I56,科目余额表!B:M,12,0),0))</f>
        <v>0</v>
      </c>
      <c r="F56" s="1">
        <f>ROUND(SUMIF(上期ETY!D:D,B56,上期ETY!F:F),2)</f>
        <v>0</v>
      </c>
      <c r="G56" s="1">
        <f>ROUND(SUMIF(上期ETY!D:D,B56,上期ETY!G:G),2)</f>
        <v>0</v>
      </c>
      <c r="H56" s="115">
        <f t="shared" si="1"/>
        <v>0</v>
      </c>
      <c r="I56" s="18" t="s">
        <v>79</v>
      </c>
      <c r="K56" s="18" t="s">
        <v>843</v>
      </c>
      <c r="L56" s="18" t="str">
        <f>_xlfn.IFNA(VLOOKUP(I56,科目余额表!B:M,11,0),K56)</f>
        <v>借</v>
      </c>
    </row>
    <row r="57" spans="1:12">
      <c r="A57" s="110" t="s">
        <v>950</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951</v>
      </c>
      <c r="B58" s="113"/>
      <c r="C58" s="111"/>
      <c r="D58" s="111"/>
      <c r="E58" s="111"/>
      <c r="L58" s="18">
        <f>_xlfn.IFNA(VLOOKUP(I58,科目余额表!B:M,11,0),K58)</f>
        <v>0</v>
      </c>
    </row>
    <row r="59" spans="1:12">
      <c r="A59" s="112" t="s">
        <v>952</v>
      </c>
      <c r="B59" s="113" t="s">
        <v>953</v>
      </c>
      <c r="C59" s="111"/>
      <c r="D59" s="111"/>
      <c r="E59" s="114">
        <f>IF(K59=L59,_xlfn.IFNA(VLOOKUP(I59,科目余额表!B:M,12,0),0),-_xlfn.IFNA(VLOOKUP(I59,科目余额表!B:M,12,0),0))</f>
        <v>0</v>
      </c>
      <c r="F59" s="1">
        <f>ROUND(SUMIF(上期ETY!D:D,B59,上期ETY!F:F),2)</f>
        <v>0</v>
      </c>
      <c r="G59" s="1">
        <f>ROUND(SUMIF(上期ETY!D:D,B59,上期ETY!G:G),2)</f>
        <v>0</v>
      </c>
      <c r="H59" s="115">
        <f t="shared" ref="H59:H72" si="7">ROUND(E59+F59-G59,2)</f>
        <v>0</v>
      </c>
      <c r="I59" s="18" t="s">
        <v>953</v>
      </c>
      <c r="K59" s="18" t="s">
        <v>843</v>
      </c>
      <c r="L59" s="18" t="str">
        <f>_xlfn.IFNA(VLOOKUP(I59,科目余额表!B:M,11,0),K59)</f>
        <v>借</v>
      </c>
    </row>
    <row r="60" spans="1:12">
      <c r="A60" s="112" t="s">
        <v>954</v>
      </c>
      <c r="B60" s="113" t="s">
        <v>955</v>
      </c>
      <c r="C60" s="111"/>
      <c r="D60" s="111"/>
      <c r="E60" s="114">
        <f>IF(K60=L60,_xlfn.IFNA(VLOOKUP(I60,科目余额表!B:M,12,0),0),-_xlfn.IFNA(VLOOKUP(I60,科目余额表!B:M,12,0),0))</f>
        <v>0</v>
      </c>
      <c r="F60" s="1"/>
      <c r="G60" s="1"/>
      <c r="H60" s="115">
        <f t="shared" si="7"/>
        <v>0</v>
      </c>
      <c r="I60" s="18" t="s">
        <v>12</v>
      </c>
      <c r="K60" s="18" t="s">
        <v>843</v>
      </c>
      <c r="L60" s="18" t="str">
        <f>_xlfn.IFNA(VLOOKUP(I60,科目余额表!B:M,11,0),K60)</f>
        <v>借</v>
      </c>
    </row>
    <row r="61" spans="1:12">
      <c r="A61" s="112" t="s">
        <v>956</v>
      </c>
      <c r="B61" s="113" t="s">
        <v>957</v>
      </c>
      <c r="C61" s="111"/>
      <c r="D61" s="111"/>
      <c r="E61" s="114">
        <f>IF(K61=L61,_xlfn.IFNA(VLOOKUP(I61,科目余额表!B:M,12,0),0),-_xlfn.IFNA(VLOOKUP(I61,科目余额表!B:M,12,0),0))</f>
        <v>0</v>
      </c>
      <c r="F61" s="1"/>
      <c r="G61" s="1"/>
      <c r="H61" s="115">
        <f>ROUND(E61-F61+G61,2)</f>
        <v>0</v>
      </c>
      <c r="I61" s="18" t="s">
        <v>957</v>
      </c>
      <c r="K61" s="18" t="s">
        <v>958</v>
      </c>
      <c r="L61" s="18" t="s">
        <v>958</v>
      </c>
    </row>
    <row r="62" spans="1:12">
      <c r="A62" s="112" t="s">
        <v>959</v>
      </c>
      <c r="B62" s="113"/>
      <c r="C62" s="111"/>
      <c r="D62" s="117" t="s">
        <v>856</v>
      </c>
      <c r="E62" s="111">
        <f>E60-E61</f>
        <v>0</v>
      </c>
      <c r="F62" s="1">
        <f>ROUND(SUMIF(上期ETY!D:D,B62,上期ETY!F:F),2)</f>
        <v>0</v>
      </c>
      <c r="G62" s="1">
        <f>ROUND(SUMIF(上期ETY!D:D,B62,上期ETY!G:G),2)</f>
        <v>0</v>
      </c>
      <c r="H62" s="115">
        <f>H60-H61</f>
        <v>0</v>
      </c>
    </row>
    <row r="63" spans="1:12">
      <c r="A63" s="113" t="s">
        <v>960</v>
      </c>
      <c r="B63" s="113" t="s">
        <v>14</v>
      </c>
      <c r="C63" s="117" t="s">
        <v>858</v>
      </c>
      <c r="D63" s="117"/>
      <c r="E63" s="114">
        <f>IF(K63=L63,_xlfn.IFNA(VLOOKUP(I63,科目余额表!B:M,12,0),0),-_xlfn.IFNA(VLOOKUP(I63,科目余额表!B:M,12,0),0))</f>
        <v>987346438.25999999</v>
      </c>
      <c r="F63" s="1">
        <f>ROUND(SUMIF(上期ETY!D:D,B63,上期ETY!F:F),2)</f>
        <v>0</v>
      </c>
      <c r="G63" s="1">
        <f>ROUND(SUMIF(上期ETY!D:D,B63,上期ETY!G:G),2)</f>
        <v>0</v>
      </c>
      <c r="H63" s="115">
        <f t="shared" si="7"/>
        <v>987346438.25999999</v>
      </c>
      <c r="I63" s="18" t="s">
        <v>14</v>
      </c>
      <c r="K63" s="18" t="s">
        <v>843</v>
      </c>
      <c r="L63" s="18" t="str">
        <f>_xlfn.IFNA(VLOOKUP(I63,科目余额表!B:M,11,0),K63)</f>
        <v>借</v>
      </c>
    </row>
    <row r="64" spans="1:12" ht="13.2" customHeight="1">
      <c r="A64" s="113" t="s">
        <v>961</v>
      </c>
      <c r="B64" s="113" t="s">
        <v>962</v>
      </c>
      <c r="C64" s="117"/>
      <c r="D64" s="117"/>
      <c r="E64" s="114">
        <f>IF(K64=L64,_xlfn.IFNA(VLOOKUP(I64,科目余额表!B:M,12,0),0),-_xlfn.IFNA(VLOOKUP(I64,科目余额表!B:M,12,0),0))</f>
        <v>0</v>
      </c>
      <c r="F64" s="1">
        <f>ROUND(SUMIF(上期ETY!D:D,B64,上期ETY!F:F),2)</f>
        <v>0</v>
      </c>
      <c r="G64" s="1">
        <f>ROUND(SUMIF(上期ETY!D:D,B64,上期ETY!G:G),2)</f>
        <v>0</v>
      </c>
      <c r="H64" s="115">
        <f t="shared" si="7"/>
        <v>0</v>
      </c>
    </row>
    <row r="65" spans="1:12">
      <c r="A65" s="113" t="s">
        <v>963</v>
      </c>
      <c r="B65" s="113" t="s">
        <v>964</v>
      </c>
      <c r="C65" s="117"/>
      <c r="D65" s="117"/>
      <c r="E65" s="114">
        <f>IF(K65=L65,_xlfn.IFNA(VLOOKUP(I65,科目余额表!B:M,12,0),0),-_xlfn.IFNA(VLOOKUP(I65,科目余额表!B:M,12,0),0))</f>
        <v>0</v>
      </c>
      <c r="F65" s="1">
        <f>ROUND(SUMIF(上期ETY!D:D,B65,上期ETY!F:F),2)</f>
        <v>0</v>
      </c>
      <c r="G65" s="1">
        <f>ROUND(SUMIF(上期ETY!D:D,B65,上期ETY!G:G),2)</f>
        <v>0</v>
      </c>
      <c r="H65" s="115">
        <f>ROUND(E65-F65+G65,2)</f>
        <v>0</v>
      </c>
    </row>
    <row r="66" spans="1:12">
      <c r="A66" s="113" t="s">
        <v>965</v>
      </c>
      <c r="B66" s="113"/>
      <c r="C66" s="111"/>
      <c r="D66" s="117" t="s">
        <v>856</v>
      </c>
      <c r="E66" s="111">
        <f>E64-E65</f>
        <v>0</v>
      </c>
      <c r="F66" s="1"/>
      <c r="G66" s="1"/>
      <c r="H66" s="115">
        <f>H64-H65</f>
        <v>0</v>
      </c>
      <c r="I66" s="18" t="s">
        <v>16</v>
      </c>
      <c r="K66" s="18" t="s">
        <v>843</v>
      </c>
      <c r="L66" s="18" t="str">
        <f>_xlfn.IFNA(VLOOKUP(I66,科目余额表!B:M,11,0),K66)</f>
        <v>借</v>
      </c>
    </row>
    <row r="67" spans="1:12">
      <c r="A67" s="113" t="s">
        <v>966</v>
      </c>
      <c r="B67" s="113" t="s">
        <v>11</v>
      </c>
      <c r="C67" s="117" t="s">
        <v>858</v>
      </c>
      <c r="D67" s="117"/>
      <c r="E67" s="114">
        <f>IF(K67=L67,_xlfn.IFNA(VLOOKUP(I67,科目余额表!B:M,12,0),0),-_xlfn.IFNA(VLOOKUP(I67,科目余额表!B:M,12,0),0))</f>
        <v>0</v>
      </c>
      <c r="F67" s="1">
        <f>ROUND(SUMIF(上期ETY!D:D,B67,上期ETY!F:F),2)</f>
        <v>0</v>
      </c>
      <c r="G67" s="1">
        <f>ROUND(SUMIF(上期ETY!D:D,B67,上期ETY!G:G),2)</f>
        <v>0</v>
      </c>
      <c r="H67" s="115">
        <f t="shared" si="7"/>
        <v>0</v>
      </c>
      <c r="I67" s="18" t="s">
        <v>11</v>
      </c>
      <c r="K67" s="18" t="s">
        <v>843</v>
      </c>
      <c r="L67" s="18" t="str">
        <f>_xlfn.IFNA(VLOOKUP(I67,科目余额表!B:M,11,0),K67)</f>
        <v>借</v>
      </c>
    </row>
    <row r="68" spans="1:12">
      <c r="A68" s="113" t="s">
        <v>967</v>
      </c>
      <c r="B68" s="113" t="s">
        <v>968</v>
      </c>
      <c r="C68" s="117"/>
      <c r="D68" s="117"/>
      <c r="E68" s="114">
        <f>IF(K68=L68,_xlfn.IFNA(VLOOKUP(I68,科目余额表!B:M,12,0),0),-_xlfn.IFNA(VLOOKUP(I68,科目余额表!B:M,12,0),0))</f>
        <v>-30046177.920000002</v>
      </c>
      <c r="F68" s="1">
        <f>ROUND(SUMIF(上期ETY!D:D,B68,上期ETY!F:F),2)</f>
        <v>0</v>
      </c>
      <c r="G68" s="1">
        <f>ROUND(SUMIF(上期ETY!D:D,B68,上期ETY!G:G),2)</f>
        <v>0</v>
      </c>
      <c r="H68" s="115">
        <f t="shared" si="7"/>
        <v>-30046177.920000002</v>
      </c>
      <c r="I68" s="18" t="s">
        <v>20</v>
      </c>
      <c r="K68" s="18" t="s">
        <v>843</v>
      </c>
      <c r="L68" s="18" t="str">
        <f>_xlfn.IFNA(VLOOKUP(I68,科目余额表!B:M,11,0),K68)</f>
        <v>贷</v>
      </c>
    </row>
    <row r="69" spans="1:12">
      <c r="A69" s="113" t="s">
        <v>969</v>
      </c>
      <c r="B69" s="113" t="s">
        <v>970</v>
      </c>
      <c r="C69" s="117"/>
      <c r="D69" s="117"/>
      <c r="E69" s="114">
        <f>IF(K69=L69,_xlfn.IFNA(VLOOKUP(I69,科目余额表!B:M,12,0),0),-_xlfn.IFNA(VLOOKUP(I69,科目余额表!B:M,12,0),0))</f>
        <v>0</v>
      </c>
      <c r="F69" s="1">
        <f>ROUND(SUMIF(上期ETY!D:D,B69,上期ETY!F:F),2)</f>
        <v>0</v>
      </c>
      <c r="G69" s="1">
        <f>ROUND(SUMIF(上期ETY!D:D,B69,上期ETY!G:G),2)</f>
        <v>0</v>
      </c>
      <c r="H69" s="115">
        <f>ROUND(E69-F69+G69,2)</f>
        <v>0</v>
      </c>
      <c r="I69" s="18" t="s">
        <v>970</v>
      </c>
      <c r="K69" s="18" t="s">
        <v>958</v>
      </c>
      <c r="L69" s="18" t="s">
        <v>958</v>
      </c>
    </row>
    <row r="70" spans="1:12">
      <c r="A70" s="113" t="s">
        <v>971</v>
      </c>
      <c r="B70" s="113" t="s">
        <v>972</v>
      </c>
      <c r="C70" s="117"/>
      <c r="D70" s="117"/>
      <c r="E70" s="114">
        <f>IF(K70=L70,_xlfn.IFNA(VLOOKUP(I70,科目余额表!B:M,12,0),0),-_xlfn.IFNA(VLOOKUP(I70,科目余额表!B:M,12,0),0))</f>
        <v>0</v>
      </c>
      <c r="F70" s="1">
        <f>ROUND(SUMIF(上期ETY!D:D,B70,上期ETY!F:F),2)</f>
        <v>0</v>
      </c>
      <c r="G70" s="1">
        <f>ROUND(SUMIF(上期ETY!D:D,B70,上期ETY!G:G),2)</f>
        <v>0</v>
      </c>
      <c r="H70" s="115">
        <f>ROUND(E70-F70+G70,2)</f>
        <v>0</v>
      </c>
      <c r="I70" s="18" t="s">
        <v>972</v>
      </c>
      <c r="K70" s="18" t="s">
        <v>958</v>
      </c>
      <c r="L70" s="18" t="s">
        <v>958</v>
      </c>
    </row>
    <row r="71" spans="1:12">
      <c r="A71" s="112" t="s">
        <v>973</v>
      </c>
      <c r="B71" s="113"/>
      <c r="C71" s="111"/>
      <c r="D71" s="111"/>
      <c r="E71" s="111">
        <f>E68-E69-E70</f>
        <v>-30046177.920000002</v>
      </c>
      <c r="F71" s="1"/>
      <c r="G71" s="1"/>
      <c r="H71" s="115">
        <f>H68-H69-H70</f>
        <v>-30046177.920000002</v>
      </c>
    </row>
    <row r="72" spans="1:12">
      <c r="A72" s="112" t="s">
        <v>974</v>
      </c>
      <c r="B72" s="113" t="s">
        <v>975</v>
      </c>
      <c r="C72" s="111"/>
      <c r="D72" s="111"/>
      <c r="E72" s="114">
        <f>IF(K72=L72,_xlfn.IFNA(VLOOKUP(I72,科目余额表!B:M,12,0),0),-_xlfn.IFNA(VLOOKUP(I72,科目余额表!B:M,12,0),0))</f>
        <v>2232281356.0500002</v>
      </c>
      <c r="F72" s="1">
        <f>ROUND(SUMIF(上期ETY!D:D,B72,上期ETY!F:F),2)</f>
        <v>0</v>
      </c>
      <c r="G72" s="1">
        <f>ROUND(SUMIF(上期ETY!D:D,B72,上期ETY!G:G),2)</f>
        <v>0</v>
      </c>
      <c r="H72" s="115">
        <f t="shared" si="7"/>
        <v>2232281356.0500002</v>
      </c>
      <c r="I72" s="18" t="s">
        <v>776</v>
      </c>
      <c r="K72" s="18" t="s">
        <v>843</v>
      </c>
      <c r="L72" s="18" t="str">
        <f>_xlfn.IFNA(VLOOKUP(I72,科目余额表!B:M,11,0),K72)</f>
        <v>借</v>
      </c>
    </row>
    <row r="73" spans="1:12">
      <c r="A73" s="112" t="s">
        <v>976</v>
      </c>
      <c r="B73" s="113" t="s">
        <v>977</v>
      </c>
      <c r="C73" s="111"/>
      <c r="D73" s="111"/>
      <c r="E73" s="114">
        <f>IF(K73=L73,_xlfn.IFNA(VLOOKUP(I73,科目余额表!B:M,12,0),0),-_xlfn.IFNA(VLOOKUP(I73,科目余额表!B:M,12,0),0))</f>
        <v>0</v>
      </c>
      <c r="F73" s="1">
        <f>ROUND(SUMIF(上期ETY!D:D,B73,上期ETY!F:F),2)</f>
        <v>0</v>
      </c>
      <c r="G73" s="1">
        <f>ROUND(SUMIF(上期ETY!D:D,B73,上期ETY!G:G),2)</f>
        <v>0</v>
      </c>
      <c r="H73" s="115">
        <f>ROUND(E73-F73+G73,2)</f>
        <v>0</v>
      </c>
      <c r="I73" s="18" t="s">
        <v>777</v>
      </c>
      <c r="K73" s="18" t="s">
        <v>865</v>
      </c>
      <c r="L73" s="18" t="str">
        <f>_xlfn.IFNA(VLOOKUP(I73,科目余额表!B:M,11,0),K73)</f>
        <v>平</v>
      </c>
    </row>
    <row r="74" spans="1:12">
      <c r="A74" s="112" t="s">
        <v>978</v>
      </c>
      <c r="B74" s="113"/>
      <c r="C74" s="111"/>
      <c r="D74" s="111"/>
      <c r="E74" s="111">
        <f>E72-E73</f>
        <v>2232281356.0500002</v>
      </c>
      <c r="F74" s="111">
        <f t="shared" ref="F74:H74" si="8">F72-F73</f>
        <v>0</v>
      </c>
      <c r="G74" s="111">
        <f t="shared" si="8"/>
        <v>0</v>
      </c>
      <c r="H74" s="111">
        <f t="shared" si="8"/>
        <v>2232281356.0500002</v>
      </c>
      <c r="L74" s="18">
        <f>_xlfn.IFNA(VLOOKUP(I74,科目余额表!B:M,11,0),K74)</f>
        <v>0</v>
      </c>
    </row>
    <row r="75" spans="1:12">
      <c r="A75" s="112" t="s">
        <v>979</v>
      </c>
      <c r="B75" s="113" t="s">
        <v>19</v>
      </c>
      <c r="C75" s="111"/>
      <c r="D75" s="117" t="s">
        <v>856</v>
      </c>
      <c r="E75" s="114">
        <f>IF(K75=L75,_xlfn.IFNA(VLOOKUP(I75,科目余额表!B:M,12,0),0),-_xlfn.IFNA(VLOOKUP(I75,科目余额表!B:M,12,0),0))</f>
        <v>0</v>
      </c>
      <c r="F75" s="1">
        <f>ROUND(SUMIF(上期ETY!D:D,B75,上期ETY!F:F),2)</f>
        <v>0</v>
      </c>
      <c r="G75" s="1">
        <f>ROUND(SUMIF(上期ETY!D:D,B75,上期ETY!G:G),2)</f>
        <v>0</v>
      </c>
      <c r="H75" s="115">
        <f t="shared" ref="H75:H77" si="9">ROUND(E75+F75-G75,2)</f>
        <v>0</v>
      </c>
      <c r="I75" s="18" t="s">
        <v>19</v>
      </c>
      <c r="K75" s="18" t="s">
        <v>843</v>
      </c>
      <c r="L75" s="18" t="str">
        <f>_xlfn.IFNA(VLOOKUP(I75,科目余额表!B:M,11,0),K75)</f>
        <v>借</v>
      </c>
    </row>
    <row r="76" spans="1:12">
      <c r="A76" s="112" t="s">
        <v>980</v>
      </c>
      <c r="B76" s="113" t="s">
        <v>44</v>
      </c>
      <c r="C76" s="111"/>
      <c r="D76" s="117" t="s">
        <v>856</v>
      </c>
      <c r="E76" s="114">
        <f>IF(K76=L76,_xlfn.IFNA(VLOOKUP(I76,科目余额表!B:M,12,0),0),-_xlfn.IFNA(VLOOKUP(I76,科目余额表!B:M,12,0),0))</f>
        <v>0</v>
      </c>
      <c r="F76" s="1">
        <f>ROUND(SUMIF(上期ETY!D:D,B76,上期ETY!F:F),2)</f>
        <v>0</v>
      </c>
      <c r="G76" s="1">
        <f>ROUND(SUMIF(上期ETY!D:D,B76,上期ETY!G:G),2)</f>
        <v>0</v>
      </c>
      <c r="H76" s="115">
        <f t="shared" si="9"/>
        <v>0</v>
      </c>
      <c r="I76" s="18" t="s">
        <v>44</v>
      </c>
      <c r="K76" s="18" t="s">
        <v>843</v>
      </c>
      <c r="L76" s="18" t="str">
        <f>_xlfn.IFNA(VLOOKUP(I76,科目余额表!B:M,11,0),K76)</f>
        <v>借</v>
      </c>
    </row>
    <row r="77" spans="1:12">
      <c r="A77" s="112" t="s">
        <v>981</v>
      </c>
      <c r="B77" s="113" t="s">
        <v>982</v>
      </c>
      <c r="C77" s="111"/>
      <c r="D77" s="117"/>
      <c r="E77" s="114">
        <f>IF(K77=L77,_xlfn.IFNA(VLOOKUP(I77,科目余额表!B:M,12,0),0),-_xlfn.IFNA(VLOOKUP(I77,科目余额表!B:M,12,0),0))</f>
        <v>649965285.88999999</v>
      </c>
      <c r="F77" s="1">
        <f>ROUND(SUMIF(上期ETY!D:D,B77,上期ETY!F:F),2)</f>
        <v>0</v>
      </c>
      <c r="G77" s="1">
        <f>ROUND(SUMIF(上期ETY!D:D,B77,上期ETY!G:G),2)</f>
        <v>0</v>
      </c>
      <c r="H77" s="115">
        <f t="shared" si="9"/>
        <v>649965285.88999999</v>
      </c>
      <c r="I77" s="18" t="s">
        <v>778</v>
      </c>
      <c r="K77" s="18" t="s">
        <v>843</v>
      </c>
      <c r="L77" s="18" t="str">
        <f>_xlfn.IFNA(VLOOKUP(I77,科目余额表!B:M,11,0),K77)</f>
        <v>借</v>
      </c>
    </row>
    <row r="78" spans="1:12">
      <c r="A78" s="112" t="s">
        <v>983</v>
      </c>
      <c r="B78" s="113" t="s">
        <v>984</v>
      </c>
      <c r="C78" s="111"/>
      <c r="D78" s="117"/>
      <c r="E78" s="114">
        <f>IF(K78=L78,_xlfn.IFNA(VLOOKUP(I78,科目余额表!B:M,12,0),0),-_xlfn.IFNA(VLOOKUP(I78,科目余额表!B:M,12,0),0))</f>
        <v>0</v>
      </c>
      <c r="F78" s="1">
        <f>ROUND(SUMIF(上期ETY!D:D,B78,上期ETY!F:F),2)</f>
        <v>0</v>
      </c>
      <c r="G78" s="1">
        <f>ROUND(SUMIF(上期ETY!D:D,B78,上期ETY!G:G),2)</f>
        <v>0</v>
      </c>
      <c r="H78" s="115">
        <f>ROUND(E78-F78+G78,2)</f>
        <v>0</v>
      </c>
      <c r="I78" s="18" t="s">
        <v>985</v>
      </c>
      <c r="K78" s="18" t="s">
        <v>865</v>
      </c>
      <c r="L78" s="18" t="str">
        <f>_xlfn.IFNA(VLOOKUP(I78,科目余额表!B:M,11,0),K78)</f>
        <v>贷</v>
      </c>
    </row>
    <row r="79" spans="1:12">
      <c r="A79" s="112" t="s">
        <v>986</v>
      </c>
      <c r="B79" s="113" t="s">
        <v>987</v>
      </c>
      <c r="C79" s="111"/>
      <c r="D79" s="117"/>
      <c r="E79" s="114">
        <f>IF(K79=L79,_xlfn.IFNA(VLOOKUP(I79,科目余额表!B:M,12,0),0),-_xlfn.IFNA(VLOOKUP(I79,科目余额表!B:M,12,0),0))</f>
        <v>0</v>
      </c>
      <c r="F79" s="1">
        <f>ROUND(SUMIF(上期ETY!D:D,B79,上期ETY!F:F),2)</f>
        <v>0</v>
      </c>
      <c r="G79" s="1">
        <f>ROUND(SUMIF(上期ETY!D:D,B79,上期ETY!G:G),2)</f>
        <v>0</v>
      </c>
      <c r="H79" s="115">
        <f>ROUND(E79-F79+G79,2)</f>
        <v>0</v>
      </c>
      <c r="I79" s="18" t="s">
        <v>988</v>
      </c>
      <c r="K79" s="18" t="s">
        <v>865</v>
      </c>
      <c r="L79" s="18" t="str">
        <f>_xlfn.IFNA(VLOOKUP(I79,科目余额表!B:M,11,0),K79)</f>
        <v>贷</v>
      </c>
    </row>
    <row r="80" spans="1:12">
      <c r="A80" s="112" t="s">
        <v>989</v>
      </c>
      <c r="B80" s="113"/>
      <c r="C80" s="111"/>
      <c r="D80" s="111"/>
      <c r="E80" s="111">
        <f>E77-E78-E79</f>
        <v>649965285.88999999</v>
      </c>
      <c r="F80" s="111">
        <f t="shared" ref="F80:G80" si="10">F77-F78-F79</f>
        <v>0</v>
      </c>
      <c r="G80" s="111">
        <f t="shared" si="10"/>
        <v>0</v>
      </c>
      <c r="H80" s="111">
        <f>H77-H78-H79</f>
        <v>649965285.88999999</v>
      </c>
      <c r="L80" s="18">
        <f>_xlfn.IFNA(VLOOKUP(I80,科目余额表!B:M,11,0),K80)</f>
        <v>0</v>
      </c>
    </row>
    <row r="81" spans="1:12">
      <c r="A81" s="112" t="s">
        <v>990</v>
      </c>
      <c r="B81" s="113" t="s">
        <v>991</v>
      </c>
      <c r="C81" s="111"/>
      <c r="D81" s="111"/>
      <c r="E81" s="114">
        <f>IF(K81=L81,_xlfn.IFNA(VLOOKUP(I81,科目余额表!B:M,12,0),0),-_xlfn.IFNA(VLOOKUP(I81,科目余额表!B:M,12,0),0))</f>
        <v>4354892550.1000004</v>
      </c>
      <c r="F81" s="1">
        <f>ROUND(SUMIF(上期ETY!D:D,B81,上期ETY!F:F),2)</f>
        <v>0</v>
      </c>
      <c r="G81" s="1">
        <f>ROUND(SUMIF(上期ETY!D:D,B81,上期ETY!G:G),2)</f>
        <v>0</v>
      </c>
      <c r="H81" s="115">
        <f t="shared" ref="H81" si="11">ROUND(E81+F81-G81,2)</f>
        <v>4354892550.1000004</v>
      </c>
      <c r="I81" s="18" t="s">
        <v>89</v>
      </c>
      <c r="K81" s="18" t="s">
        <v>843</v>
      </c>
      <c r="L81" s="18" t="str">
        <f>_xlfn.IFNA(VLOOKUP(I81,科目余额表!B:M,11,0),K81)</f>
        <v>借</v>
      </c>
    </row>
    <row r="82" spans="1:12">
      <c r="A82" s="112" t="s">
        <v>992</v>
      </c>
      <c r="B82" s="113" t="s">
        <v>993</v>
      </c>
      <c r="C82" s="111"/>
      <c r="D82" s="111"/>
      <c r="E82" s="114">
        <f>IF(K82=L82,_xlfn.IFNA(VLOOKUP(I82,科目余额表!B:M,12,0),0),-_xlfn.IFNA(VLOOKUP(I82,科目余额表!B:M,12,0),0))</f>
        <v>1522351145.78</v>
      </c>
      <c r="F82" s="1">
        <f>ROUND(SUMIF(上期ETY!D:D,B82,上期ETY!F:F),2)</f>
        <v>0</v>
      </c>
      <c r="G82" s="1">
        <f>ROUND(SUMIF(上期ETY!D:D,B82,上期ETY!G:G),2)</f>
        <v>0</v>
      </c>
      <c r="H82" s="115">
        <f>ROUND(E82-F82+G82,2)</f>
        <v>1522351145.78</v>
      </c>
      <c r="I82" s="18" t="s">
        <v>469</v>
      </c>
      <c r="K82" s="18" t="s">
        <v>865</v>
      </c>
      <c r="L82" s="18" t="str">
        <f>_xlfn.IFNA(VLOOKUP(I82,科目余额表!B:M,11,0),K82)</f>
        <v>贷</v>
      </c>
    </row>
    <row r="83" spans="1:12">
      <c r="A83" s="112" t="s">
        <v>994</v>
      </c>
      <c r="B83" s="113" t="s">
        <v>995</v>
      </c>
      <c r="C83" s="111"/>
      <c r="D83" s="111"/>
      <c r="E83" s="114">
        <f>IF(K83=L83,_xlfn.IFNA(VLOOKUP(I83,科目余额表!B:M,12,0),0),-_xlfn.IFNA(VLOOKUP(I83,科目余额表!B:M,12,0),0))</f>
        <v>7094592.7199999997</v>
      </c>
      <c r="F83" s="1">
        <f>ROUND(SUMIF(上期ETY!D:D,B83,上期ETY!F:F),2)</f>
        <v>0</v>
      </c>
      <c r="G83" s="1">
        <f>ROUND(SUMIF(上期ETY!D:D,B83,上期ETY!G:G),2)</f>
        <v>0</v>
      </c>
      <c r="H83" s="115">
        <f>ROUND(E83-F83+G83,2)</f>
        <v>7094592.7199999997</v>
      </c>
      <c r="I83" s="18" t="s">
        <v>780</v>
      </c>
      <c r="K83" s="18" t="s">
        <v>865</v>
      </c>
      <c r="L83" s="18" t="str">
        <f>_xlfn.IFNA(VLOOKUP(I83,科目余额表!B:M,11,0),K83)</f>
        <v>贷</v>
      </c>
    </row>
    <row r="84" spans="1:12">
      <c r="A84" s="112" t="s">
        <v>996</v>
      </c>
      <c r="B84" s="113"/>
      <c r="C84" s="111"/>
      <c r="D84" s="111"/>
      <c r="E84" s="111">
        <f>E81-E82-E83</f>
        <v>2825446811.6000009</v>
      </c>
      <c r="F84" s="111">
        <f t="shared" ref="F84:G84" si="12">F81-F82-F83</f>
        <v>0</v>
      </c>
      <c r="G84" s="111">
        <f t="shared" si="12"/>
        <v>0</v>
      </c>
      <c r="H84" s="111">
        <f>H81-H82-H83</f>
        <v>2825446811.6000009</v>
      </c>
      <c r="L84" s="18">
        <f>_xlfn.IFNA(VLOOKUP(I84,科目余额表!B:M,11,0),K84)</f>
        <v>0</v>
      </c>
    </row>
    <row r="85" spans="1:12">
      <c r="A85" s="112" t="s">
        <v>997</v>
      </c>
      <c r="B85" s="113" t="s">
        <v>998</v>
      </c>
      <c r="C85" s="111"/>
      <c r="D85" s="111"/>
      <c r="E85" s="114">
        <f>IF(K85=L85,_xlfn.IFNA(VLOOKUP(I85,科目余额表!B:M,12,0),0),-_xlfn.IFNA(VLOOKUP(I85,科目余额表!B:M,12,0),0))</f>
        <v>0</v>
      </c>
      <c r="F85" s="1">
        <f>ROUND(SUMIF(上期ETY!D:D,B85,上期ETY!F:F),2)</f>
        <v>0</v>
      </c>
      <c r="G85" s="1">
        <f>ROUND(SUMIF(上期ETY!D:D,B85,上期ETY!G:G),2)</f>
        <v>0</v>
      </c>
      <c r="H85" s="115">
        <f t="shared" ref="H85:H90" si="13">ROUND(E85+F85-G85,2)</f>
        <v>0</v>
      </c>
      <c r="I85" s="18" t="s">
        <v>465</v>
      </c>
      <c r="K85" s="18" t="s">
        <v>843</v>
      </c>
      <c r="L85" s="18" t="str">
        <f>_xlfn.IFNA(VLOOKUP(I85,科目余额表!B:M,11,0),K85)</f>
        <v>平</v>
      </c>
    </row>
    <row r="86" spans="1:12">
      <c r="A86" s="112" t="s">
        <v>999</v>
      </c>
      <c r="B86" s="113" t="s">
        <v>455</v>
      </c>
      <c r="C86" s="111"/>
      <c r="D86" s="111"/>
      <c r="E86" s="114">
        <f>IF(K86=L86,_xlfn.IFNA(VLOOKUP(I86,科目余额表!B:M,12,0),0),-_xlfn.IFNA(VLOOKUP(I86,科目余额表!B:M,12,0),0))</f>
        <v>148814764.12</v>
      </c>
      <c r="F86" s="1">
        <f>ROUND(SUMIF(上期ETY!D:D,B86,上期ETY!F:F),2)</f>
        <v>0</v>
      </c>
      <c r="G86" s="1">
        <f>ROUND(SUMIF(上期ETY!D:D,B86,上期ETY!G:G),2)</f>
        <v>0</v>
      </c>
      <c r="H86" s="115">
        <f t="shared" si="13"/>
        <v>148814764.12</v>
      </c>
      <c r="I86" s="18" t="s">
        <v>455</v>
      </c>
      <c r="K86" s="18" t="s">
        <v>843</v>
      </c>
      <c r="L86" s="18" t="str">
        <f>_xlfn.IFNA(VLOOKUP(I86,科目余额表!B:M,11,0),K86)</f>
        <v>借</v>
      </c>
    </row>
    <row r="87" spans="1:12">
      <c r="A87" s="112" t="s">
        <v>1000</v>
      </c>
      <c r="B87" s="113" t="s">
        <v>1001</v>
      </c>
      <c r="C87" s="111"/>
      <c r="D87" s="111"/>
      <c r="E87" s="114">
        <f>IF(K87=L87,_xlfn.IFNA(VLOOKUP(I87,科目余额表!B:M,12,0),0),-_xlfn.IFNA(VLOOKUP(I87,科目余额表!B:M,12,0),0))</f>
        <v>0</v>
      </c>
      <c r="F87" s="1">
        <f>ROUND(SUMIF(上期ETY!D:D,B87,上期ETY!F:F),2)</f>
        <v>0</v>
      </c>
      <c r="G87" s="1">
        <f>ROUND(SUMIF(上期ETY!D:D,B87,上期ETY!G:G),2)</f>
        <v>0</v>
      </c>
      <c r="H87" s="115">
        <f t="shared" si="13"/>
        <v>0</v>
      </c>
      <c r="I87" s="18" t="s">
        <v>476</v>
      </c>
      <c r="K87" s="18" t="s">
        <v>843</v>
      </c>
      <c r="L87" s="18" t="str">
        <f>_xlfn.IFNA(VLOOKUP(I87,科目余额表!B:M,11,0),K87)</f>
        <v>借</v>
      </c>
    </row>
    <row r="88" spans="1:12">
      <c r="A88" s="112" t="s">
        <v>1002</v>
      </c>
      <c r="B88" s="113" t="s">
        <v>1003</v>
      </c>
      <c r="C88" s="111"/>
      <c r="D88" s="111"/>
      <c r="E88" s="114">
        <f>IF(K88=L88,_xlfn.IFNA(VLOOKUP(I88,科目余额表!B:M,12,0),0),-_xlfn.IFNA(VLOOKUP(I88,科目余额表!B:M,12,0),0))</f>
        <v>0</v>
      </c>
      <c r="F88" s="1">
        <f>ROUND(SUMIF(上期ETY!D:D,B88,上期ETY!F:F),2)</f>
        <v>0</v>
      </c>
      <c r="G88" s="1">
        <f>ROUND(SUMIF(上期ETY!D:D,B88,上期ETY!G:G),2)</f>
        <v>0</v>
      </c>
      <c r="H88" s="115">
        <f t="shared" si="13"/>
        <v>0</v>
      </c>
      <c r="I88" s="18" t="s">
        <v>1003</v>
      </c>
      <c r="K88" s="18" t="s">
        <v>843</v>
      </c>
      <c r="L88" s="18" t="str">
        <f>_xlfn.IFNA(VLOOKUP(I88,科目余额表!B:M,11,0),K88)</f>
        <v>借</v>
      </c>
    </row>
    <row r="89" spans="1:12">
      <c r="A89" s="112" t="s">
        <v>1004</v>
      </c>
      <c r="B89" s="113" t="s">
        <v>1005</v>
      </c>
      <c r="C89" s="111"/>
      <c r="D89" s="111"/>
      <c r="E89" s="114">
        <f>IF(K89=L89,_xlfn.IFNA(VLOOKUP(I89,科目余额表!B:M,12,0),0),-_xlfn.IFNA(VLOOKUP(I89,科目余额表!B:M,12,0),0))</f>
        <v>0</v>
      </c>
      <c r="F89" s="1">
        <f>ROUND(SUMIF(上期ETY!D:D,B89,上期ETY!F:F),2)</f>
        <v>0</v>
      </c>
      <c r="G89" s="1">
        <f>ROUND(SUMIF(上期ETY!D:D,B89,上期ETY!G:G),2)</f>
        <v>0</v>
      </c>
      <c r="H89" s="115">
        <f t="shared" si="13"/>
        <v>0</v>
      </c>
      <c r="I89" s="18" t="s">
        <v>1005</v>
      </c>
      <c r="K89" s="18" t="s">
        <v>843</v>
      </c>
      <c r="L89" s="18" t="str">
        <f>_xlfn.IFNA(VLOOKUP(I89,科目余额表!B:M,11,0),K89)</f>
        <v>借</v>
      </c>
    </row>
    <row r="90" spans="1:12">
      <c r="A90" s="112" t="s">
        <v>1006</v>
      </c>
      <c r="B90" s="113" t="s">
        <v>1007</v>
      </c>
      <c r="C90" s="111"/>
      <c r="D90" s="111"/>
      <c r="E90" s="114">
        <f>IF(K90=L90,_xlfn.IFNA(VLOOKUP(I90,科目余额表!B:M,12,0),0),-_xlfn.IFNA(VLOOKUP(I90,科目余额表!B:M,12,0),0))</f>
        <v>0</v>
      </c>
      <c r="F90" s="1">
        <f>ROUND(SUMIF(上期ETY!D:D,B90,上期ETY!F:F),2)</f>
        <v>0</v>
      </c>
      <c r="G90" s="1">
        <f>ROUND(SUMIF(上期ETY!D:D,B90,上期ETY!G:G),2)</f>
        <v>0</v>
      </c>
      <c r="H90" s="115">
        <f t="shared" si="13"/>
        <v>0</v>
      </c>
      <c r="I90" s="18" t="s">
        <v>91</v>
      </c>
      <c r="K90" s="18" t="s">
        <v>843</v>
      </c>
      <c r="L90" s="18" t="str">
        <f>_xlfn.IFNA(VLOOKUP(I90,科目余额表!B:M,11,0),K90)</f>
        <v>借</v>
      </c>
    </row>
    <row r="91" spans="1:12">
      <c r="A91" s="112" t="s">
        <v>1008</v>
      </c>
      <c r="B91" s="113" t="s">
        <v>1009</v>
      </c>
      <c r="C91" s="111"/>
      <c r="D91" s="111"/>
      <c r="E91" s="114">
        <f>IF(K91=L91,_xlfn.IFNA(VLOOKUP(I91,科目余额表!B:M,12,0),0),-_xlfn.IFNA(VLOOKUP(I91,科目余额表!B:M,12,0),0))</f>
        <v>0</v>
      </c>
      <c r="F91" s="1">
        <f>ROUND(SUMIF(上期ETY!D:D,B91,上期ETY!F:F),2)</f>
        <v>0</v>
      </c>
      <c r="G91" s="1">
        <f>ROUND(SUMIF(上期ETY!D:D,B91,上期ETY!G:G),2)</f>
        <v>0</v>
      </c>
      <c r="H91" s="115">
        <f>ROUND(E91-F91+G91,2)</f>
        <v>0</v>
      </c>
      <c r="I91" s="18" t="s">
        <v>1010</v>
      </c>
      <c r="K91" s="18" t="s">
        <v>865</v>
      </c>
      <c r="L91" s="18" t="str">
        <f>_xlfn.IFNA(VLOOKUP(I91,科目余额表!B:M,11,0),K91)</f>
        <v>贷</v>
      </c>
    </row>
    <row r="92" spans="1:12">
      <c r="A92" s="112" t="s">
        <v>1011</v>
      </c>
      <c r="B92" s="113" t="s">
        <v>1012</v>
      </c>
      <c r="C92" s="111"/>
      <c r="D92" s="111"/>
      <c r="E92" s="114">
        <f>IF(K92=L92,_xlfn.IFNA(VLOOKUP(I92,科目余额表!B:M,12,0),0),-_xlfn.IFNA(VLOOKUP(I92,科目余额表!B:M,12,0),0))</f>
        <v>0</v>
      </c>
      <c r="F92" s="1">
        <f>ROUND(SUMIF(上期ETY!D:D,B92,上期ETY!F:F),2)</f>
        <v>0</v>
      </c>
      <c r="G92" s="1">
        <f>ROUND(SUMIF(上期ETY!D:D,B92,上期ETY!G:G),2)</f>
        <v>0</v>
      </c>
      <c r="H92" s="115">
        <f>ROUND(E92-F92+G92,2)</f>
        <v>0</v>
      </c>
      <c r="I92" s="18" t="s">
        <v>1013</v>
      </c>
      <c r="K92" s="18" t="s">
        <v>865</v>
      </c>
      <c r="L92" s="18" t="str">
        <f>_xlfn.IFNA(VLOOKUP(I92,科目余额表!B:M,11,0),K92)</f>
        <v>贷</v>
      </c>
    </row>
    <row r="93" spans="1:12">
      <c r="A93" s="112" t="s">
        <v>1014</v>
      </c>
      <c r="B93" s="113"/>
      <c r="C93" s="111"/>
      <c r="D93" s="117" t="s">
        <v>856</v>
      </c>
      <c r="E93" s="111">
        <f>E90-E91-E92</f>
        <v>0</v>
      </c>
      <c r="F93" s="111">
        <f t="shared" ref="F93:H93" si="14">F90-F91-F92</f>
        <v>0</v>
      </c>
      <c r="G93" s="111">
        <f t="shared" si="14"/>
        <v>0</v>
      </c>
      <c r="H93" s="111">
        <f t="shared" si="14"/>
        <v>0</v>
      </c>
      <c r="L93" s="18">
        <f>_xlfn.IFNA(VLOOKUP(I93,科目余额表!B:M,11,0),K93)</f>
        <v>0</v>
      </c>
    </row>
    <row r="94" spans="1:12">
      <c r="A94" s="112" t="s">
        <v>1015</v>
      </c>
      <c r="B94" s="113" t="s">
        <v>1016</v>
      </c>
      <c r="C94" s="111"/>
      <c r="D94" s="117"/>
      <c r="E94" s="114">
        <f>IF(K94=L94,_xlfn.IFNA(VLOOKUP(I94,科目余额表!B:M,12,0),0),-_xlfn.IFNA(VLOOKUP(I94,科目余额表!B:M,12,0),0))</f>
        <v>0</v>
      </c>
      <c r="F94" s="1">
        <f>ROUND(SUMIF(上期ETY!D:D,B94,上期ETY!F:F),2)</f>
        <v>0</v>
      </c>
      <c r="G94" s="1">
        <f>ROUND(SUMIF(上期ETY!D:D,B94,上期ETY!G:G),2)</f>
        <v>0</v>
      </c>
      <c r="H94" s="115">
        <f t="shared" ref="H94" si="15">ROUND(E94+F94-G94,2)</f>
        <v>0</v>
      </c>
      <c r="I94" s="18" t="s">
        <v>90</v>
      </c>
      <c r="K94" s="18" t="s">
        <v>843</v>
      </c>
      <c r="L94" s="18" t="str">
        <f>_xlfn.IFNA(VLOOKUP(I94,科目余额表!B:M,11,0),K94)</f>
        <v>借</v>
      </c>
    </row>
    <row r="95" spans="1:12">
      <c r="A95" s="112" t="s">
        <v>1017</v>
      </c>
      <c r="B95" s="113" t="s">
        <v>1018</v>
      </c>
      <c r="C95" s="111"/>
      <c r="D95" s="117"/>
      <c r="E95" s="114">
        <f>IF(K95=L95,_xlfn.IFNA(VLOOKUP(I95,科目余额表!B:M,12,0),0),-_xlfn.IFNA(VLOOKUP(I95,科目余额表!B:M,12,0),0))</f>
        <v>0</v>
      </c>
      <c r="F95" s="1">
        <f>ROUND(SUMIF(上期ETY!D:D,B95,上期ETY!F:F),2)</f>
        <v>0</v>
      </c>
      <c r="G95" s="1">
        <f>ROUND(SUMIF(上期ETY!D:D,B95,上期ETY!G:G),2)</f>
        <v>0</v>
      </c>
      <c r="H95" s="115">
        <f>ROUND(E95-F95+G95,2)</f>
        <v>0</v>
      </c>
      <c r="I95" s="18" t="s">
        <v>782</v>
      </c>
      <c r="K95" s="18" t="s">
        <v>865</v>
      </c>
      <c r="L95" s="18" t="str">
        <f>_xlfn.IFNA(VLOOKUP(I95,科目余额表!B:M,11,0),K95)</f>
        <v>贷</v>
      </c>
    </row>
    <row r="96" spans="1:12">
      <c r="A96" s="112" t="s">
        <v>1019</v>
      </c>
      <c r="B96" s="113" t="s">
        <v>1020</v>
      </c>
      <c r="C96" s="111"/>
      <c r="D96" s="117"/>
      <c r="E96" s="114">
        <f>IF(K96=L96,_xlfn.IFNA(VLOOKUP(I96,科目余额表!B:M,12,0),0),-_xlfn.IFNA(VLOOKUP(I96,科目余额表!B:M,12,0),0))</f>
        <v>0</v>
      </c>
      <c r="F96" s="1">
        <f>ROUND(SUMIF(上期ETY!D:D,B96,上期ETY!F:F),2)</f>
        <v>0</v>
      </c>
      <c r="G96" s="1">
        <f>ROUND(SUMIF(上期ETY!D:D,B96,上期ETY!G:G),2)</f>
        <v>0</v>
      </c>
      <c r="H96" s="115">
        <f>ROUND(E96-F96+G96,2)</f>
        <v>0</v>
      </c>
      <c r="I96" s="18" t="s">
        <v>1021</v>
      </c>
      <c r="K96" s="18" t="s">
        <v>865</v>
      </c>
      <c r="L96" s="18" t="str">
        <f>_xlfn.IFNA(VLOOKUP(I96,科目余额表!B:M,11,0),K96)</f>
        <v>贷</v>
      </c>
    </row>
    <row r="97" spans="1:12">
      <c r="A97" s="112" t="s">
        <v>1022</v>
      </c>
      <c r="B97" s="113"/>
      <c r="C97" s="111"/>
      <c r="D97" s="111"/>
      <c r="E97" s="111">
        <f>E94-E95-E96</f>
        <v>0</v>
      </c>
      <c r="F97" s="111">
        <f t="shared" ref="F97:H97" si="16">F94-F95-F96</f>
        <v>0</v>
      </c>
      <c r="G97" s="111">
        <f t="shared" si="16"/>
        <v>0</v>
      </c>
      <c r="H97" s="111">
        <f t="shared" si="16"/>
        <v>0</v>
      </c>
      <c r="L97" s="18">
        <f>_xlfn.IFNA(VLOOKUP(I97,科目余额表!B:M,11,0),K97)</f>
        <v>0</v>
      </c>
    </row>
    <row r="98" spans="1:12">
      <c r="A98" s="112" t="s">
        <v>1023</v>
      </c>
      <c r="B98" s="113" t="s">
        <v>1024</v>
      </c>
      <c r="C98" s="111"/>
      <c r="D98" s="111"/>
      <c r="E98" s="114">
        <f>IF(K98=L98,_xlfn.IFNA(VLOOKUP(I98,科目余额表!B:M,12,0),0),-_xlfn.IFNA(VLOOKUP(I98,科目余额表!B:M,12,0),0))</f>
        <v>0</v>
      </c>
      <c r="F98" s="1">
        <f>ROUND(SUMIF(上期ETY!D:D,B98,上期ETY!F:F),2)</f>
        <v>0</v>
      </c>
      <c r="G98" s="1">
        <f>ROUND(SUMIF(上期ETY!D:D,B98,上期ETY!G:G),2)</f>
        <v>0</v>
      </c>
      <c r="H98" s="115">
        <f t="shared" ref="H98:H99" si="17">ROUND(E98+F98-G98,2)</f>
        <v>0</v>
      </c>
      <c r="I98" s="18" t="s">
        <v>1024</v>
      </c>
      <c r="K98" s="18" t="s">
        <v>843</v>
      </c>
      <c r="L98" s="18" t="str">
        <f>_xlfn.IFNA(VLOOKUP(I98,科目余额表!B:M,11,0),K98)</f>
        <v>借</v>
      </c>
    </row>
    <row r="99" spans="1:12">
      <c r="A99" s="112" t="s">
        <v>1025</v>
      </c>
      <c r="B99" s="113" t="s">
        <v>1026</v>
      </c>
      <c r="C99" s="111"/>
      <c r="D99" s="111"/>
      <c r="E99" s="114">
        <f>IF(K99=L99,_xlfn.IFNA(VLOOKUP(I99,科目余额表!B:M,12,0),0),-_xlfn.IFNA(VLOOKUP(I99,科目余额表!B:M,12,0),0))</f>
        <v>0</v>
      </c>
      <c r="F99" s="1">
        <f>ROUND(SUMIF(上期ETY!D:D,B99,上期ETY!F:F),2)</f>
        <v>0</v>
      </c>
      <c r="G99" s="1">
        <f>ROUND(SUMIF(上期ETY!D:D,B99,上期ETY!G:G),2)</f>
        <v>0</v>
      </c>
      <c r="H99" s="115">
        <f t="shared" si="17"/>
        <v>0</v>
      </c>
      <c r="I99" s="18" t="s">
        <v>1027</v>
      </c>
      <c r="K99" s="18" t="s">
        <v>843</v>
      </c>
      <c r="L99" s="18" t="str">
        <f>_xlfn.IFNA(VLOOKUP(I99,科目余额表!B:M,11,0),K99)</f>
        <v>借</v>
      </c>
    </row>
    <row r="100" spans="1:12">
      <c r="A100" s="112" t="s">
        <v>1028</v>
      </c>
      <c r="B100" s="113" t="s">
        <v>1029</v>
      </c>
      <c r="C100" s="111"/>
      <c r="D100" s="111"/>
      <c r="E100" s="114">
        <f>IF(K100=L100,_xlfn.IFNA(VLOOKUP(I100,科目余额表!B:M,12,0),0),-_xlfn.IFNA(VLOOKUP(I100,科目余额表!B:M,12,0),0))</f>
        <v>0</v>
      </c>
      <c r="F100" s="1">
        <f>ROUND(SUMIF(上期ETY!D:D,B100,上期ETY!F:F),2)</f>
        <v>0</v>
      </c>
      <c r="G100" s="1">
        <f>ROUND(SUMIF(上期ETY!D:D,B100,上期ETY!G:G),2)</f>
        <v>0</v>
      </c>
      <c r="H100" s="115">
        <f>ROUND(E100-F100+G100,2)</f>
        <v>0</v>
      </c>
      <c r="I100" s="18" t="s">
        <v>1030</v>
      </c>
      <c r="K100" s="18" t="s">
        <v>865</v>
      </c>
      <c r="L100" s="18" t="str">
        <f>_xlfn.IFNA(VLOOKUP(I100,科目余额表!B:M,11,0),K100)</f>
        <v>贷</v>
      </c>
    </row>
    <row r="101" spans="1:12">
      <c r="A101" s="112" t="s">
        <v>1031</v>
      </c>
      <c r="B101" s="113"/>
      <c r="C101" s="111"/>
      <c r="D101" s="111"/>
      <c r="E101" s="111">
        <f>E99-E100</f>
        <v>0</v>
      </c>
      <c r="F101" s="111">
        <f t="shared" ref="F101:H101" si="18">F99-F100</f>
        <v>0</v>
      </c>
      <c r="G101" s="111">
        <f t="shared" si="18"/>
        <v>0</v>
      </c>
      <c r="H101" s="111">
        <f t="shared" si="18"/>
        <v>0</v>
      </c>
      <c r="L101" s="18">
        <f>_xlfn.IFNA(VLOOKUP(I101,科目余额表!B:M,11,0),K101)</f>
        <v>0</v>
      </c>
    </row>
    <row r="102" spans="1:12">
      <c r="A102" s="112" t="s">
        <v>1032</v>
      </c>
      <c r="B102" s="113" t="s">
        <v>783</v>
      </c>
      <c r="C102" s="111"/>
      <c r="D102" s="111"/>
      <c r="E102" s="114">
        <f>IF(K102=L102,_xlfn.IFNA(VLOOKUP(I102,科目余额表!B:M,12,0),0),-_xlfn.IFNA(VLOOKUP(I102,科目余额表!B:M,12,0),0))</f>
        <v>26751496.309999999</v>
      </c>
      <c r="F102" s="1">
        <f>ROUND(SUMIF(上期ETY!D:D,B102,上期ETY!F:F),2)</f>
        <v>0</v>
      </c>
      <c r="G102" s="1">
        <f>ROUND(SUMIF(上期ETY!D:D,B102,上期ETY!G:G),2)</f>
        <v>0</v>
      </c>
      <c r="H102" s="115">
        <f t="shared" ref="H102:H104" si="19">ROUND(E102+F102-G102,2)</f>
        <v>26751496.309999999</v>
      </c>
      <c r="I102" s="18" t="s">
        <v>783</v>
      </c>
      <c r="K102" s="18" t="s">
        <v>843</v>
      </c>
      <c r="L102" s="18" t="str">
        <f>_xlfn.IFNA(VLOOKUP(I102,科目余额表!B:M,11,0),K102)</f>
        <v>借</v>
      </c>
    </row>
    <row r="103" spans="1:12">
      <c r="A103" s="112" t="s">
        <v>1033</v>
      </c>
      <c r="B103" s="113" t="s">
        <v>784</v>
      </c>
      <c r="C103" s="111"/>
      <c r="D103" s="111"/>
      <c r="E103" s="114">
        <f>IF(K103=L103,_xlfn.IFNA(VLOOKUP(I103,科目余额表!B:M,12,0),0),-_xlfn.IFNA(VLOOKUP(I103,科目余额表!B:M,12,0),0))</f>
        <v>0</v>
      </c>
      <c r="F103" s="1">
        <f>ROUND(SUMIF(上期ETY!D:D,B103,上期ETY!F:F),2)</f>
        <v>0</v>
      </c>
      <c r="G103" s="1">
        <f>ROUND(SUMIF(上期ETY!D:D,B103,上期ETY!G:G),2)</f>
        <v>0</v>
      </c>
      <c r="H103" s="115">
        <f t="shared" si="19"/>
        <v>0</v>
      </c>
      <c r="I103" s="18" t="s">
        <v>784</v>
      </c>
      <c r="K103" s="18" t="s">
        <v>843</v>
      </c>
      <c r="L103" s="18" t="str">
        <f>_xlfn.IFNA(VLOOKUP(I103,科目余额表!B:M,11,0),K103)</f>
        <v>借</v>
      </c>
    </row>
    <row r="104" spans="1:12">
      <c r="A104" s="112" t="s">
        <v>1034</v>
      </c>
      <c r="B104" s="113" t="s">
        <v>80</v>
      </c>
      <c r="C104" s="111"/>
      <c r="D104" s="111"/>
      <c r="E104" s="114">
        <f>IF(K104=L104,_xlfn.IFNA(VLOOKUP(I104,科目余额表!B:M,12,0),0),-_xlfn.IFNA(VLOOKUP(I104,科目余额表!B:M,12,0),0))</f>
        <v>5764452392.1000004</v>
      </c>
      <c r="F104" s="1">
        <f>ROUND(SUMIF(上期ETY!D:D,B104,上期ETY!F:F),2)</f>
        <v>0</v>
      </c>
      <c r="G104" s="1">
        <f>ROUND(SUMIF(上期ETY!D:D,B104,上期ETY!G:G),2)</f>
        <v>0</v>
      </c>
      <c r="H104" s="115">
        <f t="shared" si="19"/>
        <v>5764452392.1000004</v>
      </c>
      <c r="I104" s="18" t="s">
        <v>1035</v>
      </c>
      <c r="K104" s="18" t="s">
        <v>843</v>
      </c>
      <c r="L104" s="18" t="str">
        <f>_xlfn.IFNA(VLOOKUP(I104,科目余额表!B:M,11,0),K104)</f>
        <v>借</v>
      </c>
    </row>
    <row r="105" spans="1:12">
      <c r="A105" s="120" t="s">
        <v>1036</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1037</v>
      </c>
      <c r="B106" s="113"/>
      <c r="C106" s="111"/>
      <c r="D106" s="111"/>
      <c r="E106" s="121">
        <f>E105+E57</f>
        <v>16795860784.460001</v>
      </c>
      <c r="F106" s="111">
        <f>F105+F57</f>
        <v>0</v>
      </c>
      <c r="G106" s="111">
        <f>G105+G57</f>
        <v>0</v>
      </c>
      <c r="H106" s="121">
        <f>H105+H57</f>
        <v>16795860784.460001</v>
      </c>
      <c r="L106" s="18">
        <f>_xlfn.IFNA(VLOOKUP(I106,科目余额表!B:M,11,0),K106)</f>
        <v>0</v>
      </c>
    </row>
    <row r="107" spans="1:12">
      <c r="A107" s="122" t="s">
        <v>1038</v>
      </c>
      <c r="B107" s="113"/>
      <c r="C107" s="111"/>
      <c r="D107" s="111"/>
      <c r="E107" s="111"/>
      <c r="L107" s="18">
        <f>_xlfn.IFNA(VLOOKUP(I107,科目余额表!B:M,11,0),K107)</f>
        <v>0</v>
      </c>
    </row>
    <row r="108" spans="1:12">
      <c r="A108" s="123" t="s">
        <v>1039</v>
      </c>
      <c r="B108" s="113" t="s">
        <v>768</v>
      </c>
      <c r="C108" s="111"/>
      <c r="D108" s="111"/>
      <c r="E108" s="114">
        <f>IF(K108=L108,_xlfn.IFNA(VLOOKUP(I108,科目余额表!B:M,12,0),0),-_xlfn.IFNA(VLOOKUP(I108,科目余额表!B:M,12,0),0))</f>
        <v>674000000</v>
      </c>
      <c r="F108" s="1">
        <f>ROUND(SUMIF(上期ETY!D:D,B108,上期ETY!F:F),2)</f>
        <v>0</v>
      </c>
      <c r="G108" s="1">
        <f>ROUND(SUMIF(上期ETY!D:D,B108,上期ETY!G:G),2)</f>
        <v>0</v>
      </c>
      <c r="H108" s="115">
        <f>ROUND(E108-F108+G108,2)</f>
        <v>674000000</v>
      </c>
      <c r="I108" s="18" t="s">
        <v>768</v>
      </c>
      <c r="K108" s="18" t="s">
        <v>865</v>
      </c>
      <c r="L108" s="18" t="str">
        <f>_xlfn.IFNA(VLOOKUP(I108,科目余额表!B:M,11,0),K108)</f>
        <v>贷</v>
      </c>
    </row>
    <row r="109" spans="1:12">
      <c r="A109" s="123" t="s">
        <v>1040</v>
      </c>
      <c r="B109" s="113" t="s">
        <v>1041</v>
      </c>
      <c r="C109" s="111"/>
      <c r="D109" s="111"/>
      <c r="E109" s="114">
        <f>IF(K109=L109,_xlfn.IFNA(VLOOKUP(I109,科目余额表!B:M,12,0),0),-_xlfn.IFNA(VLOOKUP(I109,科目余额表!B:M,12,0),0))</f>
        <v>0</v>
      </c>
      <c r="F109" s="1">
        <f>ROUND(SUMIF(上期ETY!D:D,B109,上期ETY!F:F),2)</f>
        <v>0</v>
      </c>
      <c r="G109" s="1">
        <f>ROUND(SUMIF(上期ETY!D:D,B109,上期ETY!G:G),2)</f>
        <v>0</v>
      </c>
      <c r="H109" s="115">
        <f t="shared" ref="H109:H132" si="20">ROUND(E109-F109+G109,2)</f>
        <v>0</v>
      </c>
      <c r="I109" s="18" t="s">
        <v>1041</v>
      </c>
      <c r="K109" s="18" t="s">
        <v>865</v>
      </c>
      <c r="L109" s="18" t="str">
        <f>_xlfn.IFNA(VLOOKUP(I109,科目余额表!B:M,11,0),K109)</f>
        <v>贷</v>
      </c>
    </row>
    <row r="110" spans="1:12">
      <c r="A110" s="123" t="s">
        <v>1042</v>
      </c>
      <c r="B110" s="113" t="s">
        <v>1043</v>
      </c>
      <c r="C110" s="111"/>
      <c r="D110" s="111"/>
      <c r="E110" s="114">
        <f>IF(K110=L110,_xlfn.IFNA(VLOOKUP(I110,科目余额表!B:M,12,0),0),-_xlfn.IFNA(VLOOKUP(I110,科目余额表!B:M,12,0),0))</f>
        <v>0</v>
      </c>
      <c r="F110" s="1">
        <f>ROUND(SUMIF(上期ETY!D:D,B110,上期ETY!F:F),2)</f>
        <v>0</v>
      </c>
      <c r="G110" s="1">
        <f>ROUND(SUMIF(上期ETY!D:D,B110,上期ETY!G:G),2)</f>
        <v>0</v>
      </c>
      <c r="H110" s="115">
        <f t="shared" si="20"/>
        <v>0</v>
      </c>
      <c r="I110" s="18" t="s">
        <v>1043</v>
      </c>
      <c r="K110" s="18" t="s">
        <v>865</v>
      </c>
      <c r="L110" s="18" t="str">
        <f>_xlfn.IFNA(VLOOKUP(I110,科目余额表!B:M,11,0),K110)</f>
        <v>贷</v>
      </c>
    </row>
    <row r="111" spans="1:12">
      <c r="A111" s="124" t="s">
        <v>1044</v>
      </c>
      <c r="B111" s="113" t="s">
        <v>528</v>
      </c>
      <c r="C111" s="111"/>
      <c r="D111" s="117" t="s">
        <v>856</v>
      </c>
      <c r="E111" s="114">
        <f>IF(K111=L111,_xlfn.IFNA(VLOOKUP(I111,科目余额表!B:M,12,0),0),-_xlfn.IFNA(VLOOKUP(I111,科目余额表!B:M,12,0),0))</f>
        <v>0</v>
      </c>
      <c r="F111" s="1">
        <f>ROUND(SUMIF(上期ETY!D:D,B111,上期ETY!F:F),2)</f>
        <v>0</v>
      </c>
      <c r="G111" s="1">
        <f>ROUND(SUMIF(上期ETY!D:D,B111,上期ETY!G:G),2)</f>
        <v>0</v>
      </c>
      <c r="H111" s="115">
        <f t="shared" si="20"/>
        <v>0</v>
      </c>
      <c r="I111" s="18" t="s">
        <v>528</v>
      </c>
      <c r="K111" s="18" t="s">
        <v>865</v>
      </c>
      <c r="L111" s="18" t="str">
        <f>_xlfn.IFNA(VLOOKUP(I111,科目余额表!B:M,11,0),K111)</f>
        <v>贷</v>
      </c>
    </row>
    <row r="112" spans="1:12">
      <c r="A112" s="124" t="s">
        <v>1045</v>
      </c>
      <c r="B112" s="113" t="s">
        <v>1046</v>
      </c>
      <c r="C112" s="117" t="s">
        <v>858</v>
      </c>
      <c r="D112" s="117"/>
      <c r="E112" s="114">
        <f>IF(K112=L112,_xlfn.IFNA(VLOOKUP(I112,科目余额表!B:M,12,0),0),-_xlfn.IFNA(VLOOKUP(I112,科目余额表!B:M,12,0),0))</f>
        <v>0</v>
      </c>
      <c r="F112" s="1">
        <f>ROUND(SUMIF(上期ETY!D:D,B112,上期ETY!F:F),2)</f>
        <v>0</v>
      </c>
      <c r="G112" s="1">
        <f>ROUND(SUMIF(上期ETY!D:D,B112,上期ETY!G:G),2)</f>
        <v>0</v>
      </c>
      <c r="H112" s="115">
        <f t="shared" si="20"/>
        <v>0</v>
      </c>
      <c r="I112" s="18" t="s">
        <v>1046</v>
      </c>
      <c r="K112" s="18" t="s">
        <v>865</v>
      </c>
      <c r="L112" s="18" t="str">
        <f>_xlfn.IFNA(VLOOKUP(I112,科目余额表!B:M,11,0),K112)</f>
        <v>贷</v>
      </c>
    </row>
    <row r="113" spans="1:12">
      <c r="A113" s="123" t="s">
        <v>1047</v>
      </c>
      <c r="B113" s="113" t="s">
        <v>1048</v>
      </c>
      <c r="C113" s="111"/>
      <c r="D113" s="111"/>
      <c r="E113" s="114">
        <f>IF(K113=L113,_xlfn.IFNA(VLOOKUP(I113,科目余额表!B:M,12,0),0),-_xlfn.IFNA(VLOOKUP(I113,科目余额表!B:M,12,0),0))</f>
        <v>0</v>
      </c>
      <c r="F113" s="1">
        <f>ROUND(SUMIF(上期ETY!D:D,B113,上期ETY!F:F),2)</f>
        <v>0</v>
      </c>
      <c r="G113" s="1">
        <f>ROUND(SUMIF(上期ETY!D:D,B113,上期ETY!G:G),2)</f>
        <v>0</v>
      </c>
      <c r="H113" s="115">
        <f t="shared" si="20"/>
        <v>0</v>
      </c>
      <c r="I113" s="18" t="s">
        <v>1048</v>
      </c>
      <c r="K113" s="18" t="s">
        <v>865</v>
      </c>
      <c r="L113" s="18" t="str">
        <f>_xlfn.IFNA(VLOOKUP(I113,科目余额表!B:M,11,0),K113)</f>
        <v>贷</v>
      </c>
    </row>
    <row r="114" spans="1:12">
      <c r="A114" s="123" t="s">
        <v>1049</v>
      </c>
      <c r="B114" s="113" t="s">
        <v>785</v>
      </c>
      <c r="C114" s="111"/>
      <c r="D114" s="111"/>
      <c r="E114" s="114">
        <f>IF(K114=L114,_xlfn.IFNA(VLOOKUP(I114,科目余额表!B:M,12,0),0),-_xlfn.IFNA(VLOOKUP(I114,科目余额表!B:M,12,0),0))</f>
        <v>0</v>
      </c>
      <c r="F114" s="1">
        <f>ROUND(SUMIF(上期ETY!D:D,B114,上期ETY!F:F),2)</f>
        <v>0</v>
      </c>
      <c r="G114" s="1">
        <f>ROUND(SUMIF(上期ETY!D:D,B114,上期ETY!G:G),2)</f>
        <v>0</v>
      </c>
      <c r="H114" s="115">
        <f t="shared" si="20"/>
        <v>0</v>
      </c>
      <c r="I114" s="18" t="s">
        <v>785</v>
      </c>
      <c r="K114" s="18" t="s">
        <v>865</v>
      </c>
      <c r="L114" s="18" t="str">
        <f>_xlfn.IFNA(VLOOKUP(I114,科目余额表!B:M,11,0),K114)</f>
        <v>平</v>
      </c>
    </row>
    <row r="115" spans="1:12">
      <c r="A115" s="124" t="s">
        <v>1050</v>
      </c>
      <c r="B115" s="113" t="s">
        <v>1051</v>
      </c>
      <c r="C115" s="111"/>
      <c r="D115" s="111"/>
      <c r="E115" s="114">
        <f>IF(K115=L115,_xlfn.IFNA(VLOOKUP(I115,科目余额表!B:M,12,0),0),-_xlfn.IFNA(VLOOKUP(I115,科目余额表!B:M,12,0),0))</f>
        <v>148589378.94</v>
      </c>
      <c r="F115" s="1">
        <f>ROUND(SUMIF(上期ETY!D:D,B115,上期ETY!F:F),2)</f>
        <v>0</v>
      </c>
      <c r="G115" s="1">
        <f>ROUND(SUMIF(上期ETY!D:D,B115,上期ETY!G:G),2)</f>
        <v>0</v>
      </c>
      <c r="H115" s="115">
        <f t="shared" si="20"/>
        <v>148589378.94</v>
      </c>
      <c r="I115" s="18" t="s">
        <v>93</v>
      </c>
      <c r="K115" s="18" t="s">
        <v>865</v>
      </c>
      <c r="L115" s="18" t="str">
        <f>_xlfn.IFNA(VLOOKUP(I115,科目余额表!B:M,11,0),K115)</f>
        <v>贷</v>
      </c>
    </row>
    <row r="116" spans="1:12">
      <c r="A116" s="124" t="s">
        <v>1052</v>
      </c>
      <c r="B116" s="113" t="s">
        <v>1053</v>
      </c>
      <c r="C116" s="111"/>
      <c r="D116" s="111"/>
      <c r="E116" s="114">
        <f>IF(K116=L116,_xlfn.IFNA(VLOOKUP(I116,科目余额表!B:M,12,0),0),-_xlfn.IFNA(VLOOKUP(I116,科目余额表!B:M,12,0),0))</f>
        <v>568697862.54999995</v>
      </c>
      <c r="F116" s="1">
        <f>ROUND(SUMIF(上期ETY!D:D,B116,上期ETY!F:F),2)</f>
        <v>0</v>
      </c>
      <c r="G116" s="1">
        <f>ROUND(SUMIF(上期ETY!D:D,B116,上期ETY!G:G),2)</f>
        <v>0</v>
      </c>
      <c r="H116" s="115">
        <f t="shared" si="20"/>
        <v>568697862.54999995</v>
      </c>
      <c r="I116" s="18" t="s">
        <v>800</v>
      </c>
      <c r="K116" s="18" t="s">
        <v>865</v>
      </c>
      <c r="L116" s="18" t="str">
        <f>_xlfn.IFNA(VLOOKUP(I116,科目余额表!B:M,11,0),K116)</f>
        <v>贷</v>
      </c>
    </row>
    <row r="117" spans="1:12">
      <c r="A117" s="123" t="s">
        <v>1054</v>
      </c>
      <c r="B117" s="113" t="s">
        <v>1055</v>
      </c>
      <c r="C117" s="111"/>
      <c r="D117" s="111"/>
      <c r="E117" s="114">
        <f>IF(K117=L117,_xlfn.IFNA(VLOOKUP(I117,科目余额表!B:M,12,0),0),-_xlfn.IFNA(VLOOKUP(I117,科目余额表!B:M,12,0),0))</f>
        <v>22100269.77</v>
      </c>
      <c r="F117" s="1">
        <f>ROUND(SUMIF(上期ETY!D:D,B117,上期ETY!F:F),2)</f>
        <v>0</v>
      </c>
      <c r="G117" s="1">
        <f>ROUND(SUMIF(上期ETY!D:D,B117,上期ETY!G:G),2)</f>
        <v>0</v>
      </c>
      <c r="H117" s="115">
        <f t="shared" si="20"/>
        <v>22100269.77</v>
      </c>
      <c r="I117" s="18" t="s">
        <v>1056</v>
      </c>
      <c r="K117" s="18" t="s">
        <v>865</v>
      </c>
      <c r="L117" s="18" t="str">
        <f>_xlfn.IFNA(VLOOKUP(I117,科目余额表!B:M,11,0),K117)</f>
        <v>贷</v>
      </c>
    </row>
    <row r="118" spans="1:12">
      <c r="A118" s="123" t="s">
        <v>1057</v>
      </c>
      <c r="B118" s="113" t="s">
        <v>1058</v>
      </c>
      <c r="C118" s="111"/>
      <c r="D118" s="111"/>
      <c r="E118" s="114">
        <f>IF(K118=L118,_xlfn.IFNA(VLOOKUP(I118,科目余额表!B:M,12,0),0),-_xlfn.IFNA(VLOOKUP(I118,科目余额表!B:M,12,0),0))</f>
        <v>0</v>
      </c>
      <c r="F118" s="1">
        <f>ROUND(SUMIF(上期ETY!D:D,B118,上期ETY!F:F),2)</f>
        <v>0</v>
      </c>
      <c r="G118" s="1">
        <f>ROUND(SUMIF(上期ETY!D:D,B118,上期ETY!G:G),2)</f>
        <v>0</v>
      </c>
      <c r="H118" s="115">
        <f t="shared" si="20"/>
        <v>0</v>
      </c>
      <c r="I118" s="18" t="s">
        <v>1058</v>
      </c>
      <c r="K118" s="18" t="s">
        <v>865</v>
      </c>
      <c r="L118" s="18" t="str">
        <f>_xlfn.IFNA(VLOOKUP(I118,科目余额表!B:M,11,0),K118)</f>
        <v>贷</v>
      </c>
    </row>
    <row r="119" spans="1:12">
      <c r="A119" s="124" t="s">
        <v>1059</v>
      </c>
      <c r="B119" s="113" t="s">
        <v>1060</v>
      </c>
      <c r="C119" s="111"/>
      <c r="D119" s="111"/>
      <c r="E119" s="114">
        <f>IF(K119=L119,_xlfn.IFNA(VLOOKUP(I119,科目余额表!B:M,12,0),0),-_xlfn.IFNA(VLOOKUP(I119,科目余额表!B:M,12,0),0))</f>
        <v>0</v>
      </c>
      <c r="F119" s="1">
        <f>ROUND(SUMIF(上期ETY!D:D,B119,上期ETY!F:F),2)</f>
        <v>0</v>
      </c>
      <c r="G119" s="1">
        <f>ROUND(SUMIF(上期ETY!D:D,B119,上期ETY!G:G),2)</f>
        <v>0</v>
      </c>
      <c r="H119" s="115">
        <f t="shared" si="20"/>
        <v>0</v>
      </c>
      <c r="I119" s="18" t="s">
        <v>1060</v>
      </c>
      <c r="K119" s="18" t="s">
        <v>865</v>
      </c>
      <c r="L119" s="18" t="str">
        <f>_xlfn.IFNA(VLOOKUP(I119,科目余额表!B:M,11,0),K119)</f>
        <v>贷</v>
      </c>
    </row>
    <row r="120" spans="1:12">
      <c r="A120" s="123" t="s">
        <v>1061</v>
      </c>
      <c r="B120" s="113" t="s">
        <v>1062</v>
      </c>
      <c r="C120" s="111"/>
      <c r="D120" s="111"/>
      <c r="E120" s="114">
        <f>IF(K120=L120,_xlfn.IFNA(VLOOKUP(I120,科目余额表!B:M,12,0),0),-_xlfn.IFNA(VLOOKUP(I120,科目余额表!B:M,12,0),0))</f>
        <v>0</v>
      </c>
      <c r="F120" s="1">
        <f>ROUND(SUMIF(上期ETY!D:D,B120,上期ETY!F:F),2)</f>
        <v>0</v>
      </c>
      <c r="G120" s="1">
        <f>ROUND(SUMIF(上期ETY!D:D,B120,上期ETY!G:G),2)</f>
        <v>0</v>
      </c>
      <c r="H120" s="115">
        <f t="shared" si="20"/>
        <v>0</v>
      </c>
      <c r="I120" s="18" t="s">
        <v>1062</v>
      </c>
      <c r="K120" s="18" t="s">
        <v>865</v>
      </c>
      <c r="L120" s="18" t="str">
        <f>_xlfn.IFNA(VLOOKUP(I120,科目余额表!B:M,11,0),K120)</f>
        <v>贷</v>
      </c>
    </row>
    <row r="121" spans="1:12">
      <c r="A121" s="123" t="s">
        <v>1063</v>
      </c>
      <c r="B121" s="113" t="s">
        <v>1064</v>
      </c>
      <c r="C121" s="111"/>
      <c r="D121" s="111"/>
      <c r="E121" s="114">
        <f>IF(K121=L121,_xlfn.IFNA(VLOOKUP(I121,科目余额表!B:M,12,0),0),-_xlfn.IFNA(VLOOKUP(I121,科目余额表!B:M,12,0),0))</f>
        <v>0</v>
      </c>
      <c r="F121" s="1">
        <f>ROUND(SUMIF(上期ETY!D:D,B121,上期ETY!F:F),2)</f>
        <v>0</v>
      </c>
      <c r="G121" s="1">
        <f>ROUND(SUMIF(上期ETY!D:D,B121,上期ETY!G:G),2)</f>
        <v>0</v>
      </c>
      <c r="H121" s="115">
        <f t="shared" si="20"/>
        <v>0</v>
      </c>
      <c r="I121" s="18" t="s">
        <v>1064</v>
      </c>
      <c r="K121" s="18" t="s">
        <v>865</v>
      </c>
      <c r="L121" s="18" t="str">
        <f>_xlfn.IFNA(VLOOKUP(I121,科目余额表!B:M,11,0),K121)</f>
        <v>贷</v>
      </c>
    </row>
    <row r="122" spans="1:12">
      <c r="A122" s="123" t="s">
        <v>1065</v>
      </c>
      <c r="B122" s="113" t="s">
        <v>786</v>
      </c>
      <c r="C122" s="111"/>
      <c r="D122" s="111"/>
      <c r="E122" s="114">
        <f>IF(K122=L122,_xlfn.IFNA(VLOOKUP(I122,科目余额表!B:M,12,0),0),-_xlfn.IFNA(VLOOKUP(I122,科目余额表!B:M,12,0),0))</f>
        <v>13636984.890000001</v>
      </c>
      <c r="F122" s="1">
        <f>ROUND(SUMIF(上期ETY!D:D,B122,上期ETY!F:F),2)</f>
        <v>0</v>
      </c>
      <c r="G122" s="1">
        <f>ROUND(SUMIF(上期ETY!D:D,B122,上期ETY!G:G),2)</f>
        <v>0</v>
      </c>
      <c r="H122" s="115">
        <f t="shared" si="20"/>
        <v>13636984.890000001</v>
      </c>
      <c r="I122" s="18" t="s">
        <v>786</v>
      </c>
      <c r="K122" s="18" t="s">
        <v>865</v>
      </c>
      <c r="L122" s="18" t="str">
        <f>_xlfn.IFNA(VLOOKUP(I122,科目余额表!B:M,11,0),K122)</f>
        <v>贷</v>
      </c>
    </row>
    <row r="123" spans="1:12">
      <c r="A123" s="123" t="s">
        <v>1066</v>
      </c>
      <c r="B123" s="113" t="s">
        <v>787</v>
      </c>
      <c r="C123" s="111"/>
      <c r="D123" s="111"/>
      <c r="E123" s="114">
        <f>IF(K123=L123,_xlfn.IFNA(VLOOKUP(I123,科目余额表!B:M,12,0),0),-_xlfn.IFNA(VLOOKUP(I123,科目余额表!B:M,12,0),0))</f>
        <v>-13638389.939999999</v>
      </c>
      <c r="F123" s="1">
        <f>ROUND(SUMIF(上期ETY!D:D,B123,上期ETY!F:F),2)</f>
        <v>0</v>
      </c>
      <c r="G123" s="1">
        <f>ROUND(SUMIF(上期ETY!D:D,B123,上期ETY!G:G),2)</f>
        <v>0</v>
      </c>
      <c r="H123" s="115">
        <f t="shared" si="20"/>
        <v>-13638389.939999999</v>
      </c>
      <c r="I123" s="18" t="s">
        <v>787</v>
      </c>
      <c r="K123" s="18" t="s">
        <v>865</v>
      </c>
      <c r="L123" s="18" t="str">
        <f>_xlfn.IFNA(VLOOKUP(I123,科目余额表!B:M,11,0),K123)</f>
        <v>借</v>
      </c>
    </row>
    <row r="124" spans="1:12">
      <c r="A124" s="123" t="s">
        <v>1067</v>
      </c>
      <c r="B124" s="113" t="s">
        <v>1068</v>
      </c>
      <c r="C124" s="111"/>
      <c r="D124" s="111"/>
      <c r="E124" s="114">
        <f>IF(K124=L124,_xlfn.IFNA(VLOOKUP(I124,科目余额表!B:M,12,0),0),-_xlfn.IFNA(VLOOKUP(I124,科目余额表!B:M,12,0),0))</f>
        <v>98861752.329999998</v>
      </c>
      <c r="F124" s="1">
        <f>ROUND(SUMIF(上期ETY!D:D,B124,上期ETY!F:F),2)</f>
        <v>0</v>
      </c>
      <c r="G124" s="1">
        <f>ROUND(SUMIF(上期ETY!D:D,B124,上期ETY!G:G),2)</f>
        <v>0</v>
      </c>
      <c r="H124" s="115">
        <f t="shared" si="20"/>
        <v>98861752.329999998</v>
      </c>
      <c r="I124" s="18" t="s">
        <v>558</v>
      </c>
      <c r="K124" s="18" t="s">
        <v>865</v>
      </c>
      <c r="L124" s="18" t="str">
        <f>_xlfn.IFNA(VLOOKUP(I124,科目余额表!B:M,11,0),K124)</f>
        <v>贷</v>
      </c>
    </row>
    <row r="125" spans="1:12">
      <c r="A125" s="123" t="s">
        <v>1069</v>
      </c>
      <c r="B125" s="113" t="s">
        <v>1070</v>
      </c>
      <c r="C125" s="111"/>
      <c r="D125" s="111"/>
      <c r="E125" s="114">
        <f>IF(K125=L125,_xlfn.IFNA(VLOOKUP(I125,科目余额表!B:M,12,0),0),-_xlfn.IFNA(VLOOKUP(I125,科目余额表!B:M,12,0),0))</f>
        <v>0</v>
      </c>
      <c r="F125" s="1">
        <f>ROUND(SUMIF(上期ETY!D:D,B125,上期ETY!F:F),2)</f>
        <v>0</v>
      </c>
      <c r="G125" s="1">
        <f>ROUND(SUMIF(上期ETY!D:D,B125,上期ETY!G:G),2)</f>
        <v>0</v>
      </c>
      <c r="H125" s="115">
        <f t="shared" si="20"/>
        <v>0</v>
      </c>
      <c r="I125" s="18" t="s">
        <v>559</v>
      </c>
      <c r="K125" s="18" t="s">
        <v>865</v>
      </c>
      <c r="L125" s="18" t="str">
        <f>_xlfn.IFNA(VLOOKUP(I125,科目余额表!B:M,11,0),K125)</f>
        <v>贷</v>
      </c>
    </row>
    <row r="126" spans="1:12">
      <c r="A126" s="123" t="s">
        <v>1071</v>
      </c>
      <c r="B126" s="113" t="s">
        <v>560</v>
      </c>
      <c r="C126" s="111"/>
      <c r="D126" s="111"/>
      <c r="E126" s="114">
        <f>IF(K126=L126,_xlfn.IFNA(VLOOKUP(I126,科目余额表!B:M,12,0),0),-_xlfn.IFNA(VLOOKUP(I126,科目余额表!B:M,12,0),0))</f>
        <v>777699873.33000004</v>
      </c>
      <c r="F126" s="1">
        <f>ROUND(SUMIF(上期ETY!D:D,B126,上期ETY!F:F),2)</f>
        <v>0</v>
      </c>
      <c r="G126" s="1">
        <f>ROUND(SUMIF(上期ETY!D:D,B126,上期ETY!G:G),2)</f>
        <v>0</v>
      </c>
      <c r="H126" s="115">
        <f>ROUND(E126-F126+G126,2)</f>
        <v>777699873.33000004</v>
      </c>
      <c r="I126" s="18" t="s">
        <v>560</v>
      </c>
      <c r="K126" s="18" t="s">
        <v>865</v>
      </c>
      <c r="L126" s="18" t="str">
        <f>_xlfn.IFNA(VLOOKUP(I126,科目余额表!B:M,11,0),K126)</f>
        <v>贷</v>
      </c>
    </row>
    <row r="127" spans="1:12">
      <c r="A127" s="123" t="s">
        <v>1072</v>
      </c>
      <c r="B127" s="113" t="s">
        <v>1073</v>
      </c>
      <c r="C127" s="111"/>
      <c r="D127" s="111"/>
      <c r="E127" s="114">
        <f>IF(K127=L127,_xlfn.IFNA(VLOOKUP(I127,科目余额表!B:M,12,0),0),-_xlfn.IFNA(VLOOKUP(I127,科目余额表!B:M,12,0),0))</f>
        <v>0</v>
      </c>
      <c r="F127" s="1">
        <f>ROUND(SUMIF(上期ETY!D:D,B127,上期ETY!F:F),2)</f>
        <v>0</v>
      </c>
      <c r="G127" s="1">
        <f>ROUND(SUMIF(上期ETY!D:D,B127,上期ETY!G:G),2)</f>
        <v>0</v>
      </c>
      <c r="H127" s="115">
        <f t="shared" si="20"/>
        <v>0</v>
      </c>
      <c r="I127" s="18" t="s">
        <v>1073</v>
      </c>
      <c r="K127" s="18" t="s">
        <v>865</v>
      </c>
      <c r="L127" s="18" t="str">
        <f>_xlfn.IFNA(VLOOKUP(I127,科目余额表!B:M,11,0),K127)</f>
        <v>贷</v>
      </c>
    </row>
    <row r="128" spans="1:12">
      <c r="A128" s="123" t="s">
        <v>1074</v>
      </c>
      <c r="B128" s="113" t="s">
        <v>1075</v>
      </c>
      <c r="C128" s="111"/>
      <c r="D128" s="111"/>
      <c r="E128" s="114">
        <f>IF(K128=L128,_xlfn.IFNA(VLOOKUP(I128,科目余额表!B:M,12,0),0),-_xlfn.IFNA(VLOOKUP(I128,科目余额表!B:M,12,0),0))</f>
        <v>0</v>
      </c>
      <c r="F128" s="1">
        <f>ROUND(SUMIF(上期ETY!D:D,B128,上期ETY!F:F),2)</f>
        <v>0</v>
      </c>
      <c r="G128" s="1">
        <f>ROUND(SUMIF(上期ETY!D:D,B128,上期ETY!G:G),2)</f>
        <v>0</v>
      </c>
      <c r="H128" s="115">
        <f t="shared" si="20"/>
        <v>0</v>
      </c>
      <c r="I128" s="18" t="s">
        <v>1075</v>
      </c>
      <c r="K128" s="18" t="s">
        <v>865</v>
      </c>
      <c r="L128" s="18" t="str">
        <f>_xlfn.IFNA(VLOOKUP(I128,科目余额表!B:M,11,0),K128)</f>
        <v>贷</v>
      </c>
    </row>
    <row r="129" spans="1:12">
      <c r="A129" s="123" t="s">
        <v>1076</v>
      </c>
      <c r="B129" s="113" t="s">
        <v>82</v>
      </c>
      <c r="C129" s="111"/>
      <c r="D129" s="117" t="s">
        <v>856</v>
      </c>
      <c r="E129" s="114">
        <f>IF(K129=L129,_xlfn.IFNA(VLOOKUP(I129,科目余额表!B:M,12,0),0),-_xlfn.IFNA(VLOOKUP(I129,科目余额表!B:M,12,0),0))</f>
        <v>0</v>
      </c>
      <c r="F129" s="1">
        <f>ROUND(SUMIF(上期ETY!D:D,B129,上期ETY!F:F),2)</f>
        <v>0</v>
      </c>
      <c r="G129" s="1">
        <f>ROUND(SUMIF(上期ETY!D:D,B129,上期ETY!G:G),2)</f>
        <v>0</v>
      </c>
      <c r="H129" s="115">
        <f t="shared" si="20"/>
        <v>0</v>
      </c>
      <c r="I129" s="18" t="s">
        <v>82</v>
      </c>
      <c r="K129" s="18" t="s">
        <v>865</v>
      </c>
      <c r="L129" s="18" t="str">
        <f>_xlfn.IFNA(VLOOKUP(I129,科目余额表!B:M,11,0),K129)</f>
        <v>贷</v>
      </c>
    </row>
    <row r="130" spans="1:12">
      <c r="A130" s="123" t="s">
        <v>1077</v>
      </c>
      <c r="B130" s="113" t="s">
        <v>1078</v>
      </c>
      <c r="C130" s="111"/>
      <c r="D130" s="111"/>
      <c r="E130" s="114">
        <f>IF(K130=L130,_xlfn.IFNA(VLOOKUP(I130,科目余额表!B:M,12,0),0),-_xlfn.IFNA(VLOOKUP(I130,科目余额表!B:M,12,0),0))</f>
        <v>0</v>
      </c>
      <c r="F130" s="1">
        <f>ROUND(SUMIF(上期ETY!D:D,B130,上期ETY!F:F),2)</f>
        <v>0</v>
      </c>
      <c r="G130" s="1">
        <f>ROUND(SUMIF(上期ETY!D:D,B130,上期ETY!G:G),2)</f>
        <v>0</v>
      </c>
      <c r="H130" s="115">
        <f t="shared" si="20"/>
        <v>0</v>
      </c>
      <c r="I130" s="18" t="s">
        <v>1078</v>
      </c>
      <c r="K130" s="18" t="s">
        <v>865</v>
      </c>
      <c r="L130" s="18" t="str">
        <f>_xlfn.IFNA(VLOOKUP(I130,科目余额表!B:M,11,0),K130)</f>
        <v>贷</v>
      </c>
    </row>
    <row r="131" spans="1:12">
      <c r="A131" s="123" t="s">
        <v>1079</v>
      </c>
      <c r="B131" s="113" t="s">
        <v>1080</v>
      </c>
      <c r="C131" s="111"/>
      <c r="D131" s="111"/>
      <c r="E131" s="114">
        <f>IF(K131=L131,_xlfn.IFNA(VLOOKUP(I131,科目余额表!B:M,12,0),0),-_xlfn.IFNA(VLOOKUP(I131,科目余额表!B:M,12,0),0))</f>
        <v>0</v>
      </c>
      <c r="F131" s="1">
        <f>ROUND(SUMIF(上期ETY!D:D,B131,上期ETY!F:F),2)</f>
        <v>0</v>
      </c>
      <c r="G131" s="1">
        <f>ROUND(SUMIF(上期ETY!D:D,B131,上期ETY!G:G),2)</f>
        <v>0</v>
      </c>
      <c r="H131" s="115">
        <f t="shared" si="20"/>
        <v>0</v>
      </c>
      <c r="I131" s="18" t="s">
        <v>1080</v>
      </c>
      <c r="K131" s="18" t="s">
        <v>865</v>
      </c>
      <c r="L131" s="18" t="str">
        <f>_xlfn.IFNA(VLOOKUP(I131,科目余额表!B:M,11,0),K131)</f>
        <v>贷</v>
      </c>
    </row>
    <row r="132" spans="1:12">
      <c r="A132" s="123" t="s">
        <v>1081</v>
      </c>
      <c r="B132" s="113" t="s">
        <v>1082</v>
      </c>
      <c r="C132" s="111"/>
      <c r="D132" s="111"/>
      <c r="E132" s="114">
        <f>IF(K132=L132,_xlfn.IFNA(VLOOKUP(I132,科目余额表!B:M,12,0),0),-_xlfn.IFNA(VLOOKUP(I132,科目余额表!B:M,12,0),0))</f>
        <v>0</v>
      </c>
      <c r="F132" s="1">
        <f>ROUND(SUMIF(上期ETY!D:D,B132,上期ETY!F:F),2)</f>
        <v>0</v>
      </c>
      <c r="G132" s="1">
        <f>ROUND(SUMIF(上期ETY!D:D,B132,上期ETY!G:G),2)</f>
        <v>0</v>
      </c>
      <c r="H132" s="115">
        <f t="shared" si="20"/>
        <v>0</v>
      </c>
      <c r="I132" s="18" t="s">
        <v>1082</v>
      </c>
      <c r="K132" s="18" t="s">
        <v>865</v>
      </c>
      <c r="L132" s="18" t="str">
        <f>_xlfn.IFNA(VLOOKUP(I132,科目余额表!B:M,11,0),K132)</f>
        <v>贷</v>
      </c>
    </row>
    <row r="133" spans="1:12">
      <c r="A133" s="122" t="s">
        <v>1083</v>
      </c>
      <c r="B133" s="113"/>
      <c r="C133" s="119"/>
      <c r="D133" s="119"/>
      <c r="E133" s="121">
        <f>E108+E109+E110+E111+E112+E113+E114+E115+E116+E117+E118+E119+E120+E121+E122+E123+E126+E127+E128+E129+E130+E131+E132+E124+E125</f>
        <v>2289947731.8699999</v>
      </c>
      <c r="F133" s="111">
        <f t="shared" ref="F133:G133" si="21">F108+F109+F110+F111+F112+F113+F114+F115+F116+F117+F118+F119+F120+F121+F122+F123+F126+F127+F128+F129+F130+F131+F132+F124+F125</f>
        <v>0</v>
      </c>
      <c r="G133" s="111">
        <f t="shared" si="21"/>
        <v>0</v>
      </c>
      <c r="H133" s="121">
        <f>H108+H109+H110+H111+H112+H113+H114+H115+H116+H117+H118+H119+H120+H121+H122+H123+H126+H127+H128+H129+H130+H131+H132+H124+H125</f>
        <v>2289947731.8699999</v>
      </c>
      <c r="L133" s="18">
        <f>_xlfn.IFNA(VLOOKUP(I133,科目余额表!B:M,11,0),K133)</f>
        <v>0</v>
      </c>
    </row>
    <row r="134" spans="1:12">
      <c r="A134" s="122" t="s">
        <v>1084</v>
      </c>
      <c r="B134" s="113"/>
      <c r="C134" s="111"/>
      <c r="D134" s="111"/>
      <c r="E134" s="111"/>
      <c r="L134" s="18">
        <f>_xlfn.IFNA(VLOOKUP(I134,科目余额表!B:M,11,0),K134)</f>
        <v>0</v>
      </c>
    </row>
    <row r="135" spans="1:12">
      <c r="A135" s="123" t="s">
        <v>1085</v>
      </c>
      <c r="B135" s="113" t="s">
        <v>1086</v>
      </c>
      <c r="C135" s="111"/>
      <c r="D135" s="111"/>
      <c r="E135" s="111"/>
      <c r="F135" s="1">
        <f>ROUND(SUMIF(上期ETY!D:D,B135,上期ETY!F:F),2)</f>
        <v>0</v>
      </c>
      <c r="G135" s="1">
        <f>ROUND(SUMIF(上期ETY!D:D,B135,上期ETY!G:G),2)</f>
        <v>0</v>
      </c>
      <c r="H135" s="115">
        <f t="shared" ref="H135:H149" si="22">ROUND(E135-F135+G135,2)</f>
        <v>0</v>
      </c>
      <c r="I135" s="18" t="s">
        <v>1086</v>
      </c>
      <c r="K135" s="18" t="s">
        <v>865</v>
      </c>
      <c r="L135" s="18" t="str">
        <f>_xlfn.IFNA(VLOOKUP(I135,科目余额表!B:M,11,0),K135)</f>
        <v>贷</v>
      </c>
    </row>
    <row r="136" spans="1:12">
      <c r="A136" s="123" t="s">
        <v>1087</v>
      </c>
      <c r="B136" s="113" t="s">
        <v>769</v>
      </c>
      <c r="C136" s="111"/>
      <c r="D136" s="111"/>
      <c r="E136" s="114">
        <f>IF(K136=L136,_xlfn.IFNA(VLOOKUP(I136,科目余额表!B:M,12,0),0),-_xlfn.IFNA(VLOOKUP(I136,科目余额表!B:M,12,0),0))</f>
        <v>0</v>
      </c>
      <c r="F136" s="1">
        <f>ROUND(SUMIF(上期ETY!D:D,B136,上期ETY!F:F),2)</f>
        <v>0</v>
      </c>
      <c r="G136" s="1">
        <f>ROUND(SUMIF(上期ETY!D:D,B136,上期ETY!G:G),2)</f>
        <v>0</v>
      </c>
      <c r="H136" s="115">
        <f t="shared" si="22"/>
        <v>0</v>
      </c>
      <c r="I136" s="18" t="s">
        <v>769</v>
      </c>
      <c r="K136" s="18" t="s">
        <v>865</v>
      </c>
      <c r="L136" s="18" t="str">
        <f>_xlfn.IFNA(VLOOKUP(I136,科目余额表!B:M,11,0),K136)</f>
        <v>平</v>
      </c>
    </row>
    <row r="137" spans="1:12">
      <c r="A137" s="123" t="s">
        <v>1088</v>
      </c>
      <c r="B137" s="113" t="s">
        <v>789</v>
      </c>
      <c r="C137" s="111"/>
      <c r="D137" s="111"/>
      <c r="E137" s="114">
        <f>IF(K137=L137,_xlfn.IFNA(VLOOKUP(I137,科目余额表!B:M,12,0),0),-_xlfn.IFNA(VLOOKUP(I137,科目余额表!B:M,12,0),0))</f>
        <v>3483543400</v>
      </c>
      <c r="F137" s="1">
        <f>ROUND(SUMIF(上期ETY!D:D,B137,上期ETY!F:F),2)</f>
        <v>0</v>
      </c>
      <c r="G137" s="1">
        <f>ROUND(SUMIF(上期ETY!D:D,B137,上期ETY!G:G),2)</f>
        <v>0</v>
      </c>
      <c r="H137" s="115">
        <f t="shared" si="22"/>
        <v>3483543400</v>
      </c>
      <c r="I137" s="18" t="s">
        <v>789</v>
      </c>
      <c r="K137" s="18" t="s">
        <v>865</v>
      </c>
      <c r="L137" s="18" t="str">
        <f>_xlfn.IFNA(VLOOKUP(I137,科目余额表!B:M,11,0),K137)</f>
        <v>贷</v>
      </c>
    </row>
    <row r="138" spans="1:12">
      <c r="A138" s="123" t="s">
        <v>1089</v>
      </c>
      <c r="B138" s="113" t="s">
        <v>1090</v>
      </c>
      <c r="C138" s="111"/>
      <c r="D138" s="111"/>
      <c r="E138" s="111"/>
      <c r="F138" s="1">
        <f>ROUND(SUMIF(上期ETY!D:D,B138,上期ETY!F:F),2)</f>
        <v>0</v>
      </c>
      <c r="G138" s="1">
        <f>ROUND(SUMIF(上期ETY!D:D,B138,上期ETY!G:G),2)</f>
        <v>0</v>
      </c>
      <c r="H138" s="115">
        <f t="shared" si="22"/>
        <v>0</v>
      </c>
      <c r="I138" s="18" t="s">
        <v>1091</v>
      </c>
      <c r="K138" s="18" t="s">
        <v>865</v>
      </c>
      <c r="L138" s="18" t="str">
        <f>_xlfn.IFNA(VLOOKUP(I138,科目余额表!B:M,11,0),K138)</f>
        <v>贷</v>
      </c>
    </row>
    <row r="139" spans="1:12">
      <c r="A139" s="124" t="s">
        <v>1092</v>
      </c>
      <c r="B139" s="113" t="s">
        <v>1093</v>
      </c>
      <c r="C139" s="111"/>
      <c r="D139" s="111"/>
      <c r="E139" s="111"/>
      <c r="F139" s="1">
        <f>ROUND(SUMIF(上期ETY!D:D,B139,上期ETY!F:F),2)</f>
        <v>0</v>
      </c>
      <c r="G139" s="1">
        <f>ROUND(SUMIF(上期ETY!D:D,B139,上期ETY!G:G),2)</f>
        <v>0</v>
      </c>
      <c r="H139" s="115">
        <f t="shared" si="22"/>
        <v>0</v>
      </c>
      <c r="I139" s="18" t="s">
        <v>1093</v>
      </c>
      <c r="K139" s="18" t="s">
        <v>865</v>
      </c>
      <c r="L139" s="18" t="str">
        <f>_xlfn.IFNA(VLOOKUP(I139,科目余额表!B:M,11,0),K139)</f>
        <v>贷</v>
      </c>
    </row>
    <row r="140" spans="1:12">
      <c r="A140" s="124" t="s">
        <v>1094</v>
      </c>
      <c r="B140" s="113" t="s">
        <v>92</v>
      </c>
      <c r="C140" s="111"/>
      <c r="D140" s="117" t="s">
        <v>856</v>
      </c>
      <c r="E140" s="111"/>
      <c r="F140" s="1">
        <f>ROUND(SUMIF(上期ETY!D:D,B140,上期ETY!F:F),2)</f>
        <v>0</v>
      </c>
      <c r="G140" s="1">
        <f>ROUND(SUMIF(上期ETY!D:D,B140,上期ETY!G:G),2)</f>
        <v>0</v>
      </c>
      <c r="H140" s="115">
        <f t="shared" si="22"/>
        <v>0</v>
      </c>
      <c r="I140" s="18" t="s">
        <v>92</v>
      </c>
      <c r="K140" s="18" t="s">
        <v>865</v>
      </c>
      <c r="L140" s="18" t="str">
        <f>_xlfn.IFNA(VLOOKUP(I140,科目余额表!B:M,11,0),K140)</f>
        <v>贷</v>
      </c>
    </row>
    <row r="141" spans="1:12">
      <c r="A141" s="124" t="s">
        <v>1095</v>
      </c>
      <c r="B141" s="113" t="s">
        <v>1096</v>
      </c>
      <c r="C141" s="111"/>
      <c r="D141" s="117"/>
      <c r="E141" s="114">
        <f>IF(K141=L141,_xlfn.IFNA(VLOOKUP(I141,科目余额表!B:M,12,0),0),-_xlfn.IFNA(VLOOKUP(I141,科目余额表!B:M,12,0),0))</f>
        <v>515290000</v>
      </c>
      <c r="F141" s="1">
        <f>ROUND(SUMIF(上期ETY!D:D,B141,上期ETY!F:F),2)</f>
        <v>0</v>
      </c>
      <c r="G141" s="1">
        <f>ROUND(SUMIF(上期ETY!D:D,B141,上期ETY!G:G),2)</f>
        <v>0</v>
      </c>
      <c r="H141" s="115">
        <f t="shared" si="22"/>
        <v>515290000</v>
      </c>
      <c r="I141" s="18" t="s">
        <v>1096</v>
      </c>
      <c r="K141" s="18" t="s">
        <v>865</v>
      </c>
      <c r="L141" s="18" t="str">
        <f>_xlfn.IFNA(VLOOKUP(I141,科目余额表!B:M,11,0),K141)</f>
        <v>贷</v>
      </c>
    </row>
    <row r="142" spans="1:12">
      <c r="A142" s="124" t="s">
        <v>1097</v>
      </c>
      <c r="B142" s="113" t="s">
        <v>1098</v>
      </c>
      <c r="C142" s="111"/>
      <c r="D142" s="117"/>
      <c r="E142" s="114">
        <f>IF(K142=L142,_xlfn.IFNA(VLOOKUP(I142,科目余额表!B:M,12,0),0),-_xlfn.IFNA(VLOOKUP(I142,科目余额表!B:M,12,0),0))</f>
        <v>2347752966.29</v>
      </c>
      <c r="F142" s="1">
        <f>ROUND(SUMIF(上期ETY!D:D,B142,上期ETY!F:F),2)</f>
        <v>0</v>
      </c>
      <c r="G142" s="1">
        <f>ROUND(SUMIF(上期ETY!D:D,B142,上期ETY!G:G),2)</f>
        <v>0</v>
      </c>
      <c r="H142" s="115">
        <f t="shared" si="22"/>
        <v>2347752966.29</v>
      </c>
      <c r="I142" s="18" t="s">
        <v>94</v>
      </c>
      <c r="K142" s="18" t="s">
        <v>865</v>
      </c>
      <c r="L142" s="18" t="str">
        <f>_xlfn.IFNA(VLOOKUP(I142,科目余额表!B:M,11,0),K142)</f>
        <v>贷</v>
      </c>
    </row>
    <row r="143" spans="1:12">
      <c r="A143" s="124" t="s">
        <v>1099</v>
      </c>
      <c r="B143" s="113" t="s">
        <v>1100</v>
      </c>
      <c r="C143" s="111"/>
      <c r="D143" s="117"/>
      <c r="E143" s="114">
        <f>IF(K143=L143,_xlfn.IFNA(VLOOKUP(I143,科目余额表!B:M,12,0),0),-_xlfn.IFNA(VLOOKUP(I143,科目余额表!B:M,12,0),0))</f>
        <v>0</v>
      </c>
      <c r="F143" s="1">
        <f>ROUND(SUMIF(上期ETY!D:D,B143,上期ETY!F:F),2)</f>
        <v>0</v>
      </c>
      <c r="G143" s="1">
        <f>ROUND(SUMIF(上期ETY!D:D,B143,上期ETY!G:G),2)</f>
        <v>0</v>
      </c>
      <c r="H143" s="115">
        <f t="shared" ref="H143" si="23">ROUND(E143+F143-G143,2)</f>
        <v>0</v>
      </c>
      <c r="I143" s="18" t="s">
        <v>1101</v>
      </c>
      <c r="K143" s="18" t="s">
        <v>1102</v>
      </c>
      <c r="L143" s="18" t="s">
        <v>1102</v>
      </c>
    </row>
    <row r="144" spans="1:12">
      <c r="A144" s="123" t="s">
        <v>1103</v>
      </c>
      <c r="B144" s="113"/>
      <c r="C144" s="111"/>
      <c r="D144" s="111"/>
      <c r="E144" s="114">
        <f>E142-E143</f>
        <v>2347752966.29</v>
      </c>
      <c r="F144" s="1"/>
      <c r="G144" s="1"/>
      <c r="H144" s="115">
        <f>H142-H143</f>
        <v>2347752966.29</v>
      </c>
    </row>
    <row r="145" spans="1:12">
      <c r="A145" s="123" t="s">
        <v>1104</v>
      </c>
      <c r="B145" s="113" t="s">
        <v>1105</v>
      </c>
      <c r="C145" s="111"/>
      <c r="D145" s="111"/>
      <c r="E145" s="114">
        <f>IF(K145=L145,_xlfn.IFNA(VLOOKUP(I145,科目余额表!B:M,12,0),0),-_xlfn.IFNA(VLOOKUP(I145,科目余额表!B:M,12,0),0))</f>
        <v>0</v>
      </c>
      <c r="F145" s="1">
        <f>ROUND(SUMIF(上期ETY!D:D,B145,上期ETY!F:F),2)</f>
        <v>0</v>
      </c>
      <c r="G145" s="1">
        <f>ROUND(SUMIF(上期ETY!D:D,B145,上期ETY!G:G),2)</f>
        <v>0</v>
      </c>
      <c r="H145" s="115">
        <f t="shared" si="22"/>
        <v>0</v>
      </c>
      <c r="I145" s="18" t="s">
        <v>1105</v>
      </c>
      <c r="K145" s="18" t="s">
        <v>865</v>
      </c>
      <c r="L145" s="18" t="str">
        <f>_xlfn.IFNA(VLOOKUP(I145,科目余额表!B:M,11,0),K145)</f>
        <v>贷</v>
      </c>
    </row>
    <row r="146" spans="1:12">
      <c r="A146" s="123" t="s">
        <v>1106</v>
      </c>
      <c r="B146" s="113" t="s">
        <v>1107</v>
      </c>
      <c r="C146" s="111"/>
      <c r="D146" s="111"/>
      <c r="E146" s="114">
        <f>IF(K146=L146,_xlfn.IFNA(VLOOKUP(I146,科目余额表!B:M,12,0),0),-_xlfn.IFNA(VLOOKUP(I146,科目余额表!B:M,12,0),0))</f>
        <v>0</v>
      </c>
      <c r="F146" s="1">
        <f>ROUND(SUMIF(上期ETY!D:D,B146,上期ETY!F:F),2)</f>
        <v>0</v>
      </c>
      <c r="G146" s="1">
        <f>ROUND(SUMIF(上期ETY!D:D,B146,上期ETY!G:G),2)</f>
        <v>0</v>
      </c>
      <c r="H146" s="115">
        <f t="shared" si="22"/>
        <v>0</v>
      </c>
      <c r="I146" s="18" t="s">
        <v>1107</v>
      </c>
      <c r="K146" s="18" t="s">
        <v>865</v>
      </c>
      <c r="L146" s="18" t="str">
        <f>_xlfn.IFNA(VLOOKUP(I146,科目余额表!B:M,11,0),K146)</f>
        <v>贷</v>
      </c>
    </row>
    <row r="147" spans="1:12">
      <c r="A147" s="123" t="s">
        <v>1108</v>
      </c>
      <c r="B147" s="113" t="s">
        <v>788</v>
      </c>
      <c r="C147" s="111"/>
      <c r="D147" s="111"/>
      <c r="E147" s="114">
        <f>IF(K147=L147,_xlfn.IFNA(VLOOKUP(I147,科目余额表!B:M,12,0),0),-_xlfn.IFNA(VLOOKUP(I147,科目余额表!B:M,12,0),0))</f>
        <v>55530257.920000002</v>
      </c>
      <c r="F147" s="1">
        <f>ROUND(SUMIF(上期ETY!D:D,B147,上期ETY!F:F),2)</f>
        <v>0</v>
      </c>
      <c r="G147" s="1">
        <f>ROUND(SUMIF(上期ETY!D:D,B147,上期ETY!G:G),2)</f>
        <v>0</v>
      </c>
      <c r="H147" s="115">
        <f t="shared" si="22"/>
        <v>55530257.920000002</v>
      </c>
      <c r="I147" s="18" t="s">
        <v>788</v>
      </c>
      <c r="K147" s="18" t="s">
        <v>865</v>
      </c>
      <c r="L147" s="18" t="str">
        <f>_xlfn.IFNA(VLOOKUP(I147,科目余额表!B:M,11,0),K147)</f>
        <v>贷</v>
      </c>
    </row>
    <row r="148" spans="1:12">
      <c r="A148" s="123" t="s">
        <v>1109</v>
      </c>
      <c r="B148" s="113" t="s">
        <v>790</v>
      </c>
      <c r="C148" s="111"/>
      <c r="D148" s="111"/>
      <c r="E148" s="114">
        <f>IF(K148=L148,_xlfn.IFNA(VLOOKUP(I148,科目余额表!B:M,12,0),0),-_xlfn.IFNA(VLOOKUP(I148,科目余额表!B:M,12,0),0))</f>
        <v>22684266.809999999</v>
      </c>
      <c r="F148" s="1">
        <f>ROUND(SUMIF(上期ETY!D:D,B148,上期ETY!F:F),2)</f>
        <v>0</v>
      </c>
      <c r="G148" s="1">
        <f>ROUND(SUMIF(上期ETY!D:D,B148,上期ETY!G:G),2)</f>
        <v>0</v>
      </c>
      <c r="H148" s="115">
        <f t="shared" si="22"/>
        <v>22684266.809999999</v>
      </c>
      <c r="I148" s="18" t="s">
        <v>790</v>
      </c>
      <c r="K148" s="18" t="s">
        <v>865</v>
      </c>
      <c r="L148" s="18" t="str">
        <f>_xlfn.IFNA(VLOOKUP(I148,科目余额表!B:M,11,0),K148)</f>
        <v>贷</v>
      </c>
    </row>
    <row r="149" spans="1:12">
      <c r="A149" s="123" t="s">
        <v>1110</v>
      </c>
      <c r="B149" s="113" t="s">
        <v>84</v>
      </c>
      <c r="C149" s="111"/>
      <c r="D149" s="111"/>
      <c r="E149" s="114">
        <f>IF(K149=L149,_xlfn.IFNA(VLOOKUP(I149,科目余额表!B:M,12,0),0),-_xlfn.IFNA(VLOOKUP(I149,科目余额表!B:M,12,0),0))</f>
        <v>0</v>
      </c>
      <c r="F149" s="1">
        <f>ROUND(SUMIF(上期ETY!D:D,B149,上期ETY!F:F),2)</f>
        <v>0</v>
      </c>
      <c r="G149" s="1">
        <f>ROUND(SUMIF(上期ETY!D:D,B149,上期ETY!G:G),2)</f>
        <v>0</v>
      </c>
      <c r="H149" s="115">
        <f t="shared" si="22"/>
        <v>0</v>
      </c>
      <c r="I149" s="18" t="s">
        <v>84</v>
      </c>
      <c r="K149" s="18" t="s">
        <v>865</v>
      </c>
      <c r="L149" s="18" t="str">
        <f>_xlfn.IFNA(VLOOKUP(I149,科目余额表!B:M,11,0),K149)</f>
        <v>贷</v>
      </c>
    </row>
    <row r="150" spans="1:12">
      <c r="A150" s="122" t="s">
        <v>1111</v>
      </c>
      <c r="B150" s="113"/>
      <c r="C150" s="119"/>
      <c r="D150" s="119"/>
      <c r="E150" s="121">
        <f>E135+E136+E137+E140+E141+E144+E145+E146+E147+E148+E149</f>
        <v>6424800891.0200005</v>
      </c>
      <c r="F150" s="111">
        <f t="shared" ref="F150:G150" si="24">F135+F136+F137+F140+F144+F145+F146+F147+F148+F149</f>
        <v>0</v>
      </c>
      <c r="G150" s="111">
        <f t="shared" si="24"/>
        <v>0</v>
      </c>
      <c r="H150" s="121">
        <f>H135+H136+H137+H140+H141+H144+H145+H146+H147+H148+H149</f>
        <v>6424800891.0200005</v>
      </c>
      <c r="L150" s="18">
        <f>_xlfn.IFNA(VLOOKUP(I150,科目余额表!B:M,11,0),K150)</f>
        <v>0</v>
      </c>
    </row>
    <row r="151" spans="1:12">
      <c r="A151" s="122" t="s">
        <v>1112</v>
      </c>
      <c r="B151" s="113"/>
      <c r="C151" s="111"/>
      <c r="D151" s="111"/>
      <c r="E151" s="121">
        <f>E150+E133</f>
        <v>8714748622.8899994</v>
      </c>
      <c r="F151" s="111">
        <f t="shared" ref="F151:H151" si="25">F150+F133</f>
        <v>0</v>
      </c>
      <c r="G151" s="111">
        <f t="shared" si="25"/>
        <v>0</v>
      </c>
      <c r="H151" s="121">
        <f t="shared" si="25"/>
        <v>8714748622.8899994</v>
      </c>
      <c r="L151" s="18">
        <f>_xlfn.IFNA(VLOOKUP(I151,科目余额表!B:M,11,0),K151)</f>
        <v>0</v>
      </c>
    </row>
    <row r="152" spans="1:12">
      <c r="A152" s="125" t="s">
        <v>1113</v>
      </c>
      <c r="B152" s="113"/>
      <c r="C152" s="111"/>
      <c r="D152" s="111"/>
      <c r="E152" s="111"/>
      <c r="L152" s="18">
        <f>_xlfn.IFNA(VLOOKUP(I152,科目余额表!B:M,11,0),K152)</f>
        <v>0</v>
      </c>
    </row>
    <row r="153" spans="1:12">
      <c r="A153" s="123" t="s">
        <v>1114</v>
      </c>
      <c r="B153" s="113" t="s">
        <v>1115</v>
      </c>
      <c r="C153" s="111"/>
      <c r="D153" s="111"/>
      <c r="E153" s="114">
        <f>IF(K153=L153,_xlfn.IFNA(VLOOKUP(I153,科目余额表!B:M,12,0),0),-_xlfn.IFNA(VLOOKUP(I153,科目余额表!B:M,12,0),0))</f>
        <v>3020000000</v>
      </c>
      <c r="F153" s="1">
        <f>ROUND(SUMIF(上期ETY!D:D,B153,上期ETY!F:F),2)</f>
        <v>0</v>
      </c>
      <c r="G153" s="1">
        <f>ROUND(SUMIF(上期ETY!D:D,B153,上期ETY!G:G),2)</f>
        <v>0</v>
      </c>
      <c r="H153" s="115">
        <f t="shared" ref="H153:H162" si="26">ROUND(E153-F153+G153,2)</f>
        <v>3020000000</v>
      </c>
      <c r="I153" s="18" t="s">
        <v>791</v>
      </c>
      <c r="K153" s="18" t="s">
        <v>865</v>
      </c>
      <c r="L153" s="18" t="str">
        <f>_xlfn.IFNA(VLOOKUP(I153,科目余额表!B:M,11,0),K153)</f>
        <v>贷</v>
      </c>
    </row>
    <row r="154" spans="1:12">
      <c r="A154" s="123" t="s">
        <v>1116</v>
      </c>
      <c r="B154" s="113" t="s">
        <v>1117</v>
      </c>
      <c r="C154" s="111"/>
      <c r="D154" s="111"/>
      <c r="E154" s="111"/>
      <c r="F154" s="1">
        <f>ROUND(SUMIF(上期ETY!D:D,B154,上期ETY!F:F),2)</f>
        <v>0</v>
      </c>
      <c r="G154" s="1">
        <f>ROUND(SUMIF(上期ETY!D:D,B154,上期ETY!G:G),2)</f>
        <v>0</v>
      </c>
      <c r="H154" s="115">
        <f t="shared" si="26"/>
        <v>0</v>
      </c>
      <c r="I154" s="18" t="s">
        <v>1117</v>
      </c>
      <c r="K154" s="18" t="s">
        <v>865</v>
      </c>
      <c r="L154" s="18" t="str">
        <f>_xlfn.IFNA(VLOOKUP(I154,科目余额表!B:M,11,0),K154)</f>
        <v>贷</v>
      </c>
    </row>
    <row r="155" spans="1:12">
      <c r="A155" s="123" t="s">
        <v>1118</v>
      </c>
      <c r="B155" s="113"/>
      <c r="C155" s="111"/>
      <c r="D155" s="111"/>
      <c r="E155" s="111"/>
      <c r="F155" s="1">
        <f>ROUND(SUMIF(上期ETY!D:D,B155,上期ETY!F:F),2)</f>
        <v>0</v>
      </c>
      <c r="G155" s="1">
        <f>ROUND(SUMIF(上期ETY!D:D,B155,上期ETY!G:G),2)</f>
        <v>0</v>
      </c>
      <c r="H155" s="115">
        <f t="shared" si="26"/>
        <v>0</v>
      </c>
      <c r="L155" s="18">
        <f>_xlfn.IFNA(VLOOKUP(I155,科目余额表!B:M,11,0),K155)</f>
        <v>0</v>
      </c>
    </row>
    <row r="156" spans="1:12">
      <c r="A156" s="123" t="s">
        <v>1119</v>
      </c>
      <c r="B156" s="113"/>
      <c r="C156" s="111"/>
      <c r="D156" s="111"/>
      <c r="E156" s="111"/>
      <c r="F156" s="1">
        <f>ROUND(SUMIF(上期ETY!D:D,B156,上期ETY!F:F),2)</f>
        <v>0</v>
      </c>
      <c r="G156" s="1">
        <f>ROUND(SUMIF(上期ETY!D:D,B156,上期ETY!G:G),2)</f>
        <v>0</v>
      </c>
      <c r="H156" s="115">
        <f t="shared" si="26"/>
        <v>0</v>
      </c>
      <c r="L156" s="18">
        <f>_xlfn.IFNA(VLOOKUP(I156,科目余额表!B:M,11,0),K156)</f>
        <v>0</v>
      </c>
    </row>
    <row r="157" spans="1:12">
      <c r="A157" s="123" t="s">
        <v>1120</v>
      </c>
      <c r="B157" s="113" t="s">
        <v>792</v>
      </c>
      <c r="C157" s="111"/>
      <c r="D157" s="111"/>
      <c r="E157" s="114">
        <f>IF(K157=L157,_xlfn.IFNA(VLOOKUP(I157,科目余额表!B:M,12,0),0),-_xlfn.IFNA(VLOOKUP(I157,科目余额表!B:M,12,0),0))</f>
        <v>3841836934.0599999</v>
      </c>
      <c r="F157" s="1">
        <f>ROUND(SUMIF(上期ETY!D:D,B157,上期ETY!F:F),2)</f>
        <v>0</v>
      </c>
      <c r="G157" s="1">
        <f>ROUND(SUMIF(上期ETY!D:D,B157,上期ETY!G:G),2)</f>
        <v>0</v>
      </c>
      <c r="H157" s="115">
        <f t="shared" si="26"/>
        <v>3841836934.0599999</v>
      </c>
      <c r="I157" s="18" t="s">
        <v>792</v>
      </c>
      <c r="K157" s="18" t="s">
        <v>865</v>
      </c>
      <c r="L157" s="18" t="str">
        <f>_xlfn.IFNA(VLOOKUP(I157,科目余额表!B:M,11,0),K157)</f>
        <v>贷</v>
      </c>
    </row>
    <row r="158" spans="1:12">
      <c r="A158" s="123" t="s">
        <v>1121</v>
      </c>
      <c r="B158" s="113" t="s">
        <v>1122</v>
      </c>
      <c r="C158" s="111"/>
      <c r="D158" s="111"/>
      <c r="E158" s="111"/>
      <c r="F158" s="1">
        <f>ROUND(SUMIF(上期ETY!D:D,B158,上期ETY!F:F),2)</f>
        <v>0</v>
      </c>
      <c r="G158" s="1">
        <f>ROUND(SUMIF(上期ETY!D:D,B158,上期ETY!G:G),2)</f>
        <v>0</v>
      </c>
      <c r="H158" s="115">
        <f t="shared" si="26"/>
        <v>0</v>
      </c>
      <c r="I158" s="18" t="s">
        <v>1123</v>
      </c>
      <c r="K158" s="18" t="s">
        <v>865</v>
      </c>
      <c r="L158" s="18" t="str">
        <f>_xlfn.IFNA(VLOOKUP(I158,科目余额表!B:M,11,0),K158)</f>
        <v>贷</v>
      </c>
    </row>
    <row r="159" spans="1:12">
      <c r="A159" s="123" t="s">
        <v>1124</v>
      </c>
      <c r="B159" s="113" t="s">
        <v>793</v>
      </c>
      <c r="C159" s="111"/>
      <c r="D159" s="111"/>
      <c r="E159" s="114">
        <f>IF(K159=L159,_xlfn.IFNA(VLOOKUP(I159,科目余额表!B:M,12,0),0),-_xlfn.IFNA(VLOOKUP(I159,科目余额表!B:M,12,0),0))</f>
        <v>68129543.510000005</v>
      </c>
      <c r="F159" s="1">
        <f>ROUND(SUMIF(上期ETY!D:D,B159,上期ETY!F:F),2)</f>
        <v>0</v>
      </c>
      <c r="G159" s="1">
        <f>ROUND(SUMIF(上期ETY!D:D,B159,上期ETY!G:G),2)</f>
        <v>0</v>
      </c>
      <c r="H159" s="115">
        <f t="shared" si="26"/>
        <v>68129543.510000005</v>
      </c>
      <c r="I159" s="18" t="s">
        <v>793</v>
      </c>
      <c r="K159" s="18" t="s">
        <v>865</v>
      </c>
      <c r="L159" s="18" t="str">
        <f>_xlfn.IFNA(VLOOKUP(I159,科目余额表!B:M,11,0),K159)</f>
        <v>贷</v>
      </c>
    </row>
    <row r="160" spans="1:12">
      <c r="A160" s="123" t="s">
        <v>1125</v>
      </c>
      <c r="B160" s="113" t="s">
        <v>1126</v>
      </c>
      <c r="C160" s="111"/>
      <c r="D160" s="111"/>
      <c r="E160" s="111"/>
      <c r="F160" s="1">
        <f>ROUND(SUMIF(上期ETY!D:D,B160,上期ETY!F:F),2)</f>
        <v>0</v>
      </c>
      <c r="G160" s="1">
        <f>ROUND(SUMIF(上期ETY!D:D,B160,上期ETY!G:G),2)</f>
        <v>0</v>
      </c>
      <c r="H160" s="115">
        <f t="shared" si="26"/>
        <v>0</v>
      </c>
      <c r="I160" s="18" t="s">
        <v>1126</v>
      </c>
      <c r="K160" s="18" t="s">
        <v>865</v>
      </c>
      <c r="L160" s="18" t="str">
        <f>_xlfn.IFNA(VLOOKUP(I160,科目余额表!B:M,11,0),K160)</f>
        <v>贷</v>
      </c>
    </row>
    <row r="161" spans="1:12">
      <c r="A161" s="123" t="s">
        <v>1127</v>
      </c>
      <c r="B161" s="113" t="s">
        <v>70</v>
      </c>
      <c r="C161" s="111"/>
      <c r="D161" s="111"/>
      <c r="E161" s="114">
        <f>IF(K161=L161,_xlfn.IFNA(VLOOKUP(I161,科目余额表!B:M,12,0),0),-_xlfn.IFNA(VLOOKUP(I161,科目余额表!B:M,12,0),0))</f>
        <v>155546840.28999999</v>
      </c>
      <c r="F161" s="1">
        <f>ROUND(SUMIF(上期ETY!D:D,B161,上期ETY!F:F),2)</f>
        <v>0</v>
      </c>
      <c r="G161" s="1">
        <f>ROUND(SUMIF(上期ETY!D:D,B161,上期ETY!G:G),2)</f>
        <v>0</v>
      </c>
      <c r="H161" s="115">
        <f t="shared" si="26"/>
        <v>155546840.28999999</v>
      </c>
      <c r="I161" s="18" t="s">
        <v>70</v>
      </c>
      <c r="K161" s="18" t="s">
        <v>865</v>
      </c>
      <c r="L161" s="18" t="str">
        <f>_xlfn.IFNA(VLOOKUP(I161,科目余额表!B:M,11,0),K161)</f>
        <v>贷</v>
      </c>
    </row>
    <row r="162" spans="1:12">
      <c r="A162" s="123" t="s">
        <v>1128</v>
      </c>
      <c r="B162" s="113" t="s">
        <v>1129</v>
      </c>
      <c r="C162" s="111"/>
      <c r="D162" s="111"/>
      <c r="E162" s="111"/>
      <c r="F162" s="1">
        <f>ROUND(SUMIF(上期ETY!D:D,B162,上期ETY!F:F),2)</f>
        <v>0</v>
      </c>
      <c r="G162" s="1">
        <f>ROUND(SUMIF(上期ETY!D:D,B162,上期ETY!G:G),2)</f>
        <v>0</v>
      </c>
      <c r="H162" s="115">
        <f t="shared" si="26"/>
        <v>0</v>
      </c>
      <c r="I162" s="18" t="s">
        <v>1129</v>
      </c>
      <c r="K162" s="18" t="s">
        <v>865</v>
      </c>
      <c r="L162" s="18" t="str">
        <f>_xlfn.IFNA(VLOOKUP(I162,科目余额表!B:M,11,0),K162)</f>
        <v>贷</v>
      </c>
    </row>
    <row r="163" spans="1:12">
      <c r="A163" s="123" t="s">
        <v>1130</v>
      </c>
      <c r="B163" s="113" t="s">
        <v>72</v>
      </c>
      <c r="C163" s="111"/>
      <c r="D163" s="111"/>
      <c r="E163" s="111">
        <f>E253</f>
        <v>1123892798.9500003</v>
      </c>
      <c r="F163" s="1">
        <f>ROUND(SUMIF(上期ETY!D:D,B163,上期ETY!F:F),2)</f>
        <v>0</v>
      </c>
      <c r="G163" s="1">
        <f>ROUND(SUMIF(上期ETY!D:D,B163,上期ETY!G:G),2)</f>
        <v>0</v>
      </c>
      <c r="H163" s="115">
        <f>H253</f>
        <v>1123892798.9499998</v>
      </c>
      <c r="I163" s="18" t="s">
        <v>72</v>
      </c>
      <c r="K163" s="18" t="s">
        <v>865</v>
      </c>
      <c r="L163" s="18" t="str">
        <f>_xlfn.IFNA(VLOOKUP(I163,科目余额表!B:M,11,0),K163)</f>
        <v>贷</v>
      </c>
    </row>
    <row r="164" spans="1:12">
      <c r="A164" s="123" t="s">
        <v>1131</v>
      </c>
      <c r="B164" s="113"/>
      <c r="C164" s="118"/>
      <c r="D164" s="118"/>
      <c r="E164" s="118">
        <f t="shared" ref="E164:H164" si="27">IF((SUM(E153:E157,E159:E163)-E158-E155-E156)&lt;&gt;0,(SUM(E153:E157,E159:E163)-E158-E155-E156),"")</f>
        <v>8209406116.8099995</v>
      </c>
      <c r="F164" s="118" t="str">
        <f t="shared" si="27"/>
        <v/>
      </c>
      <c r="G164" s="118" t="str">
        <f t="shared" si="27"/>
        <v/>
      </c>
      <c r="H164" s="118">
        <f t="shared" si="27"/>
        <v>8209406116.8099995</v>
      </c>
      <c r="L164" s="18">
        <f>_xlfn.IFNA(VLOOKUP(I164,科目余额表!B:M,11,0),K164)</f>
        <v>0</v>
      </c>
    </row>
    <row r="165" spans="1:12">
      <c r="A165" s="123" t="s">
        <v>1132</v>
      </c>
      <c r="B165" s="113" t="s">
        <v>1133</v>
      </c>
      <c r="C165" s="111"/>
      <c r="D165" s="111"/>
      <c r="E165" s="111"/>
      <c r="F165" s="1">
        <f>ROUND(SUMIF(上期ETY!D:D,B165,上期ETY!F:F),2)</f>
        <v>0</v>
      </c>
      <c r="G165" s="1">
        <f>ROUND(SUMIF(上期ETY!D:D,B165,上期ETY!G:G),2)</f>
        <v>0</v>
      </c>
      <c r="H165" s="115">
        <f t="shared" ref="H165" si="28">ROUND(E165-F165+G165,2)</f>
        <v>0</v>
      </c>
      <c r="I165" s="18" t="s">
        <v>1133</v>
      </c>
      <c r="K165" s="18" t="s">
        <v>865</v>
      </c>
      <c r="L165" s="18" t="str">
        <f>_xlfn.IFNA(VLOOKUP(I165,科目余额表!B:M,11,0),K165)</f>
        <v>贷</v>
      </c>
    </row>
    <row r="166" spans="1:12">
      <c r="A166" s="126" t="s">
        <v>1134</v>
      </c>
      <c r="B166" s="113"/>
      <c r="C166" s="119"/>
      <c r="D166" s="119"/>
      <c r="E166" s="119">
        <f t="shared" ref="E166" si="29">SUM(E164:E165)</f>
        <v>8209406116.8099995</v>
      </c>
      <c r="F166" s="119">
        <f t="shared" ref="F166:H166" si="30">SUM(F164:F165)</f>
        <v>0</v>
      </c>
      <c r="G166" s="119">
        <f t="shared" si="30"/>
        <v>0</v>
      </c>
      <c r="H166" s="119">
        <f t="shared" si="30"/>
        <v>8209406116.8099995</v>
      </c>
    </row>
    <row r="167" spans="1:12">
      <c r="A167" s="126" t="s">
        <v>1135</v>
      </c>
      <c r="B167" s="113"/>
      <c r="C167" s="119"/>
      <c r="D167" s="119"/>
      <c r="E167" s="119">
        <f t="shared" ref="E167:H167" si="31">SUM(E151,E166)</f>
        <v>16924154739.699999</v>
      </c>
      <c r="F167" s="119">
        <f t="shared" si="31"/>
        <v>0</v>
      </c>
      <c r="G167" s="119">
        <f t="shared" si="31"/>
        <v>0</v>
      </c>
      <c r="H167" s="119">
        <f t="shared" si="31"/>
        <v>16924154739.699999</v>
      </c>
    </row>
    <row r="168" spans="1:12">
      <c r="A168" s="125" t="s">
        <v>1136</v>
      </c>
      <c r="B168" s="113"/>
      <c r="C168" s="2"/>
      <c r="D168" s="2"/>
      <c r="E168" s="127">
        <f>SUM(E169:E174)-E170-E171</f>
        <v>1557301756.5500002</v>
      </c>
      <c r="F168" s="127">
        <f t="shared" ref="F168:H168" si="32">SUM(F169:F174)-F170-F171</f>
        <v>0</v>
      </c>
      <c r="G168" s="127">
        <f t="shared" si="32"/>
        <v>0</v>
      </c>
      <c r="H168" s="127">
        <f t="shared" si="32"/>
        <v>1557301756.5499997</v>
      </c>
    </row>
    <row r="169" spans="1:12">
      <c r="A169" s="124" t="s">
        <v>1137</v>
      </c>
      <c r="B169" s="113" t="s">
        <v>86</v>
      </c>
      <c r="C169" s="2"/>
      <c r="D169" s="2"/>
      <c r="E169" s="111">
        <f>SUM(E170:E171)</f>
        <v>1557301756.5500002</v>
      </c>
      <c r="F169" s="111">
        <f t="shared" ref="F169:G169" si="33">SUM(F170:F171)</f>
        <v>0</v>
      </c>
      <c r="G169" s="111">
        <f t="shared" si="33"/>
        <v>0</v>
      </c>
      <c r="H169" s="115">
        <f t="shared" ref="H169:H174" si="34">ROUND(E169-F169+G169,2)</f>
        <v>1557301756.55</v>
      </c>
      <c r="I169" s="18" t="s">
        <v>1138</v>
      </c>
    </row>
    <row r="170" spans="1:12">
      <c r="A170" s="124" t="s">
        <v>1139</v>
      </c>
      <c r="B170" s="113" t="s">
        <v>1140</v>
      </c>
      <c r="C170" s="2"/>
      <c r="D170" s="2"/>
      <c r="E170" s="114">
        <f>_xlfn.IFNA(VLOOKUP(I170,科目余额表!B:M,10,0),0)</f>
        <v>1459507276.3900001</v>
      </c>
      <c r="F170" s="1">
        <f>ROUND(SUMIF(上期ETY!D:D,B170,上期ETY!F:F),2)</f>
        <v>0</v>
      </c>
      <c r="G170" s="1">
        <f>ROUND(SUMIF(上期ETY!D:D,B170,上期ETY!G:G),2)</f>
        <v>0</v>
      </c>
      <c r="H170" s="115">
        <f t="shared" si="34"/>
        <v>1459507276.3900001</v>
      </c>
      <c r="I170" s="18" t="s">
        <v>801</v>
      </c>
    </row>
    <row r="171" spans="1:12">
      <c r="A171" s="124" t="s">
        <v>1141</v>
      </c>
      <c r="B171" s="113" t="s">
        <v>1142</v>
      </c>
      <c r="C171" s="2"/>
      <c r="D171" s="2"/>
      <c r="E171" s="114">
        <f>_xlfn.IFNA(VLOOKUP(I171,科目余额表!B:M,10,0),0)</f>
        <v>97794480.159999996</v>
      </c>
      <c r="F171" s="1">
        <f>ROUND(SUMIF(上期ETY!D:D,B171,上期ETY!F:F),2)</f>
        <v>0</v>
      </c>
      <c r="G171" s="1">
        <f>ROUND(SUMIF(上期ETY!D:D,B171,上期ETY!G:G),2)</f>
        <v>0</v>
      </c>
      <c r="H171" s="115">
        <f t="shared" si="34"/>
        <v>97794480.159999996</v>
      </c>
      <c r="I171" s="18" t="s">
        <v>802</v>
      </c>
    </row>
    <row r="172" spans="1:12">
      <c r="A172" s="124" t="s">
        <v>1143</v>
      </c>
      <c r="B172" s="113"/>
      <c r="C172" s="2"/>
      <c r="D172" s="2"/>
      <c r="E172" s="111"/>
      <c r="F172" s="1">
        <f>ROUND(SUMIF(上期ETY!D:D,B172,上期ETY!F:F),2)</f>
        <v>0</v>
      </c>
      <c r="G172" s="1">
        <f>ROUND(SUMIF(上期ETY!D:D,B172,上期ETY!G:G),2)</f>
        <v>0</v>
      </c>
      <c r="H172" s="115">
        <f t="shared" si="34"/>
        <v>0</v>
      </c>
    </row>
    <row r="173" spans="1:12">
      <c r="A173" s="124" t="s">
        <v>1144</v>
      </c>
      <c r="B173" s="113" t="s">
        <v>1145</v>
      </c>
      <c r="C173" s="2"/>
      <c r="E173" s="111"/>
      <c r="F173" s="1">
        <f>ROUND(SUMIF(上期ETY!D:D,B173,上期ETY!F:F),2)</f>
        <v>0</v>
      </c>
      <c r="G173" s="1">
        <f>ROUND(SUMIF(上期ETY!D:D,B173,上期ETY!G:G),2)</f>
        <v>0</v>
      </c>
      <c r="H173" s="115">
        <f t="shared" si="34"/>
        <v>0</v>
      </c>
      <c r="I173" s="18" t="s">
        <v>1145</v>
      </c>
    </row>
    <row r="174" spans="1:12">
      <c r="A174" s="124" t="s">
        <v>1146</v>
      </c>
      <c r="B174" s="113" t="s">
        <v>1147</v>
      </c>
      <c r="C174" s="2"/>
      <c r="E174" s="111"/>
      <c r="F174" s="1">
        <f>ROUND(SUMIF(上期ETY!D:D,B174,上期ETY!F:F),2)</f>
        <v>0</v>
      </c>
      <c r="G174" s="1">
        <f>ROUND(SUMIF(上期ETY!D:D,B174,上期ETY!G:G),2)</f>
        <v>0</v>
      </c>
      <c r="H174" s="115">
        <f t="shared" si="34"/>
        <v>0</v>
      </c>
      <c r="I174" s="18" t="s">
        <v>1147</v>
      </c>
    </row>
    <row r="175" spans="1:12">
      <c r="A175" s="125" t="s">
        <v>1148</v>
      </c>
      <c r="B175" s="113"/>
      <c r="C175" s="2"/>
      <c r="D175" s="127"/>
      <c r="E175" s="127">
        <f>SUM(E176:E190)-E177-E178</f>
        <v>1642696927.04</v>
      </c>
      <c r="F175" s="127">
        <f t="shared" ref="F175:H175" si="35">SUM(F176:F190)-F177-F178</f>
        <v>0</v>
      </c>
      <c r="G175" s="127">
        <f t="shared" si="35"/>
        <v>0</v>
      </c>
      <c r="H175" s="127">
        <f t="shared" si="35"/>
        <v>1642696927.04</v>
      </c>
    </row>
    <row r="176" spans="1:12">
      <c r="A176" s="123" t="s">
        <v>1149</v>
      </c>
      <c r="B176" s="113" t="s">
        <v>1150</v>
      </c>
      <c r="C176" s="3"/>
      <c r="E176" s="111">
        <f>SUM(E177:E178)</f>
        <v>1355991048.6100001</v>
      </c>
      <c r="F176" s="111">
        <f t="shared" ref="F176:H176" si="36">SUM(F177:F178)</f>
        <v>0</v>
      </c>
      <c r="G176" s="111">
        <f t="shared" si="36"/>
        <v>0</v>
      </c>
      <c r="H176" s="111">
        <f t="shared" si="36"/>
        <v>1355991048.6100001</v>
      </c>
      <c r="I176" s="18" t="s">
        <v>1151</v>
      </c>
    </row>
    <row r="177" spans="1:9">
      <c r="A177" s="123" t="s">
        <v>1152</v>
      </c>
      <c r="B177" s="113" t="s">
        <v>1153</v>
      </c>
      <c r="C177" s="3"/>
      <c r="E177" s="114">
        <f>_xlfn.IFNA(VLOOKUP(I177,科目余额表!B:M,10,0),0)</f>
        <v>1345692986.9000001</v>
      </c>
      <c r="F177" s="1">
        <f>ROUND(SUMIF(上期ETY!D:D,B177,上期ETY!F:F),2)</f>
        <v>0</v>
      </c>
      <c r="G177" s="1">
        <f>ROUND(SUMIF(上期ETY!D:D,B177,上期ETY!G:G),2)</f>
        <v>0</v>
      </c>
      <c r="H177" s="115">
        <f t="shared" ref="H177:H190" si="37">ROUND(E177+F177-G177,2)</f>
        <v>1345692986.9000001</v>
      </c>
      <c r="I177" s="18" t="s">
        <v>806</v>
      </c>
    </row>
    <row r="178" spans="1:9">
      <c r="A178" s="123" t="s">
        <v>1154</v>
      </c>
      <c r="B178" s="113" t="s">
        <v>1155</v>
      </c>
      <c r="C178" s="3"/>
      <c r="E178" s="114">
        <f>_xlfn.IFNA(VLOOKUP(I178,科目余额表!B:M,10,0),0)</f>
        <v>10298061.710000001</v>
      </c>
      <c r="F178" s="1">
        <f>ROUND(SUMIF(上期ETY!D:D,B178,上期ETY!F:F),2)</f>
        <v>0</v>
      </c>
      <c r="G178" s="1">
        <f>ROUND(SUMIF(上期ETY!D:D,B178,上期ETY!G:G),2)</f>
        <v>0</v>
      </c>
      <c r="H178" s="115">
        <f t="shared" si="37"/>
        <v>10298061.710000001</v>
      </c>
      <c r="I178" s="18" t="s">
        <v>807</v>
      </c>
    </row>
    <row r="179" spans="1:9">
      <c r="A179" s="123" t="s">
        <v>1156</v>
      </c>
      <c r="B179" s="113"/>
      <c r="C179" s="3"/>
      <c r="E179" s="111"/>
      <c r="F179" s="1">
        <f>ROUND(SUMIF(上期ETY!D:D,B179,上期ETY!F:F),2)</f>
        <v>0</v>
      </c>
      <c r="G179" s="1">
        <f>ROUND(SUMIF(上期ETY!D:D,B179,上期ETY!G:G),2)</f>
        <v>0</v>
      </c>
      <c r="H179" s="115">
        <f t="shared" si="37"/>
        <v>0</v>
      </c>
    </row>
    <row r="180" spans="1:9">
      <c r="A180" s="123" t="s">
        <v>1157</v>
      </c>
      <c r="B180" s="113" t="s">
        <v>1158</v>
      </c>
      <c r="C180" s="3"/>
      <c r="D180" s="3"/>
      <c r="E180" s="111"/>
      <c r="F180" s="1">
        <f>ROUND(SUMIF(上期ETY!D:D,B180,上期ETY!F:F),2)</f>
        <v>0</v>
      </c>
      <c r="G180" s="1">
        <f>ROUND(SUMIF(上期ETY!D:D,B180,上期ETY!G:G),2)</f>
        <v>0</v>
      </c>
      <c r="H180" s="115">
        <f t="shared" si="37"/>
        <v>0</v>
      </c>
      <c r="I180" s="18" t="s">
        <v>1158</v>
      </c>
    </row>
    <row r="181" spans="1:9">
      <c r="A181" s="123" t="s">
        <v>1159</v>
      </c>
      <c r="B181" s="113" t="s">
        <v>1160</v>
      </c>
      <c r="C181" s="3"/>
      <c r="D181" s="3"/>
      <c r="E181" s="111"/>
      <c r="F181" s="1">
        <f>ROUND(SUMIF(上期ETY!D:D,B181,上期ETY!F:F),2)</f>
        <v>0</v>
      </c>
      <c r="G181" s="1">
        <f>ROUND(SUMIF(上期ETY!D:D,B181,上期ETY!G:G),2)</f>
        <v>0</v>
      </c>
      <c r="H181" s="115">
        <f t="shared" si="37"/>
        <v>0</v>
      </c>
      <c r="I181" s="18" t="s">
        <v>1160</v>
      </c>
    </row>
    <row r="182" spans="1:9">
      <c r="A182" s="123" t="s">
        <v>1161</v>
      </c>
      <c r="B182" s="113" t="s">
        <v>1162</v>
      </c>
      <c r="C182" s="3"/>
      <c r="D182" s="3"/>
      <c r="E182" s="111"/>
      <c r="F182" s="1">
        <f>ROUND(SUMIF(上期ETY!D:D,B182,上期ETY!F:F),2)</f>
        <v>0</v>
      </c>
      <c r="G182" s="1">
        <f>ROUND(SUMIF(上期ETY!D:D,B182,上期ETY!G:G),2)</f>
        <v>0</v>
      </c>
      <c r="H182" s="115">
        <f t="shared" si="37"/>
        <v>0</v>
      </c>
      <c r="I182" s="18" t="s">
        <v>1162</v>
      </c>
    </row>
    <row r="183" spans="1:9">
      <c r="A183" s="123" t="s">
        <v>1163</v>
      </c>
      <c r="B183" s="113" t="s">
        <v>1164</v>
      </c>
      <c r="C183" s="3"/>
      <c r="D183" s="3"/>
      <c r="E183" s="111"/>
      <c r="F183" s="1">
        <f>ROUND(SUMIF(上期ETY!D:D,B183,上期ETY!F:F),2)</f>
        <v>0</v>
      </c>
      <c r="G183" s="1">
        <f>ROUND(SUMIF(上期ETY!D:D,B183,上期ETY!G:G),2)</f>
        <v>0</v>
      </c>
      <c r="H183" s="115">
        <f t="shared" si="37"/>
        <v>0</v>
      </c>
      <c r="I183" s="18" t="s">
        <v>1164</v>
      </c>
    </row>
    <row r="184" spans="1:9">
      <c r="A184" s="123" t="s">
        <v>1165</v>
      </c>
      <c r="B184" s="113" t="s">
        <v>1166</v>
      </c>
      <c r="C184" s="3"/>
      <c r="D184" s="3"/>
      <c r="E184" s="111"/>
      <c r="F184" s="1">
        <f>ROUND(SUMIF(上期ETY!D:D,B184,上期ETY!F:F),2)</f>
        <v>0</v>
      </c>
      <c r="G184" s="1">
        <f>ROUND(SUMIF(上期ETY!D:D,B184,上期ETY!G:G),2)</f>
        <v>0</v>
      </c>
      <c r="H184" s="115">
        <f t="shared" si="37"/>
        <v>0</v>
      </c>
      <c r="I184" s="18" t="s">
        <v>1166</v>
      </c>
    </row>
    <row r="185" spans="1:9">
      <c r="A185" s="123" t="s">
        <v>1167</v>
      </c>
      <c r="B185" s="113" t="s">
        <v>1168</v>
      </c>
      <c r="C185" s="3"/>
      <c r="D185" s="3"/>
      <c r="E185" s="111"/>
      <c r="F185" s="1">
        <f>ROUND(SUMIF(上期ETY!D:D,B185,上期ETY!F:F),2)</f>
        <v>0</v>
      </c>
      <c r="G185" s="1">
        <f>ROUND(SUMIF(上期ETY!D:D,B185,上期ETY!G:G),2)</f>
        <v>0</v>
      </c>
      <c r="H185" s="115">
        <f t="shared" si="37"/>
        <v>0</v>
      </c>
      <c r="I185" s="18" t="s">
        <v>1168</v>
      </c>
    </row>
    <row r="186" spans="1:9">
      <c r="A186" s="123" t="s">
        <v>1169</v>
      </c>
      <c r="B186" s="113" t="s">
        <v>1170</v>
      </c>
      <c r="C186" s="4"/>
      <c r="D186" s="4"/>
      <c r="E186" s="114">
        <f>_xlfn.IFNA(VLOOKUP(I186,科目余额表!B:M,10,0),0)</f>
        <v>7567760.6699999999</v>
      </c>
      <c r="F186" s="1">
        <f>ROUND(SUMIF(上期ETY!D:D,B186,上期ETY!F:F),2)</f>
        <v>0</v>
      </c>
      <c r="G186" s="1">
        <f>ROUND(SUMIF(上期ETY!D:D,B186,上期ETY!G:G),2)</f>
        <v>0</v>
      </c>
      <c r="H186" s="115">
        <f t="shared" si="37"/>
        <v>7567760.6699999999</v>
      </c>
      <c r="I186" s="18" t="s">
        <v>808</v>
      </c>
    </row>
    <row r="187" spans="1:9">
      <c r="A187" s="123" t="s">
        <v>1171</v>
      </c>
      <c r="B187" s="113" t="s">
        <v>809</v>
      </c>
      <c r="C187" s="4"/>
      <c r="D187" s="4"/>
      <c r="E187" s="111"/>
      <c r="F187" s="1">
        <f>ROUND(SUMIF(上期ETY!D:D,B187,上期ETY!F:F),2)</f>
        <v>0</v>
      </c>
      <c r="G187" s="1">
        <f>ROUND(SUMIF(上期ETY!D:D,B187,上期ETY!G:G),2)</f>
        <v>0</v>
      </c>
      <c r="H187" s="115">
        <f t="shared" si="37"/>
        <v>0</v>
      </c>
      <c r="I187" s="18" t="s">
        <v>809</v>
      </c>
    </row>
    <row r="188" spans="1:9">
      <c r="A188" s="123" t="s">
        <v>1172</v>
      </c>
      <c r="B188" s="113" t="s">
        <v>810</v>
      </c>
      <c r="C188" s="4"/>
      <c r="D188" s="4"/>
      <c r="E188" s="114">
        <f>_xlfn.IFNA(VLOOKUP(I188,科目余额表!B:M,10,0),0)</f>
        <v>123240697.16</v>
      </c>
      <c r="F188" s="1">
        <f>ROUND(SUMIF(上期ETY!D:D,B188,上期ETY!F:F),2)</f>
        <v>0</v>
      </c>
      <c r="G188" s="1">
        <f>ROUND(SUMIF(上期ETY!D:D,B188,上期ETY!G:G),2)</f>
        <v>0</v>
      </c>
      <c r="H188" s="115">
        <f t="shared" si="37"/>
        <v>123240697.16</v>
      </c>
      <c r="I188" s="18" t="s">
        <v>810</v>
      </c>
    </row>
    <row r="189" spans="1:9">
      <c r="A189" s="123" t="s">
        <v>1173</v>
      </c>
      <c r="B189" s="113" t="s">
        <v>1174</v>
      </c>
      <c r="C189" s="4"/>
      <c r="D189" s="4"/>
      <c r="E189" s="111"/>
      <c r="F189" s="1">
        <f>ROUND(SUMIF(上期ETY!D:D,B189,上期ETY!F:F),2)</f>
        <v>0</v>
      </c>
      <c r="G189" s="1">
        <f>ROUND(SUMIF(上期ETY!D:D,B189,上期ETY!G:G),2)</f>
        <v>0</v>
      </c>
      <c r="H189" s="115">
        <f t="shared" si="37"/>
        <v>0</v>
      </c>
      <c r="I189" s="18" t="s">
        <v>1174</v>
      </c>
    </row>
    <row r="190" spans="1:9">
      <c r="A190" s="123" t="s">
        <v>1175</v>
      </c>
      <c r="B190" s="113" t="s">
        <v>811</v>
      </c>
      <c r="C190" s="128"/>
      <c r="D190" s="128"/>
      <c r="E190" s="114">
        <f>_xlfn.IFNA(VLOOKUP(I190,科目余额表!B:M,10,0),0)</f>
        <v>155897420.59999999</v>
      </c>
      <c r="F190" s="1">
        <f>ROUND(SUMIF(上期ETY!D:D,B190,上期ETY!F:F),2)</f>
        <v>0</v>
      </c>
      <c r="G190" s="1">
        <f>ROUND(SUMIF(上期ETY!D:D,B190,上期ETY!G:G),2)</f>
        <v>0</v>
      </c>
      <c r="H190" s="115">
        <f t="shared" si="37"/>
        <v>155897420.59999999</v>
      </c>
      <c r="I190" s="18" t="s">
        <v>811</v>
      </c>
    </row>
    <row r="191" spans="1:9">
      <c r="A191" s="123" t="s">
        <v>1176</v>
      </c>
      <c r="B191" s="113" t="s">
        <v>1177</v>
      </c>
      <c r="C191" s="128"/>
      <c r="D191" s="128"/>
      <c r="E191" s="114">
        <f>_xlfn.IFNA(VLOOKUP(I191,科目余额表!B:M,10,0),0)</f>
        <v>74328000</v>
      </c>
      <c r="F191" s="1">
        <f>ROUND(SUMIF(上期ETY!D:D,B191,上期ETY!F:F),2)</f>
        <v>0</v>
      </c>
      <c r="G191" s="1">
        <f>ROUND(SUMIF(上期ETY!D:D,B191,上期ETY!G:G),2)</f>
        <v>0</v>
      </c>
      <c r="H191" s="115">
        <f t="shared" ref="H191:H202" si="38">ROUND(E191-F191+G191,2)</f>
        <v>74328000</v>
      </c>
      <c r="I191" s="18" t="s">
        <v>803</v>
      </c>
    </row>
    <row r="192" spans="1:9">
      <c r="A192" s="123" t="s">
        <v>1178</v>
      </c>
      <c r="B192" s="113" t="s">
        <v>1179</v>
      </c>
      <c r="C192" s="128"/>
      <c r="D192" s="128"/>
      <c r="E192" s="114">
        <f>_xlfn.IFNA(VLOOKUP(I192,科目余额表!B:M,10,0),0)</f>
        <v>246513625.72</v>
      </c>
      <c r="F192" s="1">
        <f>ROUND(SUMIF(上期ETY!D:D,B192,上期ETY!F:F),2)</f>
        <v>0</v>
      </c>
      <c r="G192" s="1">
        <f>ROUND(SUMIF(上期ETY!D:D,B192,上期ETY!G:G),2)</f>
        <v>0</v>
      </c>
      <c r="H192" s="115">
        <f t="shared" si="38"/>
        <v>246513625.72</v>
      </c>
      <c r="I192" s="18" t="s">
        <v>804</v>
      </c>
    </row>
    <row r="193" spans="1:9">
      <c r="A193" s="123" t="s">
        <v>1180</v>
      </c>
      <c r="B193" s="113"/>
      <c r="C193" s="128"/>
      <c r="D193" s="128"/>
      <c r="E193" s="127"/>
      <c r="H193" s="115">
        <f t="shared" si="38"/>
        <v>0</v>
      </c>
    </row>
    <row r="194" spans="1:9">
      <c r="A194" s="123" t="s">
        <v>1181</v>
      </c>
      <c r="B194" s="113"/>
      <c r="C194" s="128"/>
      <c r="D194" s="129" t="s">
        <v>856</v>
      </c>
      <c r="E194" s="127"/>
      <c r="H194" s="115">
        <f t="shared" si="38"/>
        <v>0</v>
      </c>
    </row>
    <row r="195" spans="1:9">
      <c r="A195" s="123" t="s">
        <v>1182</v>
      </c>
      <c r="B195" s="113" t="s">
        <v>1183</v>
      </c>
      <c r="C195" s="128"/>
      <c r="D195" s="129" t="s">
        <v>856</v>
      </c>
      <c r="E195" s="111"/>
      <c r="F195" s="1">
        <f>ROUND(SUMIF(上期ETY!D:D,B195,上期ETY!F:F),2)</f>
        <v>0</v>
      </c>
      <c r="G195" s="1">
        <f>ROUND(SUMIF(上期ETY!D:D,B195,上期ETY!G:G),2)</f>
        <v>0</v>
      </c>
      <c r="H195" s="115">
        <f t="shared" si="38"/>
        <v>0</v>
      </c>
      <c r="I195" s="18" t="s">
        <v>1184</v>
      </c>
    </row>
    <row r="196" spans="1:9">
      <c r="A196" s="123" t="s">
        <v>1185</v>
      </c>
      <c r="B196" s="113" t="s">
        <v>1186</v>
      </c>
      <c r="C196" s="128"/>
      <c r="D196" s="128"/>
      <c r="E196" s="111"/>
      <c r="F196" s="1">
        <f>ROUND(SUMIF(上期ETY!D:D,B196,上期ETY!F:F),2)</f>
        <v>0</v>
      </c>
      <c r="G196" s="1">
        <f>ROUND(SUMIF(上期ETY!D:D,B196,上期ETY!G:G),2)</f>
        <v>0</v>
      </c>
      <c r="H196" s="115">
        <f t="shared" si="38"/>
        <v>0</v>
      </c>
      <c r="I196" s="18" t="s">
        <v>1187</v>
      </c>
    </row>
    <row r="197" spans="1:9">
      <c r="A197" s="123" t="s">
        <v>1188</v>
      </c>
      <c r="B197" s="113" t="s">
        <v>1189</v>
      </c>
      <c r="C197" s="128"/>
      <c r="D197" s="129" t="s">
        <v>856</v>
      </c>
      <c r="E197" s="111"/>
      <c r="F197" s="1">
        <f>ROUND(SUMIF(上期ETY!D:D,B197,上期ETY!F:F),2)</f>
        <v>0</v>
      </c>
      <c r="G197" s="1">
        <f>ROUND(SUMIF(上期ETY!D:D,B197,上期ETY!G:G),2)</f>
        <v>0</v>
      </c>
      <c r="H197" s="115">
        <f t="shared" si="38"/>
        <v>0</v>
      </c>
      <c r="I197" s="18" t="s">
        <v>1190</v>
      </c>
    </row>
    <row r="198" spans="1:9">
      <c r="A198" s="123" t="s">
        <v>1191</v>
      </c>
      <c r="B198" s="113" t="s">
        <v>1192</v>
      </c>
      <c r="C198" s="128"/>
      <c r="D198" s="128"/>
      <c r="E198" s="114">
        <f>_xlfn.IFNA(VLOOKUP(I198,科目余额表!B:M,10,0),0)</f>
        <v>20045068.129999999</v>
      </c>
      <c r="F198" s="1">
        <f>ROUND(SUMIF(上期ETY!D:D,B198,上期ETY!F:F),2)</f>
        <v>0</v>
      </c>
      <c r="G198" s="1">
        <f>ROUND(SUMIF(上期ETY!D:D,B198,上期ETY!G:G),2)</f>
        <v>0</v>
      </c>
      <c r="H198" s="115">
        <f t="shared" si="38"/>
        <v>20045068.129999999</v>
      </c>
      <c r="I198" s="18" t="s">
        <v>812</v>
      </c>
    </row>
    <row r="199" spans="1:9">
      <c r="A199" s="123" t="s">
        <v>1193</v>
      </c>
      <c r="B199" s="113" t="s">
        <v>1194</v>
      </c>
      <c r="C199" s="128"/>
      <c r="D199" s="128"/>
      <c r="E199" s="114">
        <f>_xlfn.IFNA(VLOOKUP(I199,科目余额表!B:M,10,0),0)</f>
        <v>3131735.07</v>
      </c>
      <c r="F199" s="1">
        <f>ROUND(SUMIF(上期ETY!D:D,B199,上期ETY!F:F),2)</f>
        <v>0</v>
      </c>
      <c r="G199" s="1">
        <f>ROUND(SUMIF(上期ETY!D:D,B199,上期ETY!G:G),2)</f>
        <v>0</v>
      </c>
      <c r="H199" s="115">
        <f t="shared" si="38"/>
        <v>3131735.07</v>
      </c>
      <c r="I199" s="18" t="s">
        <v>813</v>
      </c>
    </row>
    <row r="200" spans="1:9">
      <c r="A200" s="123" t="s">
        <v>1195</v>
      </c>
      <c r="B200" s="113" t="s">
        <v>1196</v>
      </c>
      <c r="C200" s="128"/>
      <c r="D200" s="128"/>
      <c r="E200" s="111"/>
      <c r="F200" s="1">
        <f>ROUND(SUMIF(上期ETY!D:D,B200,上期ETY!F:F),2)</f>
        <v>0</v>
      </c>
      <c r="G200" s="1">
        <f>ROUND(SUMIF(上期ETY!D:D,B200,上期ETY!G:G),2)</f>
        <v>0</v>
      </c>
      <c r="H200" s="115">
        <f t="shared" si="38"/>
        <v>0</v>
      </c>
      <c r="I200" s="18" t="s">
        <v>1197</v>
      </c>
    </row>
    <row r="201" spans="1:9">
      <c r="A201" s="122" t="s">
        <v>1198</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1199</v>
      </c>
      <c r="B202" s="113" t="s">
        <v>1200</v>
      </c>
      <c r="C202" s="128"/>
      <c r="D202" s="128"/>
      <c r="E202" s="114">
        <f>_xlfn.IFNA(VLOOKUP(I202,科目余额表!B:M,10,0),0)</f>
        <v>36628434.68</v>
      </c>
      <c r="F202" s="1">
        <f>ROUND(SUMIF(上期ETY!D:D,B202,上期ETY!F:F),2)</f>
        <v>0</v>
      </c>
      <c r="G202" s="1">
        <f>ROUND(SUMIF(上期ETY!D:D,B202,上期ETY!G:G),2)</f>
        <v>0</v>
      </c>
      <c r="H202" s="115">
        <f t="shared" si="38"/>
        <v>36628434.68</v>
      </c>
      <c r="I202" s="18" t="s">
        <v>805</v>
      </c>
    </row>
    <row r="203" spans="1:9">
      <c r="A203" s="123" t="s">
        <v>1201</v>
      </c>
      <c r="B203" s="113" t="s">
        <v>1202</v>
      </c>
      <c r="C203" s="128"/>
      <c r="D203" s="128"/>
      <c r="E203" s="114">
        <f>_xlfn.IFNA(VLOOKUP(I203,科目余额表!B:M,10,0),0)</f>
        <v>550050</v>
      </c>
      <c r="F203" s="1">
        <f>ROUND(SUMIF(上期ETY!D:D,B203,上期ETY!F:F),2)</f>
        <v>0</v>
      </c>
      <c r="G203" s="1">
        <f>ROUND(SUMIF(上期ETY!D:D,B203,上期ETY!G:G),2)</f>
        <v>0</v>
      </c>
      <c r="H203" s="115">
        <f t="shared" ref="H203" si="39">ROUND(E203+F203-G203,2)</f>
        <v>550050</v>
      </c>
      <c r="I203" s="18" t="s">
        <v>814</v>
      </c>
    </row>
    <row r="204" spans="1:9">
      <c r="A204" s="122" t="s">
        <v>1203</v>
      </c>
      <c r="B204" s="113"/>
      <c r="C204" s="128"/>
      <c r="D204" s="128"/>
      <c r="E204" s="128">
        <f t="shared" ref="E204:H204" si="40">E201+E202-E203</f>
        <v>294701643.11000019</v>
      </c>
      <c r="F204" s="128">
        <f t="shared" si="40"/>
        <v>0</v>
      </c>
      <c r="G204" s="128">
        <f t="shared" si="40"/>
        <v>0</v>
      </c>
      <c r="H204" s="128">
        <f t="shared" si="40"/>
        <v>294701643.10999972</v>
      </c>
    </row>
    <row r="205" spans="1:9">
      <c r="A205" s="123" t="s">
        <v>1204</v>
      </c>
      <c r="B205" s="113" t="s">
        <v>87</v>
      </c>
      <c r="C205" s="128"/>
      <c r="D205" s="128"/>
      <c r="E205" s="114">
        <f>_xlfn.IFNA(VLOOKUP(I205,科目余额表!B:M,10,0),0)</f>
        <v>8481128.6199999992</v>
      </c>
      <c r="F205" s="1">
        <f>ROUND(SUMIF(上期ETY!D:D,B205,上期ETY!F:F),2)</f>
        <v>0</v>
      </c>
      <c r="G205" s="1">
        <f>ROUND(SUMIF(上期ETY!D:D,B205,上期ETY!G:G),2)</f>
        <v>0</v>
      </c>
      <c r="H205" s="115">
        <f t="shared" ref="H205" si="41">ROUND(E205+F205-G205,2)</f>
        <v>8481128.6199999992</v>
      </c>
      <c r="I205" s="18" t="s">
        <v>731</v>
      </c>
    </row>
    <row r="206" spans="1:9">
      <c r="A206" s="122" t="s">
        <v>1205</v>
      </c>
      <c r="B206" s="113"/>
      <c r="C206" s="130"/>
      <c r="D206" s="130"/>
      <c r="E206" s="130">
        <f>E204-E205</f>
        <v>286220514.49000019</v>
      </c>
      <c r="F206" s="130"/>
      <c r="G206" s="130"/>
      <c r="H206" s="130">
        <f t="shared" ref="H206" si="42">H204-H205</f>
        <v>286220514.48999971</v>
      </c>
    </row>
    <row r="207" spans="1:9">
      <c r="A207" s="124" t="s">
        <v>1206</v>
      </c>
      <c r="B207" s="113"/>
      <c r="C207" s="128"/>
      <c r="D207" s="128"/>
      <c r="E207" s="127"/>
    </row>
    <row r="208" spans="1:9">
      <c r="A208" s="123" t="s">
        <v>1207</v>
      </c>
      <c r="B208" s="113"/>
      <c r="C208" s="128"/>
      <c r="D208" s="128"/>
      <c r="E208" s="127"/>
    </row>
    <row r="209" spans="1:9">
      <c r="A209" s="123" t="s">
        <v>1208</v>
      </c>
      <c r="B209" s="113"/>
      <c r="C209" s="128"/>
      <c r="D209" s="128"/>
      <c r="E209" s="127"/>
    </row>
    <row r="210" spans="1:9">
      <c r="A210" s="124" t="s">
        <v>1209</v>
      </c>
      <c r="B210" s="113"/>
      <c r="C210" s="128"/>
      <c r="D210" s="128"/>
      <c r="E210" s="127"/>
    </row>
    <row r="211" spans="1:9">
      <c r="A211" s="123" t="s">
        <v>1210</v>
      </c>
      <c r="B211" s="113" t="s">
        <v>1211</v>
      </c>
      <c r="C211" s="128"/>
      <c r="D211" s="128"/>
      <c r="E211" s="127">
        <f>E206-E212</f>
        <v>286220514.49000019</v>
      </c>
      <c r="F211" s="1">
        <f>ROUND(SUMIF(上期ETY!D:D,B211,上期ETY!F:F),2)</f>
        <v>0</v>
      </c>
      <c r="G211" s="1">
        <f>ROUND(SUMIF(上期ETY!D:D,B211,上期ETY!G:G),2)</f>
        <v>0</v>
      </c>
      <c r="H211" s="1">
        <f>H206-H212</f>
        <v>286220514.48999971</v>
      </c>
      <c r="I211" s="18" t="s">
        <v>1211</v>
      </c>
    </row>
    <row r="212" spans="1:9">
      <c r="A212" s="123" t="s">
        <v>1212</v>
      </c>
      <c r="B212" s="113" t="s">
        <v>1213</v>
      </c>
      <c r="C212" s="128"/>
      <c r="D212" s="128"/>
      <c r="E212" s="128"/>
      <c r="F212" s="128">
        <f t="shared" ref="F212:G212" si="43">F206-F211</f>
        <v>0</v>
      </c>
      <c r="G212" s="128">
        <f t="shared" si="43"/>
        <v>0</v>
      </c>
      <c r="H212" s="115">
        <f t="shared" ref="H212" si="44">ROUND(E212+F212-G212,2)</f>
        <v>0</v>
      </c>
      <c r="I212" s="18" t="s">
        <v>1213</v>
      </c>
    </row>
    <row r="213" spans="1:9">
      <c r="A213" s="125" t="s">
        <v>1214</v>
      </c>
      <c r="B213" s="113"/>
      <c r="C213" s="130"/>
      <c r="D213" s="130"/>
      <c r="E213" s="130">
        <f>E214+E231</f>
        <v>0</v>
      </c>
      <c r="F213" s="130">
        <f t="shared" ref="F213:H213" si="45">F214+F231</f>
        <v>0</v>
      </c>
      <c r="G213" s="130">
        <f t="shared" si="45"/>
        <v>0</v>
      </c>
      <c r="H213" s="130">
        <f t="shared" si="45"/>
        <v>0</v>
      </c>
    </row>
    <row r="214" spans="1:9">
      <c r="A214" s="124" t="s">
        <v>1215</v>
      </c>
      <c r="B214" s="113"/>
      <c r="C214" s="128"/>
      <c r="D214" s="128"/>
      <c r="E214" s="128">
        <f t="shared" ref="E214:H214" si="46">E215+E221</f>
        <v>0</v>
      </c>
      <c r="F214" s="128">
        <f t="shared" si="46"/>
        <v>0</v>
      </c>
      <c r="G214" s="128">
        <f t="shared" si="46"/>
        <v>0</v>
      </c>
      <c r="H214" s="128">
        <f t="shared" si="46"/>
        <v>0</v>
      </c>
    </row>
    <row r="215" spans="1:9">
      <c r="A215" s="124" t="s">
        <v>1216</v>
      </c>
      <c r="B215" s="113"/>
      <c r="C215" s="128"/>
      <c r="D215" s="128"/>
      <c r="E215" s="128">
        <f t="shared" ref="E215:H215" si="47">E216+E217+E218+E219+E220</f>
        <v>0</v>
      </c>
      <c r="F215" s="128">
        <f t="shared" si="47"/>
        <v>0</v>
      </c>
      <c r="G215" s="128">
        <f t="shared" si="47"/>
        <v>0</v>
      </c>
      <c r="H215" s="128">
        <f t="shared" si="47"/>
        <v>0</v>
      </c>
    </row>
    <row r="216" spans="1:9">
      <c r="A216" s="124" t="s">
        <v>1217</v>
      </c>
      <c r="B216" s="113"/>
      <c r="C216" s="128"/>
      <c r="D216" s="128"/>
      <c r="E216" s="127"/>
      <c r="H216" s="115">
        <f t="shared" ref="H216:H220" si="48">ROUND(E216+F216-G216,2)</f>
        <v>0</v>
      </c>
    </row>
    <row r="217" spans="1:9">
      <c r="A217" s="124" t="s">
        <v>1218</v>
      </c>
      <c r="B217" s="113"/>
      <c r="C217" s="128"/>
      <c r="D217" s="128"/>
      <c r="E217" s="127"/>
      <c r="H217" s="115">
        <f t="shared" si="48"/>
        <v>0</v>
      </c>
    </row>
    <row r="218" spans="1:9">
      <c r="A218" s="124" t="s">
        <v>1219</v>
      </c>
      <c r="B218" s="113"/>
      <c r="C218" s="128"/>
      <c r="D218" s="128"/>
      <c r="E218" s="127"/>
      <c r="H218" s="115">
        <f t="shared" si="48"/>
        <v>0</v>
      </c>
    </row>
    <row r="219" spans="1:9">
      <c r="A219" s="124" t="s">
        <v>1220</v>
      </c>
      <c r="B219" s="113"/>
      <c r="C219" s="128"/>
      <c r="D219" s="128"/>
      <c r="E219" s="127"/>
      <c r="H219" s="115">
        <f t="shared" si="48"/>
        <v>0</v>
      </c>
    </row>
    <row r="220" spans="1:9">
      <c r="A220" s="124" t="s">
        <v>1221</v>
      </c>
      <c r="B220" s="113"/>
      <c r="C220" s="128"/>
      <c r="D220" s="128"/>
      <c r="E220" s="127"/>
      <c r="H220" s="115">
        <f t="shared" si="48"/>
        <v>0</v>
      </c>
    </row>
    <row r="221" spans="1:9">
      <c r="A221" s="124" t="s">
        <v>1222</v>
      </c>
      <c r="B221" s="113"/>
      <c r="C221" s="128"/>
      <c r="D221" s="128"/>
      <c r="E221" s="128">
        <f>SUM(E222:E230)</f>
        <v>0</v>
      </c>
      <c r="F221" s="128">
        <f t="shared" ref="F221:H221" si="49">SUM(F222:F230)</f>
        <v>0</v>
      </c>
      <c r="G221" s="128">
        <f t="shared" si="49"/>
        <v>0</v>
      </c>
      <c r="H221" s="128">
        <f t="shared" si="49"/>
        <v>0</v>
      </c>
    </row>
    <row r="222" spans="1:9">
      <c r="A222" s="124" t="s">
        <v>1223</v>
      </c>
      <c r="B222" s="113"/>
      <c r="C222" s="128"/>
      <c r="D222" s="128"/>
      <c r="E222" s="127"/>
      <c r="H222" s="115">
        <f t="shared" ref="H222:H231" si="50">ROUND(E222+F222-G222,2)</f>
        <v>0</v>
      </c>
    </row>
    <row r="223" spans="1:9">
      <c r="A223" s="124" t="s">
        <v>1224</v>
      </c>
      <c r="B223" s="113"/>
      <c r="C223" s="128"/>
      <c r="D223" s="128"/>
      <c r="E223" s="127"/>
      <c r="H223" s="115">
        <f t="shared" si="50"/>
        <v>0</v>
      </c>
    </row>
    <row r="224" spans="1:9">
      <c r="A224" s="124" t="s">
        <v>1225</v>
      </c>
      <c r="B224" s="113"/>
      <c r="C224" s="131" t="s">
        <v>858</v>
      </c>
      <c r="D224" s="131"/>
      <c r="E224" s="127"/>
      <c r="H224" s="115">
        <f t="shared" si="50"/>
        <v>0</v>
      </c>
    </row>
    <row r="225" spans="1:9">
      <c r="A225" s="124" t="s">
        <v>1226</v>
      </c>
      <c r="B225" s="113"/>
      <c r="C225" s="128"/>
      <c r="D225" s="128"/>
      <c r="E225" s="127"/>
      <c r="H225" s="115">
        <f t="shared" si="50"/>
        <v>0</v>
      </c>
    </row>
    <row r="226" spans="1:9">
      <c r="A226" s="124" t="s">
        <v>1227</v>
      </c>
      <c r="B226" s="113"/>
      <c r="C226" s="131" t="s">
        <v>858</v>
      </c>
      <c r="D226" s="131"/>
      <c r="E226" s="127"/>
      <c r="H226" s="115">
        <f t="shared" si="50"/>
        <v>0</v>
      </c>
    </row>
    <row r="227" spans="1:9">
      <c r="A227" s="124" t="s">
        <v>1228</v>
      </c>
      <c r="B227" s="113"/>
      <c r="C227" s="128"/>
      <c r="D227" s="128"/>
      <c r="E227" s="127"/>
      <c r="H227" s="115">
        <f t="shared" si="50"/>
        <v>0</v>
      </c>
    </row>
    <row r="228" spans="1:9">
      <c r="A228" s="124" t="s">
        <v>1229</v>
      </c>
      <c r="B228" s="113"/>
      <c r="C228" s="128"/>
      <c r="D228" s="128"/>
      <c r="E228" s="127"/>
      <c r="H228" s="115">
        <f t="shared" si="50"/>
        <v>0</v>
      </c>
    </row>
    <row r="229" spans="1:9">
      <c r="A229" s="124" t="s">
        <v>1230</v>
      </c>
      <c r="B229" s="113"/>
      <c r="C229" s="128"/>
      <c r="D229" s="128"/>
      <c r="E229" s="127"/>
      <c r="H229" s="115">
        <f t="shared" si="50"/>
        <v>0</v>
      </c>
    </row>
    <row r="230" spans="1:9">
      <c r="A230" s="124" t="s">
        <v>1231</v>
      </c>
      <c r="B230" s="113"/>
      <c r="C230" s="128"/>
      <c r="D230" s="128"/>
      <c r="E230" s="127"/>
      <c r="H230" s="115">
        <f t="shared" si="50"/>
        <v>0</v>
      </c>
    </row>
    <row r="231" spans="1:9">
      <c r="A231" s="124" t="s">
        <v>1232</v>
      </c>
      <c r="B231" s="113"/>
      <c r="C231" s="128"/>
      <c r="D231" s="128"/>
      <c r="E231" s="127"/>
      <c r="H231" s="115">
        <f t="shared" si="50"/>
        <v>0</v>
      </c>
    </row>
    <row r="232" spans="1:9">
      <c r="A232" s="125" t="s">
        <v>1233</v>
      </c>
      <c r="B232" s="113"/>
      <c r="C232" s="130"/>
      <c r="D232" s="130"/>
      <c r="E232" s="130">
        <f t="shared" ref="E232:H232" si="51">E206+E213</f>
        <v>286220514.49000019</v>
      </c>
      <c r="F232" s="130">
        <f t="shared" si="51"/>
        <v>0</v>
      </c>
      <c r="G232" s="130">
        <f t="shared" si="51"/>
        <v>0</v>
      </c>
      <c r="H232" s="130">
        <f t="shared" si="51"/>
        <v>286220514.48999971</v>
      </c>
    </row>
    <row r="233" spans="1:9">
      <c r="A233" s="123" t="s">
        <v>1234</v>
      </c>
      <c r="B233" s="113"/>
      <c r="C233" s="128"/>
      <c r="D233" s="128"/>
      <c r="E233" s="128">
        <f>E211+E214</f>
        <v>286220514.49000019</v>
      </c>
      <c r="F233" s="128">
        <f t="shared" ref="F233:H233" si="52">F211+F214</f>
        <v>0</v>
      </c>
      <c r="G233" s="128">
        <f t="shared" si="52"/>
        <v>0</v>
      </c>
      <c r="H233" s="128">
        <f t="shared" si="52"/>
        <v>286220514.48999971</v>
      </c>
    </row>
    <row r="234" spans="1:9">
      <c r="A234" s="123" t="s">
        <v>1235</v>
      </c>
      <c r="B234" s="113"/>
      <c r="C234" s="128"/>
      <c r="D234" s="128"/>
      <c r="E234" s="128">
        <f t="shared" ref="E234:H234" si="53">E212+E231</f>
        <v>0</v>
      </c>
      <c r="F234" s="128">
        <f t="shared" si="53"/>
        <v>0</v>
      </c>
      <c r="G234" s="128">
        <f t="shared" si="53"/>
        <v>0</v>
      </c>
      <c r="H234" s="128">
        <f t="shared" si="53"/>
        <v>0</v>
      </c>
    </row>
    <row r="235" spans="1:9">
      <c r="A235" s="125" t="s">
        <v>1236</v>
      </c>
      <c r="B235" s="113"/>
      <c r="C235" s="130"/>
      <c r="D235" s="130"/>
      <c r="E235" s="127"/>
    </row>
    <row r="236" spans="1:9">
      <c r="A236" s="123" t="s">
        <v>1237</v>
      </c>
      <c r="B236" s="113"/>
      <c r="C236" s="130"/>
      <c r="D236" s="130"/>
      <c r="E236" s="127"/>
    </row>
    <row r="237" spans="1:9">
      <c r="A237" s="123" t="s">
        <v>1238</v>
      </c>
      <c r="B237" s="113"/>
      <c r="C237" s="130"/>
      <c r="D237" s="130"/>
      <c r="E237" s="127"/>
    </row>
    <row r="238" spans="1:9">
      <c r="A238" s="124" t="s">
        <v>1239</v>
      </c>
      <c r="B238" s="113" t="s">
        <v>1240</v>
      </c>
      <c r="C238" s="130"/>
      <c r="D238" s="130"/>
      <c r="E238" s="132">
        <f>_xlfn.IFNA(VLOOKUP(I238,科目余额表!B:M,6,0),0)</f>
        <v>837672284.46000004</v>
      </c>
      <c r="F238" s="1">
        <f>ROUND(SUMIF(上期ETY!D:D,B238,上期ETY!F:F),2)</f>
        <v>0</v>
      </c>
      <c r="G238" s="1">
        <f>ROUND(SUMIF(上期ETY!D:D,B238,上期ETY!G:G),2)</f>
        <v>0</v>
      </c>
      <c r="H238" s="115">
        <f>ROUND(E238-F238+G238,2)</f>
        <v>837672284.46000004</v>
      </c>
      <c r="I238" s="18" t="s">
        <v>1243</v>
      </c>
    </row>
    <row r="239" spans="1:9">
      <c r="A239" s="124" t="s">
        <v>1241</v>
      </c>
      <c r="B239" s="113" t="s">
        <v>1241</v>
      </c>
      <c r="C239" s="130"/>
      <c r="D239" s="130"/>
      <c r="E239" s="133"/>
      <c r="F239" s="1">
        <f>ROUND(SUMIF(上期ETY!D:D,B239,上期ETY!F:F),2)</f>
        <v>0</v>
      </c>
      <c r="G239" s="1">
        <f>ROUND(SUMIF(上期ETY!D:D,B239,上期ETY!G:G),2)</f>
        <v>0</v>
      </c>
      <c r="H239" s="115">
        <f>ROUND(E239-F239+G239,2)</f>
        <v>0</v>
      </c>
    </row>
    <row r="240" spans="1:9">
      <c r="A240" s="123" t="s">
        <v>1242</v>
      </c>
      <c r="E240" s="111">
        <f>E238+E239</f>
        <v>837672284.46000004</v>
      </c>
      <c r="F240" s="1">
        <f>ROUND(SUMIF(上期ETY!D:D,B240,上期ETY!F:F),2)</f>
        <v>0</v>
      </c>
      <c r="G240" s="1">
        <f>ROUND(SUMIF(上期ETY!D:D,B240,上期ETY!G:G),2)</f>
        <v>0</v>
      </c>
      <c r="H240" s="115">
        <f>H238+H239</f>
        <v>837672284.46000004</v>
      </c>
    </row>
    <row r="241" spans="1:8">
      <c r="A241" s="125" t="s">
        <v>1244</v>
      </c>
      <c r="E241" s="134">
        <f>E240+E206</f>
        <v>1123892798.9500003</v>
      </c>
      <c r="F241" s="134">
        <f>F240+F206</f>
        <v>0</v>
      </c>
      <c r="G241" s="134">
        <f>G240+G206</f>
        <v>0</v>
      </c>
      <c r="H241" s="134">
        <f>H240+H206</f>
        <v>1123892798.9499998</v>
      </c>
    </row>
    <row r="242" spans="1:8">
      <c r="A242" s="123" t="s">
        <v>1245</v>
      </c>
      <c r="B242" s="18" t="s">
        <v>1246</v>
      </c>
      <c r="E242" s="135"/>
      <c r="F242" s="1">
        <f>ROUND(SUMIF(上期ETY!D:D,B242,上期ETY!F:F),2)</f>
        <v>0</v>
      </c>
      <c r="G242" s="1">
        <f>ROUND(SUMIF(上期ETY!D:D,B242,上期ETY!G:G),2)</f>
        <v>0</v>
      </c>
      <c r="H242" s="115">
        <f t="shared" ref="H242:H247" si="54">ROUND(E242+F242-G242,2)</f>
        <v>0</v>
      </c>
    </row>
    <row r="243" spans="1:8">
      <c r="A243" s="123" t="s">
        <v>1247</v>
      </c>
      <c r="B243" s="18" t="s">
        <v>1248</v>
      </c>
      <c r="E243" s="135"/>
      <c r="F243" s="1">
        <f>ROUND(SUMIF(上期ETY!D:D,B243,上期ETY!F:F),2)</f>
        <v>0</v>
      </c>
      <c r="G243" s="1">
        <f>ROUND(SUMIF(上期ETY!D:D,B243,上期ETY!G:G),2)</f>
        <v>0</v>
      </c>
      <c r="H243" s="115">
        <f t="shared" si="54"/>
        <v>0</v>
      </c>
    </row>
    <row r="244" spans="1:8">
      <c r="A244" s="123" t="s">
        <v>1249</v>
      </c>
      <c r="B244" s="18" t="s">
        <v>1250</v>
      </c>
      <c r="E244" s="135"/>
      <c r="F244" s="1">
        <f>ROUND(SUMIF(上期ETY!D:D,B244,上期ETY!F:F),2)</f>
        <v>0</v>
      </c>
      <c r="G244" s="1">
        <f>ROUND(SUMIF(上期ETY!D:D,B244,上期ETY!G:G),2)</f>
        <v>0</v>
      </c>
      <c r="H244" s="115">
        <f t="shared" si="54"/>
        <v>0</v>
      </c>
    </row>
    <row r="245" spans="1:8">
      <c r="A245" s="123" t="s">
        <v>1251</v>
      </c>
      <c r="B245" s="18" t="s">
        <v>1252</v>
      </c>
      <c r="E245" s="135"/>
      <c r="F245" s="1">
        <f>ROUND(SUMIF(上期ETY!D:D,B245,上期ETY!F:F),2)</f>
        <v>0</v>
      </c>
      <c r="G245" s="1">
        <f>ROUND(SUMIF(上期ETY!D:D,B245,上期ETY!G:G),2)</f>
        <v>0</v>
      </c>
      <c r="H245" s="115">
        <f t="shared" si="54"/>
        <v>0</v>
      </c>
    </row>
    <row r="246" spans="1:8">
      <c r="A246" s="123" t="s">
        <v>1253</v>
      </c>
      <c r="B246" s="18" t="s">
        <v>1254</v>
      </c>
      <c r="E246" s="135"/>
      <c r="F246" s="1">
        <f>ROUND(SUMIF(上期ETY!D:D,B246,上期ETY!F:F),2)</f>
        <v>0</v>
      </c>
      <c r="G246" s="1">
        <f>ROUND(SUMIF(上期ETY!D:D,B246,上期ETY!G:G),2)</f>
        <v>0</v>
      </c>
      <c r="H246" s="115">
        <f t="shared" si="54"/>
        <v>0</v>
      </c>
    </row>
    <row r="247" spans="1:8">
      <c r="A247" s="123" t="s">
        <v>1255</v>
      </c>
      <c r="B247" s="18" t="s">
        <v>1256</v>
      </c>
      <c r="E247" s="135"/>
      <c r="F247" s="1">
        <f>ROUND(SUMIF(上期ETY!D:D,B247,上期ETY!F:F),2)</f>
        <v>0</v>
      </c>
      <c r="G247" s="1">
        <f>ROUND(SUMIF(上期ETY!D:D,B247,上期ETY!G:G),2)</f>
        <v>0</v>
      </c>
      <c r="H247" s="115">
        <f t="shared" si="54"/>
        <v>0</v>
      </c>
    </row>
    <row r="248" spans="1:8">
      <c r="A248" s="125" t="s">
        <v>1257</v>
      </c>
      <c r="E248" s="134">
        <f>E241-SUM(E242:E247)</f>
        <v>1123892798.9500003</v>
      </c>
      <c r="F248" s="134">
        <f t="shared" ref="F248:H248" si="55">F241-SUM(F242:F247)</f>
        <v>0</v>
      </c>
      <c r="G248" s="134">
        <f t="shared" si="55"/>
        <v>0</v>
      </c>
      <c r="H248" s="134">
        <f t="shared" si="55"/>
        <v>1123892798.9499998</v>
      </c>
    </row>
    <row r="249" spans="1:8">
      <c r="A249" s="123" t="s">
        <v>1258</v>
      </c>
      <c r="B249" s="18" t="s">
        <v>1259</v>
      </c>
      <c r="E249" s="135"/>
      <c r="F249" s="1">
        <f>ROUND(SUMIF(上期ETY!D:D,B249,上期ETY!F:F),2)</f>
        <v>0</v>
      </c>
      <c r="G249" s="1">
        <f>ROUND(SUMIF(上期ETY!D:D,B249,上期ETY!G:G),2)</f>
        <v>0</v>
      </c>
      <c r="H249" s="115">
        <f t="shared" ref="H249:H252" si="56">ROUND(E249+F249-G249,2)</f>
        <v>0</v>
      </c>
    </row>
    <row r="250" spans="1:8">
      <c r="A250" s="123" t="s">
        <v>1260</v>
      </c>
      <c r="B250" s="18" t="s">
        <v>1261</v>
      </c>
      <c r="E250" s="135"/>
      <c r="F250" s="1">
        <f>ROUND(SUMIF(上期ETY!D:D,B250,上期ETY!F:F),2)</f>
        <v>0</v>
      </c>
      <c r="G250" s="1">
        <f>ROUND(SUMIF(上期ETY!D:D,B250,上期ETY!G:G),2)</f>
        <v>0</v>
      </c>
      <c r="H250" s="115">
        <f t="shared" si="56"/>
        <v>0</v>
      </c>
    </row>
    <row r="251" spans="1:8">
      <c r="A251" s="123" t="s">
        <v>1262</v>
      </c>
      <c r="B251" s="18" t="s">
        <v>1263</v>
      </c>
      <c r="E251" s="136"/>
      <c r="F251" s="1">
        <f>ROUND(SUMIF(上期ETY!D:D,B251,上期ETY!F:F),2)</f>
        <v>0</v>
      </c>
      <c r="G251" s="1">
        <f>ROUND(SUMIF(上期ETY!D:D,B251,上期ETY!G:G),2)</f>
        <v>0</v>
      </c>
      <c r="H251" s="115">
        <f t="shared" si="56"/>
        <v>0</v>
      </c>
    </row>
    <row r="252" spans="1:8">
      <c r="A252" s="123" t="s">
        <v>1264</v>
      </c>
      <c r="B252" s="18" t="s">
        <v>1265</v>
      </c>
      <c r="E252" s="136"/>
      <c r="F252" s="1">
        <f>ROUND(SUMIF(上期ETY!D:D,B252,上期ETY!F:F),2)</f>
        <v>0</v>
      </c>
      <c r="G252" s="1">
        <f>ROUND(SUMIF(上期ETY!D:D,B252,上期ETY!G:G),2)</f>
        <v>0</v>
      </c>
      <c r="H252" s="115">
        <f t="shared" si="56"/>
        <v>0</v>
      </c>
    </row>
    <row r="253" spans="1:8">
      <c r="A253" s="125" t="s">
        <v>1266</v>
      </c>
      <c r="E253" s="134">
        <f>E248-SUM(E249:E252)</f>
        <v>1123892798.9500003</v>
      </c>
      <c r="F253" s="134">
        <f t="shared" ref="F253:H253" si="57">F248-SUM(F249:F252)</f>
        <v>0</v>
      </c>
      <c r="G253" s="134">
        <f t="shared" si="57"/>
        <v>0</v>
      </c>
      <c r="H253" s="134">
        <f t="shared" si="57"/>
        <v>1123892798.9499998</v>
      </c>
    </row>
    <row r="254" spans="1:8">
      <c r="A254" s="123" t="s">
        <v>1267</v>
      </c>
      <c r="E254" s="134">
        <f>E167-E106</f>
        <v>128293955.23999786</v>
      </c>
      <c r="H254" s="134">
        <f>H167-H106</f>
        <v>128293955.23999786</v>
      </c>
    </row>
    <row r="255" spans="1:8">
      <c r="A255" s="123" t="s">
        <v>1268</v>
      </c>
      <c r="H255" s="134"/>
    </row>
    <row r="257" spans="5:5">
      <c r="E257" s="1"/>
    </row>
    <row r="258" spans="5:5">
      <c r="E258" s="134"/>
    </row>
  </sheetData>
  <phoneticPr fontId="1" type="noConversion"/>
  <conditionalFormatting sqref="I71:L71">
    <cfRule type="uniqueValues" dxfId="174" priority="5"/>
    <cfRule type="uniqueValues" dxfId="173" priority="6"/>
  </conditionalFormatting>
  <conditionalFormatting sqref="I68:L68 K69 I69:I70">
    <cfRule type="uniqueValues" dxfId="172" priority="3"/>
    <cfRule type="uniqueValues" dxfId="171" priority="4"/>
  </conditionalFormatting>
  <conditionalFormatting sqref="K70">
    <cfRule type="uniqueValues" dxfId="170" priority="1"/>
    <cfRule type="uniqueValues" dxfId="169"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codeName="Sheet80">
    <tabColor rgb="FFFFC000"/>
  </sheetPr>
  <dimension ref="A1:F4"/>
  <sheetViews>
    <sheetView workbookViewId="0">
      <selection activeCell="F18" sqref="F18"/>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7">
        <f>ROUND(SUMIF(应收账款明细表!C:C,"单项金额重大并单项计提坏账准备",应收账款明细表!H:H),2)</f>
        <v>0</v>
      </c>
      <c r="C2" s="157" t="str">
        <f>IFERROR(B2/$B$4*100,"")</f>
        <v/>
      </c>
      <c r="D2" s="157">
        <f>ROUND(SUMIF(应收账款明细表!C:C,"单项金额重大并单项计提坏账准备",应收账款明细表!S:S),2)</f>
        <v>0</v>
      </c>
      <c r="E2" s="274" t="str">
        <f>IFERROR(D2/B2*100,"")</f>
        <v/>
      </c>
      <c r="F2" s="1">
        <f>ROUND(B2-D2,2)</f>
        <v>0</v>
      </c>
    </row>
    <row r="3" spans="1:6">
      <c r="A3" s="70" t="s">
        <v>245</v>
      </c>
      <c r="B3" s="157">
        <f>ROUND(SUMIF(应收账款明细表!C:C,"按信用风险特征组合计提坏账准备",应收账款明细表!H:H),2)</f>
        <v>0</v>
      </c>
      <c r="C3" s="157" t="str">
        <f t="shared" ref="C3:C4" si="0">IFERROR(B3/$B$4*100,"")</f>
        <v/>
      </c>
      <c r="D3" s="157">
        <f>ROUND(SUMIF(应收账款明细表!C:C,"按信用风险特征组合计提坏账准备",应收账款明细表!S:S),2)</f>
        <v>0</v>
      </c>
      <c r="E3" s="274" t="str">
        <f>IFERROR(D3/B3*100,"")</f>
        <v/>
      </c>
      <c r="F3" s="1">
        <f>ROUND(B3-D3,2)</f>
        <v>0</v>
      </c>
    </row>
    <row r="4" spans="1:6" ht="14.4">
      <c r="A4" s="23" t="s">
        <v>204</v>
      </c>
      <c r="B4" s="157">
        <f>ROUND(SUM(B1:B3),2)</f>
        <v>0</v>
      </c>
      <c r="C4" s="157" t="str">
        <f t="shared" si="0"/>
        <v/>
      </c>
      <c r="D4" s="157">
        <f>ROUND(SUM(D1:D3),2)</f>
        <v>0</v>
      </c>
      <c r="E4" s="155" t="s">
        <v>239</v>
      </c>
      <c r="F4" s="157">
        <f>ROUND(SUM(F1:F3),2)</f>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codeName="Sheet81">
    <tabColor rgb="FFFFC000"/>
  </sheetPr>
  <dimension ref="A1:F5"/>
  <sheetViews>
    <sheetView workbookViewId="0">
      <selection activeCell="F8" sqref="F8"/>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4205</v>
      </c>
      <c r="C1" s="40" t="s">
        <v>242</v>
      </c>
      <c r="D1" s="40" t="s">
        <v>219</v>
      </c>
      <c r="E1" s="40" t="s">
        <v>243</v>
      </c>
      <c r="F1" s="67" t="s">
        <v>222</v>
      </c>
    </row>
    <row r="2" spans="1:6" ht="14.4">
      <c r="A2" s="19" t="s">
        <v>236</v>
      </c>
      <c r="B2" s="275"/>
      <c r="C2" s="39" t="str">
        <f>IFERROR(B2/$B$5*100,"")</f>
        <v/>
      </c>
      <c r="D2" s="275"/>
      <c r="E2" s="68" t="str">
        <f>IFERROR(D2/B2*100,"")</f>
        <v/>
      </c>
      <c r="F2" s="18">
        <f>ROUND(B2-D2,2)</f>
        <v>0</v>
      </c>
    </row>
    <row r="3" spans="1:6" ht="14.4">
      <c r="A3" s="19" t="s">
        <v>237</v>
      </c>
      <c r="B3" s="275"/>
      <c r="C3" s="39" t="str">
        <f t="shared" ref="C3:C5" si="0">IFERROR(B3/$B$5*100,"")</f>
        <v/>
      </c>
      <c r="D3" s="275"/>
      <c r="E3" s="68" t="str">
        <f t="shared" ref="E3:E4" si="1">IFERROR(D3/B3*100,"")</f>
        <v/>
      </c>
      <c r="F3" s="18">
        <f>ROUND(B3-D3,2)</f>
        <v>0</v>
      </c>
    </row>
    <row r="4" spans="1:6" ht="14.4">
      <c r="A4" s="34" t="s">
        <v>238</v>
      </c>
      <c r="B4" s="275"/>
      <c r="C4" s="39" t="str">
        <f t="shared" si="0"/>
        <v/>
      </c>
      <c r="D4" s="275"/>
      <c r="E4" s="68" t="str">
        <f t="shared" si="1"/>
        <v/>
      </c>
      <c r="F4" s="18">
        <f>ROUND(B4-D4,2)</f>
        <v>0</v>
      </c>
    </row>
    <row r="5" spans="1:6" ht="14.4">
      <c r="A5" s="35" t="s">
        <v>204</v>
      </c>
      <c r="B5" s="39">
        <f>ROUND(SUM(B2:B4),2)</f>
        <v>0</v>
      </c>
      <c r="C5" s="39" t="str">
        <f t="shared" si="0"/>
        <v/>
      </c>
      <c r="D5" s="39">
        <f>ROUND(SUM(D2:D4),2)</f>
        <v>0</v>
      </c>
      <c r="E5" s="35" t="s">
        <v>239</v>
      </c>
      <c r="F5" s="39">
        <f>ROUND(SUM(F2:F4),2)</f>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codeName="Sheet82">
    <tabColor rgb="FFFFC000"/>
  </sheetPr>
  <dimension ref="A1:F9"/>
  <sheetViews>
    <sheetView workbookViewId="0">
      <selection activeCell="I16" sqref="I16"/>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4201</v>
      </c>
      <c r="C1" s="35" t="s">
        <v>213</v>
      </c>
      <c r="D1" s="20" t="s">
        <v>247</v>
      </c>
      <c r="E1" s="35" t="s">
        <v>248</v>
      </c>
      <c r="F1" s="35" t="s">
        <v>225</v>
      </c>
    </row>
    <row r="2" spans="1:6">
      <c r="A2" s="283"/>
      <c r="B2" s="276"/>
      <c r="C2" s="276"/>
      <c r="D2" s="276"/>
      <c r="E2" s="50" t="str">
        <f>IFERROR(C2/B2*100,"")</f>
        <v/>
      </c>
      <c r="F2" s="284"/>
    </row>
    <row r="3" spans="1:6">
      <c r="A3" s="283"/>
      <c r="B3" s="276"/>
      <c r="C3" s="276"/>
      <c r="D3" s="276"/>
      <c r="E3" s="50" t="str">
        <f t="shared" ref="E3:E8" si="0">IFERROR(C3/B3*100,"")</f>
        <v/>
      </c>
      <c r="F3" s="284"/>
    </row>
    <row r="4" spans="1:6">
      <c r="A4" s="283"/>
      <c r="B4" s="276"/>
      <c r="C4" s="276"/>
      <c r="D4" s="276"/>
      <c r="E4" s="50" t="str">
        <f t="shared" si="0"/>
        <v/>
      </c>
      <c r="F4" s="284"/>
    </row>
    <row r="5" spans="1:6">
      <c r="A5" s="283"/>
      <c r="B5" s="276"/>
      <c r="C5" s="276"/>
      <c r="D5" s="276"/>
      <c r="E5" s="50" t="str">
        <f t="shared" si="0"/>
        <v/>
      </c>
      <c r="F5" s="284"/>
    </row>
    <row r="6" spans="1:6">
      <c r="A6" s="283"/>
      <c r="B6" s="276"/>
      <c r="C6" s="276"/>
      <c r="D6" s="276"/>
      <c r="E6" s="50" t="str">
        <f t="shared" si="0"/>
        <v/>
      </c>
      <c r="F6" s="284"/>
    </row>
    <row r="7" spans="1:6">
      <c r="A7" s="283"/>
      <c r="B7" s="276"/>
      <c r="C7" s="276"/>
      <c r="D7" s="276"/>
      <c r="E7" s="50" t="str">
        <f t="shared" si="0"/>
        <v/>
      </c>
      <c r="F7" s="284"/>
    </row>
    <row r="8" spans="1:6">
      <c r="A8" s="283"/>
      <c r="B8" s="276"/>
      <c r="C8" s="276"/>
      <c r="D8" s="276"/>
      <c r="E8" s="50" t="str">
        <f t="shared" si="0"/>
        <v/>
      </c>
      <c r="F8" s="284"/>
    </row>
    <row r="9" spans="1:6" ht="14.4">
      <c r="A9" s="20" t="s">
        <v>204</v>
      </c>
      <c r="B9" s="50">
        <f>ROUND(SUM(B2:B8),2)</f>
        <v>0</v>
      </c>
      <c r="C9" s="50">
        <f>ROUND(SUM(C2:C8),2)</f>
        <v>0</v>
      </c>
      <c r="D9" s="54" t="s">
        <v>239</v>
      </c>
      <c r="E9" s="54" t="s">
        <v>239</v>
      </c>
      <c r="F9" s="41" t="s">
        <v>239</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codeName="Sheet83">
    <tabColor rgb="FFFFC000"/>
  </sheetPr>
  <dimension ref="A1:G8"/>
  <sheetViews>
    <sheetView workbookViewId="0">
      <selection activeCell="F17" sqref="F17"/>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40" t="s">
        <v>214</v>
      </c>
      <c r="C1" s="40" t="s">
        <v>249</v>
      </c>
      <c r="D1" s="40" t="s">
        <v>250</v>
      </c>
      <c r="E1" s="40" t="s">
        <v>251</v>
      </c>
      <c r="F1" s="40" t="s">
        <v>252</v>
      </c>
      <c r="G1" s="40" t="s">
        <v>253</v>
      </c>
    </row>
    <row r="2" spans="1:7" ht="14.4">
      <c r="A2" s="65" t="s">
        <v>254</v>
      </c>
      <c r="B2" s="157">
        <f>ROUND(SUMIF(应收账款明细表!E:E,"账龄组合",应收账款明细表!I:I),2)</f>
        <v>0</v>
      </c>
      <c r="C2" s="157" t="str">
        <f>IFERROR(B2/$B$8*100,"")</f>
        <v/>
      </c>
      <c r="D2" s="152">
        <f>ROUND(SUMIF(应收账款明细表!E:E,"账龄组合",应收账款明细表!T:T),2)</f>
        <v>0</v>
      </c>
      <c r="E2" s="265"/>
      <c r="F2" s="157" t="str">
        <f>IFERROR(E2/$E$8*100,"")</f>
        <v/>
      </c>
      <c r="G2" s="279"/>
    </row>
    <row r="3" spans="1:7">
      <c r="A3" s="65" t="s">
        <v>4197</v>
      </c>
      <c r="B3" s="157">
        <f>ROUND(SUMIF(应收账款明细表!E:E,"账龄组合",应收账款明细表!J:J),2)</f>
        <v>0</v>
      </c>
      <c r="C3" s="157" t="str">
        <f t="shared" ref="C3:C7" si="0">IFERROR(B3/$B$8*100,"")</f>
        <v/>
      </c>
      <c r="D3" s="152">
        <f>ROUND(SUMIF(应收账款明细表!E:E,"账龄组合",应收账款明细表!U:U),2)</f>
        <v>0</v>
      </c>
      <c r="E3" s="265"/>
      <c r="F3" s="157" t="str">
        <f t="shared" ref="F3:F7" si="1">IFERROR(E3/$E$8*100,"")</f>
        <v/>
      </c>
      <c r="G3" s="279"/>
    </row>
    <row r="4" spans="1:7">
      <c r="A4" s="65" t="s">
        <v>4198</v>
      </c>
      <c r="B4" s="157">
        <f>ROUND(SUMIF(应收账款明细表!E:E,"账龄组合",应收账款明细表!K:K),2)</f>
        <v>0</v>
      </c>
      <c r="C4" s="157" t="str">
        <f t="shared" si="0"/>
        <v/>
      </c>
      <c r="D4" s="152">
        <f>ROUND(SUMIF(应收账款明细表!E:E,"账龄组合",应收账款明细表!V:V),2)</f>
        <v>0</v>
      </c>
      <c r="E4" s="265"/>
      <c r="F4" s="157" t="str">
        <f t="shared" si="1"/>
        <v/>
      </c>
      <c r="G4" s="279"/>
    </row>
    <row r="5" spans="1:7">
      <c r="A5" s="65" t="s">
        <v>4199</v>
      </c>
      <c r="B5" s="157">
        <f>ROUND(SUMIF(应收账款明细表!E:E,"账龄组合",应收账款明细表!L:L),2)</f>
        <v>0</v>
      </c>
      <c r="C5" s="157" t="str">
        <f t="shared" si="0"/>
        <v/>
      </c>
      <c r="D5" s="152">
        <f>ROUND(SUMIF(应收账款明细表!E:E,"账龄组合",应收账款明细表!W:W),2)</f>
        <v>0</v>
      </c>
      <c r="E5" s="265"/>
      <c r="F5" s="157" t="str">
        <f t="shared" si="1"/>
        <v/>
      </c>
      <c r="G5" s="279"/>
    </row>
    <row r="6" spans="1:7">
      <c r="A6" s="65" t="s">
        <v>4200</v>
      </c>
      <c r="B6" s="157">
        <f>ROUND(SUMIF(应收账款明细表!E:E,"账龄组合",应收账款明细表!M:M),2)</f>
        <v>0</v>
      </c>
      <c r="C6" s="157" t="str">
        <f t="shared" si="0"/>
        <v/>
      </c>
      <c r="D6" s="152">
        <f>ROUND(SUMIF(应收账款明细表!E:E,"账龄组合",应收账款明细表!X:X),2)</f>
        <v>0</v>
      </c>
      <c r="E6" s="265"/>
      <c r="F6" s="157" t="str">
        <f t="shared" si="1"/>
        <v/>
      </c>
      <c r="G6" s="279"/>
    </row>
    <row r="7" spans="1:7" ht="14.4">
      <c r="A7" s="65" t="s">
        <v>1582</v>
      </c>
      <c r="B7" s="157">
        <f>ROUND(SUMIF(应收账款明细表!E:E,"账龄组合",应收账款明细表!N:N),2)</f>
        <v>0</v>
      </c>
      <c r="C7" s="157" t="str">
        <f t="shared" si="0"/>
        <v/>
      </c>
      <c r="D7" s="152">
        <f>ROUND(SUMIF(应收账款明细表!E:E,"账龄组合",应收账款明细表!Y:Y),2)</f>
        <v>0</v>
      </c>
      <c r="E7" s="265"/>
      <c r="F7" s="157" t="str">
        <f t="shared" si="1"/>
        <v/>
      </c>
      <c r="G7" s="279"/>
    </row>
    <row r="8" spans="1:7" ht="14.4">
      <c r="A8" s="66" t="s">
        <v>204</v>
      </c>
      <c r="B8" s="157">
        <f>ROUND(SUM(B2:B7),2)</f>
        <v>0</v>
      </c>
      <c r="C8" s="289" t="s">
        <v>239</v>
      </c>
      <c r="D8" s="157">
        <f>ROUND(SUM(D2:D7),2)</f>
        <v>0</v>
      </c>
      <c r="E8" s="157">
        <f>ROUND(SUM(E2:E7),2)</f>
        <v>0</v>
      </c>
      <c r="F8" s="289" t="s">
        <v>239</v>
      </c>
      <c r="G8" s="157">
        <f>ROUND(SUM(G2:G7),2)</f>
        <v>0</v>
      </c>
    </row>
  </sheetData>
  <phoneticPr fontId="1" type="noConversion"/>
  <pageMargins left="0.7" right="0.7" top="0.75" bottom="0.75" header="0.3" footer="0.3"/>
  <pageSetup paperSize="9" orientation="portrait" verticalDpi="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codeName="Sheet84">
    <tabColor rgb="FFFFC000"/>
  </sheetPr>
  <dimension ref="A1:G4"/>
  <sheetViews>
    <sheetView workbookViewId="0">
      <selection activeCell="H17" sqref="H17"/>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c r="A2" s="138" t="s">
        <v>2445</v>
      </c>
      <c r="B2" s="291">
        <f>ROUND(SUMIF(应收账款明细表!E:E,A2,应收账款明细表!H:H),2)</f>
        <v>0</v>
      </c>
      <c r="C2" s="291" t="str">
        <f>IFERROR(D2/B2*100,"")</f>
        <v/>
      </c>
      <c r="D2" s="298">
        <f>ROUND(SUMIF(应收账款明细表!E:E,A2,应收账款明细表!S:S),2)</f>
        <v>0</v>
      </c>
      <c r="E2" s="275"/>
      <c r="F2" s="39" t="str">
        <f>IFERROR(G2/E2*100,"")</f>
        <v/>
      </c>
      <c r="G2" s="276"/>
    </row>
    <row r="3" spans="1:7">
      <c r="A3" s="138" t="s">
        <v>2444</v>
      </c>
      <c r="B3" s="291">
        <f>ROUND(SUMIF(应收账款明细表!E:E,A3,应收账款明细表!H:H),2)</f>
        <v>0</v>
      </c>
      <c r="C3" s="291" t="str">
        <f>IFERROR(D3/B3*100,"")</f>
        <v/>
      </c>
      <c r="D3" s="298">
        <f>ROUND(SUMIF(应收账款明细表!E:E,A3,应收账款明细表!S:S),2)</f>
        <v>0</v>
      </c>
      <c r="E3" s="275"/>
      <c r="F3" s="39" t="str">
        <f>IFERROR(G3/E3*100,"")</f>
        <v/>
      </c>
      <c r="G3" s="276"/>
    </row>
    <row r="4" spans="1:7" ht="14.4">
      <c r="A4" s="20" t="s">
        <v>204</v>
      </c>
      <c r="B4" s="157">
        <f>ROUND(SUM(B2:B3),2)</f>
        <v>0</v>
      </c>
      <c r="C4" s="289" t="s">
        <v>239</v>
      </c>
      <c r="D4" s="157">
        <f>ROUND(SUM(D2:D3),2)</f>
        <v>0</v>
      </c>
      <c r="E4" s="39">
        <f>ROUND(SUM(E2:E3),2)</f>
        <v>0</v>
      </c>
      <c r="F4" s="41" t="s">
        <v>239</v>
      </c>
      <c r="G4" s="39">
        <f>ROUND(SUM(G2:G3),2)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codeName="Sheet85">
    <tabColor rgb="FFFFC000"/>
  </sheetPr>
  <dimension ref="A1:F6"/>
  <sheetViews>
    <sheetView workbookViewId="0">
      <selection activeCell="F13" sqref="F13"/>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4201</v>
      </c>
      <c r="C1" s="1" t="s">
        <v>213</v>
      </c>
      <c r="D1" s="1" t="s">
        <v>247</v>
      </c>
      <c r="E1" s="1" t="s">
        <v>262</v>
      </c>
      <c r="F1" s="1" t="s">
        <v>225</v>
      </c>
    </row>
    <row r="2" spans="1:6">
      <c r="A2" s="247"/>
      <c r="B2" s="139"/>
      <c r="C2" s="139"/>
      <c r="D2" s="139"/>
      <c r="E2" s="1" t="str">
        <f>IFERROR(C2/B2*100,"")</f>
        <v/>
      </c>
      <c r="F2" s="139"/>
    </row>
    <row r="3" spans="1:6">
      <c r="A3" s="247"/>
      <c r="B3" s="139"/>
      <c r="C3" s="139"/>
      <c r="D3" s="139"/>
      <c r="E3" s="1" t="str">
        <f t="shared" ref="E3:E5" si="0">IFERROR(C3/B3*100,"")</f>
        <v/>
      </c>
      <c r="F3" s="139"/>
    </row>
    <row r="4" spans="1:6">
      <c r="A4" s="247"/>
      <c r="B4" s="139"/>
      <c r="C4" s="139"/>
      <c r="D4" s="139"/>
      <c r="E4" s="1" t="str">
        <f t="shared" si="0"/>
        <v/>
      </c>
      <c r="F4" s="139"/>
    </row>
    <row r="5" spans="1:6">
      <c r="A5" s="247"/>
      <c r="B5" s="139"/>
      <c r="C5" s="139"/>
      <c r="D5" s="139"/>
      <c r="E5" s="1" t="str">
        <f t="shared" si="0"/>
        <v/>
      </c>
      <c r="F5" s="139"/>
    </row>
    <row r="6" spans="1:6">
      <c r="A6" s="18" t="s">
        <v>204</v>
      </c>
      <c r="B6" s="1">
        <f>ROUND(SUM(B2:B5),2)</f>
        <v>0</v>
      </c>
      <c r="C6" s="1">
        <f>ROUND(SUM(C2:C5),2)</f>
        <v>0</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codeName="Sheet86">
    <tabColor rgb="FFFFC000"/>
  </sheetPr>
  <dimension ref="A1:D4"/>
  <sheetViews>
    <sheetView workbookViewId="0">
      <selection activeCell="D12" sqref="D12"/>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4204</v>
      </c>
      <c r="C1" s="18" t="s">
        <v>264</v>
      </c>
      <c r="D1" s="18" t="s">
        <v>265</v>
      </c>
    </row>
    <row r="2" spans="1:4">
      <c r="A2" s="247"/>
      <c r="B2" s="247"/>
      <c r="C2" s="247"/>
      <c r="D2" s="247"/>
    </row>
    <row r="3" spans="1:4">
      <c r="A3" s="247"/>
      <c r="B3" s="247"/>
      <c r="C3" s="247"/>
      <c r="D3" s="247"/>
    </row>
    <row r="4" spans="1:4">
      <c r="A4" s="18" t="s">
        <v>204</v>
      </c>
      <c r="B4" s="18">
        <f>ROUND(SUM(B2:B3),2)</f>
        <v>0</v>
      </c>
      <c r="C4" s="18">
        <f>ROUND(SUM(C2:C3),2)</f>
        <v>0</v>
      </c>
      <c r="D4" s="18" t="s">
        <v>263</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codeName="Sheet87">
    <tabColor rgb="FFFFC000"/>
  </sheetPr>
  <dimension ref="A1:F6"/>
  <sheetViews>
    <sheetView workbookViewId="0">
      <selection activeCell="I16" sqref="I16"/>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4203</v>
      </c>
      <c r="D1" s="18" t="s">
        <v>234</v>
      </c>
      <c r="E1" s="18" t="s">
        <v>235</v>
      </c>
      <c r="F1" s="18" t="s">
        <v>267</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18" t="s">
        <v>204</v>
      </c>
      <c r="B6" s="18" t="s">
        <v>263</v>
      </c>
      <c r="C6" s="1">
        <f>ROUND(SUM(C2:C5),2)</f>
        <v>0</v>
      </c>
      <c r="D6" s="18" t="s">
        <v>263</v>
      </c>
      <c r="E6" s="18" t="s">
        <v>263</v>
      </c>
      <c r="F6" s="18" t="s">
        <v>263</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codeName="Sheet88">
    <tabColor rgb="FFFFC000"/>
  </sheetPr>
  <dimension ref="A1:D7"/>
  <sheetViews>
    <sheetView workbookViewId="0">
      <selection activeCell="D7" sqref="D7"/>
    </sheetView>
  </sheetViews>
  <sheetFormatPr defaultRowHeight="13.8"/>
  <cols>
    <col min="1" max="1" width="38" style="62" bestFit="1" customWidth="1"/>
    <col min="2" max="2" width="13.109375" style="18" bestFit="1" customWidth="1"/>
    <col min="3" max="3" width="28.109375" style="18" bestFit="1" customWidth="1"/>
    <col min="4" max="4" width="12.109375" style="18" bestFit="1" customWidth="1"/>
    <col min="5" max="16384" width="8.88671875" style="18"/>
  </cols>
  <sheetData>
    <row r="1" spans="1:4">
      <c r="A1" s="62" t="s">
        <v>246</v>
      </c>
      <c r="B1" s="18" t="s">
        <v>4201</v>
      </c>
      <c r="C1" s="18" t="s">
        <v>268</v>
      </c>
      <c r="D1" s="18" t="s">
        <v>213</v>
      </c>
    </row>
    <row r="2" spans="1:4">
      <c r="A2" s="286">
        <f>INDEX(应收账款明细表!B:B,MATCH(B2,应收账款明细表!H:H,0))</f>
        <v>0</v>
      </c>
      <c r="B2" s="287">
        <f>ROUND(LARGE(应收账款明细表!H:H,1),2)</f>
        <v>0</v>
      </c>
      <c r="C2" s="18">
        <f>ROUND(B2/本期TB!$H$15*100,2)</f>
        <v>0</v>
      </c>
      <c r="D2" s="137" t="str">
        <f>_xlfn.IFNA(VLOOKUP(A2,应收账款明细表!B:S,18,0),"")</f>
        <v/>
      </c>
    </row>
    <row r="3" spans="1:4">
      <c r="A3" s="286">
        <f>INDEX(应收账款明细表!B:B,MATCH(B3,应收账款明细表!H:H,0))</f>
        <v>0</v>
      </c>
      <c r="B3" s="287">
        <f>ROUND(LARGE(应收账款明细表!H:H,2),2)</f>
        <v>0</v>
      </c>
      <c r="C3" s="18">
        <f>ROUND(B3/本期TB!$H$15*100,2)</f>
        <v>0</v>
      </c>
      <c r="D3" s="137" t="str">
        <f>_xlfn.IFNA(VLOOKUP(A3,应收账款明细表!B:S,18,0),"")</f>
        <v/>
      </c>
    </row>
    <row r="4" spans="1:4">
      <c r="A4" s="286">
        <f>INDEX(应收账款明细表!B:B,MATCH(B4,应收账款明细表!H:H,0))</f>
        <v>0</v>
      </c>
      <c r="B4" s="287">
        <f>ROUND(LARGE(应收账款明细表!H:H,3),2)</f>
        <v>0</v>
      </c>
      <c r="C4" s="18">
        <f>ROUND(B4/本期TB!$H$15*100,2)</f>
        <v>0</v>
      </c>
      <c r="D4" s="137" t="str">
        <f>_xlfn.IFNA(VLOOKUP(A4,应收账款明细表!B:S,18,0),"")</f>
        <v/>
      </c>
    </row>
    <row r="5" spans="1:4">
      <c r="A5" s="286">
        <f>INDEX(应收账款明细表!B:B,MATCH(B5,应收账款明细表!H:H,0))</f>
        <v>0</v>
      </c>
      <c r="B5" s="287">
        <f>ROUND(LARGE(应收账款明细表!H:H,4),2)</f>
        <v>0</v>
      </c>
      <c r="C5" s="18">
        <f>ROUND(B5/本期TB!$H$15*100,2)</f>
        <v>0</v>
      </c>
      <c r="D5" s="137" t="str">
        <f>_xlfn.IFNA(VLOOKUP(A5,应收账款明细表!B:S,18,0),"")</f>
        <v/>
      </c>
    </row>
    <row r="6" spans="1:4">
      <c r="A6" s="286">
        <f>INDEX(应收账款明细表!B:B,MATCH(B6,应收账款明细表!H:H,0))</f>
        <v>0</v>
      </c>
      <c r="B6" s="287">
        <f>ROUND(LARGE(应收账款明细表!H:H,5),2)</f>
        <v>0</v>
      </c>
      <c r="C6" s="18">
        <f>ROUND(B6/本期TB!$H$15*100,2)</f>
        <v>0</v>
      </c>
      <c r="D6" s="137" t="str">
        <f>_xlfn.IFNA(VLOOKUP(A6,应收账款明细表!B:S,18,0),"")</f>
        <v/>
      </c>
    </row>
    <row r="7" spans="1:4">
      <c r="A7" s="62" t="s">
        <v>204</v>
      </c>
      <c r="B7" s="63">
        <f>ROUND(SUM(B2:B6),2)</f>
        <v>0</v>
      </c>
      <c r="C7" s="18">
        <f>ROUND(B7/本期TB!$H$15*100,2)</f>
        <v>0</v>
      </c>
      <c r="D7" s="1">
        <f>ROUND(SUM(D2:D6),2)</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codeName="Sheet89">
    <tabColor rgb="FFFFC000"/>
  </sheetPr>
  <dimension ref="A1:C6"/>
  <sheetViews>
    <sheetView workbookViewId="0">
      <selection activeCell="C14" sqref="C1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2430</v>
      </c>
      <c r="C1" s="18" t="s">
        <v>269</v>
      </c>
    </row>
    <row r="2" spans="1:3">
      <c r="A2" s="247"/>
      <c r="B2" s="247"/>
      <c r="C2" s="247"/>
    </row>
    <row r="3" spans="1:3">
      <c r="A3" s="247"/>
      <c r="B3" s="247"/>
      <c r="C3" s="247"/>
    </row>
    <row r="4" spans="1:3">
      <c r="A4" s="247"/>
      <c r="B4" s="247"/>
      <c r="C4" s="247"/>
    </row>
    <row r="5" spans="1:3">
      <c r="A5" s="247"/>
      <c r="B5" s="247"/>
      <c r="C5" s="247"/>
    </row>
    <row r="6" spans="1:3">
      <c r="A6" s="18" t="s">
        <v>204</v>
      </c>
      <c r="B6" s="18">
        <f>ROUND(SUM(B2:B5),2)</f>
        <v>0</v>
      </c>
      <c r="C6" s="18">
        <f>ROUND(SUM(C2:C5),2)</f>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sheetPr codeName="Sheet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1269</v>
      </c>
      <c r="C1" s="62" t="s">
        <v>1270</v>
      </c>
      <c r="D1" s="62" t="s">
        <v>1271</v>
      </c>
      <c r="E1" s="62" t="s">
        <v>1272</v>
      </c>
      <c r="F1" s="106" t="s">
        <v>825</v>
      </c>
      <c r="G1" s="106" t="s">
        <v>826</v>
      </c>
      <c r="H1" s="62" t="s">
        <v>1273</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codeName="Sheet90">
    <tabColor rgb="FFFFC000"/>
  </sheetPr>
  <dimension ref="A1:B9"/>
  <sheetViews>
    <sheetView workbookViewId="0">
      <selection activeCell="I13" sqref="I13"/>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7"/>
      <c r="B3" s="139"/>
    </row>
    <row r="4" spans="1:2">
      <c r="A4" s="247"/>
      <c r="B4" s="139"/>
    </row>
    <row r="5" spans="1:2">
      <c r="A5" s="18" t="s">
        <v>271</v>
      </c>
      <c r="B5" s="1">
        <f>SUM(B3:B4)</f>
        <v>0</v>
      </c>
    </row>
    <row r="6" spans="1:2">
      <c r="A6" s="18" t="s">
        <v>272</v>
      </c>
    </row>
    <row r="7" spans="1:2">
      <c r="A7" s="247"/>
      <c r="B7" s="139"/>
    </row>
    <row r="8" spans="1:2">
      <c r="A8" s="247"/>
      <c r="B8" s="139"/>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codeName="Sheet91">
    <tabColor rgb="FFFFC000"/>
  </sheetPr>
  <dimension ref="A1:D4"/>
  <sheetViews>
    <sheetView workbookViewId="0">
      <selection activeCell="D10" sqref="D10"/>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8" t="s">
        <v>5685</v>
      </c>
      <c r="B2" s="151">
        <f>ROUND(SUMIF(应收账款明细表!E:E,A2,应收账款明细表!H:H),2)</f>
        <v>0</v>
      </c>
      <c r="C2" s="151">
        <f>ROUND(SUMIF(应收账款明细表!E:E,A2,应收账款明细表!S:S),2)</f>
        <v>0</v>
      </c>
      <c r="D2" s="18" t="str">
        <f>IFERROR(C2/B2*100,"")</f>
        <v/>
      </c>
    </row>
    <row r="3" spans="1:4">
      <c r="A3" s="138" t="s">
        <v>5686</v>
      </c>
      <c r="B3" s="151">
        <f>ROUND(SUMIF(应收账款明细表!E:E,A3,应收账款明细表!H:H),2)</f>
        <v>0</v>
      </c>
      <c r="C3" s="151">
        <f>ROUND(SUMIF(应收账款明细表!E:E,A3,应收账款明细表!S:S),2)</f>
        <v>0</v>
      </c>
      <c r="D3" s="18" t="str">
        <f>IFERROR(C3/B3*100,"")</f>
        <v/>
      </c>
    </row>
    <row r="4" spans="1:4">
      <c r="A4" s="18" t="s">
        <v>282</v>
      </c>
      <c r="B4" s="18">
        <f>ROUND(SUM(B2:B3),2)</f>
        <v>0</v>
      </c>
      <c r="C4" s="18">
        <f>ROUND(SUM(C2:C3),2)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codeName="Sheet92">
    <tabColor rgb="FFFFC000"/>
  </sheetPr>
  <dimension ref="A1:D8"/>
  <sheetViews>
    <sheetView workbookViewId="0">
      <selection activeCell="I15" sqref="I15"/>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2394</v>
      </c>
      <c r="D5" s="18" t="str">
        <f t="shared" si="0"/>
        <v/>
      </c>
    </row>
    <row r="6" spans="1:4">
      <c r="A6" s="18" t="s">
        <v>2395</v>
      </c>
      <c r="D6" s="18" t="str">
        <f t="shared" si="0"/>
        <v/>
      </c>
    </row>
    <row r="7" spans="1:4">
      <c r="A7" s="18" t="s">
        <v>2396</v>
      </c>
      <c r="D7" s="18" t="str">
        <f t="shared" si="0"/>
        <v/>
      </c>
    </row>
    <row r="8" spans="1:4">
      <c r="A8" s="18" t="s">
        <v>282</v>
      </c>
      <c r="B8" s="18">
        <f>ROUND(SUM(B2:B7),2)</f>
        <v>0</v>
      </c>
      <c r="C8" s="18">
        <f>ROUND(SUM(C2:C7),2)</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codeName="Sheet93">
    <tabColor rgb="FFFFC000"/>
  </sheetPr>
  <dimension ref="A1:D8"/>
  <sheetViews>
    <sheetView workbookViewId="0">
      <selection activeCell="I17" sqref="I17:J17"/>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2394</v>
      </c>
      <c r="D5" s="18" t="str">
        <f t="shared" si="0"/>
        <v/>
      </c>
    </row>
    <row r="6" spans="1:4">
      <c r="A6" s="18" t="s">
        <v>2395</v>
      </c>
      <c r="D6" s="18" t="str">
        <f t="shared" si="0"/>
        <v/>
      </c>
    </row>
    <row r="7" spans="1:4">
      <c r="A7" s="18" t="s">
        <v>2396</v>
      </c>
      <c r="D7" s="18" t="str">
        <f t="shared" si="0"/>
        <v/>
      </c>
    </row>
    <row r="8" spans="1:4">
      <c r="A8" s="18" t="s">
        <v>282</v>
      </c>
      <c r="B8" s="18">
        <f>ROUND(SUM(B2:B7),2)</f>
        <v>0</v>
      </c>
      <c r="C8" s="18">
        <f>ROUND(SUM(C2:C7),2)</f>
        <v>0</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codeName="Sheet94">
    <tabColor rgb="FFFFC000"/>
  </sheetPr>
  <dimension ref="A1:G5"/>
  <sheetViews>
    <sheetView workbookViewId="0">
      <selection activeCell="D3" sqref="D3"/>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8" t="s">
        <v>2445</v>
      </c>
      <c r="B2" s="151">
        <f>ROUND(SUMIF(应收账款明细表!E:E,A2,应收账款明细表!H:H),2)</f>
        <v>0</v>
      </c>
      <c r="C2" s="151">
        <f>ROUND(SUMIF(应收账款明细表!E:E,A2,应收账款明细表!S:S),2)</f>
        <v>0</v>
      </c>
      <c r="D2" s="18" t="str">
        <f>IFERROR(C2/B2*100,"")</f>
        <v/>
      </c>
      <c r="E2" s="247"/>
      <c r="F2" s="247"/>
      <c r="G2" s="18" t="str">
        <f>IFERROR(F2/E2*100,"")</f>
        <v/>
      </c>
    </row>
    <row r="3" spans="1:7">
      <c r="A3" s="138" t="s">
        <v>2444</v>
      </c>
      <c r="B3" s="151">
        <f>ROUND(SUMIF(应收账款明细表!E:E,A3,应收账款明细表!H:H),2)</f>
        <v>0</v>
      </c>
      <c r="C3" s="151">
        <f>ROUND(SUMIF(应收账款明细表!E:E,A3,应收账款明细表!S:S),2)</f>
        <v>0</v>
      </c>
      <c r="D3" s="18" t="str">
        <f t="shared" ref="D3:D5" si="0">IFERROR(C3/B3*100,"")</f>
        <v/>
      </c>
      <c r="E3" s="247"/>
      <c r="F3" s="247"/>
      <c r="G3" s="18" t="str">
        <f t="shared" ref="G3:G5" si="1">IFERROR(F3/E3*100,"")</f>
        <v/>
      </c>
    </row>
    <row r="4" spans="1:7">
      <c r="B4" s="151">
        <f>ROUND(SUMIF(应收账款明细表!E:E,A4,应收账款明细表!H:H),2)</f>
        <v>0</v>
      </c>
      <c r="C4" s="151">
        <f>ROUND(SUMIF(应收账款明细表!E:E,A4,应收账款明细表!S:S),2)</f>
        <v>0</v>
      </c>
      <c r="D4" s="18" t="str">
        <f t="shared" si="0"/>
        <v/>
      </c>
      <c r="E4" s="247"/>
      <c r="F4" s="247"/>
      <c r="G4" s="18" t="str">
        <f t="shared" si="1"/>
        <v/>
      </c>
    </row>
    <row r="5" spans="1:7">
      <c r="A5" s="18" t="s">
        <v>282</v>
      </c>
      <c r="B5" s="18">
        <f>ROUND(SUM(B2:B4),2)</f>
        <v>0</v>
      </c>
      <c r="C5" s="18">
        <f>ROUND(SUM(C2:C4),2)</f>
        <v>0</v>
      </c>
      <c r="D5" s="18" t="str">
        <f t="shared" si="0"/>
        <v/>
      </c>
      <c r="E5" s="18">
        <f>ROUND(SUM(E2:E4),2)</f>
        <v>0</v>
      </c>
      <c r="F5" s="18">
        <f>ROUND(SUM(F2:F4),2)</f>
        <v>0</v>
      </c>
      <c r="G5" s="18"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codeName="Sheet95">
    <tabColor rgb="FFFFC000"/>
  </sheetPr>
  <dimension ref="A1:G8"/>
  <sheetViews>
    <sheetView workbookViewId="0">
      <selection activeCell="F14" sqref="F14"/>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7"/>
      <c r="C2" s="247"/>
      <c r="D2" s="18" t="str">
        <f>IFERROR(C2/B2*100,"")</f>
        <v/>
      </c>
      <c r="E2" s="247"/>
      <c r="F2" s="247"/>
      <c r="G2" s="18" t="str">
        <f>IFERROR(F2/E2*100,"")</f>
        <v/>
      </c>
    </row>
    <row r="3" spans="1:7">
      <c r="A3" s="18" t="s">
        <v>278</v>
      </c>
      <c r="B3" s="247"/>
      <c r="C3" s="247"/>
      <c r="D3" s="18" t="str">
        <f t="shared" ref="D3:D7" si="0">IFERROR(C3/B3*100,"")</f>
        <v/>
      </c>
      <c r="E3" s="247"/>
      <c r="F3" s="247"/>
      <c r="G3" s="18" t="str">
        <f t="shared" ref="G3:G7" si="1">IFERROR(F3/E3*100,"")</f>
        <v/>
      </c>
    </row>
    <row r="4" spans="1:7">
      <c r="A4" s="18" t="s">
        <v>279</v>
      </c>
      <c r="B4" s="247"/>
      <c r="C4" s="247"/>
      <c r="D4" s="18" t="str">
        <f t="shared" si="0"/>
        <v/>
      </c>
      <c r="E4" s="247"/>
      <c r="F4" s="247"/>
      <c r="G4" s="18" t="str">
        <f t="shared" si="1"/>
        <v/>
      </c>
    </row>
    <row r="5" spans="1:7">
      <c r="A5" s="18" t="s">
        <v>2394</v>
      </c>
      <c r="B5" s="247"/>
      <c r="C5" s="247"/>
      <c r="D5" s="18" t="str">
        <f t="shared" si="0"/>
        <v/>
      </c>
      <c r="E5" s="247"/>
      <c r="F5" s="247"/>
      <c r="G5" s="18" t="str">
        <f t="shared" si="1"/>
        <v/>
      </c>
    </row>
    <row r="6" spans="1:7">
      <c r="A6" s="18" t="s">
        <v>2395</v>
      </c>
      <c r="B6" s="247"/>
      <c r="C6" s="247"/>
      <c r="D6" s="18" t="str">
        <f t="shared" si="0"/>
        <v/>
      </c>
      <c r="E6" s="247"/>
      <c r="F6" s="247"/>
      <c r="G6" s="18" t="str">
        <f t="shared" si="1"/>
        <v/>
      </c>
    </row>
    <row r="7" spans="1:7">
      <c r="A7" s="18" t="s">
        <v>2396</v>
      </c>
      <c r="B7" s="247"/>
      <c r="C7" s="247"/>
      <c r="D7" s="18" t="str">
        <f t="shared" si="0"/>
        <v/>
      </c>
      <c r="E7" s="247"/>
      <c r="F7" s="247"/>
      <c r="G7" s="18" t="str">
        <f t="shared" si="1"/>
        <v/>
      </c>
    </row>
    <row r="8" spans="1:7">
      <c r="A8" s="18" t="s">
        <v>282</v>
      </c>
      <c r="B8" s="18">
        <f>ROUND(SUM(B2:B7),2)</f>
        <v>0</v>
      </c>
      <c r="C8" s="18">
        <f>ROUND(SUM(C2:C7),2)</f>
        <v>0</v>
      </c>
      <c r="E8" s="18">
        <f>ROUND(SUM(E2:E7),2)</f>
        <v>0</v>
      </c>
      <c r="F8" s="18">
        <f>ROUND(SUM(F2:F7),2)</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codeName="Sheet96">
    <tabColor rgb="FFFFC000"/>
  </sheetPr>
  <dimension ref="A1:G8"/>
  <sheetViews>
    <sheetView workbookViewId="0">
      <selection activeCell="G17" sqref="G17"/>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7"/>
      <c r="C2" s="247"/>
      <c r="D2" s="18" t="str">
        <f>IFERROR(C2/B2*100,"")</f>
        <v/>
      </c>
      <c r="E2" s="247"/>
      <c r="F2" s="247"/>
      <c r="G2" s="18" t="str">
        <f>IFERROR(F2/E2*100,"")</f>
        <v/>
      </c>
    </row>
    <row r="3" spans="1:7">
      <c r="A3" s="18" t="s">
        <v>278</v>
      </c>
      <c r="B3" s="247"/>
      <c r="C3" s="247"/>
      <c r="D3" s="18" t="str">
        <f t="shared" ref="D3:D7" si="0">IFERROR(C3/B3*100,"")</f>
        <v/>
      </c>
      <c r="E3" s="247"/>
      <c r="F3" s="247"/>
      <c r="G3" s="18" t="str">
        <f t="shared" ref="G3:G7" si="1">IFERROR(F3/E3*100,"")</f>
        <v/>
      </c>
    </row>
    <row r="4" spans="1:7">
      <c r="A4" s="18" t="s">
        <v>279</v>
      </c>
      <c r="B4" s="247"/>
      <c r="C4" s="247"/>
      <c r="D4" s="18" t="str">
        <f t="shared" si="0"/>
        <v/>
      </c>
      <c r="E4" s="247"/>
      <c r="F4" s="247"/>
      <c r="G4" s="18" t="str">
        <f t="shared" si="1"/>
        <v/>
      </c>
    </row>
    <row r="5" spans="1:7">
      <c r="A5" s="18" t="s">
        <v>2394</v>
      </c>
      <c r="B5" s="247"/>
      <c r="C5" s="247"/>
      <c r="D5" s="18" t="str">
        <f t="shared" si="0"/>
        <v/>
      </c>
      <c r="E5" s="247"/>
      <c r="F5" s="247"/>
      <c r="G5" s="18" t="str">
        <f t="shared" si="1"/>
        <v/>
      </c>
    </row>
    <row r="6" spans="1:7">
      <c r="A6" s="18" t="s">
        <v>2395</v>
      </c>
      <c r="B6" s="247"/>
      <c r="C6" s="247"/>
      <c r="D6" s="18" t="str">
        <f t="shared" si="0"/>
        <v/>
      </c>
      <c r="E6" s="247"/>
      <c r="F6" s="247"/>
      <c r="G6" s="18" t="str">
        <f t="shared" si="1"/>
        <v/>
      </c>
    </row>
    <row r="7" spans="1:7">
      <c r="A7" s="18" t="s">
        <v>2396</v>
      </c>
      <c r="B7" s="247"/>
      <c r="C7" s="247"/>
      <c r="D7" s="18" t="str">
        <f t="shared" si="0"/>
        <v/>
      </c>
      <c r="E7" s="247"/>
      <c r="F7" s="247"/>
      <c r="G7" s="18" t="str">
        <f t="shared" si="1"/>
        <v/>
      </c>
    </row>
    <row r="8" spans="1:7">
      <c r="A8" s="18" t="s">
        <v>282</v>
      </c>
      <c r="B8" s="18">
        <f>ROUND(SUM(B2:B7),2)</f>
        <v>0</v>
      </c>
      <c r="C8" s="18">
        <f>ROUND(SUM(C2:C7),2)</f>
        <v>0</v>
      </c>
      <c r="E8" s="18">
        <f>ROUND(SUM(E2:E7),2)</f>
        <v>0</v>
      </c>
      <c r="F8" s="18">
        <f>ROUND(SUM(F2:F7),2)</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codeName="Sheet97">
    <tabColor rgb="FFFFC000"/>
  </sheetPr>
  <dimension ref="A1:H4"/>
  <sheetViews>
    <sheetView workbookViewId="0">
      <selection activeCell="F11" sqref="F11"/>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4206</v>
      </c>
    </row>
    <row r="2" spans="1:8" ht="14.4">
      <c r="A2" s="19" t="s">
        <v>244</v>
      </c>
      <c r="B2" s="69">
        <f>ROUND(SUMIF(应收账款明细表!C:C,"单项金额重大并单项计提坏账准备",应收账款明细表!O:O),2)</f>
        <v>0</v>
      </c>
      <c r="C2" s="69">
        <f>ROUND(SUMIF(应收账款明细表!C:C,"单项金额重大并单项计提坏账准备",应收账款明细表!P:P),2)</f>
        <v>0</v>
      </c>
      <c r="D2" s="69"/>
      <c r="E2" s="69">
        <f>ROUND(SUMIF(应收账款明细表!C:C,"单项金额重大并单项计提坏账准备",应收账款明细表!Q:Q),2)</f>
        <v>0</v>
      </c>
      <c r="F2" s="69">
        <f>ROUND(SUMIF(应收账款明细表!C:C,"单项金额重大并单项计提坏账准备",应收账款明细表!R:R),2)</f>
        <v>0</v>
      </c>
      <c r="G2" s="69"/>
      <c r="H2" s="69">
        <f>ROUND(B2+C2+D2-E2-F2-G2,2)</f>
        <v>0</v>
      </c>
    </row>
    <row r="3" spans="1:8" ht="14.4">
      <c r="A3" s="19" t="s">
        <v>245</v>
      </c>
      <c r="B3" s="69">
        <f>ROUND(SUMIF(应收账款明细表!C:C,"按信用风险特征组合计提坏账准备",应收账款明细表!O:O),2)</f>
        <v>0</v>
      </c>
      <c r="C3" s="69">
        <f>ROUND(SUMIF(应收账款明细表!C:C,"按信用风险特征组合计提坏账准备",应收账款明细表!P:P),2)</f>
        <v>0</v>
      </c>
      <c r="D3" s="69"/>
      <c r="E3" s="69">
        <f>ROUND(SUMIF(应收账款明细表!C:C,"按信用风险特征组合计提坏账准备",应收账款明细表!Q:Q),2)</f>
        <v>0</v>
      </c>
      <c r="F3" s="69">
        <f>ROUND(SUMIF(应收账款明细表!C:C,"按信用风险特征组合计提坏账准备",应收账款明细表!R:R),2)</f>
        <v>0</v>
      </c>
      <c r="G3" s="69"/>
      <c r="H3" s="69">
        <f>ROUND(B3+C3+D3-E3-F3-G3,2)</f>
        <v>0</v>
      </c>
    </row>
    <row r="4" spans="1:8" ht="14.4">
      <c r="A4" s="20" t="s">
        <v>282</v>
      </c>
      <c r="B4" s="69">
        <f>ROUND(SUM(B2:B3),2)</f>
        <v>0</v>
      </c>
      <c r="C4" s="69">
        <f>ROUND(SUM(C2:C3),2)</f>
        <v>0</v>
      </c>
      <c r="D4" s="69">
        <f>ROUND(SUM(D2:D3),2)</f>
        <v>0</v>
      </c>
      <c r="E4" s="69">
        <f>ROUND(SUM(E2:E3),2)</f>
        <v>0</v>
      </c>
      <c r="F4" s="69">
        <f>ROUND(SUM(F2:F3),2)</f>
        <v>0</v>
      </c>
      <c r="G4" s="69">
        <f>ROUND(SUM(G2:G3),2)</f>
        <v>0</v>
      </c>
      <c r="H4" s="69">
        <f>ROUND(B4+C4+D4-E4-F4-G4,2)</f>
        <v>0</v>
      </c>
    </row>
  </sheetData>
  <phoneticPr fontId="1" type="noConversion"/>
  <pageMargins left="0.7" right="0.7" top="0.75" bottom="0.75" header="0.3" footer="0.3"/>
  <pageSetup paperSize="9" orientation="portrait" verticalDpi="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sheetPr codeName="Sheet98"/>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F24" sqref="F24"/>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7" customFormat="1" ht="40.799999999999997">
      <c r="A1" s="271" t="s">
        <v>2015</v>
      </c>
      <c r="B1" s="271" t="s">
        <v>2385</v>
      </c>
      <c r="C1" s="592" t="s">
        <v>2190</v>
      </c>
      <c r="D1" s="592" t="s">
        <v>2386</v>
      </c>
      <c r="E1" s="592" t="s">
        <v>2387</v>
      </c>
      <c r="F1" s="592" t="s">
        <v>2388</v>
      </c>
      <c r="G1" s="592" t="s">
        <v>1722</v>
      </c>
      <c r="H1" s="593" t="s">
        <v>4201</v>
      </c>
      <c r="I1" s="594" t="s">
        <v>4563</v>
      </c>
      <c r="J1" s="592" t="s">
        <v>4564</v>
      </c>
      <c r="K1" s="592" t="s">
        <v>4565</v>
      </c>
      <c r="L1" s="592" t="s">
        <v>4566</v>
      </c>
      <c r="M1" s="592" t="s">
        <v>4567</v>
      </c>
      <c r="N1" s="592" t="s">
        <v>4568</v>
      </c>
      <c r="O1" s="592" t="s">
        <v>220</v>
      </c>
      <c r="P1" s="592" t="s">
        <v>2389</v>
      </c>
      <c r="Q1" s="592" t="s">
        <v>2390</v>
      </c>
      <c r="R1" s="592" t="s">
        <v>2397</v>
      </c>
      <c r="S1" s="593" t="s">
        <v>215</v>
      </c>
      <c r="T1" s="595" t="s">
        <v>4569</v>
      </c>
      <c r="U1" s="592" t="s">
        <v>4570</v>
      </c>
      <c r="V1" s="592" t="s">
        <v>4571</v>
      </c>
      <c r="W1" s="592" t="s">
        <v>4572</v>
      </c>
      <c r="X1" s="592" t="s">
        <v>4573</v>
      </c>
      <c r="Y1" s="592" t="s">
        <v>4574</v>
      </c>
      <c r="Z1" s="592" t="s">
        <v>349</v>
      </c>
      <c r="AA1" s="595" t="s">
        <v>4575</v>
      </c>
      <c r="AB1" s="592" t="s">
        <v>4576</v>
      </c>
      <c r="AC1" s="592" t="s">
        <v>4577</v>
      </c>
      <c r="AD1" s="592" t="s">
        <v>4578</v>
      </c>
      <c r="AE1" s="592" t="s">
        <v>4579</v>
      </c>
      <c r="AF1" s="592" t="s">
        <v>4580</v>
      </c>
      <c r="AG1" s="592" t="s">
        <v>2391</v>
      </c>
      <c r="AH1" s="592" t="s">
        <v>4631</v>
      </c>
      <c r="AI1" s="592" t="s">
        <v>4632</v>
      </c>
    </row>
    <row r="2" spans="1:35">
      <c r="A2" t="str">
        <f>IF(ABS(H2)&gt;0,基础信息!$B$1,"")</f>
        <v/>
      </c>
      <c r="B2" s="256"/>
      <c r="C2" s="277"/>
      <c r="D2" s="256"/>
      <c r="E2" s="288"/>
      <c r="F2" s="256"/>
      <c r="G2" s="277"/>
      <c r="H2" s="230">
        <f>SUM(I2:N2)</f>
        <v>0</v>
      </c>
      <c r="I2" s="256"/>
      <c r="J2" s="256"/>
      <c r="K2" s="256"/>
      <c r="L2" s="256"/>
      <c r="M2" s="256"/>
      <c r="N2" s="256"/>
      <c r="O2" s="256"/>
      <c r="P2" s="256"/>
      <c r="Q2" s="256"/>
      <c r="R2" s="256"/>
      <c r="S2" s="230">
        <f>O2+P2-Q2-R2</f>
        <v>0</v>
      </c>
      <c r="T2" s="256"/>
      <c r="U2" s="256"/>
      <c r="V2" s="256"/>
      <c r="W2" s="256"/>
      <c r="X2" s="256"/>
      <c r="Y2" s="256"/>
      <c r="Z2" s="231">
        <f t="shared" ref="Z2:Z20" si="0">H2-S2</f>
        <v>0</v>
      </c>
      <c r="AA2" s="231">
        <f t="shared" ref="AA2:AA20" si="1">I2-T2</f>
        <v>0</v>
      </c>
      <c r="AB2" s="231">
        <f t="shared" ref="AB2:AB20" si="2">J2-U2</f>
        <v>0</v>
      </c>
      <c r="AC2" s="231">
        <f t="shared" ref="AC2:AC20" si="3">K2-V2</f>
        <v>0</v>
      </c>
      <c r="AD2" s="231">
        <f t="shared" ref="AD2:AD20" si="4">L2-W2</f>
        <v>0</v>
      </c>
      <c r="AE2" s="231">
        <f t="shared" ref="AE2:AE20" si="5">M2-X2</f>
        <v>0</v>
      </c>
      <c r="AF2" s="231">
        <f t="shared" ref="AF2:AF20" si="6">N2-Y2</f>
        <v>0</v>
      </c>
      <c r="AG2" s="231">
        <f>S2-SUM(T2:Y2)</f>
        <v>0</v>
      </c>
      <c r="AH2" s="256"/>
      <c r="AI2" s="256"/>
    </row>
    <row r="3" spans="1:35">
      <c r="A3" t="str">
        <f>IF(ABS(H3)&gt;0,基础信息!$B$1,"")</f>
        <v/>
      </c>
      <c r="B3" s="256"/>
      <c r="C3" s="277"/>
      <c r="D3" s="256"/>
      <c r="E3" s="288"/>
      <c r="F3" s="256"/>
      <c r="G3" s="277"/>
      <c r="H3" s="230">
        <f t="shared" ref="H3:H20" si="7">SUM(I3:N3)</f>
        <v>0</v>
      </c>
      <c r="I3" s="256"/>
      <c r="J3" s="256"/>
      <c r="K3" s="256"/>
      <c r="L3" s="256"/>
      <c r="M3" s="256"/>
      <c r="N3" s="256"/>
      <c r="O3" s="256"/>
      <c r="P3" s="256"/>
      <c r="Q3" s="256"/>
      <c r="R3" s="256"/>
      <c r="S3" s="230">
        <f t="shared" ref="S3:S20" si="8">O3+P3-Q3-R3</f>
        <v>0</v>
      </c>
      <c r="T3" s="256"/>
      <c r="U3" s="256"/>
      <c r="V3" s="256"/>
      <c r="W3" s="256"/>
      <c r="X3" s="256"/>
      <c r="Y3" s="256"/>
      <c r="Z3" s="231">
        <f t="shared" si="0"/>
        <v>0</v>
      </c>
      <c r="AA3" s="231">
        <f t="shared" si="1"/>
        <v>0</v>
      </c>
      <c r="AB3" s="231">
        <f t="shared" si="2"/>
        <v>0</v>
      </c>
      <c r="AC3" s="231">
        <f t="shared" si="3"/>
        <v>0</v>
      </c>
      <c r="AD3" s="231">
        <f t="shared" si="4"/>
        <v>0</v>
      </c>
      <c r="AE3" s="231">
        <f t="shared" si="5"/>
        <v>0</v>
      </c>
      <c r="AF3" s="231">
        <f t="shared" si="6"/>
        <v>0</v>
      </c>
      <c r="AG3" s="231">
        <f t="shared" ref="AG3:AG20" si="9">S3-SUM(T3:Y3)</f>
        <v>0</v>
      </c>
      <c r="AH3" s="256"/>
      <c r="AI3" s="256"/>
    </row>
    <row r="4" spans="1:35">
      <c r="A4" t="str">
        <f>IF(ABS(H4)&gt;0,基础信息!$B$1,"")</f>
        <v/>
      </c>
      <c r="B4" s="256"/>
      <c r="C4" s="277"/>
      <c r="D4" s="256"/>
      <c r="E4" s="288"/>
      <c r="F4" s="256"/>
      <c r="G4" s="277"/>
      <c r="H4" s="230">
        <f t="shared" si="7"/>
        <v>0</v>
      </c>
      <c r="I4" s="256"/>
      <c r="J4" s="256"/>
      <c r="K4" s="256"/>
      <c r="L4" s="256"/>
      <c r="M4" s="256"/>
      <c r="N4" s="256"/>
      <c r="O4" s="256"/>
      <c r="P4" s="256"/>
      <c r="Q4" s="256"/>
      <c r="R4" s="256"/>
      <c r="S4" s="230">
        <f t="shared" si="8"/>
        <v>0</v>
      </c>
      <c r="T4" s="256"/>
      <c r="U4" s="256"/>
      <c r="V4" s="256"/>
      <c r="W4" s="256"/>
      <c r="X4" s="256"/>
      <c r="Y4" s="256"/>
      <c r="Z4" s="231">
        <f t="shared" si="0"/>
        <v>0</v>
      </c>
      <c r="AA4" s="231">
        <f t="shared" si="1"/>
        <v>0</v>
      </c>
      <c r="AB4" s="231">
        <f t="shared" si="2"/>
        <v>0</v>
      </c>
      <c r="AC4" s="231">
        <f t="shared" si="3"/>
        <v>0</v>
      </c>
      <c r="AD4" s="231">
        <f t="shared" si="4"/>
        <v>0</v>
      </c>
      <c r="AE4" s="231">
        <f t="shared" si="5"/>
        <v>0</v>
      </c>
      <c r="AF4" s="231">
        <f t="shared" si="6"/>
        <v>0</v>
      </c>
      <c r="AG4" s="231">
        <f t="shared" si="9"/>
        <v>0</v>
      </c>
      <c r="AH4" s="256"/>
      <c r="AI4" s="256"/>
    </row>
    <row r="5" spans="1:35">
      <c r="A5" t="str">
        <f>IF(ABS(H5)&gt;0,基础信息!$B$1,"")</f>
        <v/>
      </c>
      <c r="B5" s="256"/>
      <c r="C5" s="277"/>
      <c r="D5" s="256"/>
      <c r="E5" s="288"/>
      <c r="F5" s="256"/>
      <c r="G5" s="277"/>
      <c r="H5" s="230">
        <f t="shared" si="7"/>
        <v>0</v>
      </c>
      <c r="I5" s="256"/>
      <c r="J5" s="256"/>
      <c r="K5" s="256"/>
      <c r="L5" s="256"/>
      <c r="M5" s="256"/>
      <c r="N5" s="256"/>
      <c r="O5" s="256"/>
      <c r="P5" s="256"/>
      <c r="Q5" s="256"/>
      <c r="R5" s="256"/>
      <c r="S5" s="230">
        <f t="shared" si="8"/>
        <v>0</v>
      </c>
      <c r="T5" s="256"/>
      <c r="U5" s="256"/>
      <c r="V5" s="256"/>
      <c r="W5" s="256"/>
      <c r="X5" s="256"/>
      <c r="Y5" s="256"/>
      <c r="Z5" s="231">
        <f t="shared" si="0"/>
        <v>0</v>
      </c>
      <c r="AA5" s="231">
        <f t="shared" si="1"/>
        <v>0</v>
      </c>
      <c r="AB5" s="231">
        <f t="shared" si="2"/>
        <v>0</v>
      </c>
      <c r="AC5" s="231">
        <f t="shared" si="3"/>
        <v>0</v>
      </c>
      <c r="AD5" s="231">
        <f t="shared" si="4"/>
        <v>0</v>
      </c>
      <c r="AE5" s="231">
        <f t="shared" si="5"/>
        <v>0</v>
      </c>
      <c r="AF5" s="231">
        <f t="shared" si="6"/>
        <v>0</v>
      </c>
      <c r="AG5" s="231">
        <f t="shared" si="9"/>
        <v>0</v>
      </c>
      <c r="AH5" s="256"/>
      <c r="AI5" s="256"/>
    </row>
    <row r="6" spans="1:35">
      <c r="A6" t="str">
        <f>IF(ABS(H6)&gt;0,基础信息!$B$1,"")</f>
        <v/>
      </c>
      <c r="B6" s="256"/>
      <c r="C6" s="277"/>
      <c r="D6" s="256"/>
      <c r="E6" s="288"/>
      <c r="F6" s="256"/>
      <c r="G6" s="277"/>
      <c r="H6" s="230">
        <f t="shared" si="7"/>
        <v>0</v>
      </c>
      <c r="I6" s="256"/>
      <c r="J6" s="256"/>
      <c r="K6" s="256"/>
      <c r="L6" s="256"/>
      <c r="M6" s="256"/>
      <c r="N6" s="256"/>
      <c r="O6" s="256"/>
      <c r="P6" s="256"/>
      <c r="Q6" s="256"/>
      <c r="R6" s="256"/>
      <c r="S6" s="230">
        <f t="shared" si="8"/>
        <v>0</v>
      </c>
      <c r="T6" s="256"/>
      <c r="U6" s="256"/>
      <c r="V6" s="256"/>
      <c r="W6" s="256"/>
      <c r="X6" s="256"/>
      <c r="Y6" s="256"/>
      <c r="Z6" s="231">
        <f t="shared" si="0"/>
        <v>0</v>
      </c>
      <c r="AA6" s="231">
        <f t="shared" si="1"/>
        <v>0</v>
      </c>
      <c r="AB6" s="231">
        <f t="shared" si="2"/>
        <v>0</v>
      </c>
      <c r="AC6" s="231">
        <f t="shared" si="3"/>
        <v>0</v>
      </c>
      <c r="AD6" s="231">
        <f t="shared" si="4"/>
        <v>0</v>
      </c>
      <c r="AE6" s="231">
        <f t="shared" si="5"/>
        <v>0</v>
      </c>
      <c r="AF6" s="231">
        <f t="shared" si="6"/>
        <v>0</v>
      </c>
      <c r="AG6" s="231">
        <f t="shared" si="9"/>
        <v>0</v>
      </c>
      <c r="AH6" s="256"/>
      <c r="AI6" s="256"/>
    </row>
    <row r="7" spans="1:35">
      <c r="A7" t="str">
        <f>IF(ABS(H7)&gt;0,基础信息!$B$1,"")</f>
        <v/>
      </c>
      <c r="B7" s="256"/>
      <c r="C7" s="277"/>
      <c r="D7" s="256"/>
      <c r="E7" s="288"/>
      <c r="F7" s="256"/>
      <c r="G7" s="277"/>
      <c r="H7" s="230">
        <f t="shared" si="7"/>
        <v>0</v>
      </c>
      <c r="I7" s="256"/>
      <c r="J7" s="256"/>
      <c r="K7" s="256"/>
      <c r="L7" s="256"/>
      <c r="M7" s="256"/>
      <c r="N7" s="256"/>
      <c r="O7" s="256"/>
      <c r="P7" s="256"/>
      <c r="Q7" s="256"/>
      <c r="R7" s="256"/>
      <c r="S7" s="230">
        <f t="shared" si="8"/>
        <v>0</v>
      </c>
      <c r="T7" s="256"/>
      <c r="U7" s="256"/>
      <c r="V7" s="256"/>
      <c r="W7" s="256"/>
      <c r="X7" s="256"/>
      <c r="Y7" s="256"/>
      <c r="Z7" s="231">
        <f t="shared" si="0"/>
        <v>0</v>
      </c>
      <c r="AA7" s="231">
        <f t="shared" si="1"/>
        <v>0</v>
      </c>
      <c r="AB7" s="231">
        <f t="shared" si="2"/>
        <v>0</v>
      </c>
      <c r="AC7" s="231">
        <f t="shared" si="3"/>
        <v>0</v>
      </c>
      <c r="AD7" s="231">
        <f t="shared" si="4"/>
        <v>0</v>
      </c>
      <c r="AE7" s="231">
        <f t="shared" si="5"/>
        <v>0</v>
      </c>
      <c r="AF7" s="231">
        <f t="shared" si="6"/>
        <v>0</v>
      </c>
      <c r="AG7" s="231">
        <f t="shared" si="9"/>
        <v>0</v>
      </c>
      <c r="AH7" s="256"/>
      <c r="AI7" s="256"/>
    </row>
    <row r="8" spans="1:35">
      <c r="A8" t="str">
        <f>IF(ABS(H8)&gt;0,基础信息!$B$1,"")</f>
        <v/>
      </c>
      <c r="B8" s="256"/>
      <c r="C8" s="277"/>
      <c r="D8" s="256"/>
      <c r="E8" s="288"/>
      <c r="F8" s="256"/>
      <c r="G8" s="277"/>
      <c r="H8" s="230">
        <f t="shared" si="7"/>
        <v>0</v>
      </c>
      <c r="I8" s="256"/>
      <c r="J8" s="256"/>
      <c r="K8" s="256"/>
      <c r="L8" s="256"/>
      <c r="M8" s="256"/>
      <c r="N8" s="256"/>
      <c r="O8" s="256"/>
      <c r="P8" s="256"/>
      <c r="Q8" s="256"/>
      <c r="R8" s="256"/>
      <c r="S8" s="230">
        <f t="shared" si="8"/>
        <v>0</v>
      </c>
      <c r="T8" s="256"/>
      <c r="U8" s="256"/>
      <c r="V8" s="256"/>
      <c r="W8" s="256"/>
      <c r="X8" s="256"/>
      <c r="Y8" s="256"/>
      <c r="Z8" s="231">
        <f t="shared" si="0"/>
        <v>0</v>
      </c>
      <c r="AA8" s="231">
        <f t="shared" si="1"/>
        <v>0</v>
      </c>
      <c r="AB8" s="231">
        <f t="shared" si="2"/>
        <v>0</v>
      </c>
      <c r="AC8" s="231">
        <f t="shared" si="3"/>
        <v>0</v>
      </c>
      <c r="AD8" s="231">
        <f t="shared" si="4"/>
        <v>0</v>
      </c>
      <c r="AE8" s="231">
        <f t="shared" si="5"/>
        <v>0</v>
      </c>
      <c r="AF8" s="231">
        <f t="shared" si="6"/>
        <v>0</v>
      </c>
      <c r="AG8" s="231">
        <f t="shared" si="9"/>
        <v>0</v>
      </c>
      <c r="AH8" s="256"/>
      <c r="AI8" s="256"/>
    </row>
    <row r="9" spans="1:35">
      <c r="A9" t="str">
        <f>IF(ABS(H9)&gt;0,基础信息!$B$1,"")</f>
        <v/>
      </c>
      <c r="B9" s="256"/>
      <c r="C9" s="277"/>
      <c r="D9" s="256"/>
      <c r="E9" s="288"/>
      <c r="F9" s="256"/>
      <c r="G9" s="277"/>
      <c r="H9" s="230">
        <f t="shared" si="7"/>
        <v>0</v>
      </c>
      <c r="I9" s="256"/>
      <c r="J9" s="256"/>
      <c r="K9" s="256"/>
      <c r="L9" s="256"/>
      <c r="M9" s="256"/>
      <c r="N9" s="256"/>
      <c r="O9" s="256"/>
      <c r="P9" s="256"/>
      <c r="Q9" s="256"/>
      <c r="R9" s="256"/>
      <c r="S9" s="230">
        <f t="shared" si="8"/>
        <v>0</v>
      </c>
      <c r="T9" s="256"/>
      <c r="U9" s="256"/>
      <c r="V9" s="256"/>
      <c r="W9" s="256"/>
      <c r="X9" s="256"/>
      <c r="Y9" s="256"/>
      <c r="Z9" s="231">
        <f t="shared" si="0"/>
        <v>0</v>
      </c>
      <c r="AA9" s="231">
        <f t="shared" si="1"/>
        <v>0</v>
      </c>
      <c r="AB9" s="231">
        <f t="shared" si="2"/>
        <v>0</v>
      </c>
      <c r="AC9" s="231">
        <f t="shared" si="3"/>
        <v>0</v>
      </c>
      <c r="AD9" s="231">
        <f t="shared" si="4"/>
        <v>0</v>
      </c>
      <c r="AE9" s="231">
        <f t="shared" si="5"/>
        <v>0</v>
      </c>
      <c r="AF9" s="231">
        <f t="shared" si="6"/>
        <v>0</v>
      </c>
      <c r="AG9" s="231">
        <f t="shared" si="9"/>
        <v>0</v>
      </c>
      <c r="AH9" s="256"/>
      <c r="AI9" s="256"/>
    </row>
    <row r="10" spans="1:35">
      <c r="A10" t="str">
        <f>IF(ABS(H10)&gt;0,基础信息!$B$1,"")</f>
        <v/>
      </c>
      <c r="B10" s="256"/>
      <c r="C10" s="277"/>
      <c r="D10" s="256"/>
      <c r="E10" s="288"/>
      <c r="F10" s="256"/>
      <c r="G10" s="277"/>
      <c r="H10" s="230">
        <f t="shared" si="7"/>
        <v>0</v>
      </c>
      <c r="I10" s="256"/>
      <c r="J10" s="256"/>
      <c r="K10" s="256"/>
      <c r="L10" s="256"/>
      <c r="M10" s="256"/>
      <c r="N10" s="256"/>
      <c r="O10" s="256"/>
      <c r="P10" s="256"/>
      <c r="Q10" s="256"/>
      <c r="R10" s="256"/>
      <c r="S10" s="230">
        <f t="shared" si="8"/>
        <v>0</v>
      </c>
      <c r="T10" s="256"/>
      <c r="U10" s="256"/>
      <c r="V10" s="256"/>
      <c r="W10" s="256"/>
      <c r="X10" s="256"/>
      <c r="Y10" s="256"/>
      <c r="Z10" s="231">
        <f t="shared" si="0"/>
        <v>0</v>
      </c>
      <c r="AA10" s="231">
        <f t="shared" si="1"/>
        <v>0</v>
      </c>
      <c r="AB10" s="231">
        <f t="shared" si="2"/>
        <v>0</v>
      </c>
      <c r="AC10" s="231">
        <f t="shared" si="3"/>
        <v>0</v>
      </c>
      <c r="AD10" s="231">
        <f t="shared" si="4"/>
        <v>0</v>
      </c>
      <c r="AE10" s="231">
        <f t="shared" si="5"/>
        <v>0</v>
      </c>
      <c r="AF10" s="231">
        <f t="shared" si="6"/>
        <v>0</v>
      </c>
      <c r="AG10" s="231">
        <f t="shared" si="9"/>
        <v>0</v>
      </c>
      <c r="AH10" s="256"/>
      <c r="AI10" s="256"/>
    </row>
    <row r="11" spans="1:35">
      <c r="A11" t="str">
        <f>IF(ABS(H11)&gt;0,基础信息!$B$1,"")</f>
        <v/>
      </c>
      <c r="B11" s="256"/>
      <c r="C11" s="277"/>
      <c r="D11" s="256"/>
      <c r="E11" s="288"/>
      <c r="F11" s="256"/>
      <c r="G11" s="277"/>
      <c r="H11" s="230">
        <f t="shared" si="7"/>
        <v>0</v>
      </c>
      <c r="I11" s="256"/>
      <c r="J11" s="256"/>
      <c r="K11" s="256"/>
      <c r="L11" s="256"/>
      <c r="M11" s="256"/>
      <c r="N11" s="256"/>
      <c r="O11" s="256"/>
      <c r="P11" s="256"/>
      <c r="Q11" s="256"/>
      <c r="R11" s="256"/>
      <c r="S11" s="230">
        <f t="shared" si="8"/>
        <v>0</v>
      </c>
      <c r="T11" s="256"/>
      <c r="U11" s="256"/>
      <c r="V11" s="256"/>
      <c r="W11" s="256"/>
      <c r="X11" s="256"/>
      <c r="Y11" s="256"/>
      <c r="Z11" s="231">
        <f t="shared" si="0"/>
        <v>0</v>
      </c>
      <c r="AA11" s="231">
        <f t="shared" si="1"/>
        <v>0</v>
      </c>
      <c r="AB11" s="231">
        <f t="shared" si="2"/>
        <v>0</v>
      </c>
      <c r="AC11" s="231">
        <f t="shared" si="3"/>
        <v>0</v>
      </c>
      <c r="AD11" s="231">
        <f t="shared" si="4"/>
        <v>0</v>
      </c>
      <c r="AE11" s="231">
        <f t="shared" si="5"/>
        <v>0</v>
      </c>
      <c r="AF11" s="231">
        <f t="shared" si="6"/>
        <v>0</v>
      </c>
      <c r="AG11" s="231">
        <f t="shared" si="9"/>
        <v>0</v>
      </c>
      <c r="AH11" s="256"/>
      <c r="AI11" s="256"/>
    </row>
    <row r="12" spans="1:35">
      <c r="A12" t="str">
        <f>IF(ABS(H12)&gt;0,基础信息!$B$1,"")</f>
        <v/>
      </c>
      <c r="B12" s="256"/>
      <c r="C12" s="277"/>
      <c r="D12" s="256"/>
      <c r="E12" s="288"/>
      <c r="F12" s="256"/>
      <c r="G12" s="277"/>
      <c r="H12" s="230">
        <f t="shared" si="7"/>
        <v>0</v>
      </c>
      <c r="I12" s="256"/>
      <c r="J12" s="256"/>
      <c r="K12" s="256"/>
      <c r="L12" s="256"/>
      <c r="M12" s="256"/>
      <c r="N12" s="256"/>
      <c r="O12" s="256"/>
      <c r="P12" s="256"/>
      <c r="Q12" s="256"/>
      <c r="R12" s="256"/>
      <c r="S12" s="230">
        <f t="shared" si="8"/>
        <v>0</v>
      </c>
      <c r="T12" s="256"/>
      <c r="U12" s="256"/>
      <c r="V12" s="256"/>
      <c r="W12" s="256"/>
      <c r="X12" s="256"/>
      <c r="Y12" s="256"/>
      <c r="Z12" s="231">
        <f t="shared" si="0"/>
        <v>0</v>
      </c>
      <c r="AA12" s="231">
        <f t="shared" si="1"/>
        <v>0</v>
      </c>
      <c r="AB12" s="231">
        <f t="shared" si="2"/>
        <v>0</v>
      </c>
      <c r="AC12" s="231">
        <f t="shared" si="3"/>
        <v>0</v>
      </c>
      <c r="AD12" s="231">
        <f t="shared" si="4"/>
        <v>0</v>
      </c>
      <c r="AE12" s="231">
        <f t="shared" si="5"/>
        <v>0</v>
      </c>
      <c r="AF12" s="231">
        <f t="shared" si="6"/>
        <v>0</v>
      </c>
      <c r="AG12" s="231">
        <f t="shared" si="9"/>
        <v>0</v>
      </c>
      <c r="AH12" s="256"/>
      <c r="AI12" s="256"/>
    </row>
    <row r="13" spans="1:35">
      <c r="A13" t="str">
        <f>IF(ABS(H13)&gt;0,基础信息!$B$1,"")</f>
        <v/>
      </c>
      <c r="B13" s="256"/>
      <c r="C13" s="277"/>
      <c r="D13" s="256"/>
      <c r="E13" s="288"/>
      <c r="F13" s="256"/>
      <c r="G13" s="277"/>
      <c r="H13" s="230">
        <f t="shared" si="7"/>
        <v>0</v>
      </c>
      <c r="I13" s="256"/>
      <c r="J13" s="256"/>
      <c r="K13" s="256"/>
      <c r="L13" s="256"/>
      <c r="M13" s="256"/>
      <c r="N13" s="256"/>
      <c r="O13" s="256"/>
      <c r="P13" s="256"/>
      <c r="Q13" s="256"/>
      <c r="R13" s="256"/>
      <c r="S13" s="230">
        <f t="shared" si="8"/>
        <v>0</v>
      </c>
      <c r="T13" s="256"/>
      <c r="U13" s="256"/>
      <c r="V13" s="256"/>
      <c r="W13" s="256"/>
      <c r="X13" s="256"/>
      <c r="Y13" s="256"/>
      <c r="Z13" s="231">
        <f t="shared" si="0"/>
        <v>0</v>
      </c>
      <c r="AA13" s="231">
        <f t="shared" si="1"/>
        <v>0</v>
      </c>
      <c r="AB13" s="231">
        <f t="shared" si="2"/>
        <v>0</v>
      </c>
      <c r="AC13" s="231">
        <f t="shared" si="3"/>
        <v>0</v>
      </c>
      <c r="AD13" s="231">
        <f t="shared" si="4"/>
        <v>0</v>
      </c>
      <c r="AE13" s="231">
        <f t="shared" si="5"/>
        <v>0</v>
      </c>
      <c r="AF13" s="231">
        <f t="shared" si="6"/>
        <v>0</v>
      </c>
      <c r="AG13" s="231">
        <f t="shared" si="9"/>
        <v>0</v>
      </c>
      <c r="AH13" s="256"/>
      <c r="AI13" s="256"/>
    </row>
    <row r="14" spans="1:35">
      <c r="A14" t="str">
        <f>IF(ABS(H14)&gt;0,基础信息!$B$1,"")</f>
        <v/>
      </c>
      <c r="B14" s="256"/>
      <c r="C14" s="277"/>
      <c r="D14" s="256"/>
      <c r="E14" s="288"/>
      <c r="F14" s="256"/>
      <c r="G14" s="277"/>
      <c r="H14" s="230">
        <f t="shared" si="7"/>
        <v>0</v>
      </c>
      <c r="I14" s="256"/>
      <c r="J14" s="256"/>
      <c r="K14" s="256"/>
      <c r="L14" s="256"/>
      <c r="M14" s="256"/>
      <c r="N14" s="256"/>
      <c r="O14" s="256"/>
      <c r="P14" s="256"/>
      <c r="Q14" s="256"/>
      <c r="R14" s="256"/>
      <c r="S14" s="230">
        <f t="shared" si="8"/>
        <v>0</v>
      </c>
      <c r="T14" s="256"/>
      <c r="U14" s="256"/>
      <c r="V14" s="256"/>
      <c r="W14" s="256"/>
      <c r="X14" s="256"/>
      <c r="Y14" s="256"/>
      <c r="Z14" s="231">
        <f t="shared" si="0"/>
        <v>0</v>
      </c>
      <c r="AA14" s="231">
        <f t="shared" si="1"/>
        <v>0</v>
      </c>
      <c r="AB14" s="231">
        <f t="shared" si="2"/>
        <v>0</v>
      </c>
      <c r="AC14" s="231">
        <f t="shared" si="3"/>
        <v>0</v>
      </c>
      <c r="AD14" s="231">
        <f t="shared" si="4"/>
        <v>0</v>
      </c>
      <c r="AE14" s="231">
        <f t="shared" si="5"/>
        <v>0</v>
      </c>
      <c r="AF14" s="231">
        <f t="shared" si="6"/>
        <v>0</v>
      </c>
      <c r="AG14" s="231">
        <f t="shared" si="9"/>
        <v>0</v>
      </c>
      <c r="AH14" s="256"/>
      <c r="AI14" s="256"/>
    </row>
    <row r="15" spans="1:35">
      <c r="A15" t="str">
        <f>IF(ABS(H15)&gt;0,基础信息!$B$1,"")</f>
        <v/>
      </c>
      <c r="B15" s="256"/>
      <c r="C15" s="277"/>
      <c r="D15" s="256"/>
      <c r="E15" s="288"/>
      <c r="F15" s="256"/>
      <c r="G15" s="277"/>
      <c r="H15" s="230">
        <f t="shared" si="7"/>
        <v>0</v>
      </c>
      <c r="I15" s="256"/>
      <c r="J15" s="256"/>
      <c r="K15" s="256"/>
      <c r="L15" s="256"/>
      <c r="M15" s="256"/>
      <c r="N15" s="256"/>
      <c r="O15" s="256"/>
      <c r="P15" s="256"/>
      <c r="Q15" s="256"/>
      <c r="R15" s="256"/>
      <c r="S15" s="230">
        <f t="shared" si="8"/>
        <v>0</v>
      </c>
      <c r="T15" s="256"/>
      <c r="U15" s="256"/>
      <c r="V15" s="256"/>
      <c r="W15" s="256"/>
      <c r="X15" s="256"/>
      <c r="Y15" s="256"/>
      <c r="Z15" s="231">
        <f t="shared" si="0"/>
        <v>0</v>
      </c>
      <c r="AA15" s="231">
        <f t="shared" si="1"/>
        <v>0</v>
      </c>
      <c r="AB15" s="231">
        <f t="shared" si="2"/>
        <v>0</v>
      </c>
      <c r="AC15" s="231">
        <f t="shared" si="3"/>
        <v>0</v>
      </c>
      <c r="AD15" s="231">
        <f t="shared" si="4"/>
        <v>0</v>
      </c>
      <c r="AE15" s="231">
        <f t="shared" si="5"/>
        <v>0</v>
      </c>
      <c r="AF15" s="231">
        <f t="shared" si="6"/>
        <v>0</v>
      </c>
      <c r="AG15" s="231">
        <f t="shared" si="9"/>
        <v>0</v>
      </c>
      <c r="AH15" s="256"/>
      <c r="AI15" s="256"/>
    </row>
    <row r="16" spans="1:35">
      <c r="A16" t="str">
        <f>IF(ABS(H16)&gt;0,基础信息!$B$1,"")</f>
        <v/>
      </c>
      <c r="B16" s="256"/>
      <c r="C16" s="277"/>
      <c r="D16" s="256"/>
      <c r="E16" s="288"/>
      <c r="F16" s="256"/>
      <c r="G16" s="277"/>
      <c r="H16" s="230">
        <f t="shared" si="7"/>
        <v>0</v>
      </c>
      <c r="I16" s="256"/>
      <c r="J16" s="256"/>
      <c r="K16" s="256"/>
      <c r="L16" s="256"/>
      <c r="M16" s="256"/>
      <c r="N16" s="256"/>
      <c r="O16" s="256"/>
      <c r="P16" s="256"/>
      <c r="Q16" s="256"/>
      <c r="R16" s="256"/>
      <c r="S16" s="230">
        <f t="shared" si="8"/>
        <v>0</v>
      </c>
      <c r="T16" s="256"/>
      <c r="U16" s="256"/>
      <c r="V16" s="256"/>
      <c r="W16" s="256"/>
      <c r="X16" s="256"/>
      <c r="Y16" s="256"/>
      <c r="Z16" s="231">
        <f t="shared" si="0"/>
        <v>0</v>
      </c>
      <c r="AA16" s="231">
        <f t="shared" si="1"/>
        <v>0</v>
      </c>
      <c r="AB16" s="231">
        <f t="shared" si="2"/>
        <v>0</v>
      </c>
      <c r="AC16" s="231">
        <f t="shared" si="3"/>
        <v>0</v>
      </c>
      <c r="AD16" s="231">
        <f t="shared" si="4"/>
        <v>0</v>
      </c>
      <c r="AE16" s="231">
        <f t="shared" si="5"/>
        <v>0</v>
      </c>
      <c r="AF16" s="231">
        <f t="shared" si="6"/>
        <v>0</v>
      </c>
      <c r="AG16" s="231">
        <f t="shared" si="9"/>
        <v>0</v>
      </c>
      <c r="AH16" s="256"/>
      <c r="AI16" s="256"/>
    </row>
    <row r="17" spans="1:35">
      <c r="A17" t="str">
        <f>IF(ABS(H17)&gt;0,基础信息!$B$1,"")</f>
        <v/>
      </c>
      <c r="B17" s="256"/>
      <c r="C17" s="277"/>
      <c r="D17" s="256"/>
      <c r="E17" s="288"/>
      <c r="F17" s="256"/>
      <c r="G17" s="277"/>
      <c r="H17" s="230">
        <f t="shared" si="7"/>
        <v>0</v>
      </c>
      <c r="I17" s="256"/>
      <c r="J17" s="256"/>
      <c r="K17" s="256"/>
      <c r="L17" s="256"/>
      <c r="M17" s="256"/>
      <c r="N17" s="256"/>
      <c r="O17" s="256"/>
      <c r="P17" s="256"/>
      <c r="Q17" s="256"/>
      <c r="R17" s="256"/>
      <c r="S17" s="230">
        <f t="shared" si="8"/>
        <v>0</v>
      </c>
      <c r="T17" s="256"/>
      <c r="U17" s="256"/>
      <c r="V17" s="256"/>
      <c r="W17" s="256"/>
      <c r="X17" s="256"/>
      <c r="Y17" s="256"/>
      <c r="Z17" s="231">
        <f t="shared" si="0"/>
        <v>0</v>
      </c>
      <c r="AA17" s="231">
        <f t="shared" si="1"/>
        <v>0</v>
      </c>
      <c r="AB17" s="231">
        <f t="shared" si="2"/>
        <v>0</v>
      </c>
      <c r="AC17" s="231">
        <f t="shared" si="3"/>
        <v>0</v>
      </c>
      <c r="AD17" s="231">
        <f t="shared" si="4"/>
        <v>0</v>
      </c>
      <c r="AE17" s="231">
        <f t="shared" si="5"/>
        <v>0</v>
      </c>
      <c r="AF17" s="231">
        <f t="shared" si="6"/>
        <v>0</v>
      </c>
      <c r="AG17" s="231">
        <f t="shared" si="9"/>
        <v>0</v>
      </c>
      <c r="AH17" s="256"/>
      <c r="AI17" s="256"/>
    </row>
    <row r="18" spans="1:35">
      <c r="A18" t="str">
        <f>IF(ABS(H18)&gt;0,基础信息!$B$1,"")</f>
        <v/>
      </c>
      <c r="C18" s="277"/>
      <c r="E18" s="288"/>
      <c r="G18" s="277"/>
      <c r="H18" s="230">
        <f t="shared" si="7"/>
        <v>0</v>
      </c>
      <c r="S18" s="230">
        <f t="shared" si="8"/>
        <v>0</v>
      </c>
      <c r="Z18" s="231">
        <f t="shared" si="0"/>
        <v>0</v>
      </c>
      <c r="AA18" s="231">
        <f t="shared" si="1"/>
        <v>0</v>
      </c>
      <c r="AB18" s="231">
        <f t="shared" si="2"/>
        <v>0</v>
      </c>
      <c r="AC18" s="231">
        <f t="shared" si="3"/>
        <v>0</v>
      </c>
      <c r="AD18" s="231">
        <f t="shared" si="4"/>
        <v>0</v>
      </c>
      <c r="AE18" s="231">
        <f t="shared" si="5"/>
        <v>0</v>
      </c>
      <c r="AF18" s="231">
        <f t="shared" si="6"/>
        <v>0</v>
      </c>
      <c r="AG18" s="231">
        <f t="shared" si="9"/>
        <v>0</v>
      </c>
    </row>
    <row r="19" spans="1:35">
      <c r="A19" t="str">
        <f>IF(ABS(H19)&gt;0,基础信息!$B$1,"")</f>
        <v/>
      </c>
      <c r="C19" s="277"/>
      <c r="E19" s="288"/>
      <c r="G19" s="277"/>
      <c r="H19" s="230">
        <f t="shared" si="7"/>
        <v>0</v>
      </c>
      <c r="S19" s="230">
        <f t="shared" si="8"/>
        <v>0</v>
      </c>
      <c r="Z19" s="231">
        <f t="shared" si="0"/>
        <v>0</v>
      </c>
      <c r="AA19" s="231">
        <f t="shared" si="1"/>
        <v>0</v>
      </c>
      <c r="AB19" s="231">
        <f t="shared" si="2"/>
        <v>0</v>
      </c>
      <c r="AC19" s="231">
        <f t="shared" si="3"/>
        <v>0</v>
      </c>
      <c r="AD19" s="231">
        <f t="shared" si="4"/>
        <v>0</v>
      </c>
      <c r="AE19" s="231">
        <f t="shared" si="5"/>
        <v>0</v>
      </c>
      <c r="AF19" s="231">
        <f t="shared" si="6"/>
        <v>0</v>
      </c>
      <c r="AG19" s="231">
        <f t="shared" si="9"/>
        <v>0</v>
      </c>
    </row>
    <row r="20" spans="1:35">
      <c r="A20" t="str">
        <f>IF(ABS(H20)&gt;0,基础信息!$B$1,"")</f>
        <v/>
      </c>
      <c r="C20" s="277"/>
      <c r="E20" s="288"/>
      <c r="G20" s="277"/>
      <c r="H20" s="230">
        <f t="shared" si="7"/>
        <v>0</v>
      </c>
      <c r="S20" s="230">
        <f t="shared" si="8"/>
        <v>0</v>
      </c>
      <c r="Z20" s="231">
        <f t="shared" si="0"/>
        <v>0</v>
      </c>
      <c r="AA20" s="231">
        <f t="shared" si="1"/>
        <v>0</v>
      </c>
      <c r="AB20" s="231">
        <f t="shared" si="2"/>
        <v>0</v>
      </c>
      <c r="AC20" s="231">
        <f t="shared" si="3"/>
        <v>0</v>
      </c>
      <c r="AD20" s="231">
        <f t="shared" si="4"/>
        <v>0</v>
      </c>
      <c r="AE20" s="231">
        <f t="shared" si="5"/>
        <v>0</v>
      </c>
      <c r="AF20" s="231">
        <f t="shared" si="6"/>
        <v>0</v>
      </c>
      <c r="AG20" s="231">
        <f t="shared" si="9"/>
        <v>0</v>
      </c>
    </row>
    <row r="21" spans="1:35">
      <c r="S21" s="230">
        <f t="shared" ref="S21:S84" si="10">O21+P21-Q21-R21</f>
        <v>0</v>
      </c>
      <c r="Z21" s="231">
        <f t="shared" ref="Z21:Z84" si="11">H21-S21</f>
        <v>0</v>
      </c>
      <c r="AA21" s="231">
        <f t="shared" ref="AA21:AA84" si="12">I21-T21</f>
        <v>0</v>
      </c>
      <c r="AB21" s="231">
        <f t="shared" ref="AB21:AB84" si="13">J21-U21</f>
        <v>0</v>
      </c>
      <c r="AC21" s="231">
        <f t="shared" ref="AC21:AC84" si="14">K21-V21</f>
        <v>0</v>
      </c>
      <c r="AD21" s="231">
        <f t="shared" ref="AD21:AD84" si="15">L21-W21</f>
        <v>0</v>
      </c>
      <c r="AE21" s="231">
        <f t="shared" ref="AE21:AE84" si="16">M21-X21</f>
        <v>0</v>
      </c>
      <c r="AF21" s="231">
        <f t="shared" ref="AF21:AF84" si="17">N21-Y21</f>
        <v>0</v>
      </c>
      <c r="AG21" s="231">
        <f t="shared" ref="AG21:AG84" si="18">S21-SUM(T21:Y21)</f>
        <v>0</v>
      </c>
    </row>
    <row r="22" spans="1:35">
      <c r="A22" t="str">
        <f>IF(ABS(H22)&gt;0,基础信息!$B$1,"")</f>
        <v/>
      </c>
      <c r="S22" s="230">
        <f t="shared" si="10"/>
        <v>0</v>
      </c>
      <c r="Z22" s="231">
        <f t="shared" si="11"/>
        <v>0</v>
      </c>
      <c r="AA22" s="231">
        <f t="shared" si="12"/>
        <v>0</v>
      </c>
      <c r="AB22" s="231">
        <f t="shared" si="13"/>
        <v>0</v>
      </c>
      <c r="AC22" s="231">
        <f t="shared" si="14"/>
        <v>0</v>
      </c>
      <c r="AD22" s="231">
        <f t="shared" si="15"/>
        <v>0</v>
      </c>
      <c r="AE22" s="231">
        <f t="shared" si="16"/>
        <v>0</v>
      </c>
      <c r="AF22" s="231">
        <f t="shared" si="17"/>
        <v>0</v>
      </c>
      <c r="AG22" s="231">
        <f t="shared" si="18"/>
        <v>0</v>
      </c>
    </row>
    <row r="23" spans="1:35">
      <c r="A23" t="str">
        <f>IF(ABS(H23)&gt;0,基础信息!$B$1,"")</f>
        <v/>
      </c>
      <c r="S23" s="230">
        <f t="shared" si="10"/>
        <v>0</v>
      </c>
      <c r="Z23" s="231">
        <f t="shared" si="11"/>
        <v>0</v>
      </c>
      <c r="AA23" s="231">
        <f t="shared" si="12"/>
        <v>0</v>
      </c>
      <c r="AB23" s="231">
        <f t="shared" si="13"/>
        <v>0</v>
      </c>
      <c r="AC23" s="231">
        <f t="shared" si="14"/>
        <v>0</v>
      </c>
      <c r="AD23" s="231">
        <f t="shared" si="15"/>
        <v>0</v>
      </c>
      <c r="AE23" s="231">
        <f t="shared" si="16"/>
        <v>0</v>
      </c>
      <c r="AF23" s="231">
        <f t="shared" si="17"/>
        <v>0</v>
      </c>
      <c r="AG23" s="231">
        <f t="shared" si="18"/>
        <v>0</v>
      </c>
    </row>
    <row r="24" spans="1:35">
      <c r="A24" t="str">
        <f>IF(ABS(H24)&gt;0,基础信息!$B$1,"")</f>
        <v/>
      </c>
      <c r="S24" s="230">
        <f t="shared" si="10"/>
        <v>0</v>
      </c>
      <c r="Z24" s="231">
        <f t="shared" si="11"/>
        <v>0</v>
      </c>
      <c r="AA24" s="231">
        <f t="shared" si="12"/>
        <v>0</v>
      </c>
      <c r="AB24" s="231">
        <f t="shared" si="13"/>
        <v>0</v>
      </c>
      <c r="AC24" s="231">
        <f t="shared" si="14"/>
        <v>0</v>
      </c>
      <c r="AD24" s="231">
        <f t="shared" si="15"/>
        <v>0</v>
      </c>
      <c r="AE24" s="231">
        <f t="shared" si="16"/>
        <v>0</v>
      </c>
      <c r="AF24" s="231">
        <f t="shared" si="17"/>
        <v>0</v>
      </c>
      <c r="AG24" s="231">
        <f t="shared" si="18"/>
        <v>0</v>
      </c>
    </row>
    <row r="25" spans="1:35">
      <c r="A25" t="str">
        <f>IF(ABS(H25)&gt;0,基础信息!$B$1,"")</f>
        <v/>
      </c>
      <c r="S25" s="230">
        <f t="shared" si="10"/>
        <v>0</v>
      </c>
      <c r="Z25" s="231">
        <f t="shared" si="11"/>
        <v>0</v>
      </c>
      <c r="AA25" s="231">
        <f t="shared" si="12"/>
        <v>0</v>
      </c>
      <c r="AB25" s="231">
        <f t="shared" si="13"/>
        <v>0</v>
      </c>
      <c r="AC25" s="231">
        <f t="shared" si="14"/>
        <v>0</v>
      </c>
      <c r="AD25" s="231">
        <f t="shared" si="15"/>
        <v>0</v>
      </c>
      <c r="AE25" s="231">
        <f t="shared" si="16"/>
        <v>0</v>
      </c>
      <c r="AF25" s="231">
        <f t="shared" si="17"/>
        <v>0</v>
      </c>
      <c r="AG25" s="231">
        <f t="shared" si="18"/>
        <v>0</v>
      </c>
    </row>
    <row r="26" spans="1:35">
      <c r="A26" t="str">
        <f>IF(ABS(H26)&gt;0,基础信息!$B$1,"")</f>
        <v/>
      </c>
      <c r="S26" s="230">
        <f t="shared" si="10"/>
        <v>0</v>
      </c>
      <c r="Z26" s="231">
        <f t="shared" si="11"/>
        <v>0</v>
      </c>
      <c r="AA26" s="231">
        <f t="shared" si="12"/>
        <v>0</v>
      </c>
      <c r="AB26" s="231">
        <f t="shared" si="13"/>
        <v>0</v>
      </c>
      <c r="AC26" s="231">
        <f t="shared" si="14"/>
        <v>0</v>
      </c>
      <c r="AD26" s="231">
        <f t="shared" si="15"/>
        <v>0</v>
      </c>
      <c r="AE26" s="231">
        <f t="shared" si="16"/>
        <v>0</v>
      </c>
      <c r="AF26" s="231">
        <f t="shared" si="17"/>
        <v>0</v>
      </c>
      <c r="AG26" s="231">
        <f t="shared" si="18"/>
        <v>0</v>
      </c>
    </row>
    <row r="27" spans="1:35">
      <c r="A27" t="str">
        <f>IF(ABS(H27)&gt;0,基础信息!$B$1,"")</f>
        <v/>
      </c>
      <c r="S27" s="230">
        <f t="shared" si="10"/>
        <v>0</v>
      </c>
      <c r="Z27" s="231">
        <f t="shared" si="11"/>
        <v>0</v>
      </c>
      <c r="AA27" s="231">
        <f t="shared" si="12"/>
        <v>0</v>
      </c>
      <c r="AB27" s="231">
        <f t="shared" si="13"/>
        <v>0</v>
      </c>
      <c r="AC27" s="231">
        <f t="shared" si="14"/>
        <v>0</v>
      </c>
      <c r="AD27" s="231">
        <f t="shared" si="15"/>
        <v>0</v>
      </c>
      <c r="AE27" s="231">
        <f t="shared" si="16"/>
        <v>0</v>
      </c>
      <c r="AF27" s="231">
        <f t="shared" si="17"/>
        <v>0</v>
      </c>
      <c r="AG27" s="231">
        <f t="shared" si="18"/>
        <v>0</v>
      </c>
    </row>
    <row r="28" spans="1:35">
      <c r="A28" t="str">
        <f>IF(ABS(H28)&gt;0,基础信息!$B$1,"")</f>
        <v/>
      </c>
      <c r="S28" s="230">
        <f t="shared" si="10"/>
        <v>0</v>
      </c>
      <c r="Z28" s="231">
        <f t="shared" si="11"/>
        <v>0</v>
      </c>
      <c r="AA28" s="231">
        <f t="shared" si="12"/>
        <v>0</v>
      </c>
      <c r="AB28" s="231">
        <f t="shared" si="13"/>
        <v>0</v>
      </c>
      <c r="AC28" s="231">
        <f t="shared" si="14"/>
        <v>0</v>
      </c>
      <c r="AD28" s="231">
        <f t="shared" si="15"/>
        <v>0</v>
      </c>
      <c r="AE28" s="231">
        <f t="shared" si="16"/>
        <v>0</v>
      </c>
      <c r="AF28" s="231">
        <f t="shared" si="17"/>
        <v>0</v>
      </c>
      <c r="AG28" s="231">
        <f t="shared" si="18"/>
        <v>0</v>
      </c>
    </row>
    <row r="29" spans="1:35">
      <c r="A29" t="str">
        <f>IF(ABS(H29)&gt;0,基础信息!$B$1,"")</f>
        <v/>
      </c>
      <c r="S29" s="230">
        <f t="shared" si="10"/>
        <v>0</v>
      </c>
      <c r="Z29" s="231">
        <f t="shared" si="11"/>
        <v>0</v>
      </c>
      <c r="AA29" s="231">
        <f t="shared" si="12"/>
        <v>0</v>
      </c>
      <c r="AB29" s="231">
        <f t="shared" si="13"/>
        <v>0</v>
      </c>
      <c r="AC29" s="231">
        <f t="shared" si="14"/>
        <v>0</v>
      </c>
      <c r="AD29" s="231">
        <f t="shared" si="15"/>
        <v>0</v>
      </c>
      <c r="AE29" s="231">
        <f t="shared" si="16"/>
        <v>0</v>
      </c>
      <c r="AF29" s="231">
        <f t="shared" si="17"/>
        <v>0</v>
      </c>
      <c r="AG29" s="231">
        <f t="shared" si="18"/>
        <v>0</v>
      </c>
    </row>
    <row r="30" spans="1:35">
      <c r="A30" t="str">
        <f>IF(ABS(H30)&gt;0,基础信息!$B$1,"")</f>
        <v/>
      </c>
      <c r="S30" s="230">
        <f t="shared" si="10"/>
        <v>0</v>
      </c>
      <c r="Z30" s="231">
        <f t="shared" si="11"/>
        <v>0</v>
      </c>
      <c r="AA30" s="231">
        <f t="shared" si="12"/>
        <v>0</v>
      </c>
      <c r="AB30" s="231">
        <f t="shared" si="13"/>
        <v>0</v>
      </c>
      <c r="AC30" s="231">
        <f t="shared" si="14"/>
        <v>0</v>
      </c>
      <c r="AD30" s="231">
        <f t="shared" si="15"/>
        <v>0</v>
      </c>
      <c r="AE30" s="231">
        <f t="shared" si="16"/>
        <v>0</v>
      </c>
      <c r="AF30" s="231">
        <f t="shared" si="17"/>
        <v>0</v>
      </c>
      <c r="AG30" s="231">
        <f t="shared" si="18"/>
        <v>0</v>
      </c>
    </row>
    <row r="31" spans="1:35">
      <c r="A31" t="str">
        <f>IF(ABS(H31)&gt;0,基础信息!$B$1,"")</f>
        <v/>
      </c>
      <c r="S31" s="230">
        <f t="shared" si="10"/>
        <v>0</v>
      </c>
      <c r="Z31" s="231">
        <f t="shared" si="11"/>
        <v>0</v>
      </c>
      <c r="AA31" s="231">
        <f t="shared" si="12"/>
        <v>0</v>
      </c>
      <c r="AB31" s="231">
        <f t="shared" si="13"/>
        <v>0</v>
      </c>
      <c r="AC31" s="231">
        <f t="shared" si="14"/>
        <v>0</v>
      </c>
      <c r="AD31" s="231">
        <f t="shared" si="15"/>
        <v>0</v>
      </c>
      <c r="AE31" s="231">
        <f t="shared" si="16"/>
        <v>0</v>
      </c>
      <c r="AF31" s="231">
        <f t="shared" si="17"/>
        <v>0</v>
      </c>
      <c r="AG31" s="231">
        <f t="shared" si="18"/>
        <v>0</v>
      </c>
    </row>
    <row r="32" spans="1:35">
      <c r="A32" t="str">
        <f>IF(ABS(H32)&gt;0,基础信息!$B$1,"")</f>
        <v/>
      </c>
      <c r="S32" s="230">
        <f t="shared" si="10"/>
        <v>0</v>
      </c>
      <c r="Z32" s="231">
        <f t="shared" si="11"/>
        <v>0</v>
      </c>
      <c r="AA32" s="231">
        <f t="shared" si="12"/>
        <v>0</v>
      </c>
      <c r="AB32" s="231">
        <f t="shared" si="13"/>
        <v>0</v>
      </c>
      <c r="AC32" s="231">
        <f t="shared" si="14"/>
        <v>0</v>
      </c>
      <c r="AD32" s="231">
        <f t="shared" si="15"/>
        <v>0</v>
      </c>
      <c r="AE32" s="231">
        <f t="shared" si="16"/>
        <v>0</v>
      </c>
      <c r="AF32" s="231">
        <f t="shared" si="17"/>
        <v>0</v>
      </c>
      <c r="AG32" s="231">
        <f t="shared" si="18"/>
        <v>0</v>
      </c>
    </row>
    <row r="33" spans="1:33">
      <c r="A33" t="str">
        <f>IF(ABS(H33)&gt;0,基础信息!$B$1,"")</f>
        <v/>
      </c>
      <c r="S33" s="230">
        <f t="shared" si="10"/>
        <v>0</v>
      </c>
      <c r="Z33" s="231">
        <f t="shared" si="11"/>
        <v>0</v>
      </c>
      <c r="AA33" s="231">
        <f t="shared" si="12"/>
        <v>0</v>
      </c>
      <c r="AB33" s="231">
        <f t="shared" si="13"/>
        <v>0</v>
      </c>
      <c r="AC33" s="231">
        <f t="shared" si="14"/>
        <v>0</v>
      </c>
      <c r="AD33" s="231">
        <f t="shared" si="15"/>
        <v>0</v>
      </c>
      <c r="AE33" s="231">
        <f t="shared" si="16"/>
        <v>0</v>
      </c>
      <c r="AF33" s="231">
        <f t="shared" si="17"/>
        <v>0</v>
      </c>
      <c r="AG33" s="231">
        <f t="shared" si="18"/>
        <v>0</v>
      </c>
    </row>
    <row r="34" spans="1:33">
      <c r="A34" t="str">
        <f>IF(ABS(H34)&gt;0,基础信息!$B$1,"")</f>
        <v/>
      </c>
      <c r="S34" s="230">
        <f t="shared" si="10"/>
        <v>0</v>
      </c>
      <c r="Z34" s="231">
        <f t="shared" si="11"/>
        <v>0</v>
      </c>
      <c r="AA34" s="231">
        <f t="shared" si="12"/>
        <v>0</v>
      </c>
      <c r="AB34" s="231">
        <f t="shared" si="13"/>
        <v>0</v>
      </c>
      <c r="AC34" s="231">
        <f t="shared" si="14"/>
        <v>0</v>
      </c>
      <c r="AD34" s="231">
        <f t="shared" si="15"/>
        <v>0</v>
      </c>
      <c r="AE34" s="231">
        <f t="shared" si="16"/>
        <v>0</v>
      </c>
      <c r="AF34" s="231">
        <f t="shared" si="17"/>
        <v>0</v>
      </c>
      <c r="AG34" s="231">
        <f t="shared" si="18"/>
        <v>0</v>
      </c>
    </row>
    <row r="35" spans="1:33">
      <c r="A35" t="str">
        <f>IF(ABS(H35)&gt;0,基础信息!$B$1,"")</f>
        <v/>
      </c>
      <c r="S35" s="230">
        <f t="shared" si="10"/>
        <v>0</v>
      </c>
      <c r="Z35" s="231">
        <f t="shared" si="11"/>
        <v>0</v>
      </c>
      <c r="AA35" s="231">
        <f t="shared" si="12"/>
        <v>0</v>
      </c>
      <c r="AB35" s="231">
        <f t="shared" si="13"/>
        <v>0</v>
      </c>
      <c r="AC35" s="231">
        <f t="shared" si="14"/>
        <v>0</v>
      </c>
      <c r="AD35" s="231">
        <f t="shared" si="15"/>
        <v>0</v>
      </c>
      <c r="AE35" s="231">
        <f t="shared" si="16"/>
        <v>0</v>
      </c>
      <c r="AF35" s="231">
        <f t="shared" si="17"/>
        <v>0</v>
      </c>
      <c r="AG35" s="231">
        <f t="shared" si="18"/>
        <v>0</v>
      </c>
    </row>
    <row r="36" spans="1:33">
      <c r="A36" t="str">
        <f>IF(ABS(H36)&gt;0,基础信息!$B$1,"")</f>
        <v/>
      </c>
      <c r="S36" s="230">
        <f t="shared" si="10"/>
        <v>0</v>
      </c>
      <c r="Z36" s="231">
        <f t="shared" si="11"/>
        <v>0</v>
      </c>
      <c r="AA36" s="231">
        <f t="shared" si="12"/>
        <v>0</v>
      </c>
      <c r="AB36" s="231">
        <f t="shared" si="13"/>
        <v>0</v>
      </c>
      <c r="AC36" s="231">
        <f t="shared" si="14"/>
        <v>0</v>
      </c>
      <c r="AD36" s="231">
        <f t="shared" si="15"/>
        <v>0</v>
      </c>
      <c r="AE36" s="231">
        <f t="shared" si="16"/>
        <v>0</v>
      </c>
      <c r="AF36" s="231">
        <f t="shared" si="17"/>
        <v>0</v>
      </c>
      <c r="AG36" s="231">
        <f t="shared" si="18"/>
        <v>0</v>
      </c>
    </row>
    <row r="37" spans="1:33">
      <c r="A37" t="str">
        <f>IF(ABS(H37)&gt;0,基础信息!$B$1,"")</f>
        <v/>
      </c>
      <c r="S37" s="230">
        <f t="shared" si="10"/>
        <v>0</v>
      </c>
      <c r="Z37" s="231">
        <f t="shared" si="11"/>
        <v>0</v>
      </c>
      <c r="AA37" s="231">
        <f t="shared" si="12"/>
        <v>0</v>
      </c>
      <c r="AB37" s="231">
        <f t="shared" si="13"/>
        <v>0</v>
      </c>
      <c r="AC37" s="231">
        <f t="shared" si="14"/>
        <v>0</v>
      </c>
      <c r="AD37" s="231">
        <f t="shared" si="15"/>
        <v>0</v>
      </c>
      <c r="AE37" s="231">
        <f t="shared" si="16"/>
        <v>0</v>
      </c>
      <c r="AF37" s="231">
        <f t="shared" si="17"/>
        <v>0</v>
      </c>
      <c r="AG37" s="231">
        <f t="shared" si="18"/>
        <v>0</v>
      </c>
    </row>
    <row r="38" spans="1:33">
      <c r="A38" t="str">
        <f>IF(ABS(H38)&gt;0,基础信息!$B$1,"")</f>
        <v/>
      </c>
      <c r="S38" s="230">
        <f t="shared" si="10"/>
        <v>0</v>
      </c>
      <c r="Z38" s="231">
        <f t="shared" si="11"/>
        <v>0</v>
      </c>
      <c r="AA38" s="231">
        <f t="shared" si="12"/>
        <v>0</v>
      </c>
      <c r="AB38" s="231">
        <f t="shared" si="13"/>
        <v>0</v>
      </c>
      <c r="AC38" s="231">
        <f t="shared" si="14"/>
        <v>0</v>
      </c>
      <c r="AD38" s="231">
        <f t="shared" si="15"/>
        <v>0</v>
      </c>
      <c r="AE38" s="231">
        <f t="shared" si="16"/>
        <v>0</v>
      </c>
      <c r="AF38" s="231">
        <f t="shared" si="17"/>
        <v>0</v>
      </c>
      <c r="AG38" s="231">
        <f t="shared" si="18"/>
        <v>0</v>
      </c>
    </row>
    <row r="39" spans="1:33">
      <c r="A39" t="str">
        <f>IF(ABS(H39)&gt;0,基础信息!$B$1,"")</f>
        <v/>
      </c>
      <c r="S39" s="230">
        <f t="shared" si="10"/>
        <v>0</v>
      </c>
      <c r="Z39" s="231">
        <f t="shared" si="11"/>
        <v>0</v>
      </c>
      <c r="AA39" s="231">
        <f t="shared" si="12"/>
        <v>0</v>
      </c>
      <c r="AB39" s="231">
        <f t="shared" si="13"/>
        <v>0</v>
      </c>
      <c r="AC39" s="231">
        <f t="shared" si="14"/>
        <v>0</v>
      </c>
      <c r="AD39" s="231">
        <f t="shared" si="15"/>
        <v>0</v>
      </c>
      <c r="AE39" s="231">
        <f t="shared" si="16"/>
        <v>0</v>
      </c>
      <c r="AF39" s="231">
        <f t="shared" si="17"/>
        <v>0</v>
      </c>
      <c r="AG39" s="231">
        <f t="shared" si="18"/>
        <v>0</v>
      </c>
    </row>
    <row r="40" spans="1:33">
      <c r="A40" t="str">
        <f>IF(ABS(H40)&gt;0,基础信息!$B$1,"")</f>
        <v/>
      </c>
      <c r="S40" s="230">
        <f t="shared" si="10"/>
        <v>0</v>
      </c>
      <c r="Z40" s="231">
        <f t="shared" si="11"/>
        <v>0</v>
      </c>
      <c r="AA40" s="231">
        <f t="shared" si="12"/>
        <v>0</v>
      </c>
      <c r="AB40" s="231">
        <f t="shared" si="13"/>
        <v>0</v>
      </c>
      <c r="AC40" s="231">
        <f t="shared" si="14"/>
        <v>0</v>
      </c>
      <c r="AD40" s="231">
        <f t="shared" si="15"/>
        <v>0</v>
      </c>
      <c r="AE40" s="231">
        <f t="shared" si="16"/>
        <v>0</v>
      </c>
      <c r="AF40" s="231">
        <f t="shared" si="17"/>
        <v>0</v>
      </c>
      <c r="AG40" s="231">
        <f t="shared" si="18"/>
        <v>0</v>
      </c>
    </row>
    <row r="41" spans="1:33">
      <c r="A41" t="str">
        <f>IF(ABS(H41)&gt;0,基础信息!$B$1,"")</f>
        <v/>
      </c>
      <c r="S41" s="230">
        <f t="shared" si="10"/>
        <v>0</v>
      </c>
      <c r="Z41" s="231">
        <f t="shared" si="11"/>
        <v>0</v>
      </c>
      <c r="AA41" s="231">
        <f t="shared" si="12"/>
        <v>0</v>
      </c>
      <c r="AB41" s="231">
        <f t="shared" si="13"/>
        <v>0</v>
      </c>
      <c r="AC41" s="231">
        <f t="shared" si="14"/>
        <v>0</v>
      </c>
      <c r="AD41" s="231">
        <f t="shared" si="15"/>
        <v>0</v>
      </c>
      <c r="AE41" s="231">
        <f t="shared" si="16"/>
        <v>0</v>
      </c>
      <c r="AF41" s="231">
        <f t="shared" si="17"/>
        <v>0</v>
      </c>
      <c r="AG41" s="231">
        <f t="shared" si="18"/>
        <v>0</v>
      </c>
    </row>
    <row r="42" spans="1:33">
      <c r="A42" t="str">
        <f>IF(ABS(H42)&gt;0,基础信息!$B$1,"")</f>
        <v/>
      </c>
      <c r="S42" s="230">
        <f t="shared" si="10"/>
        <v>0</v>
      </c>
      <c r="Z42" s="231">
        <f t="shared" si="11"/>
        <v>0</v>
      </c>
      <c r="AA42" s="231">
        <f t="shared" si="12"/>
        <v>0</v>
      </c>
      <c r="AB42" s="231">
        <f t="shared" si="13"/>
        <v>0</v>
      </c>
      <c r="AC42" s="231">
        <f t="shared" si="14"/>
        <v>0</v>
      </c>
      <c r="AD42" s="231">
        <f t="shared" si="15"/>
        <v>0</v>
      </c>
      <c r="AE42" s="231">
        <f t="shared" si="16"/>
        <v>0</v>
      </c>
      <c r="AF42" s="231">
        <f t="shared" si="17"/>
        <v>0</v>
      </c>
      <c r="AG42" s="231">
        <f t="shared" si="18"/>
        <v>0</v>
      </c>
    </row>
    <row r="43" spans="1:33">
      <c r="A43" t="str">
        <f>IF(ABS(H43)&gt;0,基础信息!$B$1,"")</f>
        <v/>
      </c>
      <c r="S43" s="230">
        <f t="shared" si="10"/>
        <v>0</v>
      </c>
      <c r="Z43" s="231">
        <f t="shared" si="11"/>
        <v>0</v>
      </c>
      <c r="AA43" s="231">
        <f t="shared" si="12"/>
        <v>0</v>
      </c>
      <c r="AB43" s="231">
        <f t="shared" si="13"/>
        <v>0</v>
      </c>
      <c r="AC43" s="231">
        <f t="shared" si="14"/>
        <v>0</v>
      </c>
      <c r="AD43" s="231">
        <f t="shared" si="15"/>
        <v>0</v>
      </c>
      <c r="AE43" s="231">
        <f t="shared" si="16"/>
        <v>0</v>
      </c>
      <c r="AF43" s="231">
        <f t="shared" si="17"/>
        <v>0</v>
      </c>
      <c r="AG43" s="231">
        <f t="shared" si="18"/>
        <v>0</v>
      </c>
    </row>
    <row r="44" spans="1:33">
      <c r="A44" t="str">
        <f>IF(ABS(H44)&gt;0,基础信息!$B$1,"")</f>
        <v/>
      </c>
      <c r="S44" s="230">
        <f t="shared" si="10"/>
        <v>0</v>
      </c>
      <c r="Z44" s="231">
        <f t="shared" si="11"/>
        <v>0</v>
      </c>
      <c r="AA44" s="231">
        <f t="shared" si="12"/>
        <v>0</v>
      </c>
      <c r="AB44" s="231">
        <f t="shared" si="13"/>
        <v>0</v>
      </c>
      <c r="AC44" s="231">
        <f t="shared" si="14"/>
        <v>0</v>
      </c>
      <c r="AD44" s="231">
        <f t="shared" si="15"/>
        <v>0</v>
      </c>
      <c r="AE44" s="231">
        <f t="shared" si="16"/>
        <v>0</v>
      </c>
      <c r="AF44" s="231">
        <f t="shared" si="17"/>
        <v>0</v>
      </c>
      <c r="AG44" s="231">
        <f t="shared" si="18"/>
        <v>0</v>
      </c>
    </row>
    <row r="45" spans="1:33">
      <c r="A45" t="str">
        <f>IF(ABS(H45)&gt;0,基础信息!$B$1,"")</f>
        <v/>
      </c>
      <c r="S45" s="230">
        <f t="shared" si="10"/>
        <v>0</v>
      </c>
      <c r="Z45" s="231">
        <f t="shared" si="11"/>
        <v>0</v>
      </c>
      <c r="AA45" s="231">
        <f t="shared" si="12"/>
        <v>0</v>
      </c>
      <c r="AB45" s="231">
        <f t="shared" si="13"/>
        <v>0</v>
      </c>
      <c r="AC45" s="231">
        <f t="shared" si="14"/>
        <v>0</v>
      </c>
      <c r="AD45" s="231">
        <f t="shared" si="15"/>
        <v>0</v>
      </c>
      <c r="AE45" s="231">
        <f t="shared" si="16"/>
        <v>0</v>
      </c>
      <c r="AF45" s="231">
        <f t="shared" si="17"/>
        <v>0</v>
      </c>
      <c r="AG45" s="231">
        <f t="shared" si="18"/>
        <v>0</v>
      </c>
    </row>
    <row r="46" spans="1:33">
      <c r="A46" t="str">
        <f>IF(ABS(H46)&gt;0,基础信息!$B$1,"")</f>
        <v/>
      </c>
      <c r="S46" s="230">
        <f t="shared" si="10"/>
        <v>0</v>
      </c>
      <c r="Z46" s="231">
        <f t="shared" si="11"/>
        <v>0</v>
      </c>
      <c r="AA46" s="231">
        <f t="shared" si="12"/>
        <v>0</v>
      </c>
      <c r="AB46" s="231">
        <f t="shared" si="13"/>
        <v>0</v>
      </c>
      <c r="AC46" s="231">
        <f t="shared" si="14"/>
        <v>0</v>
      </c>
      <c r="AD46" s="231">
        <f t="shared" si="15"/>
        <v>0</v>
      </c>
      <c r="AE46" s="231">
        <f t="shared" si="16"/>
        <v>0</v>
      </c>
      <c r="AF46" s="231">
        <f t="shared" si="17"/>
        <v>0</v>
      </c>
      <c r="AG46" s="231">
        <f t="shared" si="18"/>
        <v>0</v>
      </c>
    </row>
    <row r="47" spans="1:33">
      <c r="A47" t="str">
        <f>IF(ABS(H47)&gt;0,基础信息!$B$1,"")</f>
        <v/>
      </c>
      <c r="S47" s="230">
        <f t="shared" si="10"/>
        <v>0</v>
      </c>
      <c r="Z47" s="231">
        <f t="shared" si="11"/>
        <v>0</v>
      </c>
      <c r="AA47" s="231">
        <f t="shared" si="12"/>
        <v>0</v>
      </c>
      <c r="AB47" s="231">
        <f t="shared" si="13"/>
        <v>0</v>
      </c>
      <c r="AC47" s="231">
        <f t="shared" si="14"/>
        <v>0</v>
      </c>
      <c r="AD47" s="231">
        <f t="shared" si="15"/>
        <v>0</v>
      </c>
      <c r="AE47" s="231">
        <f t="shared" si="16"/>
        <v>0</v>
      </c>
      <c r="AF47" s="231">
        <f t="shared" si="17"/>
        <v>0</v>
      </c>
      <c r="AG47" s="231">
        <f t="shared" si="18"/>
        <v>0</v>
      </c>
    </row>
    <row r="48" spans="1:33">
      <c r="A48" t="str">
        <f>IF(ABS(H48)&gt;0,基础信息!$B$1,"")</f>
        <v/>
      </c>
      <c r="S48" s="230">
        <f t="shared" si="10"/>
        <v>0</v>
      </c>
      <c r="Z48" s="231">
        <f t="shared" si="11"/>
        <v>0</v>
      </c>
      <c r="AA48" s="231">
        <f t="shared" si="12"/>
        <v>0</v>
      </c>
      <c r="AB48" s="231">
        <f t="shared" si="13"/>
        <v>0</v>
      </c>
      <c r="AC48" s="231">
        <f t="shared" si="14"/>
        <v>0</v>
      </c>
      <c r="AD48" s="231">
        <f t="shared" si="15"/>
        <v>0</v>
      </c>
      <c r="AE48" s="231">
        <f t="shared" si="16"/>
        <v>0</v>
      </c>
      <c r="AF48" s="231">
        <f t="shared" si="17"/>
        <v>0</v>
      </c>
      <c r="AG48" s="231">
        <f t="shared" si="18"/>
        <v>0</v>
      </c>
    </row>
    <row r="49" spans="1:33">
      <c r="A49" t="str">
        <f>IF(ABS(H49)&gt;0,基础信息!$B$1,"")</f>
        <v/>
      </c>
      <c r="S49" s="230">
        <f t="shared" si="10"/>
        <v>0</v>
      </c>
      <c r="Z49" s="231">
        <f t="shared" si="11"/>
        <v>0</v>
      </c>
      <c r="AA49" s="231">
        <f t="shared" si="12"/>
        <v>0</v>
      </c>
      <c r="AB49" s="231">
        <f t="shared" si="13"/>
        <v>0</v>
      </c>
      <c r="AC49" s="231">
        <f t="shared" si="14"/>
        <v>0</v>
      </c>
      <c r="AD49" s="231">
        <f t="shared" si="15"/>
        <v>0</v>
      </c>
      <c r="AE49" s="231">
        <f t="shared" si="16"/>
        <v>0</v>
      </c>
      <c r="AF49" s="231">
        <f t="shared" si="17"/>
        <v>0</v>
      </c>
      <c r="AG49" s="231">
        <f t="shared" si="18"/>
        <v>0</v>
      </c>
    </row>
    <row r="50" spans="1:33">
      <c r="A50" t="str">
        <f>IF(ABS(H50)&gt;0,基础信息!$B$1,"")</f>
        <v/>
      </c>
      <c r="S50" s="230">
        <f t="shared" si="10"/>
        <v>0</v>
      </c>
      <c r="Z50" s="231">
        <f t="shared" si="11"/>
        <v>0</v>
      </c>
      <c r="AA50" s="231">
        <f t="shared" si="12"/>
        <v>0</v>
      </c>
      <c r="AB50" s="231">
        <f t="shared" si="13"/>
        <v>0</v>
      </c>
      <c r="AC50" s="231">
        <f t="shared" si="14"/>
        <v>0</v>
      </c>
      <c r="AD50" s="231">
        <f t="shared" si="15"/>
        <v>0</v>
      </c>
      <c r="AE50" s="231">
        <f t="shared" si="16"/>
        <v>0</v>
      </c>
      <c r="AF50" s="231">
        <f t="shared" si="17"/>
        <v>0</v>
      </c>
      <c r="AG50" s="231">
        <f t="shared" si="18"/>
        <v>0</v>
      </c>
    </row>
    <row r="51" spans="1:33">
      <c r="A51" t="str">
        <f>IF(ABS(H51)&gt;0,基础信息!$B$1,"")</f>
        <v/>
      </c>
      <c r="S51" s="230">
        <f t="shared" si="10"/>
        <v>0</v>
      </c>
      <c r="Z51" s="231">
        <f t="shared" si="11"/>
        <v>0</v>
      </c>
      <c r="AA51" s="231">
        <f t="shared" si="12"/>
        <v>0</v>
      </c>
      <c r="AB51" s="231">
        <f t="shared" si="13"/>
        <v>0</v>
      </c>
      <c r="AC51" s="231">
        <f t="shared" si="14"/>
        <v>0</v>
      </c>
      <c r="AD51" s="231">
        <f t="shared" si="15"/>
        <v>0</v>
      </c>
      <c r="AE51" s="231">
        <f t="shared" si="16"/>
        <v>0</v>
      </c>
      <c r="AF51" s="231">
        <f t="shared" si="17"/>
        <v>0</v>
      </c>
      <c r="AG51" s="231">
        <f t="shared" si="18"/>
        <v>0</v>
      </c>
    </row>
    <row r="52" spans="1:33">
      <c r="A52" t="str">
        <f>IF(ABS(H52)&gt;0,基础信息!$B$1,"")</f>
        <v/>
      </c>
      <c r="S52" s="230">
        <f t="shared" si="10"/>
        <v>0</v>
      </c>
      <c r="Z52" s="231">
        <f t="shared" si="11"/>
        <v>0</v>
      </c>
      <c r="AA52" s="231">
        <f t="shared" si="12"/>
        <v>0</v>
      </c>
      <c r="AB52" s="231">
        <f t="shared" si="13"/>
        <v>0</v>
      </c>
      <c r="AC52" s="231">
        <f t="shared" si="14"/>
        <v>0</v>
      </c>
      <c r="AD52" s="231">
        <f t="shared" si="15"/>
        <v>0</v>
      </c>
      <c r="AE52" s="231">
        <f t="shared" si="16"/>
        <v>0</v>
      </c>
      <c r="AF52" s="231">
        <f t="shared" si="17"/>
        <v>0</v>
      </c>
      <c r="AG52" s="231">
        <f t="shared" si="18"/>
        <v>0</v>
      </c>
    </row>
    <row r="53" spans="1:33">
      <c r="A53" t="str">
        <f>IF(ABS(H53)&gt;0,基础信息!$B$1,"")</f>
        <v/>
      </c>
      <c r="S53" s="230">
        <f t="shared" si="10"/>
        <v>0</v>
      </c>
      <c r="Z53" s="231">
        <f t="shared" si="11"/>
        <v>0</v>
      </c>
      <c r="AA53" s="231">
        <f t="shared" si="12"/>
        <v>0</v>
      </c>
      <c r="AB53" s="231">
        <f t="shared" si="13"/>
        <v>0</v>
      </c>
      <c r="AC53" s="231">
        <f t="shared" si="14"/>
        <v>0</v>
      </c>
      <c r="AD53" s="231">
        <f t="shared" si="15"/>
        <v>0</v>
      </c>
      <c r="AE53" s="231">
        <f t="shared" si="16"/>
        <v>0</v>
      </c>
      <c r="AF53" s="231">
        <f t="shared" si="17"/>
        <v>0</v>
      </c>
      <c r="AG53" s="231">
        <f t="shared" si="18"/>
        <v>0</v>
      </c>
    </row>
    <row r="54" spans="1:33">
      <c r="A54" t="str">
        <f>IF(ABS(H54)&gt;0,基础信息!$B$1,"")</f>
        <v/>
      </c>
      <c r="S54" s="230">
        <f t="shared" si="10"/>
        <v>0</v>
      </c>
      <c r="Z54" s="231">
        <f t="shared" si="11"/>
        <v>0</v>
      </c>
      <c r="AA54" s="231">
        <f t="shared" si="12"/>
        <v>0</v>
      </c>
      <c r="AB54" s="231">
        <f t="shared" si="13"/>
        <v>0</v>
      </c>
      <c r="AC54" s="231">
        <f t="shared" si="14"/>
        <v>0</v>
      </c>
      <c r="AD54" s="231">
        <f t="shared" si="15"/>
        <v>0</v>
      </c>
      <c r="AE54" s="231">
        <f t="shared" si="16"/>
        <v>0</v>
      </c>
      <c r="AF54" s="231">
        <f t="shared" si="17"/>
        <v>0</v>
      </c>
      <c r="AG54" s="231">
        <f t="shared" si="18"/>
        <v>0</v>
      </c>
    </row>
    <row r="55" spans="1:33">
      <c r="A55" t="str">
        <f>IF(ABS(H55)&gt;0,基础信息!$B$1,"")</f>
        <v/>
      </c>
      <c r="S55" s="230">
        <f t="shared" si="10"/>
        <v>0</v>
      </c>
      <c r="Z55" s="231">
        <f t="shared" si="11"/>
        <v>0</v>
      </c>
      <c r="AA55" s="231">
        <f t="shared" si="12"/>
        <v>0</v>
      </c>
      <c r="AB55" s="231">
        <f t="shared" si="13"/>
        <v>0</v>
      </c>
      <c r="AC55" s="231">
        <f t="shared" si="14"/>
        <v>0</v>
      </c>
      <c r="AD55" s="231">
        <f t="shared" si="15"/>
        <v>0</v>
      </c>
      <c r="AE55" s="231">
        <f t="shared" si="16"/>
        <v>0</v>
      </c>
      <c r="AF55" s="231">
        <f t="shared" si="17"/>
        <v>0</v>
      </c>
      <c r="AG55" s="231">
        <f t="shared" si="18"/>
        <v>0</v>
      </c>
    </row>
    <row r="56" spans="1:33">
      <c r="A56" t="str">
        <f>IF(ABS(H56)&gt;0,基础信息!$B$1,"")</f>
        <v/>
      </c>
      <c r="S56" s="230">
        <f t="shared" si="10"/>
        <v>0</v>
      </c>
      <c r="Z56" s="231">
        <f t="shared" si="11"/>
        <v>0</v>
      </c>
      <c r="AA56" s="231">
        <f t="shared" si="12"/>
        <v>0</v>
      </c>
      <c r="AB56" s="231">
        <f t="shared" si="13"/>
        <v>0</v>
      </c>
      <c r="AC56" s="231">
        <f t="shared" si="14"/>
        <v>0</v>
      </c>
      <c r="AD56" s="231">
        <f t="shared" si="15"/>
        <v>0</v>
      </c>
      <c r="AE56" s="231">
        <f t="shared" si="16"/>
        <v>0</v>
      </c>
      <c r="AF56" s="231">
        <f t="shared" si="17"/>
        <v>0</v>
      </c>
      <c r="AG56" s="231">
        <f t="shared" si="18"/>
        <v>0</v>
      </c>
    </row>
    <row r="57" spans="1:33">
      <c r="A57" t="str">
        <f>IF(ABS(H57)&gt;0,基础信息!$B$1,"")</f>
        <v/>
      </c>
      <c r="S57" s="230">
        <f t="shared" si="10"/>
        <v>0</v>
      </c>
      <c r="Z57" s="231">
        <f t="shared" si="11"/>
        <v>0</v>
      </c>
      <c r="AA57" s="231">
        <f t="shared" si="12"/>
        <v>0</v>
      </c>
      <c r="AB57" s="231">
        <f t="shared" si="13"/>
        <v>0</v>
      </c>
      <c r="AC57" s="231">
        <f t="shared" si="14"/>
        <v>0</v>
      </c>
      <c r="AD57" s="231">
        <f t="shared" si="15"/>
        <v>0</v>
      </c>
      <c r="AE57" s="231">
        <f t="shared" si="16"/>
        <v>0</v>
      </c>
      <c r="AF57" s="231">
        <f t="shared" si="17"/>
        <v>0</v>
      </c>
      <c r="AG57" s="231">
        <f t="shared" si="18"/>
        <v>0</v>
      </c>
    </row>
    <row r="58" spans="1:33">
      <c r="A58" t="str">
        <f>IF(ABS(H58)&gt;0,基础信息!$B$1,"")</f>
        <v/>
      </c>
      <c r="S58" s="230">
        <f t="shared" si="10"/>
        <v>0</v>
      </c>
      <c r="Z58" s="231">
        <f t="shared" si="11"/>
        <v>0</v>
      </c>
      <c r="AA58" s="231">
        <f t="shared" si="12"/>
        <v>0</v>
      </c>
      <c r="AB58" s="231">
        <f t="shared" si="13"/>
        <v>0</v>
      </c>
      <c r="AC58" s="231">
        <f t="shared" si="14"/>
        <v>0</v>
      </c>
      <c r="AD58" s="231">
        <f t="shared" si="15"/>
        <v>0</v>
      </c>
      <c r="AE58" s="231">
        <f t="shared" si="16"/>
        <v>0</v>
      </c>
      <c r="AF58" s="231">
        <f t="shared" si="17"/>
        <v>0</v>
      </c>
      <c r="AG58" s="231">
        <f t="shared" si="18"/>
        <v>0</v>
      </c>
    </row>
    <row r="59" spans="1:33">
      <c r="A59" t="str">
        <f>IF(ABS(H59)&gt;0,基础信息!$B$1,"")</f>
        <v/>
      </c>
      <c r="S59" s="230">
        <f t="shared" si="10"/>
        <v>0</v>
      </c>
      <c r="Z59" s="231">
        <f t="shared" si="11"/>
        <v>0</v>
      </c>
      <c r="AA59" s="231">
        <f t="shared" si="12"/>
        <v>0</v>
      </c>
      <c r="AB59" s="231">
        <f t="shared" si="13"/>
        <v>0</v>
      </c>
      <c r="AC59" s="231">
        <f t="shared" si="14"/>
        <v>0</v>
      </c>
      <c r="AD59" s="231">
        <f t="shared" si="15"/>
        <v>0</v>
      </c>
      <c r="AE59" s="231">
        <f t="shared" si="16"/>
        <v>0</v>
      </c>
      <c r="AF59" s="231">
        <f t="shared" si="17"/>
        <v>0</v>
      </c>
      <c r="AG59" s="231">
        <f t="shared" si="18"/>
        <v>0</v>
      </c>
    </row>
    <row r="60" spans="1:33">
      <c r="A60" t="str">
        <f>IF(ABS(H60)&gt;0,基础信息!$B$1,"")</f>
        <v/>
      </c>
      <c r="S60" s="230">
        <f t="shared" si="10"/>
        <v>0</v>
      </c>
      <c r="Z60" s="231">
        <f t="shared" si="11"/>
        <v>0</v>
      </c>
      <c r="AA60" s="231">
        <f t="shared" si="12"/>
        <v>0</v>
      </c>
      <c r="AB60" s="231">
        <f t="shared" si="13"/>
        <v>0</v>
      </c>
      <c r="AC60" s="231">
        <f t="shared" si="14"/>
        <v>0</v>
      </c>
      <c r="AD60" s="231">
        <f t="shared" si="15"/>
        <v>0</v>
      </c>
      <c r="AE60" s="231">
        <f t="shared" si="16"/>
        <v>0</v>
      </c>
      <c r="AF60" s="231">
        <f t="shared" si="17"/>
        <v>0</v>
      </c>
      <c r="AG60" s="231">
        <f t="shared" si="18"/>
        <v>0</v>
      </c>
    </row>
    <row r="61" spans="1:33">
      <c r="A61" t="str">
        <f>IF(ABS(H61)&gt;0,基础信息!$B$1,"")</f>
        <v/>
      </c>
      <c r="S61" s="230">
        <f t="shared" si="10"/>
        <v>0</v>
      </c>
      <c r="Z61" s="231">
        <f t="shared" si="11"/>
        <v>0</v>
      </c>
      <c r="AA61" s="231">
        <f t="shared" si="12"/>
        <v>0</v>
      </c>
      <c r="AB61" s="231">
        <f t="shared" si="13"/>
        <v>0</v>
      </c>
      <c r="AC61" s="231">
        <f t="shared" si="14"/>
        <v>0</v>
      </c>
      <c r="AD61" s="231">
        <f t="shared" si="15"/>
        <v>0</v>
      </c>
      <c r="AE61" s="231">
        <f t="shared" si="16"/>
        <v>0</v>
      </c>
      <c r="AF61" s="231">
        <f t="shared" si="17"/>
        <v>0</v>
      </c>
      <c r="AG61" s="231">
        <f t="shared" si="18"/>
        <v>0</v>
      </c>
    </row>
    <row r="62" spans="1:33">
      <c r="A62" t="str">
        <f>IF(ABS(H62)&gt;0,基础信息!$B$1,"")</f>
        <v/>
      </c>
      <c r="S62" s="230">
        <f t="shared" si="10"/>
        <v>0</v>
      </c>
      <c r="Z62" s="231">
        <f t="shared" si="11"/>
        <v>0</v>
      </c>
      <c r="AA62" s="231">
        <f t="shared" si="12"/>
        <v>0</v>
      </c>
      <c r="AB62" s="231">
        <f t="shared" si="13"/>
        <v>0</v>
      </c>
      <c r="AC62" s="231">
        <f t="shared" si="14"/>
        <v>0</v>
      </c>
      <c r="AD62" s="231">
        <f t="shared" si="15"/>
        <v>0</v>
      </c>
      <c r="AE62" s="231">
        <f t="shared" si="16"/>
        <v>0</v>
      </c>
      <c r="AF62" s="231">
        <f t="shared" si="17"/>
        <v>0</v>
      </c>
      <c r="AG62" s="231">
        <f t="shared" si="18"/>
        <v>0</v>
      </c>
    </row>
    <row r="63" spans="1:33">
      <c r="A63" t="str">
        <f>IF(ABS(H63)&gt;0,基础信息!$B$1,"")</f>
        <v/>
      </c>
      <c r="S63" s="230">
        <f t="shared" si="10"/>
        <v>0</v>
      </c>
      <c r="Z63" s="231">
        <f t="shared" si="11"/>
        <v>0</v>
      </c>
      <c r="AA63" s="231">
        <f t="shared" si="12"/>
        <v>0</v>
      </c>
      <c r="AB63" s="231">
        <f t="shared" si="13"/>
        <v>0</v>
      </c>
      <c r="AC63" s="231">
        <f t="shared" si="14"/>
        <v>0</v>
      </c>
      <c r="AD63" s="231">
        <f t="shared" si="15"/>
        <v>0</v>
      </c>
      <c r="AE63" s="231">
        <f t="shared" si="16"/>
        <v>0</v>
      </c>
      <c r="AF63" s="231">
        <f t="shared" si="17"/>
        <v>0</v>
      </c>
      <c r="AG63" s="231">
        <f t="shared" si="18"/>
        <v>0</v>
      </c>
    </row>
    <row r="64" spans="1:33">
      <c r="A64" t="str">
        <f>IF(ABS(H64)&gt;0,基础信息!$B$1,"")</f>
        <v/>
      </c>
      <c r="S64" s="230">
        <f t="shared" si="10"/>
        <v>0</v>
      </c>
      <c r="Z64" s="231">
        <f t="shared" si="11"/>
        <v>0</v>
      </c>
      <c r="AA64" s="231">
        <f t="shared" si="12"/>
        <v>0</v>
      </c>
      <c r="AB64" s="231">
        <f t="shared" si="13"/>
        <v>0</v>
      </c>
      <c r="AC64" s="231">
        <f t="shared" si="14"/>
        <v>0</v>
      </c>
      <c r="AD64" s="231">
        <f t="shared" si="15"/>
        <v>0</v>
      </c>
      <c r="AE64" s="231">
        <f t="shared" si="16"/>
        <v>0</v>
      </c>
      <c r="AF64" s="231">
        <f t="shared" si="17"/>
        <v>0</v>
      </c>
      <c r="AG64" s="231">
        <f t="shared" si="18"/>
        <v>0</v>
      </c>
    </row>
    <row r="65" spans="1:33">
      <c r="A65" t="str">
        <f>IF(ABS(H65)&gt;0,基础信息!$B$1,"")</f>
        <v/>
      </c>
      <c r="S65" s="230">
        <f t="shared" si="10"/>
        <v>0</v>
      </c>
      <c r="Z65" s="231">
        <f t="shared" si="11"/>
        <v>0</v>
      </c>
      <c r="AA65" s="231">
        <f t="shared" si="12"/>
        <v>0</v>
      </c>
      <c r="AB65" s="231">
        <f t="shared" si="13"/>
        <v>0</v>
      </c>
      <c r="AC65" s="231">
        <f t="shared" si="14"/>
        <v>0</v>
      </c>
      <c r="AD65" s="231">
        <f t="shared" si="15"/>
        <v>0</v>
      </c>
      <c r="AE65" s="231">
        <f t="shared" si="16"/>
        <v>0</v>
      </c>
      <c r="AF65" s="231">
        <f t="shared" si="17"/>
        <v>0</v>
      </c>
      <c r="AG65" s="231">
        <f t="shared" si="18"/>
        <v>0</v>
      </c>
    </row>
    <row r="66" spans="1:33">
      <c r="A66" t="str">
        <f>IF(ABS(H66)&gt;0,基础信息!$B$1,"")</f>
        <v/>
      </c>
      <c r="S66" s="230">
        <f t="shared" si="10"/>
        <v>0</v>
      </c>
      <c r="Z66" s="231">
        <f t="shared" si="11"/>
        <v>0</v>
      </c>
      <c r="AA66" s="231">
        <f t="shared" si="12"/>
        <v>0</v>
      </c>
      <c r="AB66" s="231">
        <f t="shared" si="13"/>
        <v>0</v>
      </c>
      <c r="AC66" s="231">
        <f t="shared" si="14"/>
        <v>0</v>
      </c>
      <c r="AD66" s="231">
        <f t="shared" si="15"/>
        <v>0</v>
      </c>
      <c r="AE66" s="231">
        <f t="shared" si="16"/>
        <v>0</v>
      </c>
      <c r="AF66" s="231">
        <f t="shared" si="17"/>
        <v>0</v>
      </c>
      <c r="AG66" s="231">
        <f t="shared" si="18"/>
        <v>0</v>
      </c>
    </row>
    <row r="67" spans="1:33">
      <c r="A67" t="str">
        <f>IF(ABS(H67)&gt;0,基础信息!$B$1,"")</f>
        <v/>
      </c>
      <c r="S67" s="230">
        <f t="shared" si="10"/>
        <v>0</v>
      </c>
      <c r="Z67" s="231">
        <f t="shared" si="11"/>
        <v>0</v>
      </c>
      <c r="AA67" s="231">
        <f t="shared" si="12"/>
        <v>0</v>
      </c>
      <c r="AB67" s="231">
        <f t="shared" si="13"/>
        <v>0</v>
      </c>
      <c r="AC67" s="231">
        <f t="shared" si="14"/>
        <v>0</v>
      </c>
      <c r="AD67" s="231">
        <f t="shared" si="15"/>
        <v>0</v>
      </c>
      <c r="AE67" s="231">
        <f t="shared" si="16"/>
        <v>0</v>
      </c>
      <c r="AF67" s="231">
        <f t="shared" si="17"/>
        <v>0</v>
      </c>
      <c r="AG67" s="231">
        <f t="shared" si="18"/>
        <v>0</v>
      </c>
    </row>
    <row r="68" spans="1:33">
      <c r="A68" t="str">
        <f>IF(ABS(H68)&gt;0,基础信息!$B$1,"")</f>
        <v/>
      </c>
      <c r="S68" s="230">
        <f t="shared" si="10"/>
        <v>0</v>
      </c>
      <c r="Z68" s="231">
        <f t="shared" si="11"/>
        <v>0</v>
      </c>
      <c r="AA68" s="231">
        <f t="shared" si="12"/>
        <v>0</v>
      </c>
      <c r="AB68" s="231">
        <f t="shared" si="13"/>
        <v>0</v>
      </c>
      <c r="AC68" s="231">
        <f t="shared" si="14"/>
        <v>0</v>
      </c>
      <c r="AD68" s="231">
        <f t="shared" si="15"/>
        <v>0</v>
      </c>
      <c r="AE68" s="231">
        <f t="shared" si="16"/>
        <v>0</v>
      </c>
      <c r="AF68" s="231">
        <f t="shared" si="17"/>
        <v>0</v>
      </c>
      <c r="AG68" s="231">
        <f t="shared" si="18"/>
        <v>0</v>
      </c>
    </row>
    <row r="69" spans="1:33">
      <c r="A69" t="str">
        <f>IF(ABS(H69)&gt;0,基础信息!$B$1,"")</f>
        <v/>
      </c>
      <c r="S69" s="230">
        <f t="shared" si="10"/>
        <v>0</v>
      </c>
      <c r="Z69" s="231">
        <f t="shared" si="11"/>
        <v>0</v>
      </c>
      <c r="AA69" s="231">
        <f t="shared" si="12"/>
        <v>0</v>
      </c>
      <c r="AB69" s="231">
        <f t="shared" si="13"/>
        <v>0</v>
      </c>
      <c r="AC69" s="231">
        <f t="shared" si="14"/>
        <v>0</v>
      </c>
      <c r="AD69" s="231">
        <f t="shared" si="15"/>
        <v>0</v>
      </c>
      <c r="AE69" s="231">
        <f t="shared" si="16"/>
        <v>0</v>
      </c>
      <c r="AF69" s="231">
        <f t="shared" si="17"/>
        <v>0</v>
      </c>
      <c r="AG69" s="231">
        <f t="shared" si="18"/>
        <v>0</v>
      </c>
    </row>
    <row r="70" spans="1:33">
      <c r="A70" t="str">
        <f>IF(ABS(H70)&gt;0,基础信息!$B$1,"")</f>
        <v/>
      </c>
      <c r="S70" s="230">
        <f t="shared" si="10"/>
        <v>0</v>
      </c>
      <c r="Z70" s="231">
        <f t="shared" si="11"/>
        <v>0</v>
      </c>
      <c r="AA70" s="231">
        <f t="shared" si="12"/>
        <v>0</v>
      </c>
      <c r="AB70" s="231">
        <f t="shared" si="13"/>
        <v>0</v>
      </c>
      <c r="AC70" s="231">
        <f t="shared" si="14"/>
        <v>0</v>
      </c>
      <c r="AD70" s="231">
        <f t="shared" si="15"/>
        <v>0</v>
      </c>
      <c r="AE70" s="231">
        <f t="shared" si="16"/>
        <v>0</v>
      </c>
      <c r="AF70" s="231">
        <f t="shared" si="17"/>
        <v>0</v>
      </c>
      <c r="AG70" s="231">
        <f t="shared" si="18"/>
        <v>0</v>
      </c>
    </row>
    <row r="71" spans="1:33">
      <c r="A71" t="str">
        <f>IF(ABS(H71)&gt;0,基础信息!$B$1,"")</f>
        <v/>
      </c>
      <c r="S71" s="230">
        <f t="shared" si="10"/>
        <v>0</v>
      </c>
      <c r="Z71" s="231">
        <f t="shared" si="11"/>
        <v>0</v>
      </c>
      <c r="AA71" s="231">
        <f t="shared" si="12"/>
        <v>0</v>
      </c>
      <c r="AB71" s="231">
        <f t="shared" si="13"/>
        <v>0</v>
      </c>
      <c r="AC71" s="231">
        <f t="shared" si="14"/>
        <v>0</v>
      </c>
      <c r="AD71" s="231">
        <f t="shared" si="15"/>
        <v>0</v>
      </c>
      <c r="AE71" s="231">
        <f t="shared" si="16"/>
        <v>0</v>
      </c>
      <c r="AF71" s="231">
        <f t="shared" si="17"/>
        <v>0</v>
      </c>
      <c r="AG71" s="231">
        <f t="shared" si="18"/>
        <v>0</v>
      </c>
    </row>
    <row r="72" spans="1:33">
      <c r="A72" t="str">
        <f>IF(ABS(H72)&gt;0,基础信息!$B$1,"")</f>
        <v/>
      </c>
      <c r="S72" s="230">
        <f t="shared" si="10"/>
        <v>0</v>
      </c>
      <c r="Z72" s="231">
        <f t="shared" si="11"/>
        <v>0</v>
      </c>
      <c r="AA72" s="231">
        <f t="shared" si="12"/>
        <v>0</v>
      </c>
      <c r="AB72" s="231">
        <f t="shared" si="13"/>
        <v>0</v>
      </c>
      <c r="AC72" s="231">
        <f t="shared" si="14"/>
        <v>0</v>
      </c>
      <c r="AD72" s="231">
        <f t="shared" si="15"/>
        <v>0</v>
      </c>
      <c r="AE72" s="231">
        <f t="shared" si="16"/>
        <v>0</v>
      </c>
      <c r="AF72" s="231">
        <f t="shared" si="17"/>
        <v>0</v>
      </c>
      <c r="AG72" s="231">
        <f t="shared" si="18"/>
        <v>0</v>
      </c>
    </row>
    <row r="73" spans="1:33">
      <c r="A73" t="str">
        <f>IF(ABS(H73)&gt;0,基础信息!$B$1,"")</f>
        <v/>
      </c>
      <c r="S73" s="230">
        <f t="shared" si="10"/>
        <v>0</v>
      </c>
      <c r="Z73" s="231">
        <f t="shared" si="11"/>
        <v>0</v>
      </c>
      <c r="AA73" s="231">
        <f t="shared" si="12"/>
        <v>0</v>
      </c>
      <c r="AB73" s="231">
        <f t="shared" si="13"/>
        <v>0</v>
      </c>
      <c r="AC73" s="231">
        <f t="shared" si="14"/>
        <v>0</v>
      </c>
      <c r="AD73" s="231">
        <f t="shared" si="15"/>
        <v>0</v>
      </c>
      <c r="AE73" s="231">
        <f t="shared" si="16"/>
        <v>0</v>
      </c>
      <c r="AF73" s="231">
        <f t="shared" si="17"/>
        <v>0</v>
      </c>
      <c r="AG73" s="231">
        <f t="shared" si="18"/>
        <v>0</v>
      </c>
    </row>
    <row r="74" spans="1:33">
      <c r="A74" t="str">
        <f>IF(ABS(H74)&gt;0,基础信息!$B$1,"")</f>
        <v/>
      </c>
      <c r="S74" s="230">
        <f t="shared" si="10"/>
        <v>0</v>
      </c>
      <c r="Z74" s="231">
        <f t="shared" si="11"/>
        <v>0</v>
      </c>
      <c r="AA74" s="231">
        <f t="shared" si="12"/>
        <v>0</v>
      </c>
      <c r="AB74" s="231">
        <f t="shared" si="13"/>
        <v>0</v>
      </c>
      <c r="AC74" s="231">
        <f t="shared" si="14"/>
        <v>0</v>
      </c>
      <c r="AD74" s="231">
        <f t="shared" si="15"/>
        <v>0</v>
      </c>
      <c r="AE74" s="231">
        <f t="shared" si="16"/>
        <v>0</v>
      </c>
      <c r="AF74" s="231">
        <f t="shared" si="17"/>
        <v>0</v>
      </c>
      <c r="AG74" s="231">
        <f t="shared" si="18"/>
        <v>0</v>
      </c>
    </row>
    <row r="75" spans="1:33">
      <c r="A75" t="str">
        <f>IF(ABS(H75)&gt;0,基础信息!$B$1,"")</f>
        <v/>
      </c>
      <c r="S75" s="230">
        <f t="shared" si="10"/>
        <v>0</v>
      </c>
      <c r="Z75" s="231">
        <f t="shared" si="11"/>
        <v>0</v>
      </c>
      <c r="AA75" s="231">
        <f t="shared" si="12"/>
        <v>0</v>
      </c>
      <c r="AB75" s="231">
        <f t="shared" si="13"/>
        <v>0</v>
      </c>
      <c r="AC75" s="231">
        <f t="shared" si="14"/>
        <v>0</v>
      </c>
      <c r="AD75" s="231">
        <f t="shared" si="15"/>
        <v>0</v>
      </c>
      <c r="AE75" s="231">
        <f t="shared" si="16"/>
        <v>0</v>
      </c>
      <c r="AF75" s="231">
        <f t="shared" si="17"/>
        <v>0</v>
      </c>
      <c r="AG75" s="231">
        <f t="shared" si="18"/>
        <v>0</v>
      </c>
    </row>
    <row r="76" spans="1:33">
      <c r="A76" t="str">
        <f>IF(ABS(H76)&gt;0,基础信息!$B$1,"")</f>
        <v/>
      </c>
      <c r="S76" s="230">
        <f t="shared" si="10"/>
        <v>0</v>
      </c>
      <c r="Z76" s="231">
        <f t="shared" si="11"/>
        <v>0</v>
      </c>
      <c r="AA76" s="231">
        <f t="shared" si="12"/>
        <v>0</v>
      </c>
      <c r="AB76" s="231">
        <f t="shared" si="13"/>
        <v>0</v>
      </c>
      <c r="AC76" s="231">
        <f t="shared" si="14"/>
        <v>0</v>
      </c>
      <c r="AD76" s="231">
        <f t="shared" si="15"/>
        <v>0</v>
      </c>
      <c r="AE76" s="231">
        <f t="shared" si="16"/>
        <v>0</v>
      </c>
      <c r="AF76" s="231">
        <f t="shared" si="17"/>
        <v>0</v>
      </c>
      <c r="AG76" s="231">
        <f t="shared" si="18"/>
        <v>0</v>
      </c>
    </row>
    <row r="77" spans="1:33">
      <c r="A77" t="str">
        <f>IF(ABS(H77)&gt;0,基础信息!$B$1,"")</f>
        <v/>
      </c>
      <c r="S77" s="230">
        <f t="shared" si="10"/>
        <v>0</v>
      </c>
      <c r="Z77" s="231">
        <f t="shared" si="11"/>
        <v>0</v>
      </c>
      <c r="AA77" s="231">
        <f t="shared" si="12"/>
        <v>0</v>
      </c>
      <c r="AB77" s="231">
        <f t="shared" si="13"/>
        <v>0</v>
      </c>
      <c r="AC77" s="231">
        <f t="shared" si="14"/>
        <v>0</v>
      </c>
      <c r="AD77" s="231">
        <f t="shared" si="15"/>
        <v>0</v>
      </c>
      <c r="AE77" s="231">
        <f t="shared" si="16"/>
        <v>0</v>
      </c>
      <c r="AF77" s="231">
        <f t="shared" si="17"/>
        <v>0</v>
      </c>
      <c r="AG77" s="231">
        <f t="shared" si="18"/>
        <v>0</v>
      </c>
    </row>
    <row r="78" spans="1:33">
      <c r="A78" t="str">
        <f>IF(ABS(H78)&gt;0,基础信息!$B$1,"")</f>
        <v/>
      </c>
      <c r="S78" s="230">
        <f t="shared" si="10"/>
        <v>0</v>
      </c>
      <c r="Z78" s="231">
        <f t="shared" si="11"/>
        <v>0</v>
      </c>
      <c r="AA78" s="231">
        <f t="shared" si="12"/>
        <v>0</v>
      </c>
      <c r="AB78" s="231">
        <f t="shared" si="13"/>
        <v>0</v>
      </c>
      <c r="AC78" s="231">
        <f t="shared" si="14"/>
        <v>0</v>
      </c>
      <c r="AD78" s="231">
        <f t="shared" si="15"/>
        <v>0</v>
      </c>
      <c r="AE78" s="231">
        <f t="shared" si="16"/>
        <v>0</v>
      </c>
      <c r="AF78" s="231">
        <f t="shared" si="17"/>
        <v>0</v>
      </c>
      <c r="AG78" s="231">
        <f t="shared" si="18"/>
        <v>0</v>
      </c>
    </row>
    <row r="79" spans="1:33">
      <c r="A79" t="str">
        <f>IF(ABS(H79)&gt;0,基础信息!$B$1,"")</f>
        <v/>
      </c>
      <c r="S79" s="230">
        <f t="shared" si="10"/>
        <v>0</v>
      </c>
      <c r="Z79" s="231">
        <f t="shared" si="11"/>
        <v>0</v>
      </c>
      <c r="AA79" s="231">
        <f t="shared" si="12"/>
        <v>0</v>
      </c>
      <c r="AB79" s="231">
        <f t="shared" si="13"/>
        <v>0</v>
      </c>
      <c r="AC79" s="231">
        <f t="shared" si="14"/>
        <v>0</v>
      </c>
      <c r="AD79" s="231">
        <f t="shared" si="15"/>
        <v>0</v>
      </c>
      <c r="AE79" s="231">
        <f t="shared" si="16"/>
        <v>0</v>
      </c>
      <c r="AF79" s="231">
        <f t="shared" si="17"/>
        <v>0</v>
      </c>
      <c r="AG79" s="231">
        <f t="shared" si="18"/>
        <v>0</v>
      </c>
    </row>
    <row r="80" spans="1:33">
      <c r="A80" t="str">
        <f>IF(ABS(H80)&gt;0,基础信息!$B$1,"")</f>
        <v/>
      </c>
      <c r="S80" s="230">
        <f t="shared" si="10"/>
        <v>0</v>
      </c>
      <c r="Z80" s="231">
        <f t="shared" si="11"/>
        <v>0</v>
      </c>
      <c r="AA80" s="231">
        <f t="shared" si="12"/>
        <v>0</v>
      </c>
      <c r="AB80" s="231">
        <f t="shared" si="13"/>
        <v>0</v>
      </c>
      <c r="AC80" s="231">
        <f t="shared" si="14"/>
        <v>0</v>
      </c>
      <c r="AD80" s="231">
        <f t="shared" si="15"/>
        <v>0</v>
      </c>
      <c r="AE80" s="231">
        <f t="shared" si="16"/>
        <v>0</v>
      </c>
      <c r="AF80" s="231">
        <f t="shared" si="17"/>
        <v>0</v>
      </c>
      <c r="AG80" s="231">
        <f t="shared" si="18"/>
        <v>0</v>
      </c>
    </row>
    <row r="81" spans="1:33">
      <c r="A81" t="str">
        <f>IF(ABS(H81)&gt;0,基础信息!$B$1,"")</f>
        <v/>
      </c>
      <c r="S81" s="230">
        <f t="shared" si="10"/>
        <v>0</v>
      </c>
      <c r="Z81" s="231">
        <f t="shared" si="11"/>
        <v>0</v>
      </c>
      <c r="AA81" s="231">
        <f t="shared" si="12"/>
        <v>0</v>
      </c>
      <c r="AB81" s="231">
        <f t="shared" si="13"/>
        <v>0</v>
      </c>
      <c r="AC81" s="231">
        <f t="shared" si="14"/>
        <v>0</v>
      </c>
      <c r="AD81" s="231">
        <f t="shared" si="15"/>
        <v>0</v>
      </c>
      <c r="AE81" s="231">
        <f t="shared" si="16"/>
        <v>0</v>
      </c>
      <c r="AF81" s="231">
        <f t="shared" si="17"/>
        <v>0</v>
      </c>
      <c r="AG81" s="231">
        <f t="shared" si="18"/>
        <v>0</v>
      </c>
    </row>
    <row r="82" spans="1:33">
      <c r="A82" t="str">
        <f>IF(ABS(H82)&gt;0,基础信息!$B$1,"")</f>
        <v/>
      </c>
      <c r="S82" s="230">
        <f t="shared" si="10"/>
        <v>0</v>
      </c>
      <c r="Z82" s="231">
        <f t="shared" si="11"/>
        <v>0</v>
      </c>
      <c r="AA82" s="231">
        <f t="shared" si="12"/>
        <v>0</v>
      </c>
      <c r="AB82" s="231">
        <f t="shared" si="13"/>
        <v>0</v>
      </c>
      <c r="AC82" s="231">
        <f t="shared" si="14"/>
        <v>0</v>
      </c>
      <c r="AD82" s="231">
        <f t="shared" si="15"/>
        <v>0</v>
      </c>
      <c r="AE82" s="231">
        <f t="shared" si="16"/>
        <v>0</v>
      </c>
      <c r="AF82" s="231">
        <f t="shared" si="17"/>
        <v>0</v>
      </c>
      <c r="AG82" s="231">
        <f t="shared" si="18"/>
        <v>0</v>
      </c>
    </row>
    <row r="83" spans="1:33">
      <c r="A83" t="str">
        <f>IF(ABS(H83)&gt;0,基础信息!$B$1,"")</f>
        <v/>
      </c>
      <c r="S83" s="230">
        <f t="shared" si="10"/>
        <v>0</v>
      </c>
      <c r="Z83" s="231">
        <f t="shared" si="11"/>
        <v>0</v>
      </c>
      <c r="AA83" s="231">
        <f t="shared" si="12"/>
        <v>0</v>
      </c>
      <c r="AB83" s="231">
        <f t="shared" si="13"/>
        <v>0</v>
      </c>
      <c r="AC83" s="231">
        <f t="shared" si="14"/>
        <v>0</v>
      </c>
      <c r="AD83" s="231">
        <f t="shared" si="15"/>
        <v>0</v>
      </c>
      <c r="AE83" s="231">
        <f t="shared" si="16"/>
        <v>0</v>
      </c>
      <c r="AF83" s="231">
        <f t="shared" si="17"/>
        <v>0</v>
      </c>
      <c r="AG83" s="231">
        <f t="shared" si="18"/>
        <v>0</v>
      </c>
    </row>
    <row r="84" spans="1:33">
      <c r="A84" t="str">
        <f>IF(ABS(H84)&gt;0,基础信息!$B$1,"")</f>
        <v/>
      </c>
      <c r="S84" s="230">
        <f t="shared" si="10"/>
        <v>0</v>
      </c>
      <c r="Z84" s="231">
        <f t="shared" si="11"/>
        <v>0</v>
      </c>
      <c r="AA84" s="231">
        <f t="shared" si="12"/>
        <v>0</v>
      </c>
      <c r="AB84" s="231">
        <f t="shared" si="13"/>
        <v>0</v>
      </c>
      <c r="AC84" s="231">
        <f t="shared" si="14"/>
        <v>0</v>
      </c>
      <c r="AD84" s="231">
        <f t="shared" si="15"/>
        <v>0</v>
      </c>
      <c r="AE84" s="231">
        <f t="shared" si="16"/>
        <v>0</v>
      </c>
      <c r="AF84" s="231">
        <f t="shared" si="17"/>
        <v>0</v>
      </c>
      <c r="AG84" s="231">
        <f t="shared" si="18"/>
        <v>0</v>
      </c>
    </row>
    <row r="85" spans="1:33">
      <c r="A85" t="str">
        <f>IF(ABS(H85)&gt;0,基础信息!$B$1,"")</f>
        <v/>
      </c>
      <c r="S85" s="230">
        <f t="shared" ref="S85:S148" si="19">O85+P85-Q85-R85</f>
        <v>0</v>
      </c>
      <c r="Z85" s="231">
        <f t="shared" ref="Z85:Z148" si="20">H85-S85</f>
        <v>0</v>
      </c>
      <c r="AA85" s="231">
        <f t="shared" ref="AA85:AA148" si="21">I85-T85</f>
        <v>0</v>
      </c>
      <c r="AB85" s="231">
        <f t="shared" ref="AB85:AB148" si="22">J85-U85</f>
        <v>0</v>
      </c>
      <c r="AC85" s="231">
        <f t="shared" ref="AC85:AC148" si="23">K85-V85</f>
        <v>0</v>
      </c>
      <c r="AD85" s="231">
        <f t="shared" ref="AD85:AD148" si="24">L85-W85</f>
        <v>0</v>
      </c>
      <c r="AE85" s="231">
        <f t="shared" ref="AE85:AE148" si="25">M85-X85</f>
        <v>0</v>
      </c>
      <c r="AF85" s="231">
        <f t="shared" ref="AF85:AF148" si="26">N85-Y85</f>
        <v>0</v>
      </c>
      <c r="AG85" s="231">
        <f t="shared" ref="AG85:AG148" si="27">S85-SUM(T85:Y85)</f>
        <v>0</v>
      </c>
    </row>
    <row r="86" spans="1:33">
      <c r="A86" t="str">
        <f>IF(ABS(H86)&gt;0,基础信息!$B$1,"")</f>
        <v/>
      </c>
      <c r="S86" s="230">
        <f t="shared" si="19"/>
        <v>0</v>
      </c>
      <c r="Z86" s="231">
        <f t="shared" si="20"/>
        <v>0</v>
      </c>
      <c r="AA86" s="231">
        <f t="shared" si="21"/>
        <v>0</v>
      </c>
      <c r="AB86" s="231">
        <f t="shared" si="22"/>
        <v>0</v>
      </c>
      <c r="AC86" s="231">
        <f t="shared" si="23"/>
        <v>0</v>
      </c>
      <c r="AD86" s="231">
        <f t="shared" si="24"/>
        <v>0</v>
      </c>
      <c r="AE86" s="231">
        <f t="shared" si="25"/>
        <v>0</v>
      </c>
      <c r="AF86" s="231">
        <f t="shared" si="26"/>
        <v>0</v>
      </c>
      <c r="AG86" s="231">
        <f t="shared" si="27"/>
        <v>0</v>
      </c>
    </row>
    <row r="87" spans="1:33">
      <c r="A87" t="str">
        <f>IF(ABS(H87)&gt;0,基础信息!$B$1,"")</f>
        <v/>
      </c>
      <c r="S87" s="230">
        <f t="shared" si="19"/>
        <v>0</v>
      </c>
      <c r="Z87" s="231">
        <f t="shared" si="20"/>
        <v>0</v>
      </c>
      <c r="AA87" s="231">
        <f t="shared" si="21"/>
        <v>0</v>
      </c>
      <c r="AB87" s="231">
        <f t="shared" si="22"/>
        <v>0</v>
      </c>
      <c r="AC87" s="231">
        <f t="shared" si="23"/>
        <v>0</v>
      </c>
      <c r="AD87" s="231">
        <f t="shared" si="24"/>
        <v>0</v>
      </c>
      <c r="AE87" s="231">
        <f t="shared" si="25"/>
        <v>0</v>
      </c>
      <c r="AF87" s="231">
        <f t="shared" si="26"/>
        <v>0</v>
      </c>
      <c r="AG87" s="231">
        <f t="shared" si="27"/>
        <v>0</v>
      </c>
    </row>
    <row r="88" spans="1:33">
      <c r="A88" t="str">
        <f>IF(ABS(H88)&gt;0,基础信息!$B$1,"")</f>
        <v/>
      </c>
      <c r="S88" s="230">
        <f t="shared" si="19"/>
        <v>0</v>
      </c>
      <c r="Z88" s="231">
        <f t="shared" si="20"/>
        <v>0</v>
      </c>
      <c r="AA88" s="231">
        <f t="shared" si="21"/>
        <v>0</v>
      </c>
      <c r="AB88" s="231">
        <f t="shared" si="22"/>
        <v>0</v>
      </c>
      <c r="AC88" s="231">
        <f t="shared" si="23"/>
        <v>0</v>
      </c>
      <c r="AD88" s="231">
        <f t="shared" si="24"/>
        <v>0</v>
      </c>
      <c r="AE88" s="231">
        <f t="shared" si="25"/>
        <v>0</v>
      </c>
      <c r="AF88" s="231">
        <f t="shared" si="26"/>
        <v>0</v>
      </c>
      <c r="AG88" s="231">
        <f t="shared" si="27"/>
        <v>0</v>
      </c>
    </row>
    <row r="89" spans="1:33">
      <c r="A89" t="str">
        <f>IF(ABS(H89)&gt;0,基础信息!$B$1,"")</f>
        <v/>
      </c>
      <c r="S89" s="230">
        <f t="shared" si="19"/>
        <v>0</v>
      </c>
      <c r="Z89" s="231">
        <f t="shared" si="20"/>
        <v>0</v>
      </c>
      <c r="AA89" s="231">
        <f t="shared" si="21"/>
        <v>0</v>
      </c>
      <c r="AB89" s="231">
        <f t="shared" si="22"/>
        <v>0</v>
      </c>
      <c r="AC89" s="231">
        <f t="shared" si="23"/>
        <v>0</v>
      </c>
      <c r="AD89" s="231">
        <f t="shared" si="24"/>
        <v>0</v>
      </c>
      <c r="AE89" s="231">
        <f t="shared" si="25"/>
        <v>0</v>
      </c>
      <c r="AF89" s="231">
        <f t="shared" si="26"/>
        <v>0</v>
      </c>
      <c r="AG89" s="231">
        <f t="shared" si="27"/>
        <v>0</v>
      </c>
    </row>
    <row r="90" spans="1:33">
      <c r="A90" t="str">
        <f>IF(ABS(H90)&gt;0,基础信息!$B$1,"")</f>
        <v/>
      </c>
      <c r="S90" s="230">
        <f t="shared" si="19"/>
        <v>0</v>
      </c>
      <c r="Z90" s="231">
        <f t="shared" si="20"/>
        <v>0</v>
      </c>
      <c r="AA90" s="231">
        <f t="shared" si="21"/>
        <v>0</v>
      </c>
      <c r="AB90" s="231">
        <f t="shared" si="22"/>
        <v>0</v>
      </c>
      <c r="AC90" s="231">
        <f t="shared" si="23"/>
        <v>0</v>
      </c>
      <c r="AD90" s="231">
        <f t="shared" si="24"/>
        <v>0</v>
      </c>
      <c r="AE90" s="231">
        <f t="shared" si="25"/>
        <v>0</v>
      </c>
      <c r="AF90" s="231">
        <f t="shared" si="26"/>
        <v>0</v>
      </c>
      <c r="AG90" s="231">
        <f t="shared" si="27"/>
        <v>0</v>
      </c>
    </row>
    <row r="91" spans="1:33">
      <c r="A91" t="str">
        <f>IF(ABS(H91)&gt;0,基础信息!$B$1,"")</f>
        <v/>
      </c>
      <c r="S91" s="230">
        <f t="shared" si="19"/>
        <v>0</v>
      </c>
      <c r="Z91" s="231">
        <f t="shared" si="20"/>
        <v>0</v>
      </c>
      <c r="AA91" s="231">
        <f t="shared" si="21"/>
        <v>0</v>
      </c>
      <c r="AB91" s="231">
        <f t="shared" si="22"/>
        <v>0</v>
      </c>
      <c r="AC91" s="231">
        <f t="shared" si="23"/>
        <v>0</v>
      </c>
      <c r="AD91" s="231">
        <f t="shared" si="24"/>
        <v>0</v>
      </c>
      <c r="AE91" s="231">
        <f t="shared" si="25"/>
        <v>0</v>
      </c>
      <c r="AF91" s="231">
        <f t="shared" si="26"/>
        <v>0</v>
      </c>
      <c r="AG91" s="231">
        <f t="shared" si="27"/>
        <v>0</v>
      </c>
    </row>
    <row r="92" spans="1:33">
      <c r="A92" t="str">
        <f>IF(ABS(H92)&gt;0,基础信息!$B$1,"")</f>
        <v/>
      </c>
      <c r="S92" s="230">
        <f t="shared" si="19"/>
        <v>0</v>
      </c>
      <c r="Z92" s="231">
        <f t="shared" si="20"/>
        <v>0</v>
      </c>
      <c r="AA92" s="231">
        <f t="shared" si="21"/>
        <v>0</v>
      </c>
      <c r="AB92" s="231">
        <f t="shared" si="22"/>
        <v>0</v>
      </c>
      <c r="AC92" s="231">
        <f t="shared" si="23"/>
        <v>0</v>
      </c>
      <c r="AD92" s="231">
        <f t="shared" si="24"/>
        <v>0</v>
      </c>
      <c r="AE92" s="231">
        <f t="shared" si="25"/>
        <v>0</v>
      </c>
      <c r="AF92" s="231">
        <f t="shared" si="26"/>
        <v>0</v>
      </c>
      <c r="AG92" s="231">
        <f t="shared" si="27"/>
        <v>0</v>
      </c>
    </row>
    <row r="93" spans="1:33">
      <c r="A93" t="str">
        <f>IF(ABS(H93)&gt;0,基础信息!$B$1,"")</f>
        <v/>
      </c>
      <c r="S93" s="230">
        <f t="shared" si="19"/>
        <v>0</v>
      </c>
      <c r="Z93" s="231">
        <f t="shared" si="20"/>
        <v>0</v>
      </c>
      <c r="AA93" s="231">
        <f t="shared" si="21"/>
        <v>0</v>
      </c>
      <c r="AB93" s="231">
        <f t="shared" si="22"/>
        <v>0</v>
      </c>
      <c r="AC93" s="231">
        <f t="shared" si="23"/>
        <v>0</v>
      </c>
      <c r="AD93" s="231">
        <f t="shared" si="24"/>
        <v>0</v>
      </c>
      <c r="AE93" s="231">
        <f t="shared" si="25"/>
        <v>0</v>
      </c>
      <c r="AF93" s="231">
        <f t="shared" si="26"/>
        <v>0</v>
      </c>
      <c r="AG93" s="231">
        <f t="shared" si="27"/>
        <v>0</v>
      </c>
    </row>
    <row r="94" spans="1:33">
      <c r="A94" t="str">
        <f>IF(ABS(H94)&gt;0,基础信息!$B$1,"")</f>
        <v/>
      </c>
      <c r="S94" s="230">
        <f t="shared" si="19"/>
        <v>0</v>
      </c>
      <c r="Z94" s="231">
        <f t="shared" si="20"/>
        <v>0</v>
      </c>
      <c r="AA94" s="231">
        <f t="shared" si="21"/>
        <v>0</v>
      </c>
      <c r="AB94" s="231">
        <f t="shared" si="22"/>
        <v>0</v>
      </c>
      <c r="AC94" s="231">
        <f t="shared" si="23"/>
        <v>0</v>
      </c>
      <c r="AD94" s="231">
        <f t="shared" si="24"/>
        <v>0</v>
      </c>
      <c r="AE94" s="231">
        <f t="shared" si="25"/>
        <v>0</v>
      </c>
      <c r="AF94" s="231">
        <f t="shared" si="26"/>
        <v>0</v>
      </c>
      <c r="AG94" s="231">
        <f t="shared" si="27"/>
        <v>0</v>
      </c>
    </row>
    <row r="95" spans="1:33">
      <c r="A95" t="str">
        <f>IF(ABS(H95)&gt;0,基础信息!$B$1,"")</f>
        <v/>
      </c>
      <c r="S95" s="230">
        <f t="shared" si="19"/>
        <v>0</v>
      </c>
      <c r="Z95" s="231">
        <f t="shared" si="20"/>
        <v>0</v>
      </c>
      <c r="AA95" s="231">
        <f t="shared" si="21"/>
        <v>0</v>
      </c>
      <c r="AB95" s="231">
        <f t="shared" si="22"/>
        <v>0</v>
      </c>
      <c r="AC95" s="231">
        <f t="shared" si="23"/>
        <v>0</v>
      </c>
      <c r="AD95" s="231">
        <f t="shared" si="24"/>
        <v>0</v>
      </c>
      <c r="AE95" s="231">
        <f t="shared" si="25"/>
        <v>0</v>
      </c>
      <c r="AF95" s="231">
        <f t="shared" si="26"/>
        <v>0</v>
      </c>
      <c r="AG95" s="231">
        <f t="shared" si="27"/>
        <v>0</v>
      </c>
    </row>
    <row r="96" spans="1:33">
      <c r="A96" t="str">
        <f>IF(ABS(H96)&gt;0,基础信息!$B$1,"")</f>
        <v/>
      </c>
      <c r="S96" s="230">
        <f t="shared" si="19"/>
        <v>0</v>
      </c>
      <c r="Z96" s="231">
        <f t="shared" si="20"/>
        <v>0</v>
      </c>
      <c r="AA96" s="231">
        <f t="shared" si="21"/>
        <v>0</v>
      </c>
      <c r="AB96" s="231">
        <f t="shared" si="22"/>
        <v>0</v>
      </c>
      <c r="AC96" s="231">
        <f t="shared" si="23"/>
        <v>0</v>
      </c>
      <c r="AD96" s="231">
        <f t="shared" si="24"/>
        <v>0</v>
      </c>
      <c r="AE96" s="231">
        <f t="shared" si="25"/>
        <v>0</v>
      </c>
      <c r="AF96" s="231">
        <f t="shared" si="26"/>
        <v>0</v>
      </c>
      <c r="AG96" s="231">
        <f t="shared" si="27"/>
        <v>0</v>
      </c>
    </row>
    <row r="97" spans="1:33">
      <c r="A97" t="str">
        <f>IF(ABS(H97)&gt;0,基础信息!$B$1,"")</f>
        <v/>
      </c>
      <c r="S97" s="230">
        <f t="shared" si="19"/>
        <v>0</v>
      </c>
      <c r="Z97" s="231">
        <f t="shared" si="20"/>
        <v>0</v>
      </c>
      <c r="AA97" s="231">
        <f t="shared" si="21"/>
        <v>0</v>
      </c>
      <c r="AB97" s="231">
        <f t="shared" si="22"/>
        <v>0</v>
      </c>
      <c r="AC97" s="231">
        <f t="shared" si="23"/>
        <v>0</v>
      </c>
      <c r="AD97" s="231">
        <f t="shared" si="24"/>
        <v>0</v>
      </c>
      <c r="AE97" s="231">
        <f t="shared" si="25"/>
        <v>0</v>
      </c>
      <c r="AF97" s="231">
        <f t="shared" si="26"/>
        <v>0</v>
      </c>
      <c r="AG97" s="231">
        <f t="shared" si="27"/>
        <v>0</v>
      </c>
    </row>
    <row r="98" spans="1:33">
      <c r="A98" t="str">
        <f>IF(ABS(H98)&gt;0,基础信息!$B$1,"")</f>
        <v/>
      </c>
      <c r="S98" s="230">
        <f t="shared" si="19"/>
        <v>0</v>
      </c>
      <c r="Z98" s="231">
        <f t="shared" si="20"/>
        <v>0</v>
      </c>
      <c r="AA98" s="231">
        <f t="shared" si="21"/>
        <v>0</v>
      </c>
      <c r="AB98" s="231">
        <f t="shared" si="22"/>
        <v>0</v>
      </c>
      <c r="AC98" s="231">
        <f t="shared" si="23"/>
        <v>0</v>
      </c>
      <c r="AD98" s="231">
        <f t="shared" si="24"/>
        <v>0</v>
      </c>
      <c r="AE98" s="231">
        <f t="shared" si="25"/>
        <v>0</v>
      </c>
      <c r="AF98" s="231">
        <f t="shared" si="26"/>
        <v>0</v>
      </c>
      <c r="AG98" s="231">
        <f t="shared" si="27"/>
        <v>0</v>
      </c>
    </row>
    <row r="99" spans="1:33">
      <c r="A99" t="str">
        <f>IF(ABS(H99)&gt;0,基础信息!$B$1,"")</f>
        <v/>
      </c>
      <c r="S99" s="230">
        <f t="shared" si="19"/>
        <v>0</v>
      </c>
      <c r="Z99" s="231">
        <f t="shared" si="20"/>
        <v>0</v>
      </c>
      <c r="AA99" s="231">
        <f t="shared" si="21"/>
        <v>0</v>
      </c>
      <c r="AB99" s="231">
        <f t="shared" si="22"/>
        <v>0</v>
      </c>
      <c r="AC99" s="231">
        <f t="shared" si="23"/>
        <v>0</v>
      </c>
      <c r="AD99" s="231">
        <f t="shared" si="24"/>
        <v>0</v>
      </c>
      <c r="AE99" s="231">
        <f t="shared" si="25"/>
        <v>0</v>
      </c>
      <c r="AF99" s="231">
        <f t="shared" si="26"/>
        <v>0</v>
      </c>
      <c r="AG99" s="231">
        <f t="shared" si="27"/>
        <v>0</v>
      </c>
    </row>
    <row r="100" spans="1:33">
      <c r="A100" t="str">
        <f>IF(ABS(H100)&gt;0,基础信息!$B$1,"")</f>
        <v/>
      </c>
      <c r="S100" s="230">
        <f t="shared" si="19"/>
        <v>0</v>
      </c>
      <c r="Z100" s="231">
        <f t="shared" si="20"/>
        <v>0</v>
      </c>
      <c r="AA100" s="231">
        <f t="shared" si="21"/>
        <v>0</v>
      </c>
      <c r="AB100" s="231">
        <f t="shared" si="22"/>
        <v>0</v>
      </c>
      <c r="AC100" s="231">
        <f t="shared" si="23"/>
        <v>0</v>
      </c>
      <c r="AD100" s="231">
        <f t="shared" si="24"/>
        <v>0</v>
      </c>
      <c r="AE100" s="231">
        <f t="shared" si="25"/>
        <v>0</v>
      </c>
      <c r="AF100" s="231">
        <f t="shared" si="26"/>
        <v>0</v>
      </c>
      <c r="AG100" s="231">
        <f t="shared" si="27"/>
        <v>0</v>
      </c>
    </row>
    <row r="101" spans="1:33">
      <c r="A101" t="str">
        <f>IF(ABS(H101)&gt;0,基础信息!$B$1,"")</f>
        <v/>
      </c>
      <c r="S101" s="230">
        <f t="shared" si="19"/>
        <v>0</v>
      </c>
      <c r="Z101" s="231">
        <f t="shared" si="20"/>
        <v>0</v>
      </c>
      <c r="AA101" s="231">
        <f t="shared" si="21"/>
        <v>0</v>
      </c>
      <c r="AB101" s="231">
        <f t="shared" si="22"/>
        <v>0</v>
      </c>
      <c r="AC101" s="231">
        <f t="shared" si="23"/>
        <v>0</v>
      </c>
      <c r="AD101" s="231">
        <f t="shared" si="24"/>
        <v>0</v>
      </c>
      <c r="AE101" s="231">
        <f t="shared" si="25"/>
        <v>0</v>
      </c>
      <c r="AF101" s="231">
        <f t="shared" si="26"/>
        <v>0</v>
      </c>
      <c r="AG101" s="231">
        <f t="shared" si="27"/>
        <v>0</v>
      </c>
    </row>
    <row r="102" spans="1:33">
      <c r="A102" t="str">
        <f>IF(ABS(H102)&gt;0,基础信息!$B$1,"")</f>
        <v/>
      </c>
      <c r="S102" s="230">
        <f t="shared" si="19"/>
        <v>0</v>
      </c>
      <c r="Z102" s="231">
        <f t="shared" si="20"/>
        <v>0</v>
      </c>
      <c r="AA102" s="231">
        <f t="shared" si="21"/>
        <v>0</v>
      </c>
      <c r="AB102" s="231">
        <f t="shared" si="22"/>
        <v>0</v>
      </c>
      <c r="AC102" s="231">
        <f t="shared" si="23"/>
        <v>0</v>
      </c>
      <c r="AD102" s="231">
        <f t="shared" si="24"/>
        <v>0</v>
      </c>
      <c r="AE102" s="231">
        <f t="shared" si="25"/>
        <v>0</v>
      </c>
      <c r="AF102" s="231">
        <f t="shared" si="26"/>
        <v>0</v>
      </c>
      <c r="AG102" s="231">
        <f t="shared" si="27"/>
        <v>0</v>
      </c>
    </row>
    <row r="103" spans="1:33">
      <c r="A103" t="str">
        <f>IF(ABS(H103)&gt;0,基础信息!$B$1,"")</f>
        <v/>
      </c>
      <c r="S103" s="230">
        <f t="shared" si="19"/>
        <v>0</v>
      </c>
      <c r="Z103" s="231">
        <f t="shared" si="20"/>
        <v>0</v>
      </c>
      <c r="AA103" s="231">
        <f t="shared" si="21"/>
        <v>0</v>
      </c>
      <c r="AB103" s="231">
        <f t="shared" si="22"/>
        <v>0</v>
      </c>
      <c r="AC103" s="231">
        <f t="shared" si="23"/>
        <v>0</v>
      </c>
      <c r="AD103" s="231">
        <f t="shared" si="24"/>
        <v>0</v>
      </c>
      <c r="AE103" s="231">
        <f t="shared" si="25"/>
        <v>0</v>
      </c>
      <c r="AF103" s="231">
        <f t="shared" si="26"/>
        <v>0</v>
      </c>
      <c r="AG103" s="231">
        <f t="shared" si="27"/>
        <v>0</v>
      </c>
    </row>
    <row r="104" spans="1:33">
      <c r="A104" t="str">
        <f>IF(ABS(H104)&gt;0,基础信息!$B$1,"")</f>
        <v/>
      </c>
      <c r="S104" s="230">
        <f t="shared" si="19"/>
        <v>0</v>
      </c>
      <c r="Z104" s="231">
        <f t="shared" si="20"/>
        <v>0</v>
      </c>
      <c r="AA104" s="231">
        <f t="shared" si="21"/>
        <v>0</v>
      </c>
      <c r="AB104" s="231">
        <f t="shared" si="22"/>
        <v>0</v>
      </c>
      <c r="AC104" s="231">
        <f t="shared" si="23"/>
        <v>0</v>
      </c>
      <c r="AD104" s="231">
        <f t="shared" si="24"/>
        <v>0</v>
      </c>
      <c r="AE104" s="231">
        <f t="shared" si="25"/>
        <v>0</v>
      </c>
      <c r="AF104" s="231">
        <f t="shared" si="26"/>
        <v>0</v>
      </c>
      <c r="AG104" s="231">
        <f t="shared" si="27"/>
        <v>0</v>
      </c>
    </row>
    <row r="105" spans="1:33">
      <c r="A105" t="str">
        <f>IF(ABS(H105)&gt;0,基础信息!$B$1,"")</f>
        <v/>
      </c>
      <c r="S105" s="230">
        <f t="shared" si="19"/>
        <v>0</v>
      </c>
      <c r="Z105" s="231">
        <f t="shared" si="20"/>
        <v>0</v>
      </c>
      <c r="AA105" s="231">
        <f t="shared" si="21"/>
        <v>0</v>
      </c>
      <c r="AB105" s="231">
        <f t="shared" si="22"/>
        <v>0</v>
      </c>
      <c r="AC105" s="231">
        <f t="shared" si="23"/>
        <v>0</v>
      </c>
      <c r="AD105" s="231">
        <f t="shared" si="24"/>
        <v>0</v>
      </c>
      <c r="AE105" s="231">
        <f t="shared" si="25"/>
        <v>0</v>
      </c>
      <c r="AF105" s="231">
        <f t="shared" si="26"/>
        <v>0</v>
      </c>
      <c r="AG105" s="231">
        <f t="shared" si="27"/>
        <v>0</v>
      </c>
    </row>
    <row r="106" spans="1:33">
      <c r="A106" t="str">
        <f>IF(ABS(H106)&gt;0,基础信息!$B$1,"")</f>
        <v/>
      </c>
      <c r="S106" s="230">
        <f t="shared" si="19"/>
        <v>0</v>
      </c>
      <c r="Z106" s="231">
        <f t="shared" si="20"/>
        <v>0</v>
      </c>
      <c r="AA106" s="231">
        <f t="shared" si="21"/>
        <v>0</v>
      </c>
      <c r="AB106" s="231">
        <f t="shared" si="22"/>
        <v>0</v>
      </c>
      <c r="AC106" s="231">
        <f t="shared" si="23"/>
        <v>0</v>
      </c>
      <c r="AD106" s="231">
        <f t="shared" si="24"/>
        <v>0</v>
      </c>
      <c r="AE106" s="231">
        <f t="shared" si="25"/>
        <v>0</v>
      </c>
      <c r="AF106" s="231">
        <f t="shared" si="26"/>
        <v>0</v>
      </c>
      <c r="AG106" s="231">
        <f t="shared" si="27"/>
        <v>0</v>
      </c>
    </row>
    <row r="107" spans="1:33">
      <c r="A107" t="str">
        <f>IF(ABS(H107)&gt;0,基础信息!$B$1,"")</f>
        <v/>
      </c>
      <c r="S107" s="230">
        <f t="shared" si="19"/>
        <v>0</v>
      </c>
      <c r="Z107" s="231">
        <f t="shared" si="20"/>
        <v>0</v>
      </c>
      <c r="AA107" s="231">
        <f t="shared" si="21"/>
        <v>0</v>
      </c>
      <c r="AB107" s="231">
        <f t="shared" si="22"/>
        <v>0</v>
      </c>
      <c r="AC107" s="231">
        <f t="shared" si="23"/>
        <v>0</v>
      </c>
      <c r="AD107" s="231">
        <f t="shared" si="24"/>
        <v>0</v>
      </c>
      <c r="AE107" s="231">
        <f t="shared" si="25"/>
        <v>0</v>
      </c>
      <c r="AF107" s="231">
        <f t="shared" si="26"/>
        <v>0</v>
      </c>
      <c r="AG107" s="231">
        <f t="shared" si="27"/>
        <v>0</v>
      </c>
    </row>
    <row r="108" spans="1:33">
      <c r="A108" t="str">
        <f>IF(ABS(H108)&gt;0,基础信息!$B$1,"")</f>
        <v/>
      </c>
      <c r="S108" s="230">
        <f t="shared" si="19"/>
        <v>0</v>
      </c>
      <c r="Z108" s="231">
        <f t="shared" si="20"/>
        <v>0</v>
      </c>
      <c r="AA108" s="231">
        <f t="shared" si="21"/>
        <v>0</v>
      </c>
      <c r="AB108" s="231">
        <f t="shared" si="22"/>
        <v>0</v>
      </c>
      <c r="AC108" s="231">
        <f t="shared" si="23"/>
        <v>0</v>
      </c>
      <c r="AD108" s="231">
        <f t="shared" si="24"/>
        <v>0</v>
      </c>
      <c r="AE108" s="231">
        <f t="shared" si="25"/>
        <v>0</v>
      </c>
      <c r="AF108" s="231">
        <f t="shared" si="26"/>
        <v>0</v>
      </c>
      <c r="AG108" s="231">
        <f t="shared" si="27"/>
        <v>0</v>
      </c>
    </row>
    <row r="109" spans="1:33">
      <c r="A109" t="str">
        <f>IF(ABS(H109)&gt;0,基础信息!$B$1,"")</f>
        <v/>
      </c>
      <c r="S109" s="230">
        <f t="shared" si="19"/>
        <v>0</v>
      </c>
      <c r="Z109" s="231">
        <f t="shared" si="20"/>
        <v>0</v>
      </c>
      <c r="AA109" s="231">
        <f t="shared" si="21"/>
        <v>0</v>
      </c>
      <c r="AB109" s="231">
        <f t="shared" si="22"/>
        <v>0</v>
      </c>
      <c r="AC109" s="231">
        <f t="shared" si="23"/>
        <v>0</v>
      </c>
      <c r="AD109" s="231">
        <f t="shared" si="24"/>
        <v>0</v>
      </c>
      <c r="AE109" s="231">
        <f t="shared" si="25"/>
        <v>0</v>
      </c>
      <c r="AF109" s="231">
        <f t="shared" si="26"/>
        <v>0</v>
      </c>
      <c r="AG109" s="231">
        <f t="shared" si="27"/>
        <v>0</v>
      </c>
    </row>
    <row r="110" spans="1:33">
      <c r="A110" t="str">
        <f>IF(ABS(H110)&gt;0,基础信息!$B$1,"")</f>
        <v/>
      </c>
      <c r="S110" s="230">
        <f t="shared" si="19"/>
        <v>0</v>
      </c>
      <c r="Z110" s="231">
        <f t="shared" si="20"/>
        <v>0</v>
      </c>
      <c r="AA110" s="231">
        <f t="shared" si="21"/>
        <v>0</v>
      </c>
      <c r="AB110" s="231">
        <f t="shared" si="22"/>
        <v>0</v>
      </c>
      <c r="AC110" s="231">
        <f t="shared" si="23"/>
        <v>0</v>
      </c>
      <c r="AD110" s="231">
        <f t="shared" si="24"/>
        <v>0</v>
      </c>
      <c r="AE110" s="231">
        <f t="shared" si="25"/>
        <v>0</v>
      </c>
      <c r="AF110" s="231">
        <f t="shared" si="26"/>
        <v>0</v>
      </c>
      <c r="AG110" s="231">
        <f t="shared" si="27"/>
        <v>0</v>
      </c>
    </row>
    <row r="111" spans="1:33">
      <c r="A111" t="str">
        <f>IF(ABS(H111)&gt;0,基础信息!$B$1,"")</f>
        <v/>
      </c>
      <c r="S111" s="230">
        <f t="shared" si="19"/>
        <v>0</v>
      </c>
      <c r="Z111" s="231">
        <f t="shared" si="20"/>
        <v>0</v>
      </c>
      <c r="AA111" s="231">
        <f t="shared" si="21"/>
        <v>0</v>
      </c>
      <c r="AB111" s="231">
        <f t="shared" si="22"/>
        <v>0</v>
      </c>
      <c r="AC111" s="231">
        <f t="shared" si="23"/>
        <v>0</v>
      </c>
      <c r="AD111" s="231">
        <f t="shared" si="24"/>
        <v>0</v>
      </c>
      <c r="AE111" s="231">
        <f t="shared" si="25"/>
        <v>0</v>
      </c>
      <c r="AF111" s="231">
        <f t="shared" si="26"/>
        <v>0</v>
      </c>
      <c r="AG111" s="231">
        <f t="shared" si="27"/>
        <v>0</v>
      </c>
    </row>
    <row r="112" spans="1:33">
      <c r="A112" t="str">
        <f>IF(ABS(H112)&gt;0,基础信息!$B$1,"")</f>
        <v/>
      </c>
      <c r="S112" s="230">
        <f t="shared" si="19"/>
        <v>0</v>
      </c>
      <c r="Z112" s="231">
        <f t="shared" si="20"/>
        <v>0</v>
      </c>
      <c r="AA112" s="231">
        <f t="shared" si="21"/>
        <v>0</v>
      </c>
      <c r="AB112" s="231">
        <f t="shared" si="22"/>
        <v>0</v>
      </c>
      <c r="AC112" s="231">
        <f t="shared" si="23"/>
        <v>0</v>
      </c>
      <c r="AD112" s="231">
        <f t="shared" si="24"/>
        <v>0</v>
      </c>
      <c r="AE112" s="231">
        <f t="shared" si="25"/>
        <v>0</v>
      </c>
      <c r="AF112" s="231">
        <f t="shared" si="26"/>
        <v>0</v>
      </c>
      <c r="AG112" s="231">
        <f t="shared" si="27"/>
        <v>0</v>
      </c>
    </row>
    <row r="113" spans="1:33">
      <c r="A113" t="str">
        <f>IF(ABS(H113)&gt;0,基础信息!$B$1,"")</f>
        <v/>
      </c>
      <c r="S113" s="230">
        <f t="shared" si="19"/>
        <v>0</v>
      </c>
      <c r="Z113" s="231">
        <f t="shared" si="20"/>
        <v>0</v>
      </c>
      <c r="AA113" s="231">
        <f t="shared" si="21"/>
        <v>0</v>
      </c>
      <c r="AB113" s="231">
        <f t="shared" si="22"/>
        <v>0</v>
      </c>
      <c r="AC113" s="231">
        <f t="shared" si="23"/>
        <v>0</v>
      </c>
      <c r="AD113" s="231">
        <f t="shared" si="24"/>
        <v>0</v>
      </c>
      <c r="AE113" s="231">
        <f t="shared" si="25"/>
        <v>0</v>
      </c>
      <c r="AF113" s="231">
        <f t="shared" si="26"/>
        <v>0</v>
      </c>
      <c r="AG113" s="231">
        <f t="shared" si="27"/>
        <v>0</v>
      </c>
    </row>
    <row r="114" spans="1:33">
      <c r="A114" t="str">
        <f>IF(ABS(H114)&gt;0,基础信息!$B$1,"")</f>
        <v/>
      </c>
      <c r="S114" s="230">
        <f t="shared" si="19"/>
        <v>0</v>
      </c>
      <c r="Z114" s="231">
        <f t="shared" si="20"/>
        <v>0</v>
      </c>
      <c r="AA114" s="231">
        <f t="shared" si="21"/>
        <v>0</v>
      </c>
      <c r="AB114" s="231">
        <f t="shared" si="22"/>
        <v>0</v>
      </c>
      <c r="AC114" s="231">
        <f t="shared" si="23"/>
        <v>0</v>
      </c>
      <c r="AD114" s="231">
        <f t="shared" si="24"/>
        <v>0</v>
      </c>
      <c r="AE114" s="231">
        <f t="shared" si="25"/>
        <v>0</v>
      </c>
      <c r="AF114" s="231">
        <f t="shared" si="26"/>
        <v>0</v>
      </c>
      <c r="AG114" s="231">
        <f t="shared" si="27"/>
        <v>0</v>
      </c>
    </row>
    <row r="115" spans="1:33">
      <c r="A115" t="str">
        <f>IF(ABS(H115)&gt;0,基础信息!$B$1,"")</f>
        <v/>
      </c>
      <c r="S115" s="230">
        <f t="shared" si="19"/>
        <v>0</v>
      </c>
      <c r="Z115" s="231">
        <f t="shared" si="20"/>
        <v>0</v>
      </c>
      <c r="AA115" s="231">
        <f t="shared" si="21"/>
        <v>0</v>
      </c>
      <c r="AB115" s="231">
        <f t="shared" si="22"/>
        <v>0</v>
      </c>
      <c r="AC115" s="231">
        <f t="shared" si="23"/>
        <v>0</v>
      </c>
      <c r="AD115" s="231">
        <f t="shared" si="24"/>
        <v>0</v>
      </c>
      <c r="AE115" s="231">
        <f t="shared" si="25"/>
        <v>0</v>
      </c>
      <c r="AF115" s="231">
        <f t="shared" si="26"/>
        <v>0</v>
      </c>
      <c r="AG115" s="231">
        <f t="shared" si="27"/>
        <v>0</v>
      </c>
    </row>
    <row r="116" spans="1:33">
      <c r="A116" t="str">
        <f>IF(ABS(H116)&gt;0,基础信息!$B$1,"")</f>
        <v/>
      </c>
      <c r="S116" s="230">
        <f t="shared" si="19"/>
        <v>0</v>
      </c>
      <c r="Z116" s="231">
        <f t="shared" si="20"/>
        <v>0</v>
      </c>
      <c r="AA116" s="231">
        <f t="shared" si="21"/>
        <v>0</v>
      </c>
      <c r="AB116" s="231">
        <f t="shared" si="22"/>
        <v>0</v>
      </c>
      <c r="AC116" s="231">
        <f t="shared" si="23"/>
        <v>0</v>
      </c>
      <c r="AD116" s="231">
        <f t="shared" si="24"/>
        <v>0</v>
      </c>
      <c r="AE116" s="231">
        <f t="shared" si="25"/>
        <v>0</v>
      </c>
      <c r="AF116" s="231">
        <f t="shared" si="26"/>
        <v>0</v>
      </c>
      <c r="AG116" s="231">
        <f t="shared" si="27"/>
        <v>0</v>
      </c>
    </row>
    <row r="117" spans="1:33">
      <c r="A117" t="str">
        <f>IF(ABS(H117)&gt;0,基础信息!$B$1,"")</f>
        <v/>
      </c>
      <c r="S117" s="230">
        <f t="shared" si="19"/>
        <v>0</v>
      </c>
      <c r="Z117" s="231">
        <f t="shared" si="20"/>
        <v>0</v>
      </c>
      <c r="AA117" s="231">
        <f t="shared" si="21"/>
        <v>0</v>
      </c>
      <c r="AB117" s="231">
        <f t="shared" si="22"/>
        <v>0</v>
      </c>
      <c r="AC117" s="231">
        <f t="shared" si="23"/>
        <v>0</v>
      </c>
      <c r="AD117" s="231">
        <f t="shared" si="24"/>
        <v>0</v>
      </c>
      <c r="AE117" s="231">
        <f t="shared" si="25"/>
        <v>0</v>
      </c>
      <c r="AF117" s="231">
        <f t="shared" si="26"/>
        <v>0</v>
      </c>
      <c r="AG117" s="231">
        <f t="shared" si="27"/>
        <v>0</v>
      </c>
    </row>
    <row r="118" spans="1:33">
      <c r="A118" t="str">
        <f>IF(ABS(H118)&gt;0,基础信息!$B$1,"")</f>
        <v/>
      </c>
      <c r="S118" s="230">
        <f t="shared" si="19"/>
        <v>0</v>
      </c>
      <c r="Z118" s="231">
        <f t="shared" si="20"/>
        <v>0</v>
      </c>
      <c r="AA118" s="231">
        <f t="shared" si="21"/>
        <v>0</v>
      </c>
      <c r="AB118" s="231">
        <f t="shared" si="22"/>
        <v>0</v>
      </c>
      <c r="AC118" s="231">
        <f t="shared" si="23"/>
        <v>0</v>
      </c>
      <c r="AD118" s="231">
        <f t="shared" si="24"/>
        <v>0</v>
      </c>
      <c r="AE118" s="231">
        <f t="shared" si="25"/>
        <v>0</v>
      </c>
      <c r="AF118" s="231">
        <f t="shared" si="26"/>
        <v>0</v>
      </c>
      <c r="AG118" s="231">
        <f t="shared" si="27"/>
        <v>0</v>
      </c>
    </row>
    <row r="119" spans="1:33">
      <c r="A119" t="str">
        <f>IF(ABS(H119)&gt;0,基础信息!$B$1,"")</f>
        <v/>
      </c>
      <c r="S119" s="230">
        <f t="shared" si="19"/>
        <v>0</v>
      </c>
      <c r="Z119" s="231">
        <f t="shared" si="20"/>
        <v>0</v>
      </c>
      <c r="AA119" s="231">
        <f t="shared" si="21"/>
        <v>0</v>
      </c>
      <c r="AB119" s="231">
        <f t="shared" si="22"/>
        <v>0</v>
      </c>
      <c r="AC119" s="231">
        <f t="shared" si="23"/>
        <v>0</v>
      </c>
      <c r="AD119" s="231">
        <f t="shared" si="24"/>
        <v>0</v>
      </c>
      <c r="AE119" s="231">
        <f t="shared" si="25"/>
        <v>0</v>
      </c>
      <c r="AF119" s="231">
        <f t="shared" si="26"/>
        <v>0</v>
      </c>
      <c r="AG119" s="231">
        <f t="shared" si="27"/>
        <v>0</v>
      </c>
    </row>
    <row r="120" spans="1:33">
      <c r="A120" t="str">
        <f>IF(ABS(H120)&gt;0,基础信息!$B$1,"")</f>
        <v/>
      </c>
      <c r="S120" s="230">
        <f t="shared" si="19"/>
        <v>0</v>
      </c>
      <c r="Z120" s="231">
        <f t="shared" si="20"/>
        <v>0</v>
      </c>
      <c r="AA120" s="231">
        <f t="shared" si="21"/>
        <v>0</v>
      </c>
      <c r="AB120" s="231">
        <f t="shared" si="22"/>
        <v>0</v>
      </c>
      <c r="AC120" s="231">
        <f t="shared" si="23"/>
        <v>0</v>
      </c>
      <c r="AD120" s="231">
        <f t="shared" si="24"/>
        <v>0</v>
      </c>
      <c r="AE120" s="231">
        <f t="shared" si="25"/>
        <v>0</v>
      </c>
      <c r="AF120" s="231">
        <f t="shared" si="26"/>
        <v>0</v>
      </c>
      <c r="AG120" s="231">
        <f t="shared" si="27"/>
        <v>0</v>
      </c>
    </row>
    <row r="121" spans="1:33">
      <c r="A121" t="str">
        <f>IF(ABS(H121)&gt;0,基础信息!$B$1,"")</f>
        <v/>
      </c>
      <c r="S121" s="230">
        <f t="shared" si="19"/>
        <v>0</v>
      </c>
      <c r="Z121" s="231">
        <f t="shared" si="20"/>
        <v>0</v>
      </c>
      <c r="AA121" s="231">
        <f t="shared" si="21"/>
        <v>0</v>
      </c>
      <c r="AB121" s="231">
        <f t="shared" si="22"/>
        <v>0</v>
      </c>
      <c r="AC121" s="231">
        <f t="shared" si="23"/>
        <v>0</v>
      </c>
      <c r="AD121" s="231">
        <f t="shared" si="24"/>
        <v>0</v>
      </c>
      <c r="AE121" s="231">
        <f t="shared" si="25"/>
        <v>0</v>
      </c>
      <c r="AF121" s="231">
        <f t="shared" si="26"/>
        <v>0</v>
      </c>
      <c r="AG121" s="231">
        <f t="shared" si="27"/>
        <v>0</v>
      </c>
    </row>
    <row r="122" spans="1:33">
      <c r="A122" t="str">
        <f>IF(ABS(H122)&gt;0,基础信息!$B$1,"")</f>
        <v/>
      </c>
      <c r="S122" s="230">
        <f t="shared" si="19"/>
        <v>0</v>
      </c>
      <c r="Z122" s="231">
        <f t="shared" si="20"/>
        <v>0</v>
      </c>
      <c r="AA122" s="231">
        <f t="shared" si="21"/>
        <v>0</v>
      </c>
      <c r="AB122" s="231">
        <f t="shared" si="22"/>
        <v>0</v>
      </c>
      <c r="AC122" s="231">
        <f t="shared" si="23"/>
        <v>0</v>
      </c>
      <c r="AD122" s="231">
        <f t="shared" si="24"/>
        <v>0</v>
      </c>
      <c r="AE122" s="231">
        <f t="shared" si="25"/>
        <v>0</v>
      </c>
      <c r="AF122" s="231">
        <f t="shared" si="26"/>
        <v>0</v>
      </c>
      <c r="AG122" s="231">
        <f t="shared" si="27"/>
        <v>0</v>
      </c>
    </row>
    <row r="123" spans="1:33">
      <c r="A123" t="str">
        <f>IF(ABS(H123)&gt;0,基础信息!$B$1,"")</f>
        <v/>
      </c>
      <c r="S123" s="230">
        <f t="shared" si="19"/>
        <v>0</v>
      </c>
      <c r="Z123" s="231">
        <f t="shared" si="20"/>
        <v>0</v>
      </c>
      <c r="AA123" s="231">
        <f t="shared" si="21"/>
        <v>0</v>
      </c>
      <c r="AB123" s="231">
        <f t="shared" si="22"/>
        <v>0</v>
      </c>
      <c r="AC123" s="231">
        <f t="shared" si="23"/>
        <v>0</v>
      </c>
      <c r="AD123" s="231">
        <f t="shared" si="24"/>
        <v>0</v>
      </c>
      <c r="AE123" s="231">
        <f t="shared" si="25"/>
        <v>0</v>
      </c>
      <c r="AF123" s="231">
        <f t="shared" si="26"/>
        <v>0</v>
      </c>
      <c r="AG123" s="231">
        <f t="shared" si="27"/>
        <v>0</v>
      </c>
    </row>
    <row r="124" spans="1:33">
      <c r="A124" t="str">
        <f>IF(ABS(H124)&gt;0,基础信息!$B$1,"")</f>
        <v/>
      </c>
      <c r="S124" s="230">
        <f t="shared" si="19"/>
        <v>0</v>
      </c>
      <c r="Z124" s="231">
        <f t="shared" si="20"/>
        <v>0</v>
      </c>
      <c r="AA124" s="231">
        <f t="shared" si="21"/>
        <v>0</v>
      </c>
      <c r="AB124" s="231">
        <f t="shared" si="22"/>
        <v>0</v>
      </c>
      <c r="AC124" s="231">
        <f t="shared" si="23"/>
        <v>0</v>
      </c>
      <c r="AD124" s="231">
        <f t="shared" si="24"/>
        <v>0</v>
      </c>
      <c r="AE124" s="231">
        <f t="shared" si="25"/>
        <v>0</v>
      </c>
      <c r="AF124" s="231">
        <f t="shared" si="26"/>
        <v>0</v>
      </c>
      <c r="AG124" s="231">
        <f t="shared" si="27"/>
        <v>0</v>
      </c>
    </row>
    <row r="125" spans="1:33">
      <c r="A125" t="str">
        <f>IF(ABS(H125)&gt;0,基础信息!$B$1,"")</f>
        <v/>
      </c>
      <c r="S125" s="230">
        <f t="shared" si="19"/>
        <v>0</v>
      </c>
      <c r="Z125" s="231">
        <f t="shared" si="20"/>
        <v>0</v>
      </c>
      <c r="AA125" s="231">
        <f t="shared" si="21"/>
        <v>0</v>
      </c>
      <c r="AB125" s="231">
        <f t="shared" si="22"/>
        <v>0</v>
      </c>
      <c r="AC125" s="231">
        <f t="shared" si="23"/>
        <v>0</v>
      </c>
      <c r="AD125" s="231">
        <f t="shared" si="24"/>
        <v>0</v>
      </c>
      <c r="AE125" s="231">
        <f t="shared" si="25"/>
        <v>0</v>
      </c>
      <c r="AF125" s="231">
        <f t="shared" si="26"/>
        <v>0</v>
      </c>
      <c r="AG125" s="231">
        <f t="shared" si="27"/>
        <v>0</v>
      </c>
    </row>
    <row r="126" spans="1:33">
      <c r="A126" t="str">
        <f>IF(ABS(H126)&gt;0,基础信息!$B$1,"")</f>
        <v/>
      </c>
      <c r="S126" s="230">
        <f t="shared" si="19"/>
        <v>0</v>
      </c>
      <c r="Z126" s="231">
        <f t="shared" si="20"/>
        <v>0</v>
      </c>
      <c r="AA126" s="231">
        <f t="shared" si="21"/>
        <v>0</v>
      </c>
      <c r="AB126" s="231">
        <f t="shared" si="22"/>
        <v>0</v>
      </c>
      <c r="AC126" s="231">
        <f t="shared" si="23"/>
        <v>0</v>
      </c>
      <c r="AD126" s="231">
        <f t="shared" si="24"/>
        <v>0</v>
      </c>
      <c r="AE126" s="231">
        <f t="shared" si="25"/>
        <v>0</v>
      </c>
      <c r="AF126" s="231">
        <f t="shared" si="26"/>
        <v>0</v>
      </c>
      <c r="AG126" s="231">
        <f t="shared" si="27"/>
        <v>0</v>
      </c>
    </row>
    <row r="127" spans="1:33">
      <c r="A127" t="str">
        <f>IF(ABS(H127)&gt;0,基础信息!$B$1,"")</f>
        <v/>
      </c>
      <c r="S127" s="230">
        <f t="shared" si="19"/>
        <v>0</v>
      </c>
      <c r="Z127" s="231">
        <f t="shared" si="20"/>
        <v>0</v>
      </c>
      <c r="AA127" s="231">
        <f t="shared" si="21"/>
        <v>0</v>
      </c>
      <c r="AB127" s="231">
        <f t="shared" si="22"/>
        <v>0</v>
      </c>
      <c r="AC127" s="231">
        <f t="shared" si="23"/>
        <v>0</v>
      </c>
      <c r="AD127" s="231">
        <f t="shared" si="24"/>
        <v>0</v>
      </c>
      <c r="AE127" s="231">
        <f t="shared" si="25"/>
        <v>0</v>
      </c>
      <c r="AF127" s="231">
        <f t="shared" si="26"/>
        <v>0</v>
      </c>
      <c r="AG127" s="231">
        <f t="shared" si="27"/>
        <v>0</v>
      </c>
    </row>
    <row r="128" spans="1:33">
      <c r="A128" t="str">
        <f>IF(ABS(H128)&gt;0,基础信息!$B$1,"")</f>
        <v/>
      </c>
      <c r="S128" s="230">
        <f t="shared" si="19"/>
        <v>0</v>
      </c>
      <c r="Z128" s="231">
        <f t="shared" si="20"/>
        <v>0</v>
      </c>
      <c r="AA128" s="231">
        <f t="shared" si="21"/>
        <v>0</v>
      </c>
      <c r="AB128" s="231">
        <f t="shared" si="22"/>
        <v>0</v>
      </c>
      <c r="AC128" s="231">
        <f t="shared" si="23"/>
        <v>0</v>
      </c>
      <c r="AD128" s="231">
        <f t="shared" si="24"/>
        <v>0</v>
      </c>
      <c r="AE128" s="231">
        <f t="shared" si="25"/>
        <v>0</v>
      </c>
      <c r="AF128" s="231">
        <f t="shared" si="26"/>
        <v>0</v>
      </c>
      <c r="AG128" s="231">
        <f t="shared" si="27"/>
        <v>0</v>
      </c>
    </row>
    <row r="129" spans="1:33">
      <c r="A129" t="str">
        <f>IF(ABS(H129)&gt;0,基础信息!$B$1,"")</f>
        <v/>
      </c>
      <c r="S129" s="230">
        <f t="shared" si="19"/>
        <v>0</v>
      </c>
      <c r="Z129" s="231">
        <f t="shared" si="20"/>
        <v>0</v>
      </c>
      <c r="AA129" s="231">
        <f t="shared" si="21"/>
        <v>0</v>
      </c>
      <c r="AB129" s="231">
        <f t="shared" si="22"/>
        <v>0</v>
      </c>
      <c r="AC129" s="231">
        <f t="shared" si="23"/>
        <v>0</v>
      </c>
      <c r="AD129" s="231">
        <f t="shared" si="24"/>
        <v>0</v>
      </c>
      <c r="AE129" s="231">
        <f t="shared" si="25"/>
        <v>0</v>
      </c>
      <c r="AF129" s="231">
        <f t="shared" si="26"/>
        <v>0</v>
      </c>
      <c r="AG129" s="231">
        <f t="shared" si="27"/>
        <v>0</v>
      </c>
    </row>
    <row r="130" spans="1:33">
      <c r="A130" t="str">
        <f>IF(ABS(H130)&gt;0,基础信息!$B$1,"")</f>
        <v/>
      </c>
      <c r="S130" s="230">
        <f t="shared" si="19"/>
        <v>0</v>
      </c>
      <c r="Z130" s="231">
        <f t="shared" si="20"/>
        <v>0</v>
      </c>
      <c r="AA130" s="231">
        <f t="shared" si="21"/>
        <v>0</v>
      </c>
      <c r="AB130" s="231">
        <f t="shared" si="22"/>
        <v>0</v>
      </c>
      <c r="AC130" s="231">
        <f t="shared" si="23"/>
        <v>0</v>
      </c>
      <c r="AD130" s="231">
        <f t="shared" si="24"/>
        <v>0</v>
      </c>
      <c r="AE130" s="231">
        <f t="shared" si="25"/>
        <v>0</v>
      </c>
      <c r="AF130" s="231">
        <f t="shared" si="26"/>
        <v>0</v>
      </c>
      <c r="AG130" s="231">
        <f t="shared" si="27"/>
        <v>0</v>
      </c>
    </row>
    <row r="131" spans="1:33">
      <c r="A131" t="str">
        <f>IF(ABS(H131)&gt;0,基础信息!$B$1,"")</f>
        <v/>
      </c>
      <c r="S131" s="230">
        <f t="shared" si="19"/>
        <v>0</v>
      </c>
      <c r="Z131" s="231">
        <f t="shared" si="20"/>
        <v>0</v>
      </c>
      <c r="AA131" s="231">
        <f t="shared" si="21"/>
        <v>0</v>
      </c>
      <c r="AB131" s="231">
        <f t="shared" si="22"/>
        <v>0</v>
      </c>
      <c r="AC131" s="231">
        <f t="shared" si="23"/>
        <v>0</v>
      </c>
      <c r="AD131" s="231">
        <f t="shared" si="24"/>
        <v>0</v>
      </c>
      <c r="AE131" s="231">
        <f t="shared" si="25"/>
        <v>0</v>
      </c>
      <c r="AF131" s="231">
        <f t="shared" si="26"/>
        <v>0</v>
      </c>
      <c r="AG131" s="231">
        <f t="shared" si="27"/>
        <v>0</v>
      </c>
    </row>
    <row r="132" spans="1:33">
      <c r="A132" t="str">
        <f>IF(ABS(H132)&gt;0,基础信息!$B$1,"")</f>
        <v/>
      </c>
      <c r="S132" s="230">
        <f t="shared" si="19"/>
        <v>0</v>
      </c>
      <c r="Z132" s="231">
        <f t="shared" si="20"/>
        <v>0</v>
      </c>
      <c r="AA132" s="231">
        <f t="shared" si="21"/>
        <v>0</v>
      </c>
      <c r="AB132" s="231">
        <f t="shared" si="22"/>
        <v>0</v>
      </c>
      <c r="AC132" s="231">
        <f t="shared" si="23"/>
        <v>0</v>
      </c>
      <c r="AD132" s="231">
        <f t="shared" si="24"/>
        <v>0</v>
      </c>
      <c r="AE132" s="231">
        <f t="shared" si="25"/>
        <v>0</v>
      </c>
      <c r="AF132" s="231">
        <f t="shared" si="26"/>
        <v>0</v>
      </c>
      <c r="AG132" s="231">
        <f t="shared" si="27"/>
        <v>0</v>
      </c>
    </row>
    <row r="133" spans="1:33">
      <c r="A133" t="str">
        <f>IF(ABS(H133)&gt;0,基础信息!$B$1,"")</f>
        <v/>
      </c>
      <c r="S133" s="230">
        <f t="shared" si="19"/>
        <v>0</v>
      </c>
      <c r="Z133" s="231">
        <f t="shared" si="20"/>
        <v>0</v>
      </c>
      <c r="AA133" s="231">
        <f t="shared" si="21"/>
        <v>0</v>
      </c>
      <c r="AB133" s="231">
        <f t="shared" si="22"/>
        <v>0</v>
      </c>
      <c r="AC133" s="231">
        <f t="shared" si="23"/>
        <v>0</v>
      </c>
      <c r="AD133" s="231">
        <f t="shared" si="24"/>
        <v>0</v>
      </c>
      <c r="AE133" s="231">
        <f t="shared" si="25"/>
        <v>0</v>
      </c>
      <c r="AF133" s="231">
        <f t="shared" si="26"/>
        <v>0</v>
      </c>
      <c r="AG133" s="231">
        <f t="shared" si="27"/>
        <v>0</v>
      </c>
    </row>
    <row r="134" spans="1:33">
      <c r="A134" t="str">
        <f>IF(ABS(H134)&gt;0,基础信息!$B$1,"")</f>
        <v/>
      </c>
      <c r="S134" s="230">
        <f t="shared" si="19"/>
        <v>0</v>
      </c>
      <c r="Z134" s="231">
        <f t="shared" si="20"/>
        <v>0</v>
      </c>
      <c r="AA134" s="231">
        <f t="shared" si="21"/>
        <v>0</v>
      </c>
      <c r="AB134" s="231">
        <f t="shared" si="22"/>
        <v>0</v>
      </c>
      <c r="AC134" s="231">
        <f t="shared" si="23"/>
        <v>0</v>
      </c>
      <c r="AD134" s="231">
        <f t="shared" si="24"/>
        <v>0</v>
      </c>
      <c r="AE134" s="231">
        <f t="shared" si="25"/>
        <v>0</v>
      </c>
      <c r="AF134" s="231">
        <f t="shared" si="26"/>
        <v>0</v>
      </c>
      <c r="AG134" s="231">
        <f t="shared" si="27"/>
        <v>0</v>
      </c>
    </row>
    <row r="135" spans="1:33">
      <c r="A135" t="str">
        <f>IF(ABS(H135)&gt;0,基础信息!$B$1,"")</f>
        <v/>
      </c>
      <c r="S135" s="230">
        <f t="shared" si="19"/>
        <v>0</v>
      </c>
      <c r="Z135" s="231">
        <f t="shared" si="20"/>
        <v>0</v>
      </c>
      <c r="AA135" s="231">
        <f t="shared" si="21"/>
        <v>0</v>
      </c>
      <c r="AB135" s="231">
        <f t="shared" si="22"/>
        <v>0</v>
      </c>
      <c r="AC135" s="231">
        <f t="shared" si="23"/>
        <v>0</v>
      </c>
      <c r="AD135" s="231">
        <f t="shared" si="24"/>
        <v>0</v>
      </c>
      <c r="AE135" s="231">
        <f t="shared" si="25"/>
        <v>0</v>
      </c>
      <c r="AF135" s="231">
        <f t="shared" si="26"/>
        <v>0</v>
      </c>
      <c r="AG135" s="231">
        <f t="shared" si="27"/>
        <v>0</v>
      </c>
    </row>
    <row r="136" spans="1:33">
      <c r="A136" t="str">
        <f>IF(ABS(H136)&gt;0,基础信息!$B$1,"")</f>
        <v/>
      </c>
      <c r="S136" s="230">
        <f t="shared" si="19"/>
        <v>0</v>
      </c>
      <c r="Z136" s="231">
        <f t="shared" si="20"/>
        <v>0</v>
      </c>
      <c r="AA136" s="231">
        <f t="shared" si="21"/>
        <v>0</v>
      </c>
      <c r="AB136" s="231">
        <f t="shared" si="22"/>
        <v>0</v>
      </c>
      <c r="AC136" s="231">
        <f t="shared" si="23"/>
        <v>0</v>
      </c>
      <c r="AD136" s="231">
        <f t="shared" si="24"/>
        <v>0</v>
      </c>
      <c r="AE136" s="231">
        <f t="shared" si="25"/>
        <v>0</v>
      </c>
      <c r="AF136" s="231">
        <f t="shared" si="26"/>
        <v>0</v>
      </c>
      <c r="AG136" s="231">
        <f t="shared" si="27"/>
        <v>0</v>
      </c>
    </row>
    <row r="137" spans="1:33">
      <c r="A137" t="str">
        <f>IF(ABS(H137)&gt;0,基础信息!$B$1,"")</f>
        <v/>
      </c>
      <c r="S137" s="230">
        <f t="shared" si="19"/>
        <v>0</v>
      </c>
      <c r="Z137" s="231">
        <f t="shared" si="20"/>
        <v>0</v>
      </c>
      <c r="AA137" s="231">
        <f t="shared" si="21"/>
        <v>0</v>
      </c>
      <c r="AB137" s="231">
        <f t="shared" si="22"/>
        <v>0</v>
      </c>
      <c r="AC137" s="231">
        <f t="shared" si="23"/>
        <v>0</v>
      </c>
      <c r="AD137" s="231">
        <f t="shared" si="24"/>
        <v>0</v>
      </c>
      <c r="AE137" s="231">
        <f t="shared" si="25"/>
        <v>0</v>
      </c>
      <c r="AF137" s="231">
        <f t="shared" si="26"/>
        <v>0</v>
      </c>
      <c r="AG137" s="231">
        <f t="shared" si="27"/>
        <v>0</v>
      </c>
    </row>
    <row r="138" spans="1:33">
      <c r="A138" t="str">
        <f>IF(ABS(H138)&gt;0,基础信息!$B$1,"")</f>
        <v/>
      </c>
      <c r="S138" s="230">
        <f t="shared" si="19"/>
        <v>0</v>
      </c>
      <c r="Z138" s="231">
        <f t="shared" si="20"/>
        <v>0</v>
      </c>
      <c r="AA138" s="231">
        <f t="shared" si="21"/>
        <v>0</v>
      </c>
      <c r="AB138" s="231">
        <f t="shared" si="22"/>
        <v>0</v>
      </c>
      <c r="AC138" s="231">
        <f t="shared" si="23"/>
        <v>0</v>
      </c>
      <c r="AD138" s="231">
        <f t="shared" si="24"/>
        <v>0</v>
      </c>
      <c r="AE138" s="231">
        <f t="shared" si="25"/>
        <v>0</v>
      </c>
      <c r="AF138" s="231">
        <f t="shared" si="26"/>
        <v>0</v>
      </c>
      <c r="AG138" s="231">
        <f t="shared" si="27"/>
        <v>0</v>
      </c>
    </row>
    <row r="139" spans="1:33">
      <c r="A139" t="str">
        <f>IF(ABS(H139)&gt;0,基础信息!$B$1,"")</f>
        <v/>
      </c>
      <c r="S139" s="230">
        <f t="shared" si="19"/>
        <v>0</v>
      </c>
      <c r="Z139" s="231">
        <f t="shared" si="20"/>
        <v>0</v>
      </c>
      <c r="AA139" s="231">
        <f t="shared" si="21"/>
        <v>0</v>
      </c>
      <c r="AB139" s="231">
        <f t="shared" si="22"/>
        <v>0</v>
      </c>
      <c r="AC139" s="231">
        <f t="shared" si="23"/>
        <v>0</v>
      </c>
      <c r="AD139" s="231">
        <f t="shared" si="24"/>
        <v>0</v>
      </c>
      <c r="AE139" s="231">
        <f t="shared" si="25"/>
        <v>0</v>
      </c>
      <c r="AF139" s="231">
        <f t="shared" si="26"/>
        <v>0</v>
      </c>
      <c r="AG139" s="231">
        <f t="shared" si="27"/>
        <v>0</v>
      </c>
    </row>
    <row r="140" spans="1:33">
      <c r="A140" t="str">
        <f>IF(ABS(H140)&gt;0,基础信息!$B$1,"")</f>
        <v/>
      </c>
      <c r="S140" s="230">
        <f t="shared" si="19"/>
        <v>0</v>
      </c>
      <c r="Z140" s="231">
        <f t="shared" si="20"/>
        <v>0</v>
      </c>
      <c r="AA140" s="231">
        <f t="shared" si="21"/>
        <v>0</v>
      </c>
      <c r="AB140" s="231">
        <f t="shared" si="22"/>
        <v>0</v>
      </c>
      <c r="AC140" s="231">
        <f t="shared" si="23"/>
        <v>0</v>
      </c>
      <c r="AD140" s="231">
        <f t="shared" si="24"/>
        <v>0</v>
      </c>
      <c r="AE140" s="231">
        <f t="shared" si="25"/>
        <v>0</v>
      </c>
      <c r="AF140" s="231">
        <f t="shared" si="26"/>
        <v>0</v>
      </c>
      <c r="AG140" s="231">
        <f t="shared" si="27"/>
        <v>0</v>
      </c>
    </row>
    <row r="141" spans="1:33">
      <c r="A141" t="str">
        <f>IF(ABS(H141)&gt;0,基础信息!$B$1,"")</f>
        <v/>
      </c>
      <c r="S141" s="230">
        <f t="shared" si="19"/>
        <v>0</v>
      </c>
      <c r="Z141" s="231">
        <f t="shared" si="20"/>
        <v>0</v>
      </c>
      <c r="AA141" s="231">
        <f t="shared" si="21"/>
        <v>0</v>
      </c>
      <c r="AB141" s="231">
        <f t="shared" si="22"/>
        <v>0</v>
      </c>
      <c r="AC141" s="231">
        <f t="shared" si="23"/>
        <v>0</v>
      </c>
      <c r="AD141" s="231">
        <f t="shared" si="24"/>
        <v>0</v>
      </c>
      <c r="AE141" s="231">
        <f t="shared" si="25"/>
        <v>0</v>
      </c>
      <c r="AF141" s="231">
        <f t="shared" si="26"/>
        <v>0</v>
      </c>
      <c r="AG141" s="231">
        <f t="shared" si="27"/>
        <v>0</v>
      </c>
    </row>
    <row r="142" spans="1:33">
      <c r="A142" t="str">
        <f>IF(ABS(H142)&gt;0,基础信息!$B$1,"")</f>
        <v/>
      </c>
      <c r="S142" s="230">
        <f t="shared" si="19"/>
        <v>0</v>
      </c>
      <c r="Z142" s="231">
        <f t="shared" si="20"/>
        <v>0</v>
      </c>
      <c r="AA142" s="231">
        <f t="shared" si="21"/>
        <v>0</v>
      </c>
      <c r="AB142" s="231">
        <f t="shared" si="22"/>
        <v>0</v>
      </c>
      <c r="AC142" s="231">
        <f t="shared" si="23"/>
        <v>0</v>
      </c>
      <c r="AD142" s="231">
        <f t="shared" si="24"/>
        <v>0</v>
      </c>
      <c r="AE142" s="231">
        <f t="shared" si="25"/>
        <v>0</v>
      </c>
      <c r="AF142" s="231">
        <f t="shared" si="26"/>
        <v>0</v>
      </c>
      <c r="AG142" s="231">
        <f t="shared" si="27"/>
        <v>0</v>
      </c>
    </row>
    <row r="143" spans="1:33">
      <c r="A143" t="str">
        <f>IF(ABS(H143)&gt;0,基础信息!$B$1,"")</f>
        <v/>
      </c>
      <c r="S143" s="230">
        <f t="shared" si="19"/>
        <v>0</v>
      </c>
      <c r="Z143" s="231">
        <f t="shared" si="20"/>
        <v>0</v>
      </c>
      <c r="AA143" s="231">
        <f t="shared" si="21"/>
        <v>0</v>
      </c>
      <c r="AB143" s="231">
        <f t="shared" si="22"/>
        <v>0</v>
      </c>
      <c r="AC143" s="231">
        <f t="shared" si="23"/>
        <v>0</v>
      </c>
      <c r="AD143" s="231">
        <f t="shared" si="24"/>
        <v>0</v>
      </c>
      <c r="AE143" s="231">
        <f t="shared" si="25"/>
        <v>0</v>
      </c>
      <c r="AF143" s="231">
        <f t="shared" si="26"/>
        <v>0</v>
      </c>
      <c r="AG143" s="231">
        <f t="shared" si="27"/>
        <v>0</v>
      </c>
    </row>
    <row r="144" spans="1:33">
      <c r="A144" t="str">
        <f>IF(ABS(H144)&gt;0,基础信息!$B$1,"")</f>
        <v/>
      </c>
      <c r="S144" s="230">
        <f t="shared" si="19"/>
        <v>0</v>
      </c>
      <c r="Z144" s="231">
        <f t="shared" si="20"/>
        <v>0</v>
      </c>
      <c r="AA144" s="231">
        <f t="shared" si="21"/>
        <v>0</v>
      </c>
      <c r="AB144" s="231">
        <f t="shared" si="22"/>
        <v>0</v>
      </c>
      <c r="AC144" s="231">
        <f t="shared" si="23"/>
        <v>0</v>
      </c>
      <c r="AD144" s="231">
        <f t="shared" si="24"/>
        <v>0</v>
      </c>
      <c r="AE144" s="231">
        <f t="shared" si="25"/>
        <v>0</v>
      </c>
      <c r="AF144" s="231">
        <f t="shared" si="26"/>
        <v>0</v>
      </c>
      <c r="AG144" s="231">
        <f t="shared" si="27"/>
        <v>0</v>
      </c>
    </row>
    <row r="145" spans="1:33">
      <c r="A145" t="str">
        <f>IF(ABS(H145)&gt;0,基础信息!$B$1,"")</f>
        <v/>
      </c>
      <c r="S145" s="230">
        <f t="shared" si="19"/>
        <v>0</v>
      </c>
      <c r="Z145" s="231">
        <f t="shared" si="20"/>
        <v>0</v>
      </c>
      <c r="AA145" s="231">
        <f t="shared" si="21"/>
        <v>0</v>
      </c>
      <c r="AB145" s="231">
        <f t="shared" si="22"/>
        <v>0</v>
      </c>
      <c r="AC145" s="231">
        <f t="shared" si="23"/>
        <v>0</v>
      </c>
      <c r="AD145" s="231">
        <f t="shared" si="24"/>
        <v>0</v>
      </c>
      <c r="AE145" s="231">
        <f t="shared" si="25"/>
        <v>0</v>
      </c>
      <c r="AF145" s="231">
        <f t="shared" si="26"/>
        <v>0</v>
      </c>
      <c r="AG145" s="231">
        <f t="shared" si="27"/>
        <v>0</v>
      </c>
    </row>
    <row r="146" spans="1:33">
      <c r="A146" t="str">
        <f>IF(ABS(H146)&gt;0,基础信息!$B$1,"")</f>
        <v/>
      </c>
      <c r="S146" s="230">
        <f t="shared" si="19"/>
        <v>0</v>
      </c>
      <c r="Z146" s="231">
        <f t="shared" si="20"/>
        <v>0</v>
      </c>
      <c r="AA146" s="231">
        <f t="shared" si="21"/>
        <v>0</v>
      </c>
      <c r="AB146" s="231">
        <f t="shared" si="22"/>
        <v>0</v>
      </c>
      <c r="AC146" s="231">
        <f t="shared" si="23"/>
        <v>0</v>
      </c>
      <c r="AD146" s="231">
        <f t="shared" si="24"/>
        <v>0</v>
      </c>
      <c r="AE146" s="231">
        <f t="shared" si="25"/>
        <v>0</v>
      </c>
      <c r="AF146" s="231">
        <f t="shared" si="26"/>
        <v>0</v>
      </c>
      <c r="AG146" s="231">
        <f t="shared" si="27"/>
        <v>0</v>
      </c>
    </row>
    <row r="147" spans="1:33">
      <c r="A147" t="str">
        <f>IF(ABS(H147)&gt;0,基础信息!$B$1,"")</f>
        <v/>
      </c>
      <c r="S147" s="230">
        <f t="shared" si="19"/>
        <v>0</v>
      </c>
      <c r="Z147" s="231">
        <f t="shared" si="20"/>
        <v>0</v>
      </c>
      <c r="AA147" s="231">
        <f t="shared" si="21"/>
        <v>0</v>
      </c>
      <c r="AB147" s="231">
        <f t="shared" si="22"/>
        <v>0</v>
      </c>
      <c r="AC147" s="231">
        <f t="shared" si="23"/>
        <v>0</v>
      </c>
      <c r="AD147" s="231">
        <f t="shared" si="24"/>
        <v>0</v>
      </c>
      <c r="AE147" s="231">
        <f t="shared" si="25"/>
        <v>0</v>
      </c>
      <c r="AF147" s="231">
        <f t="shared" si="26"/>
        <v>0</v>
      </c>
      <c r="AG147" s="231">
        <f t="shared" si="27"/>
        <v>0</v>
      </c>
    </row>
    <row r="148" spans="1:33">
      <c r="A148" t="str">
        <f>IF(ABS(H148)&gt;0,基础信息!$B$1,"")</f>
        <v/>
      </c>
      <c r="S148" s="230">
        <f t="shared" si="19"/>
        <v>0</v>
      </c>
      <c r="Z148" s="231">
        <f t="shared" si="20"/>
        <v>0</v>
      </c>
      <c r="AA148" s="231">
        <f t="shared" si="21"/>
        <v>0</v>
      </c>
      <c r="AB148" s="231">
        <f t="shared" si="22"/>
        <v>0</v>
      </c>
      <c r="AC148" s="231">
        <f t="shared" si="23"/>
        <v>0</v>
      </c>
      <c r="AD148" s="231">
        <f t="shared" si="24"/>
        <v>0</v>
      </c>
      <c r="AE148" s="231">
        <f t="shared" si="25"/>
        <v>0</v>
      </c>
      <c r="AF148" s="231">
        <f t="shared" si="26"/>
        <v>0</v>
      </c>
      <c r="AG148" s="231">
        <f t="shared" si="27"/>
        <v>0</v>
      </c>
    </row>
    <row r="149" spans="1:33">
      <c r="A149" t="str">
        <f>IF(ABS(H149)&gt;0,基础信息!$B$1,"")</f>
        <v/>
      </c>
      <c r="S149" s="230">
        <f t="shared" ref="S149:S212" si="28">O149+P149-Q149-R149</f>
        <v>0</v>
      </c>
      <c r="Z149" s="231">
        <f t="shared" ref="Z149:Z212" si="29">H149-S149</f>
        <v>0</v>
      </c>
      <c r="AA149" s="231">
        <f t="shared" ref="AA149:AA212" si="30">I149-T149</f>
        <v>0</v>
      </c>
      <c r="AB149" s="231">
        <f t="shared" ref="AB149:AB212" si="31">J149-U149</f>
        <v>0</v>
      </c>
      <c r="AC149" s="231">
        <f t="shared" ref="AC149:AC212" si="32">K149-V149</f>
        <v>0</v>
      </c>
      <c r="AD149" s="231">
        <f t="shared" ref="AD149:AD212" si="33">L149-W149</f>
        <v>0</v>
      </c>
      <c r="AE149" s="231">
        <f t="shared" ref="AE149:AE212" si="34">M149-X149</f>
        <v>0</v>
      </c>
      <c r="AF149" s="231">
        <f t="shared" ref="AF149:AF212" si="35">N149-Y149</f>
        <v>0</v>
      </c>
      <c r="AG149" s="231">
        <f t="shared" ref="AG149:AG212" si="36">S149-SUM(T149:Y149)</f>
        <v>0</v>
      </c>
    </row>
    <row r="150" spans="1:33">
      <c r="A150" t="str">
        <f>IF(ABS(H150)&gt;0,基础信息!$B$1,"")</f>
        <v/>
      </c>
      <c r="S150" s="230">
        <f t="shared" si="28"/>
        <v>0</v>
      </c>
      <c r="Z150" s="231">
        <f t="shared" si="29"/>
        <v>0</v>
      </c>
      <c r="AA150" s="231">
        <f t="shared" si="30"/>
        <v>0</v>
      </c>
      <c r="AB150" s="231">
        <f t="shared" si="31"/>
        <v>0</v>
      </c>
      <c r="AC150" s="231">
        <f t="shared" si="32"/>
        <v>0</v>
      </c>
      <c r="AD150" s="231">
        <f t="shared" si="33"/>
        <v>0</v>
      </c>
      <c r="AE150" s="231">
        <f t="shared" si="34"/>
        <v>0</v>
      </c>
      <c r="AF150" s="231">
        <f t="shared" si="35"/>
        <v>0</v>
      </c>
      <c r="AG150" s="231">
        <f t="shared" si="36"/>
        <v>0</v>
      </c>
    </row>
    <row r="151" spans="1:33">
      <c r="A151" t="str">
        <f>IF(ABS(H151)&gt;0,基础信息!$B$1,"")</f>
        <v/>
      </c>
      <c r="S151" s="230">
        <f t="shared" si="28"/>
        <v>0</v>
      </c>
      <c r="Z151" s="231">
        <f t="shared" si="29"/>
        <v>0</v>
      </c>
      <c r="AA151" s="231">
        <f t="shared" si="30"/>
        <v>0</v>
      </c>
      <c r="AB151" s="231">
        <f t="shared" si="31"/>
        <v>0</v>
      </c>
      <c r="AC151" s="231">
        <f t="shared" si="32"/>
        <v>0</v>
      </c>
      <c r="AD151" s="231">
        <f t="shared" si="33"/>
        <v>0</v>
      </c>
      <c r="AE151" s="231">
        <f t="shared" si="34"/>
        <v>0</v>
      </c>
      <c r="AF151" s="231">
        <f t="shared" si="35"/>
        <v>0</v>
      </c>
      <c r="AG151" s="231">
        <f t="shared" si="36"/>
        <v>0</v>
      </c>
    </row>
    <row r="152" spans="1:33">
      <c r="A152" t="str">
        <f>IF(ABS(H152)&gt;0,基础信息!$B$1,"")</f>
        <v/>
      </c>
      <c r="S152" s="230">
        <f t="shared" si="28"/>
        <v>0</v>
      </c>
      <c r="Z152" s="231">
        <f t="shared" si="29"/>
        <v>0</v>
      </c>
      <c r="AA152" s="231">
        <f t="shared" si="30"/>
        <v>0</v>
      </c>
      <c r="AB152" s="231">
        <f t="shared" si="31"/>
        <v>0</v>
      </c>
      <c r="AC152" s="231">
        <f t="shared" si="32"/>
        <v>0</v>
      </c>
      <c r="AD152" s="231">
        <f t="shared" si="33"/>
        <v>0</v>
      </c>
      <c r="AE152" s="231">
        <f t="shared" si="34"/>
        <v>0</v>
      </c>
      <c r="AF152" s="231">
        <f t="shared" si="35"/>
        <v>0</v>
      </c>
      <c r="AG152" s="231">
        <f t="shared" si="36"/>
        <v>0</v>
      </c>
    </row>
    <row r="153" spans="1:33">
      <c r="A153" t="str">
        <f>IF(ABS(H153)&gt;0,基础信息!$B$1,"")</f>
        <v/>
      </c>
      <c r="S153" s="230">
        <f t="shared" si="28"/>
        <v>0</v>
      </c>
      <c r="Z153" s="231">
        <f t="shared" si="29"/>
        <v>0</v>
      </c>
      <c r="AA153" s="231">
        <f t="shared" si="30"/>
        <v>0</v>
      </c>
      <c r="AB153" s="231">
        <f t="shared" si="31"/>
        <v>0</v>
      </c>
      <c r="AC153" s="231">
        <f t="shared" si="32"/>
        <v>0</v>
      </c>
      <c r="AD153" s="231">
        <f t="shared" si="33"/>
        <v>0</v>
      </c>
      <c r="AE153" s="231">
        <f t="shared" si="34"/>
        <v>0</v>
      </c>
      <c r="AF153" s="231">
        <f t="shared" si="35"/>
        <v>0</v>
      </c>
      <c r="AG153" s="231">
        <f t="shared" si="36"/>
        <v>0</v>
      </c>
    </row>
    <row r="154" spans="1:33">
      <c r="A154" t="str">
        <f>IF(ABS(H154)&gt;0,基础信息!$B$1,"")</f>
        <v/>
      </c>
      <c r="S154" s="230">
        <f t="shared" si="28"/>
        <v>0</v>
      </c>
      <c r="Z154" s="231">
        <f t="shared" si="29"/>
        <v>0</v>
      </c>
      <c r="AA154" s="231">
        <f t="shared" si="30"/>
        <v>0</v>
      </c>
      <c r="AB154" s="231">
        <f t="shared" si="31"/>
        <v>0</v>
      </c>
      <c r="AC154" s="231">
        <f t="shared" si="32"/>
        <v>0</v>
      </c>
      <c r="AD154" s="231">
        <f t="shared" si="33"/>
        <v>0</v>
      </c>
      <c r="AE154" s="231">
        <f t="shared" si="34"/>
        <v>0</v>
      </c>
      <c r="AF154" s="231">
        <f t="shared" si="35"/>
        <v>0</v>
      </c>
      <c r="AG154" s="231">
        <f t="shared" si="36"/>
        <v>0</v>
      </c>
    </row>
    <row r="155" spans="1:33">
      <c r="A155" t="str">
        <f>IF(ABS(H155)&gt;0,基础信息!$B$1,"")</f>
        <v/>
      </c>
      <c r="S155" s="230">
        <f t="shared" si="28"/>
        <v>0</v>
      </c>
      <c r="Z155" s="231">
        <f t="shared" si="29"/>
        <v>0</v>
      </c>
      <c r="AA155" s="231">
        <f t="shared" si="30"/>
        <v>0</v>
      </c>
      <c r="AB155" s="231">
        <f t="shared" si="31"/>
        <v>0</v>
      </c>
      <c r="AC155" s="231">
        <f t="shared" si="32"/>
        <v>0</v>
      </c>
      <c r="AD155" s="231">
        <f t="shared" si="33"/>
        <v>0</v>
      </c>
      <c r="AE155" s="231">
        <f t="shared" si="34"/>
        <v>0</v>
      </c>
      <c r="AF155" s="231">
        <f t="shared" si="35"/>
        <v>0</v>
      </c>
      <c r="AG155" s="231">
        <f t="shared" si="36"/>
        <v>0</v>
      </c>
    </row>
    <row r="156" spans="1:33">
      <c r="A156" t="str">
        <f>IF(ABS(H156)&gt;0,基础信息!$B$1,"")</f>
        <v/>
      </c>
      <c r="S156" s="230">
        <f t="shared" si="28"/>
        <v>0</v>
      </c>
      <c r="Z156" s="231">
        <f t="shared" si="29"/>
        <v>0</v>
      </c>
      <c r="AA156" s="231">
        <f t="shared" si="30"/>
        <v>0</v>
      </c>
      <c r="AB156" s="231">
        <f t="shared" si="31"/>
        <v>0</v>
      </c>
      <c r="AC156" s="231">
        <f t="shared" si="32"/>
        <v>0</v>
      </c>
      <c r="AD156" s="231">
        <f t="shared" si="33"/>
        <v>0</v>
      </c>
      <c r="AE156" s="231">
        <f t="shared" si="34"/>
        <v>0</v>
      </c>
      <c r="AF156" s="231">
        <f t="shared" si="35"/>
        <v>0</v>
      </c>
      <c r="AG156" s="231">
        <f t="shared" si="36"/>
        <v>0</v>
      </c>
    </row>
    <row r="157" spans="1:33">
      <c r="A157" t="str">
        <f>IF(ABS(H157)&gt;0,基础信息!$B$1,"")</f>
        <v/>
      </c>
      <c r="S157" s="230">
        <f t="shared" si="28"/>
        <v>0</v>
      </c>
      <c r="Z157" s="231">
        <f t="shared" si="29"/>
        <v>0</v>
      </c>
      <c r="AA157" s="231">
        <f t="shared" si="30"/>
        <v>0</v>
      </c>
      <c r="AB157" s="231">
        <f t="shared" si="31"/>
        <v>0</v>
      </c>
      <c r="AC157" s="231">
        <f t="shared" si="32"/>
        <v>0</v>
      </c>
      <c r="AD157" s="231">
        <f t="shared" si="33"/>
        <v>0</v>
      </c>
      <c r="AE157" s="231">
        <f t="shared" si="34"/>
        <v>0</v>
      </c>
      <c r="AF157" s="231">
        <f t="shared" si="35"/>
        <v>0</v>
      </c>
      <c r="AG157" s="231">
        <f t="shared" si="36"/>
        <v>0</v>
      </c>
    </row>
    <row r="158" spans="1:33">
      <c r="A158" t="str">
        <f>IF(ABS(H158)&gt;0,基础信息!$B$1,"")</f>
        <v/>
      </c>
      <c r="S158" s="230">
        <f t="shared" si="28"/>
        <v>0</v>
      </c>
      <c r="Z158" s="231">
        <f t="shared" si="29"/>
        <v>0</v>
      </c>
      <c r="AA158" s="231">
        <f t="shared" si="30"/>
        <v>0</v>
      </c>
      <c r="AB158" s="231">
        <f t="shared" si="31"/>
        <v>0</v>
      </c>
      <c r="AC158" s="231">
        <f t="shared" si="32"/>
        <v>0</v>
      </c>
      <c r="AD158" s="231">
        <f t="shared" si="33"/>
        <v>0</v>
      </c>
      <c r="AE158" s="231">
        <f t="shared" si="34"/>
        <v>0</v>
      </c>
      <c r="AF158" s="231">
        <f t="shared" si="35"/>
        <v>0</v>
      </c>
      <c r="AG158" s="231">
        <f t="shared" si="36"/>
        <v>0</v>
      </c>
    </row>
    <row r="159" spans="1:33">
      <c r="A159" t="str">
        <f>IF(ABS(H159)&gt;0,基础信息!$B$1,"")</f>
        <v/>
      </c>
      <c r="S159" s="230">
        <f t="shared" si="28"/>
        <v>0</v>
      </c>
      <c r="Z159" s="231">
        <f t="shared" si="29"/>
        <v>0</v>
      </c>
      <c r="AA159" s="231">
        <f t="shared" si="30"/>
        <v>0</v>
      </c>
      <c r="AB159" s="231">
        <f t="shared" si="31"/>
        <v>0</v>
      </c>
      <c r="AC159" s="231">
        <f t="shared" si="32"/>
        <v>0</v>
      </c>
      <c r="AD159" s="231">
        <f t="shared" si="33"/>
        <v>0</v>
      </c>
      <c r="AE159" s="231">
        <f t="shared" si="34"/>
        <v>0</v>
      </c>
      <c r="AF159" s="231">
        <f t="shared" si="35"/>
        <v>0</v>
      </c>
      <c r="AG159" s="231">
        <f t="shared" si="36"/>
        <v>0</v>
      </c>
    </row>
    <row r="160" spans="1:33">
      <c r="A160" t="str">
        <f>IF(ABS(H160)&gt;0,基础信息!$B$1,"")</f>
        <v/>
      </c>
      <c r="S160" s="230">
        <f t="shared" si="28"/>
        <v>0</v>
      </c>
      <c r="Z160" s="231">
        <f t="shared" si="29"/>
        <v>0</v>
      </c>
      <c r="AA160" s="231">
        <f t="shared" si="30"/>
        <v>0</v>
      </c>
      <c r="AB160" s="231">
        <f t="shared" si="31"/>
        <v>0</v>
      </c>
      <c r="AC160" s="231">
        <f t="shared" si="32"/>
        <v>0</v>
      </c>
      <c r="AD160" s="231">
        <f t="shared" si="33"/>
        <v>0</v>
      </c>
      <c r="AE160" s="231">
        <f t="shared" si="34"/>
        <v>0</v>
      </c>
      <c r="AF160" s="231">
        <f t="shared" si="35"/>
        <v>0</v>
      </c>
      <c r="AG160" s="231">
        <f t="shared" si="36"/>
        <v>0</v>
      </c>
    </row>
    <row r="161" spans="1:33">
      <c r="A161" t="str">
        <f>IF(ABS(H161)&gt;0,基础信息!$B$1,"")</f>
        <v/>
      </c>
      <c r="S161" s="230">
        <f t="shared" si="28"/>
        <v>0</v>
      </c>
      <c r="Z161" s="231">
        <f t="shared" si="29"/>
        <v>0</v>
      </c>
      <c r="AA161" s="231">
        <f t="shared" si="30"/>
        <v>0</v>
      </c>
      <c r="AB161" s="231">
        <f t="shared" si="31"/>
        <v>0</v>
      </c>
      <c r="AC161" s="231">
        <f t="shared" si="32"/>
        <v>0</v>
      </c>
      <c r="AD161" s="231">
        <f t="shared" si="33"/>
        <v>0</v>
      </c>
      <c r="AE161" s="231">
        <f t="shared" si="34"/>
        <v>0</v>
      </c>
      <c r="AF161" s="231">
        <f t="shared" si="35"/>
        <v>0</v>
      </c>
      <c r="AG161" s="231">
        <f t="shared" si="36"/>
        <v>0</v>
      </c>
    </row>
    <row r="162" spans="1:33">
      <c r="A162" t="str">
        <f>IF(ABS(H162)&gt;0,基础信息!$B$1,"")</f>
        <v/>
      </c>
      <c r="S162" s="230">
        <f t="shared" si="28"/>
        <v>0</v>
      </c>
      <c r="Z162" s="231">
        <f t="shared" si="29"/>
        <v>0</v>
      </c>
      <c r="AA162" s="231">
        <f t="shared" si="30"/>
        <v>0</v>
      </c>
      <c r="AB162" s="231">
        <f t="shared" si="31"/>
        <v>0</v>
      </c>
      <c r="AC162" s="231">
        <f t="shared" si="32"/>
        <v>0</v>
      </c>
      <c r="AD162" s="231">
        <f t="shared" si="33"/>
        <v>0</v>
      </c>
      <c r="AE162" s="231">
        <f t="shared" si="34"/>
        <v>0</v>
      </c>
      <c r="AF162" s="231">
        <f t="shared" si="35"/>
        <v>0</v>
      </c>
      <c r="AG162" s="231">
        <f t="shared" si="36"/>
        <v>0</v>
      </c>
    </row>
    <row r="163" spans="1:33">
      <c r="A163" t="str">
        <f>IF(ABS(H163)&gt;0,基础信息!$B$1,"")</f>
        <v/>
      </c>
      <c r="S163" s="230">
        <f t="shared" si="28"/>
        <v>0</v>
      </c>
      <c r="Z163" s="231">
        <f t="shared" si="29"/>
        <v>0</v>
      </c>
      <c r="AA163" s="231">
        <f t="shared" si="30"/>
        <v>0</v>
      </c>
      <c r="AB163" s="231">
        <f t="shared" si="31"/>
        <v>0</v>
      </c>
      <c r="AC163" s="231">
        <f t="shared" si="32"/>
        <v>0</v>
      </c>
      <c r="AD163" s="231">
        <f t="shared" si="33"/>
        <v>0</v>
      </c>
      <c r="AE163" s="231">
        <f t="shared" si="34"/>
        <v>0</v>
      </c>
      <c r="AF163" s="231">
        <f t="shared" si="35"/>
        <v>0</v>
      </c>
      <c r="AG163" s="231">
        <f t="shared" si="36"/>
        <v>0</v>
      </c>
    </row>
    <row r="164" spans="1:33">
      <c r="A164" t="str">
        <f>IF(ABS(H164)&gt;0,基础信息!$B$1,"")</f>
        <v/>
      </c>
      <c r="S164" s="230">
        <f t="shared" si="28"/>
        <v>0</v>
      </c>
      <c r="Z164" s="231">
        <f t="shared" si="29"/>
        <v>0</v>
      </c>
      <c r="AA164" s="231">
        <f t="shared" si="30"/>
        <v>0</v>
      </c>
      <c r="AB164" s="231">
        <f t="shared" si="31"/>
        <v>0</v>
      </c>
      <c r="AC164" s="231">
        <f t="shared" si="32"/>
        <v>0</v>
      </c>
      <c r="AD164" s="231">
        <f t="shared" si="33"/>
        <v>0</v>
      </c>
      <c r="AE164" s="231">
        <f t="shared" si="34"/>
        <v>0</v>
      </c>
      <c r="AF164" s="231">
        <f t="shared" si="35"/>
        <v>0</v>
      </c>
      <c r="AG164" s="231">
        <f t="shared" si="36"/>
        <v>0</v>
      </c>
    </row>
    <row r="165" spans="1:33">
      <c r="A165" t="str">
        <f>IF(ABS(H165)&gt;0,基础信息!$B$1,"")</f>
        <v/>
      </c>
      <c r="S165" s="230">
        <f t="shared" si="28"/>
        <v>0</v>
      </c>
      <c r="Z165" s="231">
        <f t="shared" si="29"/>
        <v>0</v>
      </c>
      <c r="AA165" s="231">
        <f t="shared" si="30"/>
        <v>0</v>
      </c>
      <c r="AB165" s="231">
        <f t="shared" si="31"/>
        <v>0</v>
      </c>
      <c r="AC165" s="231">
        <f t="shared" si="32"/>
        <v>0</v>
      </c>
      <c r="AD165" s="231">
        <f t="shared" si="33"/>
        <v>0</v>
      </c>
      <c r="AE165" s="231">
        <f t="shared" si="34"/>
        <v>0</v>
      </c>
      <c r="AF165" s="231">
        <f t="shared" si="35"/>
        <v>0</v>
      </c>
      <c r="AG165" s="231">
        <f t="shared" si="36"/>
        <v>0</v>
      </c>
    </row>
    <row r="166" spans="1:33">
      <c r="A166" t="str">
        <f>IF(ABS(H166)&gt;0,基础信息!$B$1,"")</f>
        <v/>
      </c>
      <c r="S166" s="230">
        <f t="shared" si="28"/>
        <v>0</v>
      </c>
      <c r="Z166" s="231">
        <f t="shared" si="29"/>
        <v>0</v>
      </c>
      <c r="AA166" s="231">
        <f t="shared" si="30"/>
        <v>0</v>
      </c>
      <c r="AB166" s="231">
        <f t="shared" si="31"/>
        <v>0</v>
      </c>
      <c r="AC166" s="231">
        <f t="shared" si="32"/>
        <v>0</v>
      </c>
      <c r="AD166" s="231">
        <f t="shared" si="33"/>
        <v>0</v>
      </c>
      <c r="AE166" s="231">
        <f t="shared" si="34"/>
        <v>0</v>
      </c>
      <c r="AF166" s="231">
        <f t="shared" si="35"/>
        <v>0</v>
      </c>
      <c r="AG166" s="231">
        <f t="shared" si="36"/>
        <v>0</v>
      </c>
    </row>
    <row r="167" spans="1:33">
      <c r="A167" t="str">
        <f>IF(ABS(H167)&gt;0,基础信息!$B$1,"")</f>
        <v/>
      </c>
      <c r="S167" s="230">
        <f t="shared" si="28"/>
        <v>0</v>
      </c>
      <c r="Z167" s="231">
        <f t="shared" si="29"/>
        <v>0</v>
      </c>
      <c r="AA167" s="231">
        <f t="shared" si="30"/>
        <v>0</v>
      </c>
      <c r="AB167" s="231">
        <f t="shared" si="31"/>
        <v>0</v>
      </c>
      <c r="AC167" s="231">
        <f t="shared" si="32"/>
        <v>0</v>
      </c>
      <c r="AD167" s="231">
        <f t="shared" si="33"/>
        <v>0</v>
      </c>
      <c r="AE167" s="231">
        <f t="shared" si="34"/>
        <v>0</v>
      </c>
      <c r="AF167" s="231">
        <f t="shared" si="35"/>
        <v>0</v>
      </c>
      <c r="AG167" s="231">
        <f t="shared" si="36"/>
        <v>0</v>
      </c>
    </row>
    <row r="168" spans="1:33">
      <c r="A168" t="str">
        <f>IF(ABS(H168)&gt;0,基础信息!$B$1,"")</f>
        <v/>
      </c>
      <c r="S168" s="230">
        <f t="shared" si="28"/>
        <v>0</v>
      </c>
      <c r="Z168" s="231">
        <f t="shared" si="29"/>
        <v>0</v>
      </c>
      <c r="AA168" s="231">
        <f t="shared" si="30"/>
        <v>0</v>
      </c>
      <c r="AB168" s="231">
        <f t="shared" si="31"/>
        <v>0</v>
      </c>
      <c r="AC168" s="231">
        <f t="shared" si="32"/>
        <v>0</v>
      </c>
      <c r="AD168" s="231">
        <f t="shared" si="33"/>
        <v>0</v>
      </c>
      <c r="AE168" s="231">
        <f t="shared" si="34"/>
        <v>0</v>
      </c>
      <c r="AF168" s="231">
        <f t="shared" si="35"/>
        <v>0</v>
      </c>
      <c r="AG168" s="231">
        <f t="shared" si="36"/>
        <v>0</v>
      </c>
    </row>
    <row r="169" spans="1:33">
      <c r="A169" t="str">
        <f>IF(ABS(H169)&gt;0,基础信息!$B$1,"")</f>
        <v/>
      </c>
      <c r="S169" s="230">
        <f t="shared" si="28"/>
        <v>0</v>
      </c>
      <c r="Z169" s="231">
        <f t="shared" si="29"/>
        <v>0</v>
      </c>
      <c r="AA169" s="231">
        <f t="shared" si="30"/>
        <v>0</v>
      </c>
      <c r="AB169" s="231">
        <f t="shared" si="31"/>
        <v>0</v>
      </c>
      <c r="AC169" s="231">
        <f t="shared" si="32"/>
        <v>0</v>
      </c>
      <c r="AD169" s="231">
        <f t="shared" si="33"/>
        <v>0</v>
      </c>
      <c r="AE169" s="231">
        <f t="shared" si="34"/>
        <v>0</v>
      </c>
      <c r="AF169" s="231">
        <f t="shared" si="35"/>
        <v>0</v>
      </c>
      <c r="AG169" s="231">
        <f t="shared" si="36"/>
        <v>0</v>
      </c>
    </row>
    <row r="170" spans="1:33">
      <c r="A170" t="str">
        <f>IF(ABS(H170)&gt;0,基础信息!$B$1,"")</f>
        <v/>
      </c>
      <c r="S170" s="230">
        <f t="shared" si="28"/>
        <v>0</v>
      </c>
      <c r="Z170" s="231">
        <f t="shared" si="29"/>
        <v>0</v>
      </c>
      <c r="AA170" s="231">
        <f t="shared" si="30"/>
        <v>0</v>
      </c>
      <c r="AB170" s="231">
        <f t="shared" si="31"/>
        <v>0</v>
      </c>
      <c r="AC170" s="231">
        <f t="shared" si="32"/>
        <v>0</v>
      </c>
      <c r="AD170" s="231">
        <f t="shared" si="33"/>
        <v>0</v>
      </c>
      <c r="AE170" s="231">
        <f t="shared" si="34"/>
        <v>0</v>
      </c>
      <c r="AF170" s="231">
        <f t="shared" si="35"/>
        <v>0</v>
      </c>
      <c r="AG170" s="231">
        <f t="shared" si="36"/>
        <v>0</v>
      </c>
    </row>
    <row r="171" spans="1:33">
      <c r="A171" t="str">
        <f>IF(ABS(H171)&gt;0,基础信息!$B$1,"")</f>
        <v/>
      </c>
      <c r="S171" s="230">
        <f t="shared" si="28"/>
        <v>0</v>
      </c>
      <c r="Z171" s="231">
        <f t="shared" si="29"/>
        <v>0</v>
      </c>
      <c r="AA171" s="231">
        <f t="shared" si="30"/>
        <v>0</v>
      </c>
      <c r="AB171" s="231">
        <f t="shared" si="31"/>
        <v>0</v>
      </c>
      <c r="AC171" s="231">
        <f t="shared" si="32"/>
        <v>0</v>
      </c>
      <c r="AD171" s="231">
        <f t="shared" si="33"/>
        <v>0</v>
      </c>
      <c r="AE171" s="231">
        <f t="shared" si="34"/>
        <v>0</v>
      </c>
      <c r="AF171" s="231">
        <f t="shared" si="35"/>
        <v>0</v>
      </c>
      <c r="AG171" s="231">
        <f t="shared" si="36"/>
        <v>0</v>
      </c>
    </row>
    <row r="172" spans="1:33">
      <c r="A172" t="str">
        <f>IF(ABS(H172)&gt;0,基础信息!$B$1,"")</f>
        <v/>
      </c>
      <c r="S172" s="230">
        <f t="shared" si="28"/>
        <v>0</v>
      </c>
      <c r="Z172" s="231">
        <f t="shared" si="29"/>
        <v>0</v>
      </c>
      <c r="AA172" s="231">
        <f t="shared" si="30"/>
        <v>0</v>
      </c>
      <c r="AB172" s="231">
        <f t="shared" si="31"/>
        <v>0</v>
      </c>
      <c r="AC172" s="231">
        <f t="shared" si="32"/>
        <v>0</v>
      </c>
      <c r="AD172" s="231">
        <f t="shared" si="33"/>
        <v>0</v>
      </c>
      <c r="AE172" s="231">
        <f t="shared" si="34"/>
        <v>0</v>
      </c>
      <c r="AF172" s="231">
        <f t="shared" si="35"/>
        <v>0</v>
      </c>
      <c r="AG172" s="231">
        <f t="shared" si="36"/>
        <v>0</v>
      </c>
    </row>
    <row r="173" spans="1:33">
      <c r="A173" t="str">
        <f>IF(ABS(H173)&gt;0,基础信息!$B$1,"")</f>
        <v/>
      </c>
      <c r="S173" s="230">
        <f t="shared" si="28"/>
        <v>0</v>
      </c>
      <c r="Z173" s="231">
        <f t="shared" si="29"/>
        <v>0</v>
      </c>
      <c r="AA173" s="231">
        <f t="shared" si="30"/>
        <v>0</v>
      </c>
      <c r="AB173" s="231">
        <f t="shared" si="31"/>
        <v>0</v>
      </c>
      <c r="AC173" s="231">
        <f t="shared" si="32"/>
        <v>0</v>
      </c>
      <c r="AD173" s="231">
        <f t="shared" si="33"/>
        <v>0</v>
      </c>
      <c r="AE173" s="231">
        <f t="shared" si="34"/>
        <v>0</v>
      </c>
      <c r="AF173" s="231">
        <f t="shared" si="35"/>
        <v>0</v>
      </c>
      <c r="AG173" s="231">
        <f t="shared" si="36"/>
        <v>0</v>
      </c>
    </row>
    <row r="174" spans="1:33">
      <c r="A174" t="str">
        <f>IF(ABS(H174)&gt;0,基础信息!$B$1,"")</f>
        <v/>
      </c>
      <c r="S174" s="230">
        <f t="shared" si="28"/>
        <v>0</v>
      </c>
      <c r="Z174" s="231">
        <f t="shared" si="29"/>
        <v>0</v>
      </c>
      <c r="AA174" s="231">
        <f t="shared" si="30"/>
        <v>0</v>
      </c>
      <c r="AB174" s="231">
        <f t="shared" si="31"/>
        <v>0</v>
      </c>
      <c r="AC174" s="231">
        <f t="shared" si="32"/>
        <v>0</v>
      </c>
      <c r="AD174" s="231">
        <f t="shared" si="33"/>
        <v>0</v>
      </c>
      <c r="AE174" s="231">
        <f t="shared" si="34"/>
        <v>0</v>
      </c>
      <c r="AF174" s="231">
        <f t="shared" si="35"/>
        <v>0</v>
      </c>
      <c r="AG174" s="231">
        <f t="shared" si="36"/>
        <v>0</v>
      </c>
    </row>
    <row r="175" spans="1:33">
      <c r="A175" t="str">
        <f>IF(ABS(H175)&gt;0,基础信息!$B$1,"")</f>
        <v/>
      </c>
      <c r="S175" s="230">
        <f t="shared" si="28"/>
        <v>0</v>
      </c>
      <c r="Z175" s="231">
        <f t="shared" si="29"/>
        <v>0</v>
      </c>
      <c r="AA175" s="231">
        <f t="shared" si="30"/>
        <v>0</v>
      </c>
      <c r="AB175" s="231">
        <f t="shared" si="31"/>
        <v>0</v>
      </c>
      <c r="AC175" s="231">
        <f t="shared" si="32"/>
        <v>0</v>
      </c>
      <c r="AD175" s="231">
        <f t="shared" si="33"/>
        <v>0</v>
      </c>
      <c r="AE175" s="231">
        <f t="shared" si="34"/>
        <v>0</v>
      </c>
      <c r="AF175" s="231">
        <f t="shared" si="35"/>
        <v>0</v>
      </c>
      <c r="AG175" s="231">
        <f t="shared" si="36"/>
        <v>0</v>
      </c>
    </row>
    <row r="176" spans="1:33">
      <c r="A176" t="str">
        <f>IF(ABS(H176)&gt;0,基础信息!$B$1,"")</f>
        <v/>
      </c>
      <c r="S176" s="230">
        <f t="shared" si="28"/>
        <v>0</v>
      </c>
      <c r="Z176" s="231">
        <f t="shared" si="29"/>
        <v>0</v>
      </c>
      <c r="AA176" s="231">
        <f t="shared" si="30"/>
        <v>0</v>
      </c>
      <c r="AB176" s="231">
        <f t="shared" si="31"/>
        <v>0</v>
      </c>
      <c r="AC176" s="231">
        <f t="shared" si="32"/>
        <v>0</v>
      </c>
      <c r="AD176" s="231">
        <f t="shared" si="33"/>
        <v>0</v>
      </c>
      <c r="AE176" s="231">
        <f t="shared" si="34"/>
        <v>0</v>
      </c>
      <c r="AF176" s="231">
        <f t="shared" si="35"/>
        <v>0</v>
      </c>
      <c r="AG176" s="231">
        <f t="shared" si="36"/>
        <v>0</v>
      </c>
    </row>
    <row r="177" spans="1:33">
      <c r="A177" t="str">
        <f>IF(ABS(H177)&gt;0,基础信息!$B$1,"")</f>
        <v/>
      </c>
      <c r="S177" s="230">
        <f t="shared" si="28"/>
        <v>0</v>
      </c>
      <c r="Z177" s="231">
        <f t="shared" si="29"/>
        <v>0</v>
      </c>
      <c r="AA177" s="231">
        <f t="shared" si="30"/>
        <v>0</v>
      </c>
      <c r="AB177" s="231">
        <f t="shared" si="31"/>
        <v>0</v>
      </c>
      <c r="AC177" s="231">
        <f t="shared" si="32"/>
        <v>0</v>
      </c>
      <c r="AD177" s="231">
        <f t="shared" si="33"/>
        <v>0</v>
      </c>
      <c r="AE177" s="231">
        <f t="shared" si="34"/>
        <v>0</v>
      </c>
      <c r="AF177" s="231">
        <f t="shared" si="35"/>
        <v>0</v>
      </c>
      <c r="AG177" s="231">
        <f t="shared" si="36"/>
        <v>0</v>
      </c>
    </row>
    <row r="178" spans="1:33">
      <c r="A178" t="str">
        <f>IF(ABS(H178)&gt;0,基础信息!$B$1,"")</f>
        <v/>
      </c>
      <c r="S178" s="230">
        <f t="shared" si="28"/>
        <v>0</v>
      </c>
      <c r="Z178" s="231">
        <f t="shared" si="29"/>
        <v>0</v>
      </c>
      <c r="AA178" s="231">
        <f t="shared" si="30"/>
        <v>0</v>
      </c>
      <c r="AB178" s="231">
        <f t="shared" si="31"/>
        <v>0</v>
      </c>
      <c r="AC178" s="231">
        <f t="shared" si="32"/>
        <v>0</v>
      </c>
      <c r="AD178" s="231">
        <f t="shared" si="33"/>
        <v>0</v>
      </c>
      <c r="AE178" s="231">
        <f t="shared" si="34"/>
        <v>0</v>
      </c>
      <c r="AF178" s="231">
        <f t="shared" si="35"/>
        <v>0</v>
      </c>
      <c r="AG178" s="231">
        <f t="shared" si="36"/>
        <v>0</v>
      </c>
    </row>
    <row r="179" spans="1:33">
      <c r="A179" t="str">
        <f>IF(ABS(H179)&gt;0,基础信息!$B$1,"")</f>
        <v/>
      </c>
      <c r="S179" s="230">
        <f t="shared" si="28"/>
        <v>0</v>
      </c>
      <c r="Z179" s="231">
        <f t="shared" si="29"/>
        <v>0</v>
      </c>
      <c r="AA179" s="231">
        <f t="shared" si="30"/>
        <v>0</v>
      </c>
      <c r="AB179" s="231">
        <f t="shared" si="31"/>
        <v>0</v>
      </c>
      <c r="AC179" s="231">
        <f t="shared" si="32"/>
        <v>0</v>
      </c>
      <c r="AD179" s="231">
        <f t="shared" si="33"/>
        <v>0</v>
      </c>
      <c r="AE179" s="231">
        <f t="shared" si="34"/>
        <v>0</v>
      </c>
      <c r="AF179" s="231">
        <f t="shared" si="35"/>
        <v>0</v>
      </c>
      <c r="AG179" s="231">
        <f t="shared" si="36"/>
        <v>0</v>
      </c>
    </row>
    <row r="180" spans="1:33">
      <c r="A180" t="str">
        <f>IF(ABS(H180)&gt;0,基础信息!$B$1,"")</f>
        <v/>
      </c>
      <c r="S180" s="230">
        <f t="shared" si="28"/>
        <v>0</v>
      </c>
      <c r="Z180" s="231">
        <f t="shared" si="29"/>
        <v>0</v>
      </c>
      <c r="AA180" s="231">
        <f t="shared" si="30"/>
        <v>0</v>
      </c>
      <c r="AB180" s="231">
        <f t="shared" si="31"/>
        <v>0</v>
      </c>
      <c r="AC180" s="231">
        <f t="shared" si="32"/>
        <v>0</v>
      </c>
      <c r="AD180" s="231">
        <f t="shared" si="33"/>
        <v>0</v>
      </c>
      <c r="AE180" s="231">
        <f t="shared" si="34"/>
        <v>0</v>
      </c>
      <c r="AF180" s="231">
        <f t="shared" si="35"/>
        <v>0</v>
      </c>
      <c r="AG180" s="231">
        <f t="shared" si="36"/>
        <v>0</v>
      </c>
    </row>
    <row r="181" spans="1:33">
      <c r="A181" t="str">
        <f>IF(ABS(H181)&gt;0,基础信息!$B$1,"")</f>
        <v/>
      </c>
      <c r="S181" s="230">
        <f t="shared" si="28"/>
        <v>0</v>
      </c>
      <c r="Z181" s="231">
        <f t="shared" si="29"/>
        <v>0</v>
      </c>
      <c r="AA181" s="231">
        <f t="shared" si="30"/>
        <v>0</v>
      </c>
      <c r="AB181" s="231">
        <f t="shared" si="31"/>
        <v>0</v>
      </c>
      <c r="AC181" s="231">
        <f t="shared" si="32"/>
        <v>0</v>
      </c>
      <c r="AD181" s="231">
        <f t="shared" si="33"/>
        <v>0</v>
      </c>
      <c r="AE181" s="231">
        <f t="shared" si="34"/>
        <v>0</v>
      </c>
      <c r="AF181" s="231">
        <f t="shared" si="35"/>
        <v>0</v>
      </c>
      <c r="AG181" s="231">
        <f t="shared" si="36"/>
        <v>0</v>
      </c>
    </row>
    <row r="182" spans="1:33">
      <c r="A182" t="str">
        <f>IF(ABS(H182)&gt;0,基础信息!$B$1,"")</f>
        <v/>
      </c>
      <c r="S182" s="230">
        <f t="shared" si="28"/>
        <v>0</v>
      </c>
      <c r="Z182" s="231">
        <f t="shared" si="29"/>
        <v>0</v>
      </c>
      <c r="AA182" s="231">
        <f t="shared" si="30"/>
        <v>0</v>
      </c>
      <c r="AB182" s="231">
        <f t="shared" si="31"/>
        <v>0</v>
      </c>
      <c r="AC182" s="231">
        <f t="shared" si="32"/>
        <v>0</v>
      </c>
      <c r="AD182" s="231">
        <f t="shared" si="33"/>
        <v>0</v>
      </c>
      <c r="AE182" s="231">
        <f t="shared" si="34"/>
        <v>0</v>
      </c>
      <c r="AF182" s="231">
        <f t="shared" si="35"/>
        <v>0</v>
      </c>
      <c r="AG182" s="231">
        <f t="shared" si="36"/>
        <v>0</v>
      </c>
    </row>
    <row r="183" spans="1:33">
      <c r="A183" t="str">
        <f>IF(ABS(H183)&gt;0,基础信息!$B$1,"")</f>
        <v/>
      </c>
      <c r="S183" s="230">
        <f t="shared" si="28"/>
        <v>0</v>
      </c>
      <c r="Z183" s="231">
        <f t="shared" si="29"/>
        <v>0</v>
      </c>
      <c r="AA183" s="231">
        <f t="shared" si="30"/>
        <v>0</v>
      </c>
      <c r="AB183" s="231">
        <f t="shared" si="31"/>
        <v>0</v>
      </c>
      <c r="AC183" s="231">
        <f t="shared" si="32"/>
        <v>0</v>
      </c>
      <c r="AD183" s="231">
        <f t="shared" si="33"/>
        <v>0</v>
      </c>
      <c r="AE183" s="231">
        <f t="shared" si="34"/>
        <v>0</v>
      </c>
      <c r="AF183" s="231">
        <f t="shared" si="35"/>
        <v>0</v>
      </c>
      <c r="AG183" s="231">
        <f t="shared" si="36"/>
        <v>0</v>
      </c>
    </row>
    <row r="184" spans="1:33">
      <c r="A184" t="str">
        <f>IF(ABS(H184)&gt;0,基础信息!$B$1,"")</f>
        <v/>
      </c>
      <c r="S184" s="230">
        <f t="shared" si="28"/>
        <v>0</v>
      </c>
      <c r="Z184" s="231">
        <f t="shared" si="29"/>
        <v>0</v>
      </c>
      <c r="AA184" s="231">
        <f t="shared" si="30"/>
        <v>0</v>
      </c>
      <c r="AB184" s="231">
        <f t="shared" si="31"/>
        <v>0</v>
      </c>
      <c r="AC184" s="231">
        <f t="shared" si="32"/>
        <v>0</v>
      </c>
      <c r="AD184" s="231">
        <f t="shared" si="33"/>
        <v>0</v>
      </c>
      <c r="AE184" s="231">
        <f t="shared" si="34"/>
        <v>0</v>
      </c>
      <c r="AF184" s="231">
        <f t="shared" si="35"/>
        <v>0</v>
      </c>
      <c r="AG184" s="231">
        <f t="shared" si="36"/>
        <v>0</v>
      </c>
    </row>
    <row r="185" spans="1:33">
      <c r="A185" t="str">
        <f>IF(ABS(H185)&gt;0,基础信息!$B$1,"")</f>
        <v/>
      </c>
      <c r="S185" s="230">
        <f t="shared" si="28"/>
        <v>0</v>
      </c>
      <c r="Z185" s="231">
        <f t="shared" si="29"/>
        <v>0</v>
      </c>
      <c r="AA185" s="231">
        <f t="shared" si="30"/>
        <v>0</v>
      </c>
      <c r="AB185" s="231">
        <f t="shared" si="31"/>
        <v>0</v>
      </c>
      <c r="AC185" s="231">
        <f t="shared" si="32"/>
        <v>0</v>
      </c>
      <c r="AD185" s="231">
        <f t="shared" si="33"/>
        <v>0</v>
      </c>
      <c r="AE185" s="231">
        <f t="shared" si="34"/>
        <v>0</v>
      </c>
      <c r="AF185" s="231">
        <f t="shared" si="35"/>
        <v>0</v>
      </c>
      <c r="AG185" s="231">
        <f t="shared" si="36"/>
        <v>0</v>
      </c>
    </row>
    <row r="186" spans="1:33">
      <c r="A186" t="str">
        <f>IF(ABS(H186)&gt;0,基础信息!$B$1,"")</f>
        <v/>
      </c>
      <c r="S186" s="230">
        <f t="shared" si="28"/>
        <v>0</v>
      </c>
      <c r="Z186" s="231">
        <f t="shared" si="29"/>
        <v>0</v>
      </c>
      <c r="AA186" s="231">
        <f t="shared" si="30"/>
        <v>0</v>
      </c>
      <c r="AB186" s="231">
        <f t="shared" si="31"/>
        <v>0</v>
      </c>
      <c r="AC186" s="231">
        <f t="shared" si="32"/>
        <v>0</v>
      </c>
      <c r="AD186" s="231">
        <f t="shared" si="33"/>
        <v>0</v>
      </c>
      <c r="AE186" s="231">
        <f t="shared" si="34"/>
        <v>0</v>
      </c>
      <c r="AF186" s="231">
        <f t="shared" si="35"/>
        <v>0</v>
      </c>
      <c r="AG186" s="231">
        <f t="shared" si="36"/>
        <v>0</v>
      </c>
    </row>
    <row r="187" spans="1:33">
      <c r="A187" t="str">
        <f>IF(ABS(H187)&gt;0,基础信息!$B$1,"")</f>
        <v/>
      </c>
      <c r="S187" s="230">
        <f t="shared" si="28"/>
        <v>0</v>
      </c>
      <c r="Z187" s="231">
        <f t="shared" si="29"/>
        <v>0</v>
      </c>
      <c r="AA187" s="231">
        <f t="shared" si="30"/>
        <v>0</v>
      </c>
      <c r="AB187" s="231">
        <f t="shared" si="31"/>
        <v>0</v>
      </c>
      <c r="AC187" s="231">
        <f t="shared" si="32"/>
        <v>0</v>
      </c>
      <c r="AD187" s="231">
        <f t="shared" si="33"/>
        <v>0</v>
      </c>
      <c r="AE187" s="231">
        <f t="shared" si="34"/>
        <v>0</v>
      </c>
      <c r="AF187" s="231">
        <f t="shared" si="35"/>
        <v>0</v>
      </c>
      <c r="AG187" s="231">
        <f t="shared" si="36"/>
        <v>0</v>
      </c>
    </row>
    <row r="188" spans="1:33">
      <c r="A188" t="str">
        <f>IF(ABS(H188)&gt;0,基础信息!$B$1,"")</f>
        <v/>
      </c>
      <c r="S188" s="230">
        <f t="shared" si="28"/>
        <v>0</v>
      </c>
      <c r="Z188" s="231">
        <f t="shared" si="29"/>
        <v>0</v>
      </c>
      <c r="AA188" s="231">
        <f t="shared" si="30"/>
        <v>0</v>
      </c>
      <c r="AB188" s="231">
        <f t="shared" si="31"/>
        <v>0</v>
      </c>
      <c r="AC188" s="231">
        <f t="shared" si="32"/>
        <v>0</v>
      </c>
      <c r="AD188" s="231">
        <f t="shared" si="33"/>
        <v>0</v>
      </c>
      <c r="AE188" s="231">
        <f t="shared" si="34"/>
        <v>0</v>
      </c>
      <c r="AF188" s="231">
        <f t="shared" si="35"/>
        <v>0</v>
      </c>
      <c r="AG188" s="231">
        <f t="shared" si="36"/>
        <v>0</v>
      </c>
    </row>
    <row r="189" spans="1:33">
      <c r="A189" t="str">
        <f>IF(ABS(H189)&gt;0,基础信息!$B$1,"")</f>
        <v/>
      </c>
      <c r="S189" s="230">
        <f t="shared" si="28"/>
        <v>0</v>
      </c>
      <c r="Z189" s="231">
        <f t="shared" si="29"/>
        <v>0</v>
      </c>
      <c r="AA189" s="231">
        <f t="shared" si="30"/>
        <v>0</v>
      </c>
      <c r="AB189" s="231">
        <f t="shared" si="31"/>
        <v>0</v>
      </c>
      <c r="AC189" s="231">
        <f t="shared" si="32"/>
        <v>0</v>
      </c>
      <c r="AD189" s="231">
        <f t="shared" si="33"/>
        <v>0</v>
      </c>
      <c r="AE189" s="231">
        <f t="shared" si="34"/>
        <v>0</v>
      </c>
      <c r="AF189" s="231">
        <f t="shared" si="35"/>
        <v>0</v>
      </c>
      <c r="AG189" s="231">
        <f t="shared" si="36"/>
        <v>0</v>
      </c>
    </row>
    <row r="190" spans="1:33">
      <c r="A190" t="str">
        <f>IF(ABS(H190)&gt;0,基础信息!$B$1,"")</f>
        <v/>
      </c>
      <c r="S190" s="230">
        <f t="shared" si="28"/>
        <v>0</v>
      </c>
      <c r="Z190" s="231">
        <f t="shared" si="29"/>
        <v>0</v>
      </c>
      <c r="AA190" s="231">
        <f t="shared" si="30"/>
        <v>0</v>
      </c>
      <c r="AB190" s="231">
        <f t="shared" si="31"/>
        <v>0</v>
      </c>
      <c r="AC190" s="231">
        <f t="shared" si="32"/>
        <v>0</v>
      </c>
      <c r="AD190" s="231">
        <f t="shared" si="33"/>
        <v>0</v>
      </c>
      <c r="AE190" s="231">
        <f t="shared" si="34"/>
        <v>0</v>
      </c>
      <c r="AF190" s="231">
        <f t="shared" si="35"/>
        <v>0</v>
      </c>
      <c r="AG190" s="231">
        <f t="shared" si="36"/>
        <v>0</v>
      </c>
    </row>
    <row r="191" spans="1:33">
      <c r="A191" t="str">
        <f>IF(ABS(H191)&gt;0,基础信息!$B$1,"")</f>
        <v/>
      </c>
      <c r="S191" s="230">
        <f t="shared" si="28"/>
        <v>0</v>
      </c>
      <c r="Z191" s="231">
        <f t="shared" si="29"/>
        <v>0</v>
      </c>
      <c r="AA191" s="231">
        <f t="shared" si="30"/>
        <v>0</v>
      </c>
      <c r="AB191" s="231">
        <f t="shared" si="31"/>
        <v>0</v>
      </c>
      <c r="AC191" s="231">
        <f t="shared" si="32"/>
        <v>0</v>
      </c>
      <c r="AD191" s="231">
        <f t="shared" si="33"/>
        <v>0</v>
      </c>
      <c r="AE191" s="231">
        <f t="shared" si="34"/>
        <v>0</v>
      </c>
      <c r="AF191" s="231">
        <f t="shared" si="35"/>
        <v>0</v>
      </c>
      <c r="AG191" s="231">
        <f t="shared" si="36"/>
        <v>0</v>
      </c>
    </row>
    <row r="192" spans="1:33">
      <c r="A192" t="str">
        <f>IF(ABS(H192)&gt;0,基础信息!$B$1,"")</f>
        <v/>
      </c>
      <c r="S192" s="230">
        <f t="shared" si="28"/>
        <v>0</v>
      </c>
      <c r="Z192" s="231">
        <f t="shared" si="29"/>
        <v>0</v>
      </c>
      <c r="AA192" s="231">
        <f t="shared" si="30"/>
        <v>0</v>
      </c>
      <c r="AB192" s="231">
        <f t="shared" si="31"/>
        <v>0</v>
      </c>
      <c r="AC192" s="231">
        <f t="shared" si="32"/>
        <v>0</v>
      </c>
      <c r="AD192" s="231">
        <f t="shared" si="33"/>
        <v>0</v>
      </c>
      <c r="AE192" s="231">
        <f t="shared" si="34"/>
        <v>0</v>
      </c>
      <c r="AF192" s="231">
        <f t="shared" si="35"/>
        <v>0</v>
      </c>
      <c r="AG192" s="231">
        <f t="shared" si="36"/>
        <v>0</v>
      </c>
    </row>
    <row r="193" spans="1:33">
      <c r="A193" t="str">
        <f>IF(ABS(H193)&gt;0,基础信息!$B$1,"")</f>
        <v/>
      </c>
      <c r="S193" s="230">
        <f t="shared" si="28"/>
        <v>0</v>
      </c>
      <c r="Z193" s="231">
        <f t="shared" si="29"/>
        <v>0</v>
      </c>
      <c r="AA193" s="231">
        <f t="shared" si="30"/>
        <v>0</v>
      </c>
      <c r="AB193" s="231">
        <f t="shared" si="31"/>
        <v>0</v>
      </c>
      <c r="AC193" s="231">
        <f t="shared" si="32"/>
        <v>0</v>
      </c>
      <c r="AD193" s="231">
        <f t="shared" si="33"/>
        <v>0</v>
      </c>
      <c r="AE193" s="231">
        <f t="shared" si="34"/>
        <v>0</v>
      </c>
      <c r="AF193" s="231">
        <f t="shared" si="35"/>
        <v>0</v>
      </c>
      <c r="AG193" s="231">
        <f t="shared" si="36"/>
        <v>0</v>
      </c>
    </row>
    <row r="194" spans="1:33">
      <c r="A194" t="str">
        <f>IF(ABS(H194)&gt;0,基础信息!$B$1,"")</f>
        <v/>
      </c>
      <c r="S194" s="230">
        <f t="shared" si="28"/>
        <v>0</v>
      </c>
      <c r="Z194" s="231">
        <f t="shared" si="29"/>
        <v>0</v>
      </c>
      <c r="AA194" s="231">
        <f t="shared" si="30"/>
        <v>0</v>
      </c>
      <c r="AB194" s="231">
        <f t="shared" si="31"/>
        <v>0</v>
      </c>
      <c r="AC194" s="231">
        <f t="shared" si="32"/>
        <v>0</v>
      </c>
      <c r="AD194" s="231">
        <f t="shared" si="33"/>
        <v>0</v>
      </c>
      <c r="AE194" s="231">
        <f t="shared" si="34"/>
        <v>0</v>
      </c>
      <c r="AF194" s="231">
        <f t="shared" si="35"/>
        <v>0</v>
      </c>
      <c r="AG194" s="231">
        <f t="shared" si="36"/>
        <v>0</v>
      </c>
    </row>
    <row r="195" spans="1:33">
      <c r="A195" t="str">
        <f>IF(ABS(H195)&gt;0,基础信息!$B$1,"")</f>
        <v/>
      </c>
      <c r="S195" s="230">
        <f t="shared" si="28"/>
        <v>0</v>
      </c>
      <c r="Z195" s="231">
        <f t="shared" si="29"/>
        <v>0</v>
      </c>
      <c r="AA195" s="231">
        <f t="shared" si="30"/>
        <v>0</v>
      </c>
      <c r="AB195" s="231">
        <f t="shared" si="31"/>
        <v>0</v>
      </c>
      <c r="AC195" s="231">
        <f t="shared" si="32"/>
        <v>0</v>
      </c>
      <c r="AD195" s="231">
        <f t="shared" si="33"/>
        <v>0</v>
      </c>
      <c r="AE195" s="231">
        <f t="shared" si="34"/>
        <v>0</v>
      </c>
      <c r="AF195" s="231">
        <f t="shared" si="35"/>
        <v>0</v>
      </c>
      <c r="AG195" s="231">
        <f t="shared" si="36"/>
        <v>0</v>
      </c>
    </row>
    <row r="196" spans="1:33">
      <c r="A196" t="str">
        <f>IF(ABS(H196)&gt;0,基础信息!$B$1,"")</f>
        <v/>
      </c>
      <c r="S196" s="230">
        <f t="shared" si="28"/>
        <v>0</v>
      </c>
      <c r="Z196" s="231">
        <f t="shared" si="29"/>
        <v>0</v>
      </c>
      <c r="AA196" s="231">
        <f t="shared" si="30"/>
        <v>0</v>
      </c>
      <c r="AB196" s="231">
        <f t="shared" si="31"/>
        <v>0</v>
      </c>
      <c r="AC196" s="231">
        <f t="shared" si="32"/>
        <v>0</v>
      </c>
      <c r="AD196" s="231">
        <f t="shared" si="33"/>
        <v>0</v>
      </c>
      <c r="AE196" s="231">
        <f t="shared" si="34"/>
        <v>0</v>
      </c>
      <c r="AF196" s="231">
        <f t="shared" si="35"/>
        <v>0</v>
      </c>
      <c r="AG196" s="231">
        <f t="shared" si="36"/>
        <v>0</v>
      </c>
    </row>
    <row r="197" spans="1:33">
      <c r="A197" t="str">
        <f>IF(ABS(H197)&gt;0,基础信息!$B$1,"")</f>
        <v/>
      </c>
      <c r="S197" s="230">
        <f t="shared" si="28"/>
        <v>0</v>
      </c>
      <c r="Z197" s="231">
        <f t="shared" si="29"/>
        <v>0</v>
      </c>
      <c r="AA197" s="231">
        <f t="shared" si="30"/>
        <v>0</v>
      </c>
      <c r="AB197" s="231">
        <f t="shared" si="31"/>
        <v>0</v>
      </c>
      <c r="AC197" s="231">
        <f t="shared" si="32"/>
        <v>0</v>
      </c>
      <c r="AD197" s="231">
        <f t="shared" si="33"/>
        <v>0</v>
      </c>
      <c r="AE197" s="231">
        <f t="shared" si="34"/>
        <v>0</v>
      </c>
      <c r="AF197" s="231">
        <f t="shared" si="35"/>
        <v>0</v>
      </c>
      <c r="AG197" s="231">
        <f t="shared" si="36"/>
        <v>0</v>
      </c>
    </row>
    <row r="198" spans="1:33">
      <c r="A198" t="str">
        <f>IF(ABS(H198)&gt;0,基础信息!$B$1,"")</f>
        <v/>
      </c>
      <c r="S198" s="230">
        <f t="shared" si="28"/>
        <v>0</v>
      </c>
      <c r="Z198" s="231">
        <f t="shared" si="29"/>
        <v>0</v>
      </c>
      <c r="AA198" s="231">
        <f t="shared" si="30"/>
        <v>0</v>
      </c>
      <c r="AB198" s="231">
        <f t="shared" si="31"/>
        <v>0</v>
      </c>
      <c r="AC198" s="231">
        <f t="shared" si="32"/>
        <v>0</v>
      </c>
      <c r="AD198" s="231">
        <f t="shared" si="33"/>
        <v>0</v>
      </c>
      <c r="AE198" s="231">
        <f t="shared" si="34"/>
        <v>0</v>
      </c>
      <c r="AF198" s="231">
        <f t="shared" si="35"/>
        <v>0</v>
      </c>
      <c r="AG198" s="231">
        <f t="shared" si="36"/>
        <v>0</v>
      </c>
    </row>
    <row r="199" spans="1:33">
      <c r="A199" t="str">
        <f>IF(ABS(H199)&gt;0,基础信息!$B$1,"")</f>
        <v/>
      </c>
      <c r="S199" s="230">
        <f t="shared" si="28"/>
        <v>0</v>
      </c>
      <c r="Z199" s="231">
        <f t="shared" si="29"/>
        <v>0</v>
      </c>
      <c r="AA199" s="231">
        <f t="shared" si="30"/>
        <v>0</v>
      </c>
      <c r="AB199" s="231">
        <f t="shared" si="31"/>
        <v>0</v>
      </c>
      <c r="AC199" s="231">
        <f t="shared" si="32"/>
        <v>0</v>
      </c>
      <c r="AD199" s="231">
        <f t="shared" si="33"/>
        <v>0</v>
      </c>
      <c r="AE199" s="231">
        <f t="shared" si="34"/>
        <v>0</v>
      </c>
      <c r="AF199" s="231">
        <f t="shared" si="35"/>
        <v>0</v>
      </c>
      <c r="AG199" s="231">
        <f t="shared" si="36"/>
        <v>0</v>
      </c>
    </row>
    <row r="200" spans="1:33">
      <c r="A200" t="str">
        <f>IF(ABS(H200)&gt;0,基础信息!$B$1,"")</f>
        <v/>
      </c>
      <c r="S200" s="230">
        <f t="shared" si="28"/>
        <v>0</v>
      </c>
      <c r="Z200" s="231">
        <f t="shared" si="29"/>
        <v>0</v>
      </c>
      <c r="AA200" s="231">
        <f t="shared" si="30"/>
        <v>0</v>
      </c>
      <c r="AB200" s="231">
        <f t="shared" si="31"/>
        <v>0</v>
      </c>
      <c r="AC200" s="231">
        <f t="shared" si="32"/>
        <v>0</v>
      </c>
      <c r="AD200" s="231">
        <f t="shared" si="33"/>
        <v>0</v>
      </c>
      <c r="AE200" s="231">
        <f t="shared" si="34"/>
        <v>0</v>
      </c>
      <c r="AF200" s="231">
        <f t="shared" si="35"/>
        <v>0</v>
      </c>
      <c r="AG200" s="231">
        <f t="shared" si="36"/>
        <v>0</v>
      </c>
    </row>
    <row r="201" spans="1:33">
      <c r="A201" t="str">
        <f>IF(ABS(H201)&gt;0,基础信息!$B$1,"")</f>
        <v/>
      </c>
      <c r="S201" s="230">
        <f t="shared" si="28"/>
        <v>0</v>
      </c>
      <c r="Z201" s="231">
        <f t="shared" si="29"/>
        <v>0</v>
      </c>
      <c r="AA201" s="231">
        <f t="shared" si="30"/>
        <v>0</v>
      </c>
      <c r="AB201" s="231">
        <f t="shared" si="31"/>
        <v>0</v>
      </c>
      <c r="AC201" s="231">
        <f t="shared" si="32"/>
        <v>0</v>
      </c>
      <c r="AD201" s="231">
        <f t="shared" si="33"/>
        <v>0</v>
      </c>
      <c r="AE201" s="231">
        <f t="shared" si="34"/>
        <v>0</v>
      </c>
      <c r="AF201" s="231">
        <f t="shared" si="35"/>
        <v>0</v>
      </c>
      <c r="AG201" s="231">
        <f t="shared" si="36"/>
        <v>0</v>
      </c>
    </row>
    <row r="202" spans="1:33">
      <c r="A202" t="str">
        <f>IF(ABS(H202)&gt;0,基础信息!$B$1,"")</f>
        <v/>
      </c>
      <c r="S202" s="230">
        <f t="shared" si="28"/>
        <v>0</v>
      </c>
      <c r="Z202" s="231">
        <f t="shared" si="29"/>
        <v>0</v>
      </c>
      <c r="AA202" s="231">
        <f t="shared" si="30"/>
        <v>0</v>
      </c>
      <c r="AB202" s="231">
        <f t="shared" si="31"/>
        <v>0</v>
      </c>
      <c r="AC202" s="231">
        <f t="shared" si="32"/>
        <v>0</v>
      </c>
      <c r="AD202" s="231">
        <f t="shared" si="33"/>
        <v>0</v>
      </c>
      <c r="AE202" s="231">
        <f t="shared" si="34"/>
        <v>0</v>
      </c>
      <c r="AF202" s="231">
        <f t="shared" si="35"/>
        <v>0</v>
      </c>
      <c r="AG202" s="231">
        <f t="shared" si="36"/>
        <v>0</v>
      </c>
    </row>
    <row r="203" spans="1:33">
      <c r="A203" t="str">
        <f>IF(ABS(H203)&gt;0,基础信息!$B$1,"")</f>
        <v/>
      </c>
      <c r="S203" s="230">
        <f t="shared" si="28"/>
        <v>0</v>
      </c>
      <c r="Z203" s="231">
        <f t="shared" si="29"/>
        <v>0</v>
      </c>
      <c r="AA203" s="231">
        <f t="shared" si="30"/>
        <v>0</v>
      </c>
      <c r="AB203" s="231">
        <f t="shared" si="31"/>
        <v>0</v>
      </c>
      <c r="AC203" s="231">
        <f t="shared" si="32"/>
        <v>0</v>
      </c>
      <c r="AD203" s="231">
        <f t="shared" si="33"/>
        <v>0</v>
      </c>
      <c r="AE203" s="231">
        <f t="shared" si="34"/>
        <v>0</v>
      </c>
      <c r="AF203" s="231">
        <f t="shared" si="35"/>
        <v>0</v>
      </c>
      <c r="AG203" s="231">
        <f t="shared" si="36"/>
        <v>0</v>
      </c>
    </row>
    <row r="204" spans="1:33">
      <c r="A204" t="str">
        <f>IF(ABS(H204)&gt;0,基础信息!$B$1,"")</f>
        <v/>
      </c>
      <c r="S204" s="230">
        <f t="shared" si="28"/>
        <v>0</v>
      </c>
      <c r="Z204" s="231">
        <f t="shared" si="29"/>
        <v>0</v>
      </c>
      <c r="AA204" s="231">
        <f t="shared" si="30"/>
        <v>0</v>
      </c>
      <c r="AB204" s="231">
        <f t="shared" si="31"/>
        <v>0</v>
      </c>
      <c r="AC204" s="231">
        <f t="shared" si="32"/>
        <v>0</v>
      </c>
      <c r="AD204" s="231">
        <f t="shared" si="33"/>
        <v>0</v>
      </c>
      <c r="AE204" s="231">
        <f t="shared" si="34"/>
        <v>0</v>
      </c>
      <c r="AF204" s="231">
        <f t="shared" si="35"/>
        <v>0</v>
      </c>
      <c r="AG204" s="231">
        <f t="shared" si="36"/>
        <v>0</v>
      </c>
    </row>
    <row r="205" spans="1:33">
      <c r="A205" t="str">
        <f>IF(ABS(H205)&gt;0,基础信息!$B$1,"")</f>
        <v/>
      </c>
      <c r="S205" s="230">
        <f t="shared" si="28"/>
        <v>0</v>
      </c>
      <c r="Z205" s="231">
        <f t="shared" si="29"/>
        <v>0</v>
      </c>
      <c r="AA205" s="231">
        <f t="shared" si="30"/>
        <v>0</v>
      </c>
      <c r="AB205" s="231">
        <f t="shared" si="31"/>
        <v>0</v>
      </c>
      <c r="AC205" s="231">
        <f t="shared" si="32"/>
        <v>0</v>
      </c>
      <c r="AD205" s="231">
        <f t="shared" si="33"/>
        <v>0</v>
      </c>
      <c r="AE205" s="231">
        <f t="shared" si="34"/>
        <v>0</v>
      </c>
      <c r="AF205" s="231">
        <f t="shared" si="35"/>
        <v>0</v>
      </c>
      <c r="AG205" s="231">
        <f t="shared" si="36"/>
        <v>0</v>
      </c>
    </row>
    <row r="206" spans="1:33">
      <c r="A206" t="str">
        <f>IF(ABS(H206)&gt;0,基础信息!$B$1,"")</f>
        <v/>
      </c>
      <c r="S206" s="230">
        <f t="shared" si="28"/>
        <v>0</v>
      </c>
      <c r="Z206" s="231">
        <f t="shared" si="29"/>
        <v>0</v>
      </c>
      <c r="AA206" s="231">
        <f t="shared" si="30"/>
        <v>0</v>
      </c>
      <c r="AB206" s="231">
        <f t="shared" si="31"/>
        <v>0</v>
      </c>
      <c r="AC206" s="231">
        <f t="shared" si="32"/>
        <v>0</v>
      </c>
      <c r="AD206" s="231">
        <f t="shared" si="33"/>
        <v>0</v>
      </c>
      <c r="AE206" s="231">
        <f t="shared" si="34"/>
        <v>0</v>
      </c>
      <c r="AF206" s="231">
        <f t="shared" si="35"/>
        <v>0</v>
      </c>
      <c r="AG206" s="231">
        <f t="shared" si="36"/>
        <v>0</v>
      </c>
    </row>
    <row r="207" spans="1:33">
      <c r="A207" t="str">
        <f>IF(ABS(H207)&gt;0,基础信息!$B$1,"")</f>
        <v/>
      </c>
      <c r="S207" s="230">
        <f t="shared" si="28"/>
        <v>0</v>
      </c>
      <c r="Z207" s="231">
        <f t="shared" si="29"/>
        <v>0</v>
      </c>
      <c r="AA207" s="231">
        <f t="shared" si="30"/>
        <v>0</v>
      </c>
      <c r="AB207" s="231">
        <f t="shared" si="31"/>
        <v>0</v>
      </c>
      <c r="AC207" s="231">
        <f t="shared" si="32"/>
        <v>0</v>
      </c>
      <c r="AD207" s="231">
        <f t="shared" si="33"/>
        <v>0</v>
      </c>
      <c r="AE207" s="231">
        <f t="shared" si="34"/>
        <v>0</v>
      </c>
      <c r="AF207" s="231">
        <f t="shared" si="35"/>
        <v>0</v>
      </c>
      <c r="AG207" s="231">
        <f t="shared" si="36"/>
        <v>0</v>
      </c>
    </row>
    <row r="208" spans="1:33">
      <c r="A208" t="str">
        <f>IF(ABS(H208)&gt;0,基础信息!$B$1,"")</f>
        <v/>
      </c>
      <c r="S208" s="230">
        <f t="shared" si="28"/>
        <v>0</v>
      </c>
      <c r="Z208" s="231">
        <f t="shared" si="29"/>
        <v>0</v>
      </c>
      <c r="AA208" s="231">
        <f t="shared" si="30"/>
        <v>0</v>
      </c>
      <c r="AB208" s="231">
        <f t="shared" si="31"/>
        <v>0</v>
      </c>
      <c r="AC208" s="231">
        <f t="shared" si="32"/>
        <v>0</v>
      </c>
      <c r="AD208" s="231">
        <f t="shared" si="33"/>
        <v>0</v>
      </c>
      <c r="AE208" s="231">
        <f t="shared" si="34"/>
        <v>0</v>
      </c>
      <c r="AF208" s="231">
        <f t="shared" si="35"/>
        <v>0</v>
      </c>
      <c r="AG208" s="231">
        <f t="shared" si="36"/>
        <v>0</v>
      </c>
    </row>
    <row r="209" spans="1:33">
      <c r="A209" t="str">
        <f>IF(ABS(H209)&gt;0,基础信息!$B$1,"")</f>
        <v/>
      </c>
      <c r="S209" s="230">
        <f t="shared" si="28"/>
        <v>0</v>
      </c>
      <c r="Z209" s="231">
        <f t="shared" si="29"/>
        <v>0</v>
      </c>
      <c r="AA209" s="231">
        <f t="shared" si="30"/>
        <v>0</v>
      </c>
      <c r="AB209" s="231">
        <f t="shared" si="31"/>
        <v>0</v>
      </c>
      <c r="AC209" s="231">
        <f t="shared" si="32"/>
        <v>0</v>
      </c>
      <c r="AD209" s="231">
        <f t="shared" si="33"/>
        <v>0</v>
      </c>
      <c r="AE209" s="231">
        <f t="shared" si="34"/>
        <v>0</v>
      </c>
      <c r="AF209" s="231">
        <f t="shared" si="35"/>
        <v>0</v>
      </c>
      <c r="AG209" s="231">
        <f t="shared" si="36"/>
        <v>0</v>
      </c>
    </row>
    <row r="210" spans="1:33">
      <c r="A210" t="str">
        <f>IF(ABS(H210)&gt;0,基础信息!$B$1,"")</f>
        <v/>
      </c>
      <c r="S210" s="230">
        <f t="shared" si="28"/>
        <v>0</v>
      </c>
      <c r="Z210" s="231">
        <f t="shared" si="29"/>
        <v>0</v>
      </c>
      <c r="AA210" s="231">
        <f t="shared" si="30"/>
        <v>0</v>
      </c>
      <c r="AB210" s="231">
        <f t="shared" si="31"/>
        <v>0</v>
      </c>
      <c r="AC210" s="231">
        <f t="shared" si="32"/>
        <v>0</v>
      </c>
      <c r="AD210" s="231">
        <f t="shared" si="33"/>
        <v>0</v>
      </c>
      <c r="AE210" s="231">
        <f t="shared" si="34"/>
        <v>0</v>
      </c>
      <c r="AF210" s="231">
        <f t="shared" si="35"/>
        <v>0</v>
      </c>
      <c r="AG210" s="231">
        <f t="shared" si="36"/>
        <v>0</v>
      </c>
    </row>
    <row r="211" spans="1:33">
      <c r="A211" t="str">
        <f>IF(ABS(H211)&gt;0,基础信息!$B$1,"")</f>
        <v/>
      </c>
      <c r="S211" s="230">
        <f t="shared" si="28"/>
        <v>0</v>
      </c>
      <c r="Z211" s="231">
        <f t="shared" si="29"/>
        <v>0</v>
      </c>
      <c r="AA211" s="231">
        <f t="shared" si="30"/>
        <v>0</v>
      </c>
      <c r="AB211" s="231">
        <f t="shared" si="31"/>
        <v>0</v>
      </c>
      <c r="AC211" s="231">
        <f t="shared" si="32"/>
        <v>0</v>
      </c>
      <c r="AD211" s="231">
        <f t="shared" si="33"/>
        <v>0</v>
      </c>
      <c r="AE211" s="231">
        <f t="shared" si="34"/>
        <v>0</v>
      </c>
      <c r="AF211" s="231">
        <f t="shared" si="35"/>
        <v>0</v>
      </c>
      <c r="AG211" s="231">
        <f t="shared" si="36"/>
        <v>0</v>
      </c>
    </row>
    <row r="212" spans="1:33">
      <c r="A212" t="str">
        <f>IF(ABS(H212)&gt;0,基础信息!$B$1,"")</f>
        <v/>
      </c>
      <c r="S212" s="230">
        <f t="shared" si="28"/>
        <v>0</v>
      </c>
      <c r="Z212" s="231">
        <f t="shared" si="29"/>
        <v>0</v>
      </c>
      <c r="AA212" s="231">
        <f t="shared" si="30"/>
        <v>0</v>
      </c>
      <c r="AB212" s="231">
        <f t="shared" si="31"/>
        <v>0</v>
      </c>
      <c r="AC212" s="231">
        <f t="shared" si="32"/>
        <v>0</v>
      </c>
      <c r="AD212" s="231">
        <f t="shared" si="33"/>
        <v>0</v>
      </c>
      <c r="AE212" s="231">
        <f t="shared" si="34"/>
        <v>0</v>
      </c>
      <c r="AF212" s="231">
        <f t="shared" si="35"/>
        <v>0</v>
      </c>
      <c r="AG212" s="231">
        <f t="shared" si="36"/>
        <v>0</v>
      </c>
    </row>
    <row r="213" spans="1:33">
      <c r="A213" t="str">
        <f>IF(ABS(H213)&gt;0,基础信息!$B$1,"")</f>
        <v/>
      </c>
      <c r="S213" s="230">
        <f t="shared" ref="S213:S276" si="37">O213+P213-Q213-R213</f>
        <v>0</v>
      </c>
      <c r="Z213" s="231">
        <f t="shared" ref="Z213:Z276" si="38">H213-S213</f>
        <v>0</v>
      </c>
      <c r="AA213" s="231">
        <f t="shared" ref="AA213:AA276" si="39">I213-T213</f>
        <v>0</v>
      </c>
      <c r="AB213" s="231">
        <f t="shared" ref="AB213:AB276" si="40">J213-U213</f>
        <v>0</v>
      </c>
      <c r="AC213" s="231">
        <f t="shared" ref="AC213:AC276" si="41">K213-V213</f>
        <v>0</v>
      </c>
      <c r="AD213" s="231">
        <f t="shared" ref="AD213:AD276" si="42">L213-W213</f>
        <v>0</v>
      </c>
      <c r="AE213" s="231">
        <f t="shared" ref="AE213:AE276" si="43">M213-X213</f>
        <v>0</v>
      </c>
      <c r="AF213" s="231">
        <f t="shared" ref="AF213:AF276" si="44">N213-Y213</f>
        <v>0</v>
      </c>
      <c r="AG213" s="231">
        <f t="shared" ref="AG213:AG276" si="45">S213-SUM(T213:Y213)</f>
        <v>0</v>
      </c>
    </row>
    <row r="214" spans="1:33">
      <c r="A214" t="str">
        <f>IF(ABS(H214)&gt;0,基础信息!$B$1,"")</f>
        <v/>
      </c>
      <c r="S214" s="230">
        <f t="shared" si="37"/>
        <v>0</v>
      </c>
      <c r="Z214" s="231">
        <f t="shared" si="38"/>
        <v>0</v>
      </c>
      <c r="AA214" s="231">
        <f t="shared" si="39"/>
        <v>0</v>
      </c>
      <c r="AB214" s="231">
        <f t="shared" si="40"/>
        <v>0</v>
      </c>
      <c r="AC214" s="231">
        <f t="shared" si="41"/>
        <v>0</v>
      </c>
      <c r="AD214" s="231">
        <f t="shared" si="42"/>
        <v>0</v>
      </c>
      <c r="AE214" s="231">
        <f t="shared" si="43"/>
        <v>0</v>
      </c>
      <c r="AF214" s="231">
        <f t="shared" si="44"/>
        <v>0</v>
      </c>
      <c r="AG214" s="231">
        <f t="shared" si="45"/>
        <v>0</v>
      </c>
    </row>
    <row r="215" spans="1:33">
      <c r="A215" t="str">
        <f>IF(ABS(H215)&gt;0,基础信息!$B$1,"")</f>
        <v/>
      </c>
      <c r="S215" s="230">
        <f t="shared" si="37"/>
        <v>0</v>
      </c>
      <c r="Z215" s="231">
        <f t="shared" si="38"/>
        <v>0</v>
      </c>
      <c r="AA215" s="231">
        <f t="shared" si="39"/>
        <v>0</v>
      </c>
      <c r="AB215" s="231">
        <f t="shared" si="40"/>
        <v>0</v>
      </c>
      <c r="AC215" s="231">
        <f t="shared" si="41"/>
        <v>0</v>
      </c>
      <c r="AD215" s="231">
        <f t="shared" si="42"/>
        <v>0</v>
      </c>
      <c r="AE215" s="231">
        <f t="shared" si="43"/>
        <v>0</v>
      </c>
      <c r="AF215" s="231">
        <f t="shared" si="44"/>
        <v>0</v>
      </c>
      <c r="AG215" s="231">
        <f t="shared" si="45"/>
        <v>0</v>
      </c>
    </row>
    <row r="216" spans="1:33">
      <c r="A216" t="str">
        <f>IF(ABS(H216)&gt;0,基础信息!$B$1,"")</f>
        <v/>
      </c>
      <c r="S216" s="230">
        <f t="shared" si="37"/>
        <v>0</v>
      </c>
      <c r="Z216" s="231">
        <f t="shared" si="38"/>
        <v>0</v>
      </c>
      <c r="AA216" s="231">
        <f t="shared" si="39"/>
        <v>0</v>
      </c>
      <c r="AB216" s="231">
        <f t="shared" si="40"/>
        <v>0</v>
      </c>
      <c r="AC216" s="231">
        <f t="shared" si="41"/>
        <v>0</v>
      </c>
      <c r="AD216" s="231">
        <f t="shared" si="42"/>
        <v>0</v>
      </c>
      <c r="AE216" s="231">
        <f t="shared" si="43"/>
        <v>0</v>
      </c>
      <c r="AF216" s="231">
        <f t="shared" si="44"/>
        <v>0</v>
      </c>
      <c r="AG216" s="231">
        <f t="shared" si="45"/>
        <v>0</v>
      </c>
    </row>
    <row r="217" spans="1:33">
      <c r="A217" t="str">
        <f>IF(ABS(H217)&gt;0,基础信息!$B$1,"")</f>
        <v/>
      </c>
      <c r="S217" s="230">
        <f t="shared" si="37"/>
        <v>0</v>
      </c>
      <c r="Z217" s="231">
        <f t="shared" si="38"/>
        <v>0</v>
      </c>
      <c r="AA217" s="231">
        <f t="shared" si="39"/>
        <v>0</v>
      </c>
      <c r="AB217" s="231">
        <f t="shared" si="40"/>
        <v>0</v>
      </c>
      <c r="AC217" s="231">
        <f t="shared" si="41"/>
        <v>0</v>
      </c>
      <c r="AD217" s="231">
        <f t="shared" si="42"/>
        <v>0</v>
      </c>
      <c r="AE217" s="231">
        <f t="shared" si="43"/>
        <v>0</v>
      </c>
      <c r="AF217" s="231">
        <f t="shared" si="44"/>
        <v>0</v>
      </c>
      <c r="AG217" s="231">
        <f t="shared" si="45"/>
        <v>0</v>
      </c>
    </row>
    <row r="218" spans="1:33">
      <c r="A218" t="str">
        <f>IF(ABS(H218)&gt;0,基础信息!$B$1,"")</f>
        <v/>
      </c>
      <c r="S218" s="230">
        <f t="shared" si="37"/>
        <v>0</v>
      </c>
      <c r="Z218" s="231">
        <f t="shared" si="38"/>
        <v>0</v>
      </c>
      <c r="AA218" s="231">
        <f t="shared" si="39"/>
        <v>0</v>
      </c>
      <c r="AB218" s="231">
        <f t="shared" si="40"/>
        <v>0</v>
      </c>
      <c r="AC218" s="231">
        <f t="shared" si="41"/>
        <v>0</v>
      </c>
      <c r="AD218" s="231">
        <f t="shared" si="42"/>
        <v>0</v>
      </c>
      <c r="AE218" s="231">
        <f t="shared" si="43"/>
        <v>0</v>
      </c>
      <c r="AF218" s="231">
        <f t="shared" si="44"/>
        <v>0</v>
      </c>
      <c r="AG218" s="231">
        <f t="shared" si="45"/>
        <v>0</v>
      </c>
    </row>
    <row r="219" spans="1:33">
      <c r="A219" t="str">
        <f>IF(ABS(H219)&gt;0,基础信息!$B$1,"")</f>
        <v/>
      </c>
      <c r="S219" s="230">
        <f t="shared" si="37"/>
        <v>0</v>
      </c>
      <c r="Z219" s="231">
        <f t="shared" si="38"/>
        <v>0</v>
      </c>
      <c r="AA219" s="231">
        <f t="shared" si="39"/>
        <v>0</v>
      </c>
      <c r="AB219" s="231">
        <f t="shared" si="40"/>
        <v>0</v>
      </c>
      <c r="AC219" s="231">
        <f t="shared" si="41"/>
        <v>0</v>
      </c>
      <c r="AD219" s="231">
        <f t="shared" si="42"/>
        <v>0</v>
      </c>
      <c r="AE219" s="231">
        <f t="shared" si="43"/>
        <v>0</v>
      </c>
      <c r="AF219" s="231">
        <f t="shared" si="44"/>
        <v>0</v>
      </c>
      <c r="AG219" s="231">
        <f t="shared" si="45"/>
        <v>0</v>
      </c>
    </row>
    <row r="220" spans="1:33">
      <c r="A220" t="str">
        <f>IF(ABS(H220)&gt;0,基础信息!$B$1,"")</f>
        <v/>
      </c>
      <c r="S220" s="230">
        <f t="shared" si="37"/>
        <v>0</v>
      </c>
      <c r="Z220" s="231">
        <f t="shared" si="38"/>
        <v>0</v>
      </c>
      <c r="AA220" s="231">
        <f t="shared" si="39"/>
        <v>0</v>
      </c>
      <c r="AB220" s="231">
        <f t="shared" si="40"/>
        <v>0</v>
      </c>
      <c r="AC220" s="231">
        <f t="shared" si="41"/>
        <v>0</v>
      </c>
      <c r="AD220" s="231">
        <f t="shared" si="42"/>
        <v>0</v>
      </c>
      <c r="AE220" s="231">
        <f t="shared" si="43"/>
        <v>0</v>
      </c>
      <c r="AF220" s="231">
        <f t="shared" si="44"/>
        <v>0</v>
      </c>
      <c r="AG220" s="231">
        <f t="shared" si="45"/>
        <v>0</v>
      </c>
    </row>
    <row r="221" spans="1:33">
      <c r="A221" t="str">
        <f>IF(ABS(H221)&gt;0,基础信息!$B$1,"")</f>
        <v/>
      </c>
      <c r="S221" s="230">
        <f t="shared" si="37"/>
        <v>0</v>
      </c>
      <c r="Z221" s="231">
        <f t="shared" si="38"/>
        <v>0</v>
      </c>
      <c r="AA221" s="231">
        <f t="shared" si="39"/>
        <v>0</v>
      </c>
      <c r="AB221" s="231">
        <f t="shared" si="40"/>
        <v>0</v>
      </c>
      <c r="AC221" s="231">
        <f t="shared" si="41"/>
        <v>0</v>
      </c>
      <c r="AD221" s="231">
        <f t="shared" si="42"/>
        <v>0</v>
      </c>
      <c r="AE221" s="231">
        <f t="shared" si="43"/>
        <v>0</v>
      </c>
      <c r="AF221" s="231">
        <f t="shared" si="44"/>
        <v>0</v>
      </c>
      <c r="AG221" s="231">
        <f t="shared" si="45"/>
        <v>0</v>
      </c>
    </row>
    <row r="222" spans="1:33">
      <c r="A222" t="str">
        <f>IF(ABS(H222)&gt;0,基础信息!$B$1,"")</f>
        <v/>
      </c>
      <c r="S222" s="230">
        <f t="shared" si="37"/>
        <v>0</v>
      </c>
      <c r="Z222" s="231">
        <f t="shared" si="38"/>
        <v>0</v>
      </c>
      <c r="AA222" s="231">
        <f t="shared" si="39"/>
        <v>0</v>
      </c>
      <c r="AB222" s="231">
        <f t="shared" si="40"/>
        <v>0</v>
      </c>
      <c r="AC222" s="231">
        <f t="shared" si="41"/>
        <v>0</v>
      </c>
      <c r="AD222" s="231">
        <f t="shared" si="42"/>
        <v>0</v>
      </c>
      <c r="AE222" s="231">
        <f t="shared" si="43"/>
        <v>0</v>
      </c>
      <c r="AF222" s="231">
        <f t="shared" si="44"/>
        <v>0</v>
      </c>
      <c r="AG222" s="231">
        <f t="shared" si="45"/>
        <v>0</v>
      </c>
    </row>
    <row r="223" spans="1:33">
      <c r="A223" t="str">
        <f>IF(ABS(H223)&gt;0,基础信息!$B$1,"")</f>
        <v/>
      </c>
      <c r="S223" s="230">
        <f t="shared" si="37"/>
        <v>0</v>
      </c>
      <c r="Z223" s="231">
        <f t="shared" si="38"/>
        <v>0</v>
      </c>
      <c r="AA223" s="231">
        <f t="shared" si="39"/>
        <v>0</v>
      </c>
      <c r="AB223" s="231">
        <f t="shared" si="40"/>
        <v>0</v>
      </c>
      <c r="AC223" s="231">
        <f t="shared" si="41"/>
        <v>0</v>
      </c>
      <c r="AD223" s="231">
        <f t="shared" si="42"/>
        <v>0</v>
      </c>
      <c r="AE223" s="231">
        <f t="shared" si="43"/>
        <v>0</v>
      </c>
      <c r="AF223" s="231">
        <f t="shared" si="44"/>
        <v>0</v>
      </c>
      <c r="AG223" s="231">
        <f t="shared" si="45"/>
        <v>0</v>
      </c>
    </row>
    <row r="224" spans="1:33">
      <c r="A224" t="str">
        <f>IF(ABS(H224)&gt;0,基础信息!$B$1,"")</f>
        <v/>
      </c>
      <c r="S224" s="230">
        <f t="shared" si="37"/>
        <v>0</v>
      </c>
      <c r="Z224" s="231">
        <f t="shared" si="38"/>
        <v>0</v>
      </c>
      <c r="AA224" s="231">
        <f t="shared" si="39"/>
        <v>0</v>
      </c>
      <c r="AB224" s="231">
        <f t="shared" si="40"/>
        <v>0</v>
      </c>
      <c r="AC224" s="231">
        <f t="shared" si="41"/>
        <v>0</v>
      </c>
      <c r="AD224" s="231">
        <f t="shared" si="42"/>
        <v>0</v>
      </c>
      <c r="AE224" s="231">
        <f t="shared" si="43"/>
        <v>0</v>
      </c>
      <c r="AF224" s="231">
        <f t="shared" si="44"/>
        <v>0</v>
      </c>
      <c r="AG224" s="231">
        <f t="shared" si="45"/>
        <v>0</v>
      </c>
    </row>
    <row r="225" spans="1:33">
      <c r="A225" t="str">
        <f>IF(ABS(H225)&gt;0,基础信息!$B$1,"")</f>
        <v/>
      </c>
      <c r="S225" s="230">
        <f t="shared" si="37"/>
        <v>0</v>
      </c>
      <c r="Z225" s="231">
        <f t="shared" si="38"/>
        <v>0</v>
      </c>
      <c r="AA225" s="231">
        <f t="shared" si="39"/>
        <v>0</v>
      </c>
      <c r="AB225" s="231">
        <f t="shared" si="40"/>
        <v>0</v>
      </c>
      <c r="AC225" s="231">
        <f t="shared" si="41"/>
        <v>0</v>
      </c>
      <c r="AD225" s="231">
        <f t="shared" si="42"/>
        <v>0</v>
      </c>
      <c r="AE225" s="231">
        <f t="shared" si="43"/>
        <v>0</v>
      </c>
      <c r="AF225" s="231">
        <f t="shared" si="44"/>
        <v>0</v>
      </c>
      <c r="AG225" s="231">
        <f t="shared" si="45"/>
        <v>0</v>
      </c>
    </row>
    <row r="226" spans="1:33">
      <c r="A226" t="str">
        <f>IF(ABS(H226)&gt;0,基础信息!$B$1,"")</f>
        <v/>
      </c>
      <c r="S226" s="230">
        <f t="shared" si="37"/>
        <v>0</v>
      </c>
      <c r="Z226" s="231">
        <f t="shared" si="38"/>
        <v>0</v>
      </c>
      <c r="AA226" s="231">
        <f t="shared" si="39"/>
        <v>0</v>
      </c>
      <c r="AB226" s="231">
        <f t="shared" si="40"/>
        <v>0</v>
      </c>
      <c r="AC226" s="231">
        <f t="shared" si="41"/>
        <v>0</v>
      </c>
      <c r="AD226" s="231">
        <f t="shared" si="42"/>
        <v>0</v>
      </c>
      <c r="AE226" s="231">
        <f t="shared" si="43"/>
        <v>0</v>
      </c>
      <c r="AF226" s="231">
        <f t="shared" si="44"/>
        <v>0</v>
      </c>
      <c r="AG226" s="231">
        <f t="shared" si="45"/>
        <v>0</v>
      </c>
    </row>
    <row r="227" spans="1:33">
      <c r="A227" t="str">
        <f>IF(ABS(H227)&gt;0,基础信息!$B$1,"")</f>
        <v/>
      </c>
      <c r="S227" s="230">
        <f t="shared" si="37"/>
        <v>0</v>
      </c>
      <c r="Z227" s="231">
        <f t="shared" si="38"/>
        <v>0</v>
      </c>
      <c r="AA227" s="231">
        <f t="shared" si="39"/>
        <v>0</v>
      </c>
      <c r="AB227" s="231">
        <f t="shared" si="40"/>
        <v>0</v>
      </c>
      <c r="AC227" s="231">
        <f t="shared" si="41"/>
        <v>0</v>
      </c>
      <c r="AD227" s="231">
        <f t="shared" si="42"/>
        <v>0</v>
      </c>
      <c r="AE227" s="231">
        <f t="shared" si="43"/>
        <v>0</v>
      </c>
      <c r="AF227" s="231">
        <f t="shared" si="44"/>
        <v>0</v>
      </c>
      <c r="AG227" s="231">
        <f t="shared" si="45"/>
        <v>0</v>
      </c>
    </row>
    <row r="228" spans="1:33">
      <c r="A228" t="str">
        <f>IF(ABS(H228)&gt;0,基础信息!$B$1,"")</f>
        <v/>
      </c>
      <c r="S228" s="230">
        <f t="shared" si="37"/>
        <v>0</v>
      </c>
      <c r="Z228" s="231">
        <f t="shared" si="38"/>
        <v>0</v>
      </c>
      <c r="AA228" s="231">
        <f t="shared" si="39"/>
        <v>0</v>
      </c>
      <c r="AB228" s="231">
        <f t="shared" si="40"/>
        <v>0</v>
      </c>
      <c r="AC228" s="231">
        <f t="shared" si="41"/>
        <v>0</v>
      </c>
      <c r="AD228" s="231">
        <f t="shared" si="42"/>
        <v>0</v>
      </c>
      <c r="AE228" s="231">
        <f t="shared" si="43"/>
        <v>0</v>
      </c>
      <c r="AF228" s="231">
        <f t="shared" si="44"/>
        <v>0</v>
      </c>
      <c r="AG228" s="231">
        <f t="shared" si="45"/>
        <v>0</v>
      </c>
    </row>
    <row r="229" spans="1:33">
      <c r="A229" t="str">
        <f>IF(ABS(H229)&gt;0,基础信息!$B$1,"")</f>
        <v/>
      </c>
      <c r="S229" s="230">
        <f t="shared" si="37"/>
        <v>0</v>
      </c>
      <c r="Z229" s="231">
        <f t="shared" si="38"/>
        <v>0</v>
      </c>
      <c r="AA229" s="231">
        <f t="shared" si="39"/>
        <v>0</v>
      </c>
      <c r="AB229" s="231">
        <f t="shared" si="40"/>
        <v>0</v>
      </c>
      <c r="AC229" s="231">
        <f t="shared" si="41"/>
        <v>0</v>
      </c>
      <c r="AD229" s="231">
        <f t="shared" si="42"/>
        <v>0</v>
      </c>
      <c r="AE229" s="231">
        <f t="shared" si="43"/>
        <v>0</v>
      </c>
      <c r="AF229" s="231">
        <f t="shared" si="44"/>
        <v>0</v>
      </c>
      <c r="AG229" s="231">
        <f t="shared" si="45"/>
        <v>0</v>
      </c>
    </row>
    <row r="230" spans="1:33">
      <c r="A230" t="str">
        <f>IF(ABS(H230)&gt;0,基础信息!$B$1,"")</f>
        <v/>
      </c>
      <c r="S230" s="230">
        <f t="shared" si="37"/>
        <v>0</v>
      </c>
      <c r="Z230" s="231">
        <f t="shared" si="38"/>
        <v>0</v>
      </c>
      <c r="AA230" s="231">
        <f t="shared" si="39"/>
        <v>0</v>
      </c>
      <c r="AB230" s="231">
        <f t="shared" si="40"/>
        <v>0</v>
      </c>
      <c r="AC230" s="231">
        <f t="shared" si="41"/>
        <v>0</v>
      </c>
      <c r="AD230" s="231">
        <f t="shared" si="42"/>
        <v>0</v>
      </c>
      <c r="AE230" s="231">
        <f t="shared" si="43"/>
        <v>0</v>
      </c>
      <c r="AF230" s="231">
        <f t="shared" si="44"/>
        <v>0</v>
      </c>
      <c r="AG230" s="231">
        <f t="shared" si="45"/>
        <v>0</v>
      </c>
    </row>
    <row r="231" spans="1:33">
      <c r="A231" t="str">
        <f>IF(ABS(H231)&gt;0,基础信息!$B$1,"")</f>
        <v/>
      </c>
      <c r="S231" s="230">
        <f t="shared" si="37"/>
        <v>0</v>
      </c>
      <c r="Z231" s="231">
        <f t="shared" si="38"/>
        <v>0</v>
      </c>
      <c r="AA231" s="231">
        <f t="shared" si="39"/>
        <v>0</v>
      </c>
      <c r="AB231" s="231">
        <f t="shared" si="40"/>
        <v>0</v>
      </c>
      <c r="AC231" s="231">
        <f t="shared" si="41"/>
        <v>0</v>
      </c>
      <c r="AD231" s="231">
        <f t="shared" si="42"/>
        <v>0</v>
      </c>
      <c r="AE231" s="231">
        <f t="shared" si="43"/>
        <v>0</v>
      </c>
      <c r="AF231" s="231">
        <f t="shared" si="44"/>
        <v>0</v>
      </c>
      <c r="AG231" s="231">
        <f t="shared" si="45"/>
        <v>0</v>
      </c>
    </row>
    <row r="232" spans="1:33">
      <c r="A232" t="str">
        <f>IF(ABS(H232)&gt;0,基础信息!$B$1,"")</f>
        <v/>
      </c>
      <c r="S232" s="230">
        <f t="shared" si="37"/>
        <v>0</v>
      </c>
      <c r="Z232" s="231">
        <f t="shared" si="38"/>
        <v>0</v>
      </c>
      <c r="AA232" s="231">
        <f t="shared" si="39"/>
        <v>0</v>
      </c>
      <c r="AB232" s="231">
        <f t="shared" si="40"/>
        <v>0</v>
      </c>
      <c r="AC232" s="231">
        <f t="shared" si="41"/>
        <v>0</v>
      </c>
      <c r="AD232" s="231">
        <f t="shared" si="42"/>
        <v>0</v>
      </c>
      <c r="AE232" s="231">
        <f t="shared" si="43"/>
        <v>0</v>
      </c>
      <c r="AF232" s="231">
        <f t="shared" si="44"/>
        <v>0</v>
      </c>
      <c r="AG232" s="231">
        <f t="shared" si="45"/>
        <v>0</v>
      </c>
    </row>
    <row r="233" spans="1:33">
      <c r="A233" t="str">
        <f>IF(ABS(H233)&gt;0,基础信息!$B$1,"")</f>
        <v/>
      </c>
      <c r="S233" s="230">
        <f t="shared" si="37"/>
        <v>0</v>
      </c>
      <c r="Z233" s="231">
        <f t="shared" si="38"/>
        <v>0</v>
      </c>
      <c r="AA233" s="231">
        <f t="shared" si="39"/>
        <v>0</v>
      </c>
      <c r="AB233" s="231">
        <f t="shared" si="40"/>
        <v>0</v>
      </c>
      <c r="AC233" s="231">
        <f t="shared" si="41"/>
        <v>0</v>
      </c>
      <c r="AD233" s="231">
        <f t="shared" si="42"/>
        <v>0</v>
      </c>
      <c r="AE233" s="231">
        <f t="shared" si="43"/>
        <v>0</v>
      </c>
      <c r="AF233" s="231">
        <f t="shared" si="44"/>
        <v>0</v>
      </c>
      <c r="AG233" s="231">
        <f t="shared" si="45"/>
        <v>0</v>
      </c>
    </row>
    <row r="234" spans="1:33">
      <c r="A234" t="str">
        <f>IF(ABS(H234)&gt;0,基础信息!$B$1,"")</f>
        <v/>
      </c>
      <c r="S234" s="230">
        <f t="shared" si="37"/>
        <v>0</v>
      </c>
      <c r="Z234" s="231">
        <f t="shared" si="38"/>
        <v>0</v>
      </c>
      <c r="AA234" s="231">
        <f t="shared" si="39"/>
        <v>0</v>
      </c>
      <c r="AB234" s="231">
        <f t="shared" si="40"/>
        <v>0</v>
      </c>
      <c r="AC234" s="231">
        <f t="shared" si="41"/>
        <v>0</v>
      </c>
      <c r="AD234" s="231">
        <f t="shared" si="42"/>
        <v>0</v>
      </c>
      <c r="AE234" s="231">
        <f t="shared" si="43"/>
        <v>0</v>
      </c>
      <c r="AF234" s="231">
        <f t="shared" si="44"/>
        <v>0</v>
      </c>
      <c r="AG234" s="231">
        <f t="shared" si="45"/>
        <v>0</v>
      </c>
    </row>
    <row r="235" spans="1:33">
      <c r="A235" t="str">
        <f>IF(ABS(H235)&gt;0,基础信息!$B$1,"")</f>
        <v/>
      </c>
      <c r="S235" s="230">
        <f t="shared" si="37"/>
        <v>0</v>
      </c>
      <c r="Z235" s="231">
        <f t="shared" si="38"/>
        <v>0</v>
      </c>
      <c r="AA235" s="231">
        <f t="shared" si="39"/>
        <v>0</v>
      </c>
      <c r="AB235" s="231">
        <f t="shared" si="40"/>
        <v>0</v>
      </c>
      <c r="AC235" s="231">
        <f t="shared" si="41"/>
        <v>0</v>
      </c>
      <c r="AD235" s="231">
        <f t="shared" si="42"/>
        <v>0</v>
      </c>
      <c r="AE235" s="231">
        <f t="shared" si="43"/>
        <v>0</v>
      </c>
      <c r="AF235" s="231">
        <f t="shared" si="44"/>
        <v>0</v>
      </c>
      <c r="AG235" s="231">
        <f t="shared" si="45"/>
        <v>0</v>
      </c>
    </row>
    <row r="236" spans="1:33">
      <c r="A236" t="str">
        <f>IF(ABS(H236)&gt;0,基础信息!$B$1,"")</f>
        <v/>
      </c>
      <c r="S236" s="230">
        <f t="shared" si="37"/>
        <v>0</v>
      </c>
      <c r="Z236" s="231">
        <f t="shared" si="38"/>
        <v>0</v>
      </c>
      <c r="AA236" s="231">
        <f t="shared" si="39"/>
        <v>0</v>
      </c>
      <c r="AB236" s="231">
        <f t="shared" si="40"/>
        <v>0</v>
      </c>
      <c r="AC236" s="231">
        <f t="shared" si="41"/>
        <v>0</v>
      </c>
      <c r="AD236" s="231">
        <f t="shared" si="42"/>
        <v>0</v>
      </c>
      <c r="AE236" s="231">
        <f t="shared" si="43"/>
        <v>0</v>
      </c>
      <c r="AF236" s="231">
        <f t="shared" si="44"/>
        <v>0</v>
      </c>
      <c r="AG236" s="231">
        <f t="shared" si="45"/>
        <v>0</v>
      </c>
    </row>
    <row r="237" spans="1:33">
      <c r="A237" t="str">
        <f>IF(ABS(H237)&gt;0,基础信息!$B$1,"")</f>
        <v/>
      </c>
      <c r="S237" s="230">
        <f t="shared" si="37"/>
        <v>0</v>
      </c>
      <c r="Z237" s="231">
        <f t="shared" si="38"/>
        <v>0</v>
      </c>
      <c r="AA237" s="231">
        <f t="shared" si="39"/>
        <v>0</v>
      </c>
      <c r="AB237" s="231">
        <f t="shared" si="40"/>
        <v>0</v>
      </c>
      <c r="AC237" s="231">
        <f t="shared" si="41"/>
        <v>0</v>
      </c>
      <c r="AD237" s="231">
        <f t="shared" si="42"/>
        <v>0</v>
      </c>
      <c r="AE237" s="231">
        <f t="shared" si="43"/>
        <v>0</v>
      </c>
      <c r="AF237" s="231">
        <f t="shared" si="44"/>
        <v>0</v>
      </c>
      <c r="AG237" s="231">
        <f t="shared" si="45"/>
        <v>0</v>
      </c>
    </row>
    <row r="238" spans="1:33">
      <c r="A238" t="str">
        <f>IF(ABS(H238)&gt;0,基础信息!$B$1,"")</f>
        <v/>
      </c>
      <c r="S238" s="230">
        <f t="shared" si="37"/>
        <v>0</v>
      </c>
      <c r="Z238" s="231">
        <f t="shared" si="38"/>
        <v>0</v>
      </c>
      <c r="AA238" s="231">
        <f t="shared" si="39"/>
        <v>0</v>
      </c>
      <c r="AB238" s="231">
        <f t="shared" si="40"/>
        <v>0</v>
      </c>
      <c r="AC238" s="231">
        <f t="shared" si="41"/>
        <v>0</v>
      </c>
      <c r="AD238" s="231">
        <f t="shared" si="42"/>
        <v>0</v>
      </c>
      <c r="AE238" s="231">
        <f t="shared" si="43"/>
        <v>0</v>
      </c>
      <c r="AF238" s="231">
        <f t="shared" si="44"/>
        <v>0</v>
      </c>
      <c r="AG238" s="231">
        <f t="shared" si="45"/>
        <v>0</v>
      </c>
    </row>
    <row r="239" spans="1:33">
      <c r="A239" t="str">
        <f>IF(ABS(H239)&gt;0,基础信息!$B$1,"")</f>
        <v/>
      </c>
      <c r="S239" s="230">
        <f t="shared" si="37"/>
        <v>0</v>
      </c>
      <c r="Z239" s="231">
        <f t="shared" si="38"/>
        <v>0</v>
      </c>
      <c r="AA239" s="231">
        <f t="shared" si="39"/>
        <v>0</v>
      </c>
      <c r="AB239" s="231">
        <f t="shared" si="40"/>
        <v>0</v>
      </c>
      <c r="AC239" s="231">
        <f t="shared" si="41"/>
        <v>0</v>
      </c>
      <c r="AD239" s="231">
        <f t="shared" si="42"/>
        <v>0</v>
      </c>
      <c r="AE239" s="231">
        <f t="shared" si="43"/>
        <v>0</v>
      </c>
      <c r="AF239" s="231">
        <f t="shared" si="44"/>
        <v>0</v>
      </c>
      <c r="AG239" s="231">
        <f t="shared" si="45"/>
        <v>0</v>
      </c>
    </row>
    <row r="240" spans="1:33">
      <c r="A240" t="str">
        <f>IF(ABS(H240)&gt;0,基础信息!$B$1,"")</f>
        <v/>
      </c>
      <c r="S240" s="230">
        <f t="shared" si="37"/>
        <v>0</v>
      </c>
      <c r="Z240" s="231">
        <f t="shared" si="38"/>
        <v>0</v>
      </c>
      <c r="AA240" s="231">
        <f t="shared" si="39"/>
        <v>0</v>
      </c>
      <c r="AB240" s="231">
        <f t="shared" si="40"/>
        <v>0</v>
      </c>
      <c r="AC240" s="231">
        <f t="shared" si="41"/>
        <v>0</v>
      </c>
      <c r="AD240" s="231">
        <f t="shared" si="42"/>
        <v>0</v>
      </c>
      <c r="AE240" s="231">
        <f t="shared" si="43"/>
        <v>0</v>
      </c>
      <c r="AF240" s="231">
        <f t="shared" si="44"/>
        <v>0</v>
      </c>
      <c r="AG240" s="231">
        <f t="shared" si="45"/>
        <v>0</v>
      </c>
    </row>
    <row r="241" spans="1:33">
      <c r="A241" t="str">
        <f>IF(ABS(H241)&gt;0,基础信息!$B$1,"")</f>
        <v/>
      </c>
      <c r="S241" s="230">
        <f t="shared" si="37"/>
        <v>0</v>
      </c>
      <c r="Z241" s="231">
        <f t="shared" si="38"/>
        <v>0</v>
      </c>
      <c r="AA241" s="231">
        <f t="shared" si="39"/>
        <v>0</v>
      </c>
      <c r="AB241" s="231">
        <f t="shared" si="40"/>
        <v>0</v>
      </c>
      <c r="AC241" s="231">
        <f t="shared" si="41"/>
        <v>0</v>
      </c>
      <c r="AD241" s="231">
        <f t="shared" si="42"/>
        <v>0</v>
      </c>
      <c r="AE241" s="231">
        <f t="shared" si="43"/>
        <v>0</v>
      </c>
      <c r="AF241" s="231">
        <f t="shared" si="44"/>
        <v>0</v>
      </c>
      <c r="AG241" s="231">
        <f t="shared" si="45"/>
        <v>0</v>
      </c>
    </row>
    <row r="242" spans="1:33">
      <c r="A242" t="str">
        <f>IF(ABS(H242)&gt;0,基础信息!$B$1,"")</f>
        <v/>
      </c>
      <c r="S242" s="230">
        <f t="shared" si="37"/>
        <v>0</v>
      </c>
      <c r="Z242" s="231">
        <f t="shared" si="38"/>
        <v>0</v>
      </c>
      <c r="AA242" s="231">
        <f t="shared" si="39"/>
        <v>0</v>
      </c>
      <c r="AB242" s="231">
        <f t="shared" si="40"/>
        <v>0</v>
      </c>
      <c r="AC242" s="231">
        <f t="shared" si="41"/>
        <v>0</v>
      </c>
      <c r="AD242" s="231">
        <f t="shared" si="42"/>
        <v>0</v>
      </c>
      <c r="AE242" s="231">
        <f t="shared" si="43"/>
        <v>0</v>
      </c>
      <c r="AF242" s="231">
        <f t="shared" si="44"/>
        <v>0</v>
      </c>
      <c r="AG242" s="231">
        <f t="shared" si="45"/>
        <v>0</v>
      </c>
    </row>
    <row r="243" spans="1:33">
      <c r="A243" t="str">
        <f>IF(ABS(H243)&gt;0,基础信息!$B$1,"")</f>
        <v/>
      </c>
      <c r="S243" s="230">
        <f t="shared" si="37"/>
        <v>0</v>
      </c>
      <c r="Z243" s="231">
        <f t="shared" si="38"/>
        <v>0</v>
      </c>
      <c r="AA243" s="231">
        <f t="shared" si="39"/>
        <v>0</v>
      </c>
      <c r="AB243" s="231">
        <f t="shared" si="40"/>
        <v>0</v>
      </c>
      <c r="AC243" s="231">
        <f t="shared" si="41"/>
        <v>0</v>
      </c>
      <c r="AD243" s="231">
        <f t="shared" si="42"/>
        <v>0</v>
      </c>
      <c r="AE243" s="231">
        <f t="shared" si="43"/>
        <v>0</v>
      </c>
      <c r="AF243" s="231">
        <f t="shared" si="44"/>
        <v>0</v>
      </c>
      <c r="AG243" s="231">
        <f t="shared" si="45"/>
        <v>0</v>
      </c>
    </row>
    <row r="244" spans="1:33">
      <c r="A244" t="str">
        <f>IF(ABS(H244)&gt;0,基础信息!$B$1,"")</f>
        <v/>
      </c>
      <c r="S244" s="230">
        <f t="shared" si="37"/>
        <v>0</v>
      </c>
      <c r="Z244" s="231">
        <f t="shared" si="38"/>
        <v>0</v>
      </c>
      <c r="AA244" s="231">
        <f t="shared" si="39"/>
        <v>0</v>
      </c>
      <c r="AB244" s="231">
        <f t="shared" si="40"/>
        <v>0</v>
      </c>
      <c r="AC244" s="231">
        <f t="shared" si="41"/>
        <v>0</v>
      </c>
      <c r="AD244" s="231">
        <f t="shared" si="42"/>
        <v>0</v>
      </c>
      <c r="AE244" s="231">
        <f t="shared" si="43"/>
        <v>0</v>
      </c>
      <c r="AF244" s="231">
        <f t="shared" si="44"/>
        <v>0</v>
      </c>
      <c r="AG244" s="231">
        <f t="shared" si="45"/>
        <v>0</v>
      </c>
    </row>
    <row r="245" spans="1:33">
      <c r="A245" t="str">
        <f>IF(ABS(H245)&gt;0,基础信息!$B$1,"")</f>
        <v/>
      </c>
      <c r="S245" s="230">
        <f t="shared" si="37"/>
        <v>0</v>
      </c>
      <c r="Z245" s="231">
        <f t="shared" si="38"/>
        <v>0</v>
      </c>
      <c r="AA245" s="231">
        <f t="shared" si="39"/>
        <v>0</v>
      </c>
      <c r="AB245" s="231">
        <f t="shared" si="40"/>
        <v>0</v>
      </c>
      <c r="AC245" s="231">
        <f t="shared" si="41"/>
        <v>0</v>
      </c>
      <c r="AD245" s="231">
        <f t="shared" si="42"/>
        <v>0</v>
      </c>
      <c r="AE245" s="231">
        <f t="shared" si="43"/>
        <v>0</v>
      </c>
      <c r="AF245" s="231">
        <f t="shared" si="44"/>
        <v>0</v>
      </c>
      <c r="AG245" s="231">
        <f t="shared" si="45"/>
        <v>0</v>
      </c>
    </row>
    <row r="246" spans="1:33">
      <c r="A246" t="str">
        <f>IF(ABS(H246)&gt;0,基础信息!$B$1,"")</f>
        <v/>
      </c>
      <c r="S246" s="230">
        <f t="shared" si="37"/>
        <v>0</v>
      </c>
      <c r="Z246" s="231">
        <f t="shared" si="38"/>
        <v>0</v>
      </c>
      <c r="AA246" s="231">
        <f t="shared" si="39"/>
        <v>0</v>
      </c>
      <c r="AB246" s="231">
        <f t="shared" si="40"/>
        <v>0</v>
      </c>
      <c r="AC246" s="231">
        <f t="shared" si="41"/>
        <v>0</v>
      </c>
      <c r="AD246" s="231">
        <f t="shared" si="42"/>
        <v>0</v>
      </c>
      <c r="AE246" s="231">
        <f t="shared" si="43"/>
        <v>0</v>
      </c>
      <c r="AF246" s="231">
        <f t="shared" si="44"/>
        <v>0</v>
      </c>
      <c r="AG246" s="231">
        <f t="shared" si="45"/>
        <v>0</v>
      </c>
    </row>
    <row r="247" spans="1:33">
      <c r="A247" t="str">
        <f>IF(ABS(H247)&gt;0,基础信息!$B$1,"")</f>
        <v/>
      </c>
      <c r="S247" s="230">
        <f t="shared" si="37"/>
        <v>0</v>
      </c>
      <c r="Z247" s="231">
        <f t="shared" si="38"/>
        <v>0</v>
      </c>
      <c r="AA247" s="231">
        <f t="shared" si="39"/>
        <v>0</v>
      </c>
      <c r="AB247" s="231">
        <f t="shared" si="40"/>
        <v>0</v>
      </c>
      <c r="AC247" s="231">
        <f t="shared" si="41"/>
        <v>0</v>
      </c>
      <c r="AD247" s="231">
        <f t="shared" si="42"/>
        <v>0</v>
      </c>
      <c r="AE247" s="231">
        <f t="shared" si="43"/>
        <v>0</v>
      </c>
      <c r="AF247" s="231">
        <f t="shared" si="44"/>
        <v>0</v>
      </c>
      <c r="AG247" s="231">
        <f t="shared" si="45"/>
        <v>0</v>
      </c>
    </row>
    <row r="248" spans="1:33">
      <c r="A248" t="str">
        <f>IF(ABS(H248)&gt;0,基础信息!$B$1,"")</f>
        <v/>
      </c>
      <c r="S248" s="230">
        <f t="shared" si="37"/>
        <v>0</v>
      </c>
      <c r="Z248" s="231">
        <f t="shared" si="38"/>
        <v>0</v>
      </c>
      <c r="AA248" s="231">
        <f t="shared" si="39"/>
        <v>0</v>
      </c>
      <c r="AB248" s="231">
        <f t="shared" si="40"/>
        <v>0</v>
      </c>
      <c r="AC248" s="231">
        <f t="shared" si="41"/>
        <v>0</v>
      </c>
      <c r="AD248" s="231">
        <f t="shared" si="42"/>
        <v>0</v>
      </c>
      <c r="AE248" s="231">
        <f t="shared" si="43"/>
        <v>0</v>
      </c>
      <c r="AF248" s="231">
        <f t="shared" si="44"/>
        <v>0</v>
      </c>
      <c r="AG248" s="231">
        <f t="shared" si="45"/>
        <v>0</v>
      </c>
    </row>
    <row r="249" spans="1:33">
      <c r="A249" t="str">
        <f>IF(ABS(H249)&gt;0,基础信息!$B$1,"")</f>
        <v/>
      </c>
      <c r="S249" s="230">
        <f t="shared" si="37"/>
        <v>0</v>
      </c>
      <c r="Z249" s="231">
        <f t="shared" si="38"/>
        <v>0</v>
      </c>
      <c r="AA249" s="231">
        <f t="shared" si="39"/>
        <v>0</v>
      </c>
      <c r="AB249" s="231">
        <f t="shared" si="40"/>
        <v>0</v>
      </c>
      <c r="AC249" s="231">
        <f t="shared" si="41"/>
        <v>0</v>
      </c>
      <c r="AD249" s="231">
        <f t="shared" si="42"/>
        <v>0</v>
      </c>
      <c r="AE249" s="231">
        <f t="shared" si="43"/>
        <v>0</v>
      </c>
      <c r="AF249" s="231">
        <f t="shared" si="44"/>
        <v>0</v>
      </c>
      <c r="AG249" s="231">
        <f t="shared" si="45"/>
        <v>0</v>
      </c>
    </row>
    <row r="250" spans="1:33">
      <c r="A250" t="str">
        <f>IF(ABS(H250)&gt;0,基础信息!$B$1,"")</f>
        <v/>
      </c>
      <c r="S250" s="230">
        <f t="shared" si="37"/>
        <v>0</v>
      </c>
      <c r="Z250" s="231">
        <f t="shared" si="38"/>
        <v>0</v>
      </c>
      <c r="AA250" s="231">
        <f t="shared" si="39"/>
        <v>0</v>
      </c>
      <c r="AB250" s="231">
        <f t="shared" si="40"/>
        <v>0</v>
      </c>
      <c r="AC250" s="231">
        <f t="shared" si="41"/>
        <v>0</v>
      </c>
      <c r="AD250" s="231">
        <f t="shared" si="42"/>
        <v>0</v>
      </c>
      <c r="AE250" s="231">
        <f t="shared" si="43"/>
        <v>0</v>
      </c>
      <c r="AF250" s="231">
        <f t="shared" si="44"/>
        <v>0</v>
      </c>
      <c r="AG250" s="231">
        <f t="shared" si="45"/>
        <v>0</v>
      </c>
    </row>
    <row r="251" spans="1:33">
      <c r="A251" t="str">
        <f>IF(ABS(H251)&gt;0,基础信息!$B$1,"")</f>
        <v/>
      </c>
      <c r="S251" s="230">
        <f t="shared" si="37"/>
        <v>0</v>
      </c>
      <c r="Z251" s="231">
        <f t="shared" si="38"/>
        <v>0</v>
      </c>
      <c r="AA251" s="231">
        <f t="shared" si="39"/>
        <v>0</v>
      </c>
      <c r="AB251" s="231">
        <f t="shared" si="40"/>
        <v>0</v>
      </c>
      <c r="AC251" s="231">
        <f t="shared" si="41"/>
        <v>0</v>
      </c>
      <c r="AD251" s="231">
        <f t="shared" si="42"/>
        <v>0</v>
      </c>
      <c r="AE251" s="231">
        <f t="shared" si="43"/>
        <v>0</v>
      </c>
      <c r="AF251" s="231">
        <f t="shared" si="44"/>
        <v>0</v>
      </c>
      <c r="AG251" s="231">
        <f t="shared" si="45"/>
        <v>0</v>
      </c>
    </row>
    <row r="252" spans="1:33">
      <c r="A252" t="str">
        <f>IF(ABS(H252)&gt;0,基础信息!$B$1,"")</f>
        <v/>
      </c>
      <c r="S252" s="230">
        <f t="shared" si="37"/>
        <v>0</v>
      </c>
      <c r="Z252" s="231">
        <f t="shared" si="38"/>
        <v>0</v>
      </c>
      <c r="AA252" s="231">
        <f t="shared" si="39"/>
        <v>0</v>
      </c>
      <c r="AB252" s="231">
        <f t="shared" si="40"/>
        <v>0</v>
      </c>
      <c r="AC252" s="231">
        <f t="shared" si="41"/>
        <v>0</v>
      </c>
      <c r="AD252" s="231">
        <f t="shared" si="42"/>
        <v>0</v>
      </c>
      <c r="AE252" s="231">
        <f t="shared" si="43"/>
        <v>0</v>
      </c>
      <c r="AF252" s="231">
        <f t="shared" si="44"/>
        <v>0</v>
      </c>
      <c r="AG252" s="231">
        <f t="shared" si="45"/>
        <v>0</v>
      </c>
    </row>
    <row r="253" spans="1:33">
      <c r="A253" t="str">
        <f>IF(ABS(H253)&gt;0,基础信息!$B$1,"")</f>
        <v/>
      </c>
      <c r="S253" s="230">
        <f t="shared" si="37"/>
        <v>0</v>
      </c>
      <c r="Z253" s="231">
        <f t="shared" si="38"/>
        <v>0</v>
      </c>
      <c r="AA253" s="231">
        <f t="shared" si="39"/>
        <v>0</v>
      </c>
      <c r="AB253" s="231">
        <f t="shared" si="40"/>
        <v>0</v>
      </c>
      <c r="AC253" s="231">
        <f t="shared" si="41"/>
        <v>0</v>
      </c>
      <c r="AD253" s="231">
        <f t="shared" si="42"/>
        <v>0</v>
      </c>
      <c r="AE253" s="231">
        <f t="shared" si="43"/>
        <v>0</v>
      </c>
      <c r="AF253" s="231">
        <f t="shared" si="44"/>
        <v>0</v>
      </c>
      <c r="AG253" s="231">
        <f t="shared" si="45"/>
        <v>0</v>
      </c>
    </row>
    <row r="254" spans="1:33">
      <c r="A254" t="str">
        <f>IF(ABS(H254)&gt;0,基础信息!$B$1,"")</f>
        <v/>
      </c>
      <c r="S254" s="230">
        <f t="shared" si="37"/>
        <v>0</v>
      </c>
      <c r="Z254" s="231">
        <f t="shared" si="38"/>
        <v>0</v>
      </c>
      <c r="AA254" s="231">
        <f t="shared" si="39"/>
        <v>0</v>
      </c>
      <c r="AB254" s="231">
        <f t="shared" si="40"/>
        <v>0</v>
      </c>
      <c r="AC254" s="231">
        <f t="shared" si="41"/>
        <v>0</v>
      </c>
      <c r="AD254" s="231">
        <f t="shared" si="42"/>
        <v>0</v>
      </c>
      <c r="AE254" s="231">
        <f t="shared" si="43"/>
        <v>0</v>
      </c>
      <c r="AF254" s="231">
        <f t="shared" si="44"/>
        <v>0</v>
      </c>
      <c r="AG254" s="231">
        <f t="shared" si="45"/>
        <v>0</v>
      </c>
    </row>
    <row r="255" spans="1:33">
      <c r="A255" t="str">
        <f>IF(ABS(H255)&gt;0,基础信息!$B$1,"")</f>
        <v/>
      </c>
      <c r="S255" s="230">
        <f t="shared" si="37"/>
        <v>0</v>
      </c>
      <c r="Z255" s="231">
        <f t="shared" si="38"/>
        <v>0</v>
      </c>
      <c r="AA255" s="231">
        <f t="shared" si="39"/>
        <v>0</v>
      </c>
      <c r="AB255" s="231">
        <f t="shared" si="40"/>
        <v>0</v>
      </c>
      <c r="AC255" s="231">
        <f t="shared" si="41"/>
        <v>0</v>
      </c>
      <c r="AD255" s="231">
        <f t="shared" si="42"/>
        <v>0</v>
      </c>
      <c r="AE255" s="231">
        <f t="shared" si="43"/>
        <v>0</v>
      </c>
      <c r="AF255" s="231">
        <f t="shared" si="44"/>
        <v>0</v>
      </c>
      <c r="AG255" s="231">
        <f t="shared" si="45"/>
        <v>0</v>
      </c>
    </row>
    <row r="256" spans="1:33">
      <c r="A256" t="str">
        <f>IF(ABS(H256)&gt;0,基础信息!$B$1,"")</f>
        <v/>
      </c>
      <c r="S256" s="230">
        <f t="shared" si="37"/>
        <v>0</v>
      </c>
      <c r="Z256" s="231">
        <f t="shared" si="38"/>
        <v>0</v>
      </c>
      <c r="AA256" s="231">
        <f t="shared" si="39"/>
        <v>0</v>
      </c>
      <c r="AB256" s="231">
        <f t="shared" si="40"/>
        <v>0</v>
      </c>
      <c r="AC256" s="231">
        <f t="shared" si="41"/>
        <v>0</v>
      </c>
      <c r="AD256" s="231">
        <f t="shared" si="42"/>
        <v>0</v>
      </c>
      <c r="AE256" s="231">
        <f t="shared" si="43"/>
        <v>0</v>
      </c>
      <c r="AF256" s="231">
        <f t="shared" si="44"/>
        <v>0</v>
      </c>
      <c r="AG256" s="231">
        <f t="shared" si="45"/>
        <v>0</v>
      </c>
    </row>
    <row r="257" spans="1:33">
      <c r="A257" t="str">
        <f>IF(ABS(H257)&gt;0,基础信息!$B$1,"")</f>
        <v/>
      </c>
      <c r="S257" s="230">
        <f t="shared" si="37"/>
        <v>0</v>
      </c>
      <c r="Z257" s="231">
        <f t="shared" si="38"/>
        <v>0</v>
      </c>
      <c r="AA257" s="231">
        <f t="shared" si="39"/>
        <v>0</v>
      </c>
      <c r="AB257" s="231">
        <f t="shared" si="40"/>
        <v>0</v>
      </c>
      <c r="AC257" s="231">
        <f t="shared" si="41"/>
        <v>0</v>
      </c>
      <c r="AD257" s="231">
        <f t="shared" si="42"/>
        <v>0</v>
      </c>
      <c r="AE257" s="231">
        <f t="shared" si="43"/>
        <v>0</v>
      </c>
      <c r="AF257" s="231">
        <f t="shared" si="44"/>
        <v>0</v>
      </c>
      <c r="AG257" s="231">
        <f t="shared" si="45"/>
        <v>0</v>
      </c>
    </row>
    <row r="258" spans="1:33">
      <c r="A258" t="str">
        <f>IF(ABS(H258)&gt;0,基础信息!$B$1,"")</f>
        <v/>
      </c>
      <c r="S258" s="230">
        <f t="shared" si="37"/>
        <v>0</v>
      </c>
      <c r="Z258" s="231">
        <f t="shared" si="38"/>
        <v>0</v>
      </c>
      <c r="AA258" s="231">
        <f t="shared" si="39"/>
        <v>0</v>
      </c>
      <c r="AB258" s="231">
        <f t="shared" si="40"/>
        <v>0</v>
      </c>
      <c r="AC258" s="231">
        <f t="shared" si="41"/>
        <v>0</v>
      </c>
      <c r="AD258" s="231">
        <f t="shared" si="42"/>
        <v>0</v>
      </c>
      <c r="AE258" s="231">
        <f t="shared" si="43"/>
        <v>0</v>
      </c>
      <c r="AF258" s="231">
        <f t="shared" si="44"/>
        <v>0</v>
      </c>
      <c r="AG258" s="231">
        <f t="shared" si="45"/>
        <v>0</v>
      </c>
    </row>
    <row r="259" spans="1:33">
      <c r="A259" t="str">
        <f>IF(ABS(H259)&gt;0,基础信息!$B$1,"")</f>
        <v/>
      </c>
      <c r="S259" s="230">
        <f t="shared" si="37"/>
        <v>0</v>
      </c>
      <c r="Z259" s="231">
        <f t="shared" si="38"/>
        <v>0</v>
      </c>
      <c r="AA259" s="231">
        <f t="shared" si="39"/>
        <v>0</v>
      </c>
      <c r="AB259" s="231">
        <f t="shared" si="40"/>
        <v>0</v>
      </c>
      <c r="AC259" s="231">
        <f t="shared" si="41"/>
        <v>0</v>
      </c>
      <c r="AD259" s="231">
        <f t="shared" si="42"/>
        <v>0</v>
      </c>
      <c r="AE259" s="231">
        <f t="shared" si="43"/>
        <v>0</v>
      </c>
      <c r="AF259" s="231">
        <f t="shared" si="44"/>
        <v>0</v>
      </c>
      <c r="AG259" s="231">
        <f t="shared" si="45"/>
        <v>0</v>
      </c>
    </row>
    <row r="260" spans="1:33">
      <c r="A260" t="str">
        <f>IF(ABS(H260)&gt;0,基础信息!$B$1,"")</f>
        <v/>
      </c>
      <c r="S260" s="230">
        <f t="shared" si="37"/>
        <v>0</v>
      </c>
      <c r="Z260" s="231">
        <f t="shared" si="38"/>
        <v>0</v>
      </c>
      <c r="AA260" s="231">
        <f t="shared" si="39"/>
        <v>0</v>
      </c>
      <c r="AB260" s="231">
        <f t="shared" si="40"/>
        <v>0</v>
      </c>
      <c r="AC260" s="231">
        <f t="shared" si="41"/>
        <v>0</v>
      </c>
      <c r="AD260" s="231">
        <f t="shared" si="42"/>
        <v>0</v>
      </c>
      <c r="AE260" s="231">
        <f t="shared" si="43"/>
        <v>0</v>
      </c>
      <c r="AF260" s="231">
        <f t="shared" si="44"/>
        <v>0</v>
      </c>
      <c r="AG260" s="231">
        <f t="shared" si="45"/>
        <v>0</v>
      </c>
    </row>
    <row r="261" spans="1:33">
      <c r="A261" t="str">
        <f>IF(ABS(H261)&gt;0,基础信息!$B$1,"")</f>
        <v/>
      </c>
      <c r="S261" s="230">
        <f t="shared" si="37"/>
        <v>0</v>
      </c>
      <c r="Z261" s="231">
        <f t="shared" si="38"/>
        <v>0</v>
      </c>
      <c r="AA261" s="231">
        <f t="shared" si="39"/>
        <v>0</v>
      </c>
      <c r="AB261" s="231">
        <f t="shared" si="40"/>
        <v>0</v>
      </c>
      <c r="AC261" s="231">
        <f t="shared" si="41"/>
        <v>0</v>
      </c>
      <c r="AD261" s="231">
        <f t="shared" si="42"/>
        <v>0</v>
      </c>
      <c r="AE261" s="231">
        <f t="shared" si="43"/>
        <v>0</v>
      </c>
      <c r="AF261" s="231">
        <f t="shared" si="44"/>
        <v>0</v>
      </c>
      <c r="AG261" s="231">
        <f t="shared" si="45"/>
        <v>0</v>
      </c>
    </row>
    <row r="262" spans="1:33">
      <c r="A262" t="str">
        <f>IF(ABS(H262)&gt;0,基础信息!$B$1,"")</f>
        <v/>
      </c>
      <c r="S262" s="230">
        <f t="shared" si="37"/>
        <v>0</v>
      </c>
      <c r="Z262" s="231">
        <f t="shared" si="38"/>
        <v>0</v>
      </c>
      <c r="AA262" s="231">
        <f t="shared" si="39"/>
        <v>0</v>
      </c>
      <c r="AB262" s="231">
        <f t="shared" si="40"/>
        <v>0</v>
      </c>
      <c r="AC262" s="231">
        <f t="shared" si="41"/>
        <v>0</v>
      </c>
      <c r="AD262" s="231">
        <f t="shared" si="42"/>
        <v>0</v>
      </c>
      <c r="AE262" s="231">
        <f t="shared" si="43"/>
        <v>0</v>
      </c>
      <c r="AF262" s="231">
        <f t="shared" si="44"/>
        <v>0</v>
      </c>
      <c r="AG262" s="231">
        <f t="shared" si="45"/>
        <v>0</v>
      </c>
    </row>
    <row r="263" spans="1:33">
      <c r="A263" t="str">
        <f>IF(ABS(H263)&gt;0,基础信息!$B$1,"")</f>
        <v/>
      </c>
      <c r="S263" s="230">
        <f t="shared" si="37"/>
        <v>0</v>
      </c>
      <c r="Z263" s="231">
        <f t="shared" si="38"/>
        <v>0</v>
      </c>
      <c r="AA263" s="231">
        <f t="shared" si="39"/>
        <v>0</v>
      </c>
      <c r="AB263" s="231">
        <f t="shared" si="40"/>
        <v>0</v>
      </c>
      <c r="AC263" s="231">
        <f t="shared" si="41"/>
        <v>0</v>
      </c>
      <c r="AD263" s="231">
        <f t="shared" si="42"/>
        <v>0</v>
      </c>
      <c r="AE263" s="231">
        <f t="shared" si="43"/>
        <v>0</v>
      </c>
      <c r="AF263" s="231">
        <f t="shared" si="44"/>
        <v>0</v>
      </c>
      <c r="AG263" s="231">
        <f t="shared" si="45"/>
        <v>0</v>
      </c>
    </row>
    <row r="264" spans="1:33">
      <c r="A264" t="str">
        <f>IF(ABS(H264)&gt;0,基础信息!$B$1,"")</f>
        <v/>
      </c>
      <c r="S264" s="230">
        <f t="shared" si="37"/>
        <v>0</v>
      </c>
      <c r="Z264" s="231">
        <f t="shared" si="38"/>
        <v>0</v>
      </c>
      <c r="AA264" s="231">
        <f t="shared" si="39"/>
        <v>0</v>
      </c>
      <c r="AB264" s="231">
        <f t="shared" si="40"/>
        <v>0</v>
      </c>
      <c r="AC264" s="231">
        <f t="shared" si="41"/>
        <v>0</v>
      </c>
      <c r="AD264" s="231">
        <f t="shared" si="42"/>
        <v>0</v>
      </c>
      <c r="AE264" s="231">
        <f t="shared" si="43"/>
        <v>0</v>
      </c>
      <c r="AF264" s="231">
        <f t="shared" si="44"/>
        <v>0</v>
      </c>
      <c r="AG264" s="231">
        <f t="shared" si="45"/>
        <v>0</v>
      </c>
    </row>
    <row r="265" spans="1:33">
      <c r="A265" t="str">
        <f>IF(ABS(H265)&gt;0,基础信息!$B$1,"")</f>
        <v/>
      </c>
      <c r="S265" s="230">
        <f t="shared" si="37"/>
        <v>0</v>
      </c>
      <c r="Z265" s="231">
        <f t="shared" si="38"/>
        <v>0</v>
      </c>
      <c r="AA265" s="231">
        <f t="shared" si="39"/>
        <v>0</v>
      </c>
      <c r="AB265" s="231">
        <f t="shared" si="40"/>
        <v>0</v>
      </c>
      <c r="AC265" s="231">
        <f t="shared" si="41"/>
        <v>0</v>
      </c>
      <c r="AD265" s="231">
        <f t="shared" si="42"/>
        <v>0</v>
      </c>
      <c r="AE265" s="231">
        <f t="shared" si="43"/>
        <v>0</v>
      </c>
      <c r="AF265" s="231">
        <f t="shared" si="44"/>
        <v>0</v>
      </c>
      <c r="AG265" s="231">
        <f t="shared" si="45"/>
        <v>0</v>
      </c>
    </row>
    <row r="266" spans="1:33">
      <c r="A266" t="str">
        <f>IF(ABS(H266)&gt;0,基础信息!$B$1,"")</f>
        <v/>
      </c>
      <c r="S266" s="230">
        <f t="shared" si="37"/>
        <v>0</v>
      </c>
      <c r="Z266" s="231">
        <f t="shared" si="38"/>
        <v>0</v>
      </c>
      <c r="AA266" s="231">
        <f t="shared" si="39"/>
        <v>0</v>
      </c>
      <c r="AB266" s="231">
        <f t="shared" si="40"/>
        <v>0</v>
      </c>
      <c r="AC266" s="231">
        <f t="shared" si="41"/>
        <v>0</v>
      </c>
      <c r="AD266" s="231">
        <f t="shared" si="42"/>
        <v>0</v>
      </c>
      <c r="AE266" s="231">
        <f t="shared" si="43"/>
        <v>0</v>
      </c>
      <c r="AF266" s="231">
        <f t="shared" si="44"/>
        <v>0</v>
      </c>
      <c r="AG266" s="231">
        <f t="shared" si="45"/>
        <v>0</v>
      </c>
    </row>
    <row r="267" spans="1:33">
      <c r="A267" t="str">
        <f>IF(ABS(H267)&gt;0,基础信息!$B$1,"")</f>
        <v/>
      </c>
      <c r="S267" s="230">
        <f t="shared" si="37"/>
        <v>0</v>
      </c>
      <c r="Z267" s="231">
        <f t="shared" si="38"/>
        <v>0</v>
      </c>
      <c r="AA267" s="231">
        <f t="shared" si="39"/>
        <v>0</v>
      </c>
      <c r="AB267" s="231">
        <f t="shared" si="40"/>
        <v>0</v>
      </c>
      <c r="AC267" s="231">
        <f t="shared" si="41"/>
        <v>0</v>
      </c>
      <c r="AD267" s="231">
        <f t="shared" si="42"/>
        <v>0</v>
      </c>
      <c r="AE267" s="231">
        <f t="shared" si="43"/>
        <v>0</v>
      </c>
      <c r="AF267" s="231">
        <f t="shared" si="44"/>
        <v>0</v>
      </c>
      <c r="AG267" s="231">
        <f t="shared" si="45"/>
        <v>0</v>
      </c>
    </row>
    <row r="268" spans="1:33">
      <c r="A268" t="str">
        <f>IF(ABS(H268)&gt;0,基础信息!$B$1,"")</f>
        <v/>
      </c>
      <c r="S268" s="230">
        <f t="shared" si="37"/>
        <v>0</v>
      </c>
      <c r="Z268" s="231">
        <f t="shared" si="38"/>
        <v>0</v>
      </c>
      <c r="AA268" s="231">
        <f t="shared" si="39"/>
        <v>0</v>
      </c>
      <c r="AB268" s="231">
        <f t="shared" si="40"/>
        <v>0</v>
      </c>
      <c r="AC268" s="231">
        <f t="shared" si="41"/>
        <v>0</v>
      </c>
      <c r="AD268" s="231">
        <f t="shared" si="42"/>
        <v>0</v>
      </c>
      <c r="AE268" s="231">
        <f t="shared" si="43"/>
        <v>0</v>
      </c>
      <c r="AF268" s="231">
        <f t="shared" si="44"/>
        <v>0</v>
      </c>
      <c r="AG268" s="231">
        <f t="shared" si="45"/>
        <v>0</v>
      </c>
    </row>
    <row r="269" spans="1:33">
      <c r="A269" t="str">
        <f>IF(ABS(H269)&gt;0,基础信息!$B$1,"")</f>
        <v/>
      </c>
      <c r="S269" s="230">
        <f t="shared" si="37"/>
        <v>0</v>
      </c>
      <c r="Z269" s="231">
        <f t="shared" si="38"/>
        <v>0</v>
      </c>
      <c r="AA269" s="231">
        <f t="shared" si="39"/>
        <v>0</v>
      </c>
      <c r="AB269" s="231">
        <f t="shared" si="40"/>
        <v>0</v>
      </c>
      <c r="AC269" s="231">
        <f t="shared" si="41"/>
        <v>0</v>
      </c>
      <c r="AD269" s="231">
        <f t="shared" si="42"/>
        <v>0</v>
      </c>
      <c r="AE269" s="231">
        <f t="shared" si="43"/>
        <v>0</v>
      </c>
      <c r="AF269" s="231">
        <f t="shared" si="44"/>
        <v>0</v>
      </c>
      <c r="AG269" s="231">
        <f t="shared" si="45"/>
        <v>0</v>
      </c>
    </row>
    <row r="270" spans="1:33">
      <c r="A270" t="str">
        <f>IF(ABS(H270)&gt;0,基础信息!$B$1,"")</f>
        <v/>
      </c>
      <c r="S270" s="230">
        <f t="shared" si="37"/>
        <v>0</v>
      </c>
      <c r="Z270" s="231">
        <f t="shared" si="38"/>
        <v>0</v>
      </c>
      <c r="AA270" s="231">
        <f t="shared" si="39"/>
        <v>0</v>
      </c>
      <c r="AB270" s="231">
        <f t="shared" si="40"/>
        <v>0</v>
      </c>
      <c r="AC270" s="231">
        <f t="shared" si="41"/>
        <v>0</v>
      </c>
      <c r="AD270" s="231">
        <f t="shared" si="42"/>
        <v>0</v>
      </c>
      <c r="AE270" s="231">
        <f t="shared" si="43"/>
        <v>0</v>
      </c>
      <c r="AF270" s="231">
        <f t="shared" si="44"/>
        <v>0</v>
      </c>
      <c r="AG270" s="231">
        <f t="shared" si="45"/>
        <v>0</v>
      </c>
    </row>
    <row r="271" spans="1:33">
      <c r="A271" t="str">
        <f>IF(ABS(H271)&gt;0,基础信息!$B$1,"")</f>
        <v/>
      </c>
      <c r="S271" s="230">
        <f t="shared" si="37"/>
        <v>0</v>
      </c>
      <c r="Z271" s="231">
        <f t="shared" si="38"/>
        <v>0</v>
      </c>
      <c r="AA271" s="231">
        <f t="shared" si="39"/>
        <v>0</v>
      </c>
      <c r="AB271" s="231">
        <f t="shared" si="40"/>
        <v>0</v>
      </c>
      <c r="AC271" s="231">
        <f t="shared" si="41"/>
        <v>0</v>
      </c>
      <c r="AD271" s="231">
        <f t="shared" si="42"/>
        <v>0</v>
      </c>
      <c r="AE271" s="231">
        <f t="shared" si="43"/>
        <v>0</v>
      </c>
      <c r="AF271" s="231">
        <f t="shared" si="44"/>
        <v>0</v>
      </c>
      <c r="AG271" s="231">
        <f t="shared" si="45"/>
        <v>0</v>
      </c>
    </row>
    <row r="272" spans="1:33">
      <c r="A272" t="str">
        <f>IF(ABS(H272)&gt;0,基础信息!$B$1,"")</f>
        <v/>
      </c>
      <c r="S272" s="230">
        <f t="shared" si="37"/>
        <v>0</v>
      </c>
      <c r="Z272" s="231">
        <f t="shared" si="38"/>
        <v>0</v>
      </c>
      <c r="AA272" s="231">
        <f t="shared" si="39"/>
        <v>0</v>
      </c>
      <c r="AB272" s="231">
        <f t="shared" si="40"/>
        <v>0</v>
      </c>
      <c r="AC272" s="231">
        <f t="shared" si="41"/>
        <v>0</v>
      </c>
      <c r="AD272" s="231">
        <f t="shared" si="42"/>
        <v>0</v>
      </c>
      <c r="AE272" s="231">
        <f t="shared" si="43"/>
        <v>0</v>
      </c>
      <c r="AF272" s="231">
        <f t="shared" si="44"/>
        <v>0</v>
      </c>
      <c r="AG272" s="231">
        <f t="shared" si="45"/>
        <v>0</v>
      </c>
    </row>
    <row r="273" spans="1:33">
      <c r="A273" t="str">
        <f>IF(ABS(H273)&gt;0,基础信息!$B$1,"")</f>
        <v/>
      </c>
      <c r="S273" s="230">
        <f t="shared" si="37"/>
        <v>0</v>
      </c>
      <c r="Z273" s="231">
        <f t="shared" si="38"/>
        <v>0</v>
      </c>
      <c r="AA273" s="231">
        <f t="shared" si="39"/>
        <v>0</v>
      </c>
      <c r="AB273" s="231">
        <f t="shared" si="40"/>
        <v>0</v>
      </c>
      <c r="AC273" s="231">
        <f t="shared" si="41"/>
        <v>0</v>
      </c>
      <c r="AD273" s="231">
        <f t="shared" si="42"/>
        <v>0</v>
      </c>
      <c r="AE273" s="231">
        <f t="shared" si="43"/>
        <v>0</v>
      </c>
      <c r="AF273" s="231">
        <f t="shared" si="44"/>
        <v>0</v>
      </c>
      <c r="AG273" s="231">
        <f t="shared" si="45"/>
        <v>0</v>
      </c>
    </row>
    <row r="274" spans="1:33">
      <c r="A274" t="str">
        <f>IF(ABS(H274)&gt;0,基础信息!$B$1,"")</f>
        <v/>
      </c>
      <c r="S274" s="230">
        <f t="shared" si="37"/>
        <v>0</v>
      </c>
      <c r="Z274" s="231">
        <f t="shared" si="38"/>
        <v>0</v>
      </c>
      <c r="AA274" s="231">
        <f t="shared" si="39"/>
        <v>0</v>
      </c>
      <c r="AB274" s="231">
        <f t="shared" si="40"/>
        <v>0</v>
      </c>
      <c r="AC274" s="231">
        <f t="shared" si="41"/>
        <v>0</v>
      </c>
      <c r="AD274" s="231">
        <f t="shared" si="42"/>
        <v>0</v>
      </c>
      <c r="AE274" s="231">
        <f t="shared" si="43"/>
        <v>0</v>
      </c>
      <c r="AF274" s="231">
        <f t="shared" si="44"/>
        <v>0</v>
      </c>
      <c r="AG274" s="231">
        <f t="shared" si="45"/>
        <v>0</v>
      </c>
    </row>
    <row r="275" spans="1:33">
      <c r="A275" t="str">
        <f>IF(ABS(H275)&gt;0,基础信息!$B$1,"")</f>
        <v/>
      </c>
      <c r="S275" s="230">
        <f t="shared" si="37"/>
        <v>0</v>
      </c>
      <c r="Z275" s="231">
        <f t="shared" si="38"/>
        <v>0</v>
      </c>
      <c r="AA275" s="231">
        <f t="shared" si="39"/>
        <v>0</v>
      </c>
      <c r="AB275" s="231">
        <f t="shared" si="40"/>
        <v>0</v>
      </c>
      <c r="AC275" s="231">
        <f t="shared" si="41"/>
        <v>0</v>
      </c>
      <c r="AD275" s="231">
        <f t="shared" si="42"/>
        <v>0</v>
      </c>
      <c r="AE275" s="231">
        <f t="shared" si="43"/>
        <v>0</v>
      </c>
      <c r="AF275" s="231">
        <f t="shared" si="44"/>
        <v>0</v>
      </c>
      <c r="AG275" s="231">
        <f t="shared" si="45"/>
        <v>0</v>
      </c>
    </row>
    <row r="276" spans="1:33">
      <c r="A276" t="str">
        <f>IF(ABS(H276)&gt;0,基础信息!$B$1,"")</f>
        <v/>
      </c>
      <c r="S276" s="230">
        <f t="shared" si="37"/>
        <v>0</v>
      </c>
      <c r="Z276" s="231">
        <f t="shared" si="38"/>
        <v>0</v>
      </c>
      <c r="AA276" s="231">
        <f t="shared" si="39"/>
        <v>0</v>
      </c>
      <c r="AB276" s="231">
        <f t="shared" si="40"/>
        <v>0</v>
      </c>
      <c r="AC276" s="231">
        <f t="shared" si="41"/>
        <v>0</v>
      </c>
      <c r="AD276" s="231">
        <f t="shared" si="42"/>
        <v>0</v>
      </c>
      <c r="AE276" s="231">
        <f t="shared" si="43"/>
        <v>0</v>
      </c>
      <c r="AF276" s="231">
        <f t="shared" si="44"/>
        <v>0</v>
      </c>
      <c r="AG276" s="231">
        <f t="shared" si="45"/>
        <v>0</v>
      </c>
    </row>
    <row r="277" spans="1:33">
      <c r="A277" t="str">
        <f>IF(ABS(H277)&gt;0,基础信息!$B$1,"")</f>
        <v/>
      </c>
      <c r="S277" s="230">
        <f t="shared" ref="S277:S340" si="46">O277+P277-Q277-R277</f>
        <v>0</v>
      </c>
      <c r="Z277" s="231">
        <f t="shared" ref="Z277:Z340" si="47">H277-S277</f>
        <v>0</v>
      </c>
      <c r="AA277" s="231">
        <f t="shared" ref="AA277:AA340" si="48">I277-T277</f>
        <v>0</v>
      </c>
      <c r="AB277" s="231">
        <f t="shared" ref="AB277:AB340" si="49">J277-U277</f>
        <v>0</v>
      </c>
      <c r="AC277" s="231">
        <f t="shared" ref="AC277:AC340" si="50">K277-V277</f>
        <v>0</v>
      </c>
      <c r="AD277" s="231">
        <f t="shared" ref="AD277:AD340" si="51">L277-W277</f>
        <v>0</v>
      </c>
      <c r="AE277" s="231">
        <f t="shared" ref="AE277:AE340" si="52">M277-X277</f>
        <v>0</v>
      </c>
      <c r="AF277" s="231">
        <f t="shared" ref="AF277:AF340" si="53">N277-Y277</f>
        <v>0</v>
      </c>
      <c r="AG277" s="231">
        <f t="shared" ref="AG277:AG340" si="54">S277-SUM(T277:Y277)</f>
        <v>0</v>
      </c>
    </row>
    <row r="278" spans="1:33">
      <c r="A278" t="str">
        <f>IF(ABS(H278)&gt;0,基础信息!$B$1,"")</f>
        <v/>
      </c>
      <c r="S278" s="230">
        <f t="shared" si="46"/>
        <v>0</v>
      </c>
      <c r="Z278" s="231">
        <f t="shared" si="47"/>
        <v>0</v>
      </c>
      <c r="AA278" s="231">
        <f t="shared" si="48"/>
        <v>0</v>
      </c>
      <c r="AB278" s="231">
        <f t="shared" si="49"/>
        <v>0</v>
      </c>
      <c r="AC278" s="231">
        <f t="shared" si="50"/>
        <v>0</v>
      </c>
      <c r="AD278" s="231">
        <f t="shared" si="51"/>
        <v>0</v>
      </c>
      <c r="AE278" s="231">
        <f t="shared" si="52"/>
        <v>0</v>
      </c>
      <c r="AF278" s="231">
        <f t="shared" si="53"/>
        <v>0</v>
      </c>
      <c r="AG278" s="231">
        <f t="shared" si="54"/>
        <v>0</v>
      </c>
    </row>
    <row r="279" spans="1:33">
      <c r="A279" t="str">
        <f>IF(ABS(H279)&gt;0,基础信息!$B$1,"")</f>
        <v/>
      </c>
      <c r="S279" s="230">
        <f t="shared" si="46"/>
        <v>0</v>
      </c>
      <c r="Z279" s="231">
        <f t="shared" si="47"/>
        <v>0</v>
      </c>
      <c r="AA279" s="231">
        <f t="shared" si="48"/>
        <v>0</v>
      </c>
      <c r="AB279" s="231">
        <f t="shared" si="49"/>
        <v>0</v>
      </c>
      <c r="AC279" s="231">
        <f t="shared" si="50"/>
        <v>0</v>
      </c>
      <c r="AD279" s="231">
        <f t="shared" si="51"/>
        <v>0</v>
      </c>
      <c r="AE279" s="231">
        <f t="shared" si="52"/>
        <v>0</v>
      </c>
      <c r="AF279" s="231">
        <f t="shared" si="53"/>
        <v>0</v>
      </c>
      <c r="AG279" s="231">
        <f t="shared" si="54"/>
        <v>0</v>
      </c>
    </row>
    <row r="280" spans="1:33">
      <c r="A280" t="str">
        <f>IF(ABS(H280)&gt;0,基础信息!$B$1,"")</f>
        <v/>
      </c>
      <c r="S280" s="230">
        <f t="shared" si="46"/>
        <v>0</v>
      </c>
      <c r="Z280" s="231">
        <f t="shared" si="47"/>
        <v>0</v>
      </c>
      <c r="AA280" s="231">
        <f t="shared" si="48"/>
        <v>0</v>
      </c>
      <c r="AB280" s="231">
        <f t="shared" si="49"/>
        <v>0</v>
      </c>
      <c r="AC280" s="231">
        <f t="shared" si="50"/>
        <v>0</v>
      </c>
      <c r="AD280" s="231">
        <f t="shared" si="51"/>
        <v>0</v>
      </c>
      <c r="AE280" s="231">
        <f t="shared" si="52"/>
        <v>0</v>
      </c>
      <c r="AF280" s="231">
        <f t="shared" si="53"/>
        <v>0</v>
      </c>
      <c r="AG280" s="231">
        <f t="shared" si="54"/>
        <v>0</v>
      </c>
    </row>
    <row r="281" spans="1:33">
      <c r="A281" t="str">
        <f>IF(ABS(H281)&gt;0,基础信息!$B$1,"")</f>
        <v/>
      </c>
      <c r="S281" s="230">
        <f t="shared" si="46"/>
        <v>0</v>
      </c>
      <c r="Z281" s="231">
        <f t="shared" si="47"/>
        <v>0</v>
      </c>
      <c r="AA281" s="231">
        <f t="shared" si="48"/>
        <v>0</v>
      </c>
      <c r="AB281" s="231">
        <f t="shared" si="49"/>
        <v>0</v>
      </c>
      <c r="AC281" s="231">
        <f t="shared" si="50"/>
        <v>0</v>
      </c>
      <c r="AD281" s="231">
        <f t="shared" si="51"/>
        <v>0</v>
      </c>
      <c r="AE281" s="231">
        <f t="shared" si="52"/>
        <v>0</v>
      </c>
      <c r="AF281" s="231">
        <f t="shared" si="53"/>
        <v>0</v>
      </c>
      <c r="AG281" s="231">
        <f t="shared" si="54"/>
        <v>0</v>
      </c>
    </row>
    <row r="282" spans="1:33">
      <c r="A282" t="str">
        <f>IF(ABS(H282)&gt;0,基础信息!$B$1,"")</f>
        <v/>
      </c>
      <c r="S282" s="230">
        <f t="shared" si="46"/>
        <v>0</v>
      </c>
      <c r="Z282" s="231">
        <f t="shared" si="47"/>
        <v>0</v>
      </c>
      <c r="AA282" s="231">
        <f t="shared" si="48"/>
        <v>0</v>
      </c>
      <c r="AB282" s="231">
        <f t="shared" si="49"/>
        <v>0</v>
      </c>
      <c r="AC282" s="231">
        <f t="shared" si="50"/>
        <v>0</v>
      </c>
      <c r="AD282" s="231">
        <f t="shared" si="51"/>
        <v>0</v>
      </c>
      <c r="AE282" s="231">
        <f t="shared" si="52"/>
        <v>0</v>
      </c>
      <c r="AF282" s="231">
        <f t="shared" si="53"/>
        <v>0</v>
      </c>
      <c r="AG282" s="231">
        <f t="shared" si="54"/>
        <v>0</v>
      </c>
    </row>
    <row r="283" spans="1:33">
      <c r="A283" t="str">
        <f>IF(ABS(H283)&gt;0,基础信息!$B$1,"")</f>
        <v/>
      </c>
      <c r="S283" s="230">
        <f t="shared" si="46"/>
        <v>0</v>
      </c>
      <c r="Z283" s="231">
        <f t="shared" si="47"/>
        <v>0</v>
      </c>
      <c r="AA283" s="231">
        <f t="shared" si="48"/>
        <v>0</v>
      </c>
      <c r="AB283" s="231">
        <f t="shared" si="49"/>
        <v>0</v>
      </c>
      <c r="AC283" s="231">
        <f t="shared" si="50"/>
        <v>0</v>
      </c>
      <c r="AD283" s="231">
        <f t="shared" si="51"/>
        <v>0</v>
      </c>
      <c r="AE283" s="231">
        <f t="shared" si="52"/>
        <v>0</v>
      </c>
      <c r="AF283" s="231">
        <f t="shared" si="53"/>
        <v>0</v>
      </c>
      <c r="AG283" s="231">
        <f t="shared" si="54"/>
        <v>0</v>
      </c>
    </row>
    <row r="284" spans="1:33">
      <c r="A284" t="str">
        <f>IF(ABS(H284)&gt;0,基础信息!$B$1,"")</f>
        <v/>
      </c>
      <c r="S284" s="230">
        <f t="shared" si="46"/>
        <v>0</v>
      </c>
      <c r="Z284" s="231">
        <f t="shared" si="47"/>
        <v>0</v>
      </c>
      <c r="AA284" s="231">
        <f t="shared" si="48"/>
        <v>0</v>
      </c>
      <c r="AB284" s="231">
        <f t="shared" si="49"/>
        <v>0</v>
      </c>
      <c r="AC284" s="231">
        <f t="shared" si="50"/>
        <v>0</v>
      </c>
      <c r="AD284" s="231">
        <f t="shared" si="51"/>
        <v>0</v>
      </c>
      <c r="AE284" s="231">
        <f t="shared" si="52"/>
        <v>0</v>
      </c>
      <c r="AF284" s="231">
        <f t="shared" si="53"/>
        <v>0</v>
      </c>
      <c r="AG284" s="231">
        <f t="shared" si="54"/>
        <v>0</v>
      </c>
    </row>
    <row r="285" spans="1:33">
      <c r="A285" t="str">
        <f>IF(ABS(H285)&gt;0,基础信息!$B$1,"")</f>
        <v/>
      </c>
      <c r="S285" s="230">
        <f t="shared" si="46"/>
        <v>0</v>
      </c>
      <c r="Z285" s="231">
        <f t="shared" si="47"/>
        <v>0</v>
      </c>
      <c r="AA285" s="231">
        <f t="shared" si="48"/>
        <v>0</v>
      </c>
      <c r="AB285" s="231">
        <f t="shared" si="49"/>
        <v>0</v>
      </c>
      <c r="AC285" s="231">
        <f t="shared" si="50"/>
        <v>0</v>
      </c>
      <c r="AD285" s="231">
        <f t="shared" si="51"/>
        <v>0</v>
      </c>
      <c r="AE285" s="231">
        <f t="shared" si="52"/>
        <v>0</v>
      </c>
      <c r="AF285" s="231">
        <f t="shared" si="53"/>
        <v>0</v>
      </c>
      <c r="AG285" s="231">
        <f t="shared" si="54"/>
        <v>0</v>
      </c>
    </row>
    <row r="286" spans="1:33">
      <c r="A286" t="str">
        <f>IF(ABS(H286)&gt;0,基础信息!$B$1,"")</f>
        <v/>
      </c>
      <c r="S286" s="230">
        <f t="shared" si="46"/>
        <v>0</v>
      </c>
      <c r="Z286" s="231">
        <f t="shared" si="47"/>
        <v>0</v>
      </c>
      <c r="AA286" s="231">
        <f t="shared" si="48"/>
        <v>0</v>
      </c>
      <c r="AB286" s="231">
        <f t="shared" si="49"/>
        <v>0</v>
      </c>
      <c r="AC286" s="231">
        <f t="shared" si="50"/>
        <v>0</v>
      </c>
      <c r="AD286" s="231">
        <f t="shared" si="51"/>
        <v>0</v>
      </c>
      <c r="AE286" s="231">
        <f t="shared" si="52"/>
        <v>0</v>
      </c>
      <c r="AF286" s="231">
        <f t="shared" si="53"/>
        <v>0</v>
      </c>
      <c r="AG286" s="231">
        <f t="shared" si="54"/>
        <v>0</v>
      </c>
    </row>
    <row r="287" spans="1:33">
      <c r="A287" t="str">
        <f>IF(ABS(H287)&gt;0,基础信息!$B$1,"")</f>
        <v/>
      </c>
      <c r="S287" s="230">
        <f t="shared" si="46"/>
        <v>0</v>
      </c>
      <c r="Z287" s="231">
        <f t="shared" si="47"/>
        <v>0</v>
      </c>
      <c r="AA287" s="231">
        <f t="shared" si="48"/>
        <v>0</v>
      </c>
      <c r="AB287" s="231">
        <f t="shared" si="49"/>
        <v>0</v>
      </c>
      <c r="AC287" s="231">
        <f t="shared" si="50"/>
        <v>0</v>
      </c>
      <c r="AD287" s="231">
        <f t="shared" si="51"/>
        <v>0</v>
      </c>
      <c r="AE287" s="231">
        <f t="shared" si="52"/>
        <v>0</v>
      </c>
      <c r="AF287" s="231">
        <f t="shared" si="53"/>
        <v>0</v>
      </c>
      <c r="AG287" s="231">
        <f t="shared" si="54"/>
        <v>0</v>
      </c>
    </row>
    <row r="288" spans="1:33">
      <c r="A288" t="str">
        <f>IF(ABS(H288)&gt;0,基础信息!$B$1,"")</f>
        <v/>
      </c>
      <c r="S288" s="230">
        <f t="shared" si="46"/>
        <v>0</v>
      </c>
      <c r="Z288" s="231">
        <f t="shared" si="47"/>
        <v>0</v>
      </c>
      <c r="AA288" s="231">
        <f t="shared" si="48"/>
        <v>0</v>
      </c>
      <c r="AB288" s="231">
        <f t="shared" si="49"/>
        <v>0</v>
      </c>
      <c r="AC288" s="231">
        <f t="shared" si="50"/>
        <v>0</v>
      </c>
      <c r="AD288" s="231">
        <f t="shared" si="51"/>
        <v>0</v>
      </c>
      <c r="AE288" s="231">
        <f t="shared" si="52"/>
        <v>0</v>
      </c>
      <c r="AF288" s="231">
        <f t="shared" si="53"/>
        <v>0</v>
      </c>
      <c r="AG288" s="231">
        <f t="shared" si="54"/>
        <v>0</v>
      </c>
    </row>
    <row r="289" spans="1:33">
      <c r="A289" t="str">
        <f>IF(ABS(H289)&gt;0,基础信息!$B$1,"")</f>
        <v/>
      </c>
      <c r="S289" s="230">
        <f t="shared" si="46"/>
        <v>0</v>
      </c>
      <c r="Z289" s="231">
        <f t="shared" si="47"/>
        <v>0</v>
      </c>
      <c r="AA289" s="231">
        <f t="shared" si="48"/>
        <v>0</v>
      </c>
      <c r="AB289" s="231">
        <f t="shared" si="49"/>
        <v>0</v>
      </c>
      <c r="AC289" s="231">
        <f t="shared" si="50"/>
        <v>0</v>
      </c>
      <c r="AD289" s="231">
        <f t="shared" si="51"/>
        <v>0</v>
      </c>
      <c r="AE289" s="231">
        <f t="shared" si="52"/>
        <v>0</v>
      </c>
      <c r="AF289" s="231">
        <f t="shared" si="53"/>
        <v>0</v>
      </c>
      <c r="AG289" s="231">
        <f t="shared" si="54"/>
        <v>0</v>
      </c>
    </row>
    <row r="290" spans="1:33">
      <c r="A290" t="str">
        <f>IF(ABS(H290)&gt;0,基础信息!$B$1,"")</f>
        <v/>
      </c>
      <c r="S290" s="230">
        <f t="shared" si="46"/>
        <v>0</v>
      </c>
      <c r="Z290" s="231">
        <f t="shared" si="47"/>
        <v>0</v>
      </c>
      <c r="AA290" s="231">
        <f t="shared" si="48"/>
        <v>0</v>
      </c>
      <c r="AB290" s="231">
        <f t="shared" si="49"/>
        <v>0</v>
      </c>
      <c r="AC290" s="231">
        <f t="shared" si="50"/>
        <v>0</v>
      </c>
      <c r="AD290" s="231">
        <f t="shared" si="51"/>
        <v>0</v>
      </c>
      <c r="AE290" s="231">
        <f t="shared" si="52"/>
        <v>0</v>
      </c>
      <c r="AF290" s="231">
        <f t="shared" si="53"/>
        <v>0</v>
      </c>
      <c r="AG290" s="231">
        <f t="shared" si="54"/>
        <v>0</v>
      </c>
    </row>
    <row r="291" spans="1:33">
      <c r="A291" t="str">
        <f>IF(ABS(H291)&gt;0,基础信息!$B$1,"")</f>
        <v/>
      </c>
      <c r="S291" s="230">
        <f t="shared" si="46"/>
        <v>0</v>
      </c>
      <c r="Z291" s="231">
        <f t="shared" si="47"/>
        <v>0</v>
      </c>
      <c r="AA291" s="231">
        <f t="shared" si="48"/>
        <v>0</v>
      </c>
      <c r="AB291" s="231">
        <f t="shared" si="49"/>
        <v>0</v>
      </c>
      <c r="AC291" s="231">
        <f t="shared" si="50"/>
        <v>0</v>
      </c>
      <c r="AD291" s="231">
        <f t="shared" si="51"/>
        <v>0</v>
      </c>
      <c r="AE291" s="231">
        <f t="shared" si="52"/>
        <v>0</v>
      </c>
      <c r="AF291" s="231">
        <f t="shared" si="53"/>
        <v>0</v>
      </c>
      <c r="AG291" s="231">
        <f t="shared" si="54"/>
        <v>0</v>
      </c>
    </row>
    <row r="292" spans="1:33">
      <c r="A292" t="str">
        <f>IF(ABS(H292)&gt;0,基础信息!$B$1,"")</f>
        <v/>
      </c>
      <c r="S292" s="230">
        <f t="shared" si="46"/>
        <v>0</v>
      </c>
      <c r="Z292" s="231">
        <f t="shared" si="47"/>
        <v>0</v>
      </c>
      <c r="AA292" s="231">
        <f t="shared" si="48"/>
        <v>0</v>
      </c>
      <c r="AB292" s="231">
        <f t="shared" si="49"/>
        <v>0</v>
      </c>
      <c r="AC292" s="231">
        <f t="shared" si="50"/>
        <v>0</v>
      </c>
      <c r="AD292" s="231">
        <f t="shared" si="51"/>
        <v>0</v>
      </c>
      <c r="AE292" s="231">
        <f t="shared" si="52"/>
        <v>0</v>
      </c>
      <c r="AF292" s="231">
        <f t="shared" si="53"/>
        <v>0</v>
      </c>
      <c r="AG292" s="231">
        <f t="shared" si="54"/>
        <v>0</v>
      </c>
    </row>
    <row r="293" spans="1:33">
      <c r="A293" t="str">
        <f>IF(ABS(H293)&gt;0,基础信息!$B$1,"")</f>
        <v/>
      </c>
      <c r="S293" s="230">
        <f t="shared" si="46"/>
        <v>0</v>
      </c>
      <c r="Z293" s="231">
        <f t="shared" si="47"/>
        <v>0</v>
      </c>
      <c r="AA293" s="231">
        <f t="shared" si="48"/>
        <v>0</v>
      </c>
      <c r="AB293" s="231">
        <f t="shared" si="49"/>
        <v>0</v>
      </c>
      <c r="AC293" s="231">
        <f t="shared" si="50"/>
        <v>0</v>
      </c>
      <c r="AD293" s="231">
        <f t="shared" si="51"/>
        <v>0</v>
      </c>
      <c r="AE293" s="231">
        <f t="shared" si="52"/>
        <v>0</v>
      </c>
      <c r="AF293" s="231">
        <f t="shared" si="53"/>
        <v>0</v>
      </c>
      <c r="AG293" s="231">
        <f t="shared" si="54"/>
        <v>0</v>
      </c>
    </row>
    <row r="294" spans="1:33">
      <c r="A294" t="str">
        <f>IF(ABS(H294)&gt;0,基础信息!$B$1,"")</f>
        <v/>
      </c>
      <c r="S294" s="230">
        <f t="shared" si="46"/>
        <v>0</v>
      </c>
      <c r="Z294" s="231">
        <f t="shared" si="47"/>
        <v>0</v>
      </c>
      <c r="AA294" s="231">
        <f t="shared" si="48"/>
        <v>0</v>
      </c>
      <c r="AB294" s="231">
        <f t="shared" si="49"/>
        <v>0</v>
      </c>
      <c r="AC294" s="231">
        <f t="shared" si="50"/>
        <v>0</v>
      </c>
      <c r="AD294" s="231">
        <f t="shared" si="51"/>
        <v>0</v>
      </c>
      <c r="AE294" s="231">
        <f t="shared" si="52"/>
        <v>0</v>
      </c>
      <c r="AF294" s="231">
        <f t="shared" si="53"/>
        <v>0</v>
      </c>
      <c r="AG294" s="231">
        <f t="shared" si="54"/>
        <v>0</v>
      </c>
    </row>
    <row r="295" spans="1:33">
      <c r="A295" t="str">
        <f>IF(ABS(H295)&gt;0,基础信息!$B$1,"")</f>
        <v/>
      </c>
      <c r="S295" s="230">
        <f t="shared" si="46"/>
        <v>0</v>
      </c>
      <c r="Z295" s="231">
        <f t="shared" si="47"/>
        <v>0</v>
      </c>
      <c r="AA295" s="231">
        <f t="shared" si="48"/>
        <v>0</v>
      </c>
      <c r="AB295" s="231">
        <f t="shared" si="49"/>
        <v>0</v>
      </c>
      <c r="AC295" s="231">
        <f t="shared" si="50"/>
        <v>0</v>
      </c>
      <c r="AD295" s="231">
        <f t="shared" si="51"/>
        <v>0</v>
      </c>
      <c r="AE295" s="231">
        <f t="shared" si="52"/>
        <v>0</v>
      </c>
      <c r="AF295" s="231">
        <f t="shared" si="53"/>
        <v>0</v>
      </c>
      <c r="AG295" s="231">
        <f t="shared" si="54"/>
        <v>0</v>
      </c>
    </row>
    <row r="296" spans="1:33">
      <c r="A296" t="str">
        <f>IF(ABS(H296)&gt;0,基础信息!$B$1,"")</f>
        <v/>
      </c>
      <c r="S296" s="230">
        <f t="shared" si="46"/>
        <v>0</v>
      </c>
      <c r="Z296" s="231">
        <f t="shared" si="47"/>
        <v>0</v>
      </c>
      <c r="AA296" s="231">
        <f t="shared" si="48"/>
        <v>0</v>
      </c>
      <c r="AB296" s="231">
        <f t="shared" si="49"/>
        <v>0</v>
      </c>
      <c r="AC296" s="231">
        <f t="shared" si="50"/>
        <v>0</v>
      </c>
      <c r="AD296" s="231">
        <f t="shared" si="51"/>
        <v>0</v>
      </c>
      <c r="AE296" s="231">
        <f t="shared" si="52"/>
        <v>0</v>
      </c>
      <c r="AF296" s="231">
        <f t="shared" si="53"/>
        <v>0</v>
      </c>
      <c r="AG296" s="231">
        <f t="shared" si="54"/>
        <v>0</v>
      </c>
    </row>
    <row r="297" spans="1:33">
      <c r="A297" t="str">
        <f>IF(ABS(H297)&gt;0,基础信息!$B$1,"")</f>
        <v/>
      </c>
      <c r="S297" s="230">
        <f t="shared" si="46"/>
        <v>0</v>
      </c>
      <c r="Z297" s="231">
        <f t="shared" si="47"/>
        <v>0</v>
      </c>
      <c r="AA297" s="231">
        <f t="shared" si="48"/>
        <v>0</v>
      </c>
      <c r="AB297" s="231">
        <f t="shared" si="49"/>
        <v>0</v>
      </c>
      <c r="AC297" s="231">
        <f t="shared" si="50"/>
        <v>0</v>
      </c>
      <c r="AD297" s="231">
        <f t="shared" si="51"/>
        <v>0</v>
      </c>
      <c r="AE297" s="231">
        <f t="shared" si="52"/>
        <v>0</v>
      </c>
      <c r="AF297" s="231">
        <f t="shared" si="53"/>
        <v>0</v>
      </c>
      <c r="AG297" s="231">
        <f t="shared" si="54"/>
        <v>0</v>
      </c>
    </row>
    <row r="298" spans="1:33">
      <c r="A298" t="str">
        <f>IF(ABS(H298)&gt;0,基础信息!$B$1,"")</f>
        <v/>
      </c>
      <c r="S298" s="230">
        <f t="shared" si="46"/>
        <v>0</v>
      </c>
      <c r="Z298" s="231">
        <f t="shared" si="47"/>
        <v>0</v>
      </c>
      <c r="AA298" s="231">
        <f t="shared" si="48"/>
        <v>0</v>
      </c>
      <c r="AB298" s="231">
        <f t="shared" si="49"/>
        <v>0</v>
      </c>
      <c r="AC298" s="231">
        <f t="shared" si="50"/>
        <v>0</v>
      </c>
      <c r="AD298" s="231">
        <f t="shared" si="51"/>
        <v>0</v>
      </c>
      <c r="AE298" s="231">
        <f t="shared" si="52"/>
        <v>0</v>
      </c>
      <c r="AF298" s="231">
        <f t="shared" si="53"/>
        <v>0</v>
      </c>
      <c r="AG298" s="231">
        <f t="shared" si="54"/>
        <v>0</v>
      </c>
    </row>
    <row r="299" spans="1:33">
      <c r="A299" t="str">
        <f>IF(ABS(H299)&gt;0,基础信息!$B$1,"")</f>
        <v/>
      </c>
      <c r="S299" s="230">
        <f t="shared" si="46"/>
        <v>0</v>
      </c>
      <c r="Z299" s="231">
        <f t="shared" si="47"/>
        <v>0</v>
      </c>
      <c r="AA299" s="231">
        <f t="shared" si="48"/>
        <v>0</v>
      </c>
      <c r="AB299" s="231">
        <f t="shared" si="49"/>
        <v>0</v>
      </c>
      <c r="AC299" s="231">
        <f t="shared" si="50"/>
        <v>0</v>
      </c>
      <c r="AD299" s="231">
        <f t="shared" si="51"/>
        <v>0</v>
      </c>
      <c r="AE299" s="231">
        <f t="shared" si="52"/>
        <v>0</v>
      </c>
      <c r="AF299" s="231">
        <f t="shared" si="53"/>
        <v>0</v>
      </c>
      <c r="AG299" s="231">
        <f t="shared" si="54"/>
        <v>0</v>
      </c>
    </row>
    <row r="300" spans="1:33">
      <c r="A300" t="str">
        <f>IF(ABS(H300)&gt;0,基础信息!$B$1,"")</f>
        <v/>
      </c>
      <c r="S300" s="230">
        <f t="shared" si="46"/>
        <v>0</v>
      </c>
      <c r="Z300" s="231">
        <f t="shared" si="47"/>
        <v>0</v>
      </c>
      <c r="AA300" s="231">
        <f t="shared" si="48"/>
        <v>0</v>
      </c>
      <c r="AB300" s="231">
        <f t="shared" si="49"/>
        <v>0</v>
      </c>
      <c r="AC300" s="231">
        <f t="shared" si="50"/>
        <v>0</v>
      </c>
      <c r="AD300" s="231">
        <f t="shared" si="51"/>
        <v>0</v>
      </c>
      <c r="AE300" s="231">
        <f t="shared" si="52"/>
        <v>0</v>
      </c>
      <c r="AF300" s="231">
        <f t="shared" si="53"/>
        <v>0</v>
      </c>
      <c r="AG300" s="231">
        <f t="shared" si="54"/>
        <v>0</v>
      </c>
    </row>
    <row r="301" spans="1:33">
      <c r="A301" t="str">
        <f>IF(ABS(H301)&gt;0,基础信息!$B$1,"")</f>
        <v/>
      </c>
      <c r="S301" s="230">
        <f t="shared" si="46"/>
        <v>0</v>
      </c>
      <c r="Z301" s="231">
        <f t="shared" si="47"/>
        <v>0</v>
      </c>
      <c r="AA301" s="231">
        <f t="shared" si="48"/>
        <v>0</v>
      </c>
      <c r="AB301" s="231">
        <f t="shared" si="49"/>
        <v>0</v>
      </c>
      <c r="AC301" s="231">
        <f t="shared" si="50"/>
        <v>0</v>
      </c>
      <c r="AD301" s="231">
        <f t="shared" si="51"/>
        <v>0</v>
      </c>
      <c r="AE301" s="231">
        <f t="shared" si="52"/>
        <v>0</v>
      </c>
      <c r="AF301" s="231">
        <f t="shared" si="53"/>
        <v>0</v>
      </c>
      <c r="AG301" s="231">
        <f t="shared" si="54"/>
        <v>0</v>
      </c>
    </row>
    <row r="302" spans="1:33">
      <c r="A302" t="str">
        <f>IF(ABS(H302)&gt;0,基础信息!$B$1,"")</f>
        <v/>
      </c>
      <c r="S302" s="230">
        <f t="shared" si="46"/>
        <v>0</v>
      </c>
      <c r="Z302" s="231">
        <f t="shared" si="47"/>
        <v>0</v>
      </c>
      <c r="AA302" s="231">
        <f t="shared" si="48"/>
        <v>0</v>
      </c>
      <c r="AB302" s="231">
        <f t="shared" si="49"/>
        <v>0</v>
      </c>
      <c r="AC302" s="231">
        <f t="shared" si="50"/>
        <v>0</v>
      </c>
      <c r="AD302" s="231">
        <f t="shared" si="51"/>
        <v>0</v>
      </c>
      <c r="AE302" s="231">
        <f t="shared" si="52"/>
        <v>0</v>
      </c>
      <c r="AF302" s="231">
        <f t="shared" si="53"/>
        <v>0</v>
      </c>
      <c r="AG302" s="231">
        <f t="shared" si="54"/>
        <v>0</v>
      </c>
    </row>
    <row r="303" spans="1:33">
      <c r="A303" t="str">
        <f>IF(ABS(H303)&gt;0,基础信息!$B$1,"")</f>
        <v/>
      </c>
      <c r="S303" s="230">
        <f t="shared" si="46"/>
        <v>0</v>
      </c>
      <c r="Z303" s="231">
        <f t="shared" si="47"/>
        <v>0</v>
      </c>
      <c r="AA303" s="231">
        <f t="shared" si="48"/>
        <v>0</v>
      </c>
      <c r="AB303" s="231">
        <f t="shared" si="49"/>
        <v>0</v>
      </c>
      <c r="AC303" s="231">
        <f t="shared" si="50"/>
        <v>0</v>
      </c>
      <c r="AD303" s="231">
        <f t="shared" si="51"/>
        <v>0</v>
      </c>
      <c r="AE303" s="231">
        <f t="shared" si="52"/>
        <v>0</v>
      </c>
      <c r="AF303" s="231">
        <f t="shared" si="53"/>
        <v>0</v>
      </c>
      <c r="AG303" s="231">
        <f t="shared" si="54"/>
        <v>0</v>
      </c>
    </row>
    <row r="304" spans="1:33">
      <c r="A304" t="str">
        <f>IF(ABS(H304)&gt;0,基础信息!$B$1,"")</f>
        <v/>
      </c>
      <c r="S304" s="230">
        <f t="shared" si="46"/>
        <v>0</v>
      </c>
      <c r="Z304" s="231">
        <f t="shared" si="47"/>
        <v>0</v>
      </c>
      <c r="AA304" s="231">
        <f t="shared" si="48"/>
        <v>0</v>
      </c>
      <c r="AB304" s="231">
        <f t="shared" si="49"/>
        <v>0</v>
      </c>
      <c r="AC304" s="231">
        <f t="shared" si="50"/>
        <v>0</v>
      </c>
      <c r="AD304" s="231">
        <f t="shared" si="51"/>
        <v>0</v>
      </c>
      <c r="AE304" s="231">
        <f t="shared" si="52"/>
        <v>0</v>
      </c>
      <c r="AF304" s="231">
        <f t="shared" si="53"/>
        <v>0</v>
      </c>
      <c r="AG304" s="231">
        <f t="shared" si="54"/>
        <v>0</v>
      </c>
    </row>
    <row r="305" spans="1:33">
      <c r="A305" t="str">
        <f>IF(ABS(H305)&gt;0,基础信息!$B$1,"")</f>
        <v/>
      </c>
      <c r="S305" s="230">
        <f t="shared" si="46"/>
        <v>0</v>
      </c>
      <c r="Z305" s="231">
        <f t="shared" si="47"/>
        <v>0</v>
      </c>
      <c r="AA305" s="231">
        <f t="shared" si="48"/>
        <v>0</v>
      </c>
      <c r="AB305" s="231">
        <f t="shared" si="49"/>
        <v>0</v>
      </c>
      <c r="AC305" s="231">
        <f t="shared" si="50"/>
        <v>0</v>
      </c>
      <c r="AD305" s="231">
        <f t="shared" si="51"/>
        <v>0</v>
      </c>
      <c r="AE305" s="231">
        <f t="shared" si="52"/>
        <v>0</v>
      </c>
      <c r="AF305" s="231">
        <f t="shared" si="53"/>
        <v>0</v>
      </c>
      <c r="AG305" s="231">
        <f t="shared" si="54"/>
        <v>0</v>
      </c>
    </row>
    <row r="306" spans="1:33">
      <c r="A306" t="str">
        <f>IF(ABS(H306)&gt;0,基础信息!$B$1,"")</f>
        <v/>
      </c>
      <c r="S306" s="230">
        <f t="shared" si="46"/>
        <v>0</v>
      </c>
      <c r="Z306" s="231">
        <f t="shared" si="47"/>
        <v>0</v>
      </c>
      <c r="AA306" s="231">
        <f t="shared" si="48"/>
        <v>0</v>
      </c>
      <c r="AB306" s="231">
        <f t="shared" si="49"/>
        <v>0</v>
      </c>
      <c r="AC306" s="231">
        <f t="shared" si="50"/>
        <v>0</v>
      </c>
      <c r="AD306" s="231">
        <f t="shared" si="51"/>
        <v>0</v>
      </c>
      <c r="AE306" s="231">
        <f t="shared" si="52"/>
        <v>0</v>
      </c>
      <c r="AF306" s="231">
        <f t="shared" si="53"/>
        <v>0</v>
      </c>
      <c r="AG306" s="231">
        <f t="shared" si="54"/>
        <v>0</v>
      </c>
    </row>
    <row r="307" spans="1:33">
      <c r="A307" t="str">
        <f>IF(ABS(H307)&gt;0,基础信息!$B$1,"")</f>
        <v/>
      </c>
      <c r="S307" s="230">
        <f t="shared" si="46"/>
        <v>0</v>
      </c>
      <c r="Z307" s="231">
        <f t="shared" si="47"/>
        <v>0</v>
      </c>
      <c r="AA307" s="231">
        <f t="shared" si="48"/>
        <v>0</v>
      </c>
      <c r="AB307" s="231">
        <f t="shared" si="49"/>
        <v>0</v>
      </c>
      <c r="AC307" s="231">
        <f t="shared" si="50"/>
        <v>0</v>
      </c>
      <c r="AD307" s="231">
        <f t="shared" si="51"/>
        <v>0</v>
      </c>
      <c r="AE307" s="231">
        <f t="shared" si="52"/>
        <v>0</v>
      </c>
      <c r="AF307" s="231">
        <f t="shared" si="53"/>
        <v>0</v>
      </c>
      <c r="AG307" s="231">
        <f t="shared" si="54"/>
        <v>0</v>
      </c>
    </row>
    <row r="308" spans="1:33">
      <c r="A308" t="str">
        <f>IF(ABS(H308)&gt;0,基础信息!$B$1,"")</f>
        <v/>
      </c>
      <c r="S308" s="230">
        <f t="shared" si="46"/>
        <v>0</v>
      </c>
      <c r="Z308" s="231">
        <f t="shared" si="47"/>
        <v>0</v>
      </c>
      <c r="AA308" s="231">
        <f t="shared" si="48"/>
        <v>0</v>
      </c>
      <c r="AB308" s="231">
        <f t="shared" si="49"/>
        <v>0</v>
      </c>
      <c r="AC308" s="231">
        <f t="shared" si="50"/>
        <v>0</v>
      </c>
      <c r="AD308" s="231">
        <f t="shared" si="51"/>
        <v>0</v>
      </c>
      <c r="AE308" s="231">
        <f t="shared" si="52"/>
        <v>0</v>
      </c>
      <c r="AF308" s="231">
        <f t="shared" si="53"/>
        <v>0</v>
      </c>
      <c r="AG308" s="231">
        <f t="shared" si="54"/>
        <v>0</v>
      </c>
    </row>
    <row r="309" spans="1:33">
      <c r="A309" t="str">
        <f>IF(ABS(H309)&gt;0,基础信息!$B$1,"")</f>
        <v/>
      </c>
      <c r="S309" s="230">
        <f t="shared" si="46"/>
        <v>0</v>
      </c>
      <c r="Z309" s="231">
        <f t="shared" si="47"/>
        <v>0</v>
      </c>
      <c r="AA309" s="231">
        <f t="shared" si="48"/>
        <v>0</v>
      </c>
      <c r="AB309" s="231">
        <f t="shared" si="49"/>
        <v>0</v>
      </c>
      <c r="AC309" s="231">
        <f t="shared" si="50"/>
        <v>0</v>
      </c>
      <c r="AD309" s="231">
        <f t="shared" si="51"/>
        <v>0</v>
      </c>
      <c r="AE309" s="231">
        <f t="shared" si="52"/>
        <v>0</v>
      </c>
      <c r="AF309" s="231">
        <f t="shared" si="53"/>
        <v>0</v>
      </c>
      <c r="AG309" s="231">
        <f t="shared" si="54"/>
        <v>0</v>
      </c>
    </row>
    <row r="310" spans="1:33">
      <c r="A310" t="str">
        <f>IF(ABS(H310)&gt;0,基础信息!$B$1,"")</f>
        <v/>
      </c>
      <c r="S310" s="230">
        <f t="shared" si="46"/>
        <v>0</v>
      </c>
      <c r="Z310" s="231">
        <f t="shared" si="47"/>
        <v>0</v>
      </c>
      <c r="AA310" s="231">
        <f t="shared" si="48"/>
        <v>0</v>
      </c>
      <c r="AB310" s="231">
        <f t="shared" si="49"/>
        <v>0</v>
      </c>
      <c r="AC310" s="231">
        <f t="shared" si="50"/>
        <v>0</v>
      </c>
      <c r="AD310" s="231">
        <f t="shared" si="51"/>
        <v>0</v>
      </c>
      <c r="AE310" s="231">
        <f t="shared" si="52"/>
        <v>0</v>
      </c>
      <c r="AF310" s="231">
        <f t="shared" si="53"/>
        <v>0</v>
      </c>
      <c r="AG310" s="231">
        <f t="shared" si="54"/>
        <v>0</v>
      </c>
    </row>
    <row r="311" spans="1:33">
      <c r="A311" t="str">
        <f>IF(ABS(H311)&gt;0,基础信息!$B$1,"")</f>
        <v/>
      </c>
      <c r="S311" s="230">
        <f t="shared" si="46"/>
        <v>0</v>
      </c>
      <c r="Z311" s="231">
        <f t="shared" si="47"/>
        <v>0</v>
      </c>
      <c r="AA311" s="231">
        <f t="shared" si="48"/>
        <v>0</v>
      </c>
      <c r="AB311" s="231">
        <f t="shared" si="49"/>
        <v>0</v>
      </c>
      <c r="AC311" s="231">
        <f t="shared" si="50"/>
        <v>0</v>
      </c>
      <c r="AD311" s="231">
        <f t="shared" si="51"/>
        <v>0</v>
      </c>
      <c r="AE311" s="231">
        <f t="shared" si="52"/>
        <v>0</v>
      </c>
      <c r="AF311" s="231">
        <f t="shared" si="53"/>
        <v>0</v>
      </c>
      <c r="AG311" s="231">
        <f t="shared" si="54"/>
        <v>0</v>
      </c>
    </row>
    <row r="312" spans="1:33">
      <c r="A312" t="str">
        <f>IF(ABS(H312)&gt;0,基础信息!$B$1,"")</f>
        <v/>
      </c>
      <c r="S312" s="230">
        <f t="shared" si="46"/>
        <v>0</v>
      </c>
      <c r="Z312" s="231">
        <f t="shared" si="47"/>
        <v>0</v>
      </c>
      <c r="AA312" s="231">
        <f t="shared" si="48"/>
        <v>0</v>
      </c>
      <c r="AB312" s="231">
        <f t="shared" si="49"/>
        <v>0</v>
      </c>
      <c r="AC312" s="231">
        <f t="shared" si="50"/>
        <v>0</v>
      </c>
      <c r="AD312" s="231">
        <f t="shared" si="51"/>
        <v>0</v>
      </c>
      <c r="AE312" s="231">
        <f t="shared" si="52"/>
        <v>0</v>
      </c>
      <c r="AF312" s="231">
        <f t="shared" si="53"/>
        <v>0</v>
      </c>
      <c r="AG312" s="231">
        <f t="shared" si="54"/>
        <v>0</v>
      </c>
    </row>
    <row r="313" spans="1:33">
      <c r="A313" t="str">
        <f>IF(ABS(H313)&gt;0,基础信息!$B$1,"")</f>
        <v/>
      </c>
      <c r="S313" s="230">
        <f t="shared" si="46"/>
        <v>0</v>
      </c>
      <c r="Z313" s="231">
        <f t="shared" si="47"/>
        <v>0</v>
      </c>
      <c r="AA313" s="231">
        <f t="shared" si="48"/>
        <v>0</v>
      </c>
      <c r="AB313" s="231">
        <f t="shared" si="49"/>
        <v>0</v>
      </c>
      <c r="AC313" s="231">
        <f t="shared" si="50"/>
        <v>0</v>
      </c>
      <c r="AD313" s="231">
        <f t="shared" si="51"/>
        <v>0</v>
      </c>
      <c r="AE313" s="231">
        <f t="shared" si="52"/>
        <v>0</v>
      </c>
      <c r="AF313" s="231">
        <f t="shared" si="53"/>
        <v>0</v>
      </c>
      <c r="AG313" s="231">
        <f t="shared" si="54"/>
        <v>0</v>
      </c>
    </row>
    <row r="314" spans="1:33">
      <c r="A314" t="str">
        <f>IF(ABS(H314)&gt;0,基础信息!$B$1,"")</f>
        <v/>
      </c>
      <c r="S314" s="230">
        <f t="shared" si="46"/>
        <v>0</v>
      </c>
      <c r="Z314" s="231">
        <f t="shared" si="47"/>
        <v>0</v>
      </c>
      <c r="AA314" s="231">
        <f t="shared" si="48"/>
        <v>0</v>
      </c>
      <c r="AB314" s="231">
        <f t="shared" si="49"/>
        <v>0</v>
      </c>
      <c r="AC314" s="231">
        <f t="shared" si="50"/>
        <v>0</v>
      </c>
      <c r="AD314" s="231">
        <f t="shared" si="51"/>
        <v>0</v>
      </c>
      <c r="AE314" s="231">
        <f t="shared" si="52"/>
        <v>0</v>
      </c>
      <c r="AF314" s="231">
        <f t="shared" si="53"/>
        <v>0</v>
      </c>
      <c r="AG314" s="231">
        <f t="shared" si="54"/>
        <v>0</v>
      </c>
    </row>
    <row r="315" spans="1:33">
      <c r="A315" t="str">
        <f>IF(ABS(H315)&gt;0,基础信息!$B$1,"")</f>
        <v/>
      </c>
      <c r="S315" s="230">
        <f t="shared" si="46"/>
        <v>0</v>
      </c>
      <c r="Z315" s="231">
        <f t="shared" si="47"/>
        <v>0</v>
      </c>
      <c r="AA315" s="231">
        <f t="shared" si="48"/>
        <v>0</v>
      </c>
      <c r="AB315" s="231">
        <f t="shared" si="49"/>
        <v>0</v>
      </c>
      <c r="AC315" s="231">
        <f t="shared" si="50"/>
        <v>0</v>
      </c>
      <c r="AD315" s="231">
        <f t="shared" si="51"/>
        <v>0</v>
      </c>
      <c r="AE315" s="231">
        <f t="shared" si="52"/>
        <v>0</v>
      </c>
      <c r="AF315" s="231">
        <f t="shared" si="53"/>
        <v>0</v>
      </c>
      <c r="AG315" s="231">
        <f t="shared" si="54"/>
        <v>0</v>
      </c>
    </row>
    <row r="316" spans="1:33">
      <c r="A316" t="str">
        <f>IF(ABS(H316)&gt;0,基础信息!$B$1,"")</f>
        <v/>
      </c>
      <c r="S316" s="230">
        <f t="shared" si="46"/>
        <v>0</v>
      </c>
      <c r="Z316" s="231">
        <f t="shared" si="47"/>
        <v>0</v>
      </c>
      <c r="AA316" s="231">
        <f t="shared" si="48"/>
        <v>0</v>
      </c>
      <c r="AB316" s="231">
        <f t="shared" si="49"/>
        <v>0</v>
      </c>
      <c r="AC316" s="231">
        <f t="shared" si="50"/>
        <v>0</v>
      </c>
      <c r="AD316" s="231">
        <f t="shared" si="51"/>
        <v>0</v>
      </c>
      <c r="AE316" s="231">
        <f t="shared" si="52"/>
        <v>0</v>
      </c>
      <c r="AF316" s="231">
        <f t="shared" si="53"/>
        <v>0</v>
      </c>
      <c r="AG316" s="231">
        <f t="shared" si="54"/>
        <v>0</v>
      </c>
    </row>
    <row r="317" spans="1:33">
      <c r="A317" t="str">
        <f>IF(ABS(H317)&gt;0,基础信息!$B$1,"")</f>
        <v/>
      </c>
      <c r="S317" s="230">
        <f t="shared" si="46"/>
        <v>0</v>
      </c>
      <c r="Z317" s="231">
        <f t="shared" si="47"/>
        <v>0</v>
      </c>
      <c r="AA317" s="231">
        <f t="shared" si="48"/>
        <v>0</v>
      </c>
      <c r="AB317" s="231">
        <f t="shared" si="49"/>
        <v>0</v>
      </c>
      <c r="AC317" s="231">
        <f t="shared" si="50"/>
        <v>0</v>
      </c>
      <c r="AD317" s="231">
        <f t="shared" si="51"/>
        <v>0</v>
      </c>
      <c r="AE317" s="231">
        <f t="shared" si="52"/>
        <v>0</v>
      </c>
      <c r="AF317" s="231">
        <f t="shared" si="53"/>
        <v>0</v>
      </c>
      <c r="AG317" s="231">
        <f t="shared" si="54"/>
        <v>0</v>
      </c>
    </row>
    <row r="318" spans="1:33">
      <c r="A318" t="str">
        <f>IF(ABS(H318)&gt;0,基础信息!$B$1,"")</f>
        <v/>
      </c>
      <c r="S318" s="230">
        <f t="shared" si="46"/>
        <v>0</v>
      </c>
      <c r="Z318" s="231">
        <f t="shared" si="47"/>
        <v>0</v>
      </c>
      <c r="AA318" s="231">
        <f t="shared" si="48"/>
        <v>0</v>
      </c>
      <c r="AB318" s="231">
        <f t="shared" si="49"/>
        <v>0</v>
      </c>
      <c r="AC318" s="231">
        <f t="shared" si="50"/>
        <v>0</v>
      </c>
      <c r="AD318" s="231">
        <f t="shared" si="51"/>
        <v>0</v>
      </c>
      <c r="AE318" s="231">
        <f t="shared" si="52"/>
        <v>0</v>
      </c>
      <c r="AF318" s="231">
        <f t="shared" si="53"/>
        <v>0</v>
      </c>
      <c r="AG318" s="231">
        <f t="shared" si="54"/>
        <v>0</v>
      </c>
    </row>
    <row r="319" spans="1:33">
      <c r="A319" t="str">
        <f>IF(ABS(H319)&gt;0,基础信息!$B$1,"")</f>
        <v/>
      </c>
      <c r="S319" s="230">
        <f t="shared" si="46"/>
        <v>0</v>
      </c>
      <c r="Z319" s="231">
        <f t="shared" si="47"/>
        <v>0</v>
      </c>
      <c r="AA319" s="231">
        <f t="shared" si="48"/>
        <v>0</v>
      </c>
      <c r="AB319" s="231">
        <f t="shared" si="49"/>
        <v>0</v>
      </c>
      <c r="AC319" s="231">
        <f t="shared" si="50"/>
        <v>0</v>
      </c>
      <c r="AD319" s="231">
        <f t="shared" si="51"/>
        <v>0</v>
      </c>
      <c r="AE319" s="231">
        <f t="shared" si="52"/>
        <v>0</v>
      </c>
      <c r="AF319" s="231">
        <f t="shared" si="53"/>
        <v>0</v>
      </c>
      <c r="AG319" s="231">
        <f t="shared" si="54"/>
        <v>0</v>
      </c>
    </row>
    <row r="320" spans="1:33">
      <c r="A320" t="str">
        <f>IF(ABS(H320)&gt;0,基础信息!$B$1,"")</f>
        <v/>
      </c>
      <c r="S320" s="230">
        <f t="shared" si="46"/>
        <v>0</v>
      </c>
      <c r="Z320" s="231">
        <f t="shared" si="47"/>
        <v>0</v>
      </c>
      <c r="AA320" s="231">
        <f t="shared" si="48"/>
        <v>0</v>
      </c>
      <c r="AB320" s="231">
        <f t="shared" si="49"/>
        <v>0</v>
      </c>
      <c r="AC320" s="231">
        <f t="shared" si="50"/>
        <v>0</v>
      </c>
      <c r="AD320" s="231">
        <f t="shared" si="51"/>
        <v>0</v>
      </c>
      <c r="AE320" s="231">
        <f t="shared" si="52"/>
        <v>0</v>
      </c>
      <c r="AF320" s="231">
        <f t="shared" si="53"/>
        <v>0</v>
      </c>
      <c r="AG320" s="231">
        <f t="shared" si="54"/>
        <v>0</v>
      </c>
    </row>
    <row r="321" spans="1:33">
      <c r="A321" t="str">
        <f>IF(ABS(H321)&gt;0,基础信息!$B$1,"")</f>
        <v/>
      </c>
      <c r="S321" s="230">
        <f t="shared" si="46"/>
        <v>0</v>
      </c>
      <c r="Z321" s="231">
        <f t="shared" si="47"/>
        <v>0</v>
      </c>
      <c r="AA321" s="231">
        <f t="shared" si="48"/>
        <v>0</v>
      </c>
      <c r="AB321" s="231">
        <f t="shared" si="49"/>
        <v>0</v>
      </c>
      <c r="AC321" s="231">
        <f t="shared" si="50"/>
        <v>0</v>
      </c>
      <c r="AD321" s="231">
        <f t="shared" si="51"/>
        <v>0</v>
      </c>
      <c r="AE321" s="231">
        <f t="shared" si="52"/>
        <v>0</v>
      </c>
      <c r="AF321" s="231">
        <f t="shared" si="53"/>
        <v>0</v>
      </c>
      <c r="AG321" s="231">
        <f t="shared" si="54"/>
        <v>0</v>
      </c>
    </row>
    <row r="322" spans="1:33">
      <c r="A322" t="str">
        <f>IF(ABS(H322)&gt;0,基础信息!$B$1,"")</f>
        <v/>
      </c>
      <c r="S322" s="230">
        <f t="shared" si="46"/>
        <v>0</v>
      </c>
      <c r="Z322" s="231">
        <f t="shared" si="47"/>
        <v>0</v>
      </c>
      <c r="AA322" s="231">
        <f t="shared" si="48"/>
        <v>0</v>
      </c>
      <c r="AB322" s="231">
        <f t="shared" si="49"/>
        <v>0</v>
      </c>
      <c r="AC322" s="231">
        <f t="shared" si="50"/>
        <v>0</v>
      </c>
      <c r="AD322" s="231">
        <f t="shared" si="51"/>
        <v>0</v>
      </c>
      <c r="AE322" s="231">
        <f t="shared" si="52"/>
        <v>0</v>
      </c>
      <c r="AF322" s="231">
        <f t="shared" si="53"/>
        <v>0</v>
      </c>
      <c r="AG322" s="231">
        <f t="shared" si="54"/>
        <v>0</v>
      </c>
    </row>
    <row r="323" spans="1:33">
      <c r="A323" t="str">
        <f>IF(ABS(H323)&gt;0,基础信息!$B$1,"")</f>
        <v/>
      </c>
      <c r="S323" s="230">
        <f t="shared" si="46"/>
        <v>0</v>
      </c>
      <c r="Z323" s="231">
        <f t="shared" si="47"/>
        <v>0</v>
      </c>
      <c r="AA323" s="231">
        <f t="shared" si="48"/>
        <v>0</v>
      </c>
      <c r="AB323" s="231">
        <f t="shared" si="49"/>
        <v>0</v>
      </c>
      <c r="AC323" s="231">
        <f t="shared" si="50"/>
        <v>0</v>
      </c>
      <c r="AD323" s="231">
        <f t="shared" si="51"/>
        <v>0</v>
      </c>
      <c r="AE323" s="231">
        <f t="shared" si="52"/>
        <v>0</v>
      </c>
      <c r="AF323" s="231">
        <f t="shared" si="53"/>
        <v>0</v>
      </c>
      <c r="AG323" s="231">
        <f t="shared" si="54"/>
        <v>0</v>
      </c>
    </row>
    <row r="324" spans="1:33">
      <c r="A324" t="str">
        <f>IF(ABS(H324)&gt;0,基础信息!$B$1,"")</f>
        <v/>
      </c>
      <c r="S324" s="230">
        <f t="shared" si="46"/>
        <v>0</v>
      </c>
      <c r="Z324" s="231">
        <f t="shared" si="47"/>
        <v>0</v>
      </c>
      <c r="AA324" s="231">
        <f t="shared" si="48"/>
        <v>0</v>
      </c>
      <c r="AB324" s="231">
        <f t="shared" si="49"/>
        <v>0</v>
      </c>
      <c r="AC324" s="231">
        <f t="shared" si="50"/>
        <v>0</v>
      </c>
      <c r="AD324" s="231">
        <f t="shared" si="51"/>
        <v>0</v>
      </c>
      <c r="AE324" s="231">
        <f t="shared" si="52"/>
        <v>0</v>
      </c>
      <c r="AF324" s="231">
        <f t="shared" si="53"/>
        <v>0</v>
      </c>
      <c r="AG324" s="231">
        <f t="shared" si="54"/>
        <v>0</v>
      </c>
    </row>
    <row r="325" spans="1:33">
      <c r="A325" t="str">
        <f>IF(ABS(H325)&gt;0,基础信息!$B$1,"")</f>
        <v/>
      </c>
      <c r="S325" s="230">
        <f t="shared" si="46"/>
        <v>0</v>
      </c>
      <c r="Z325" s="231">
        <f t="shared" si="47"/>
        <v>0</v>
      </c>
      <c r="AA325" s="231">
        <f t="shared" si="48"/>
        <v>0</v>
      </c>
      <c r="AB325" s="231">
        <f t="shared" si="49"/>
        <v>0</v>
      </c>
      <c r="AC325" s="231">
        <f t="shared" si="50"/>
        <v>0</v>
      </c>
      <c r="AD325" s="231">
        <f t="shared" si="51"/>
        <v>0</v>
      </c>
      <c r="AE325" s="231">
        <f t="shared" si="52"/>
        <v>0</v>
      </c>
      <c r="AF325" s="231">
        <f t="shared" si="53"/>
        <v>0</v>
      </c>
      <c r="AG325" s="231">
        <f t="shared" si="54"/>
        <v>0</v>
      </c>
    </row>
    <row r="326" spans="1:33">
      <c r="A326" t="str">
        <f>IF(ABS(H326)&gt;0,基础信息!$B$1,"")</f>
        <v/>
      </c>
      <c r="S326" s="230">
        <f t="shared" si="46"/>
        <v>0</v>
      </c>
      <c r="Z326" s="231">
        <f t="shared" si="47"/>
        <v>0</v>
      </c>
      <c r="AA326" s="231">
        <f t="shared" si="48"/>
        <v>0</v>
      </c>
      <c r="AB326" s="231">
        <f t="shared" si="49"/>
        <v>0</v>
      </c>
      <c r="AC326" s="231">
        <f t="shared" si="50"/>
        <v>0</v>
      </c>
      <c r="AD326" s="231">
        <f t="shared" si="51"/>
        <v>0</v>
      </c>
      <c r="AE326" s="231">
        <f t="shared" si="52"/>
        <v>0</v>
      </c>
      <c r="AF326" s="231">
        <f t="shared" si="53"/>
        <v>0</v>
      </c>
      <c r="AG326" s="231">
        <f t="shared" si="54"/>
        <v>0</v>
      </c>
    </row>
    <row r="327" spans="1:33">
      <c r="A327" t="str">
        <f>IF(ABS(H327)&gt;0,基础信息!$B$1,"")</f>
        <v/>
      </c>
      <c r="S327" s="230">
        <f t="shared" si="46"/>
        <v>0</v>
      </c>
      <c r="Z327" s="231">
        <f t="shared" si="47"/>
        <v>0</v>
      </c>
      <c r="AA327" s="231">
        <f t="shared" si="48"/>
        <v>0</v>
      </c>
      <c r="AB327" s="231">
        <f t="shared" si="49"/>
        <v>0</v>
      </c>
      <c r="AC327" s="231">
        <f t="shared" si="50"/>
        <v>0</v>
      </c>
      <c r="AD327" s="231">
        <f t="shared" si="51"/>
        <v>0</v>
      </c>
      <c r="AE327" s="231">
        <f t="shared" si="52"/>
        <v>0</v>
      </c>
      <c r="AF327" s="231">
        <f t="shared" si="53"/>
        <v>0</v>
      </c>
      <c r="AG327" s="231">
        <f t="shared" si="54"/>
        <v>0</v>
      </c>
    </row>
    <row r="328" spans="1:33">
      <c r="A328" t="str">
        <f>IF(ABS(H328)&gt;0,基础信息!$B$1,"")</f>
        <v/>
      </c>
      <c r="S328" s="230">
        <f t="shared" si="46"/>
        <v>0</v>
      </c>
      <c r="Z328" s="231">
        <f t="shared" si="47"/>
        <v>0</v>
      </c>
      <c r="AA328" s="231">
        <f t="shared" si="48"/>
        <v>0</v>
      </c>
      <c r="AB328" s="231">
        <f t="shared" si="49"/>
        <v>0</v>
      </c>
      <c r="AC328" s="231">
        <f t="shared" si="50"/>
        <v>0</v>
      </c>
      <c r="AD328" s="231">
        <f t="shared" si="51"/>
        <v>0</v>
      </c>
      <c r="AE328" s="231">
        <f t="shared" si="52"/>
        <v>0</v>
      </c>
      <c r="AF328" s="231">
        <f t="shared" si="53"/>
        <v>0</v>
      </c>
      <c r="AG328" s="231">
        <f t="shared" si="54"/>
        <v>0</v>
      </c>
    </row>
    <row r="329" spans="1:33">
      <c r="A329" t="str">
        <f>IF(ABS(H329)&gt;0,基础信息!$B$1,"")</f>
        <v/>
      </c>
      <c r="S329" s="230">
        <f t="shared" si="46"/>
        <v>0</v>
      </c>
      <c r="Z329" s="231">
        <f t="shared" si="47"/>
        <v>0</v>
      </c>
      <c r="AA329" s="231">
        <f t="shared" si="48"/>
        <v>0</v>
      </c>
      <c r="AB329" s="231">
        <f t="shared" si="49"/>
        <v>0</v>
      </c>
      <c r="AC329" s="231">
        <f t="shared" si="50"/>
        <v>0</v>
      </c>
      <c r="AD329" s="231">
        <f t="shared" si="51"/>
        <v>0</v>
      </c>
      <c r="AE329" s="231">
        <f t="shared" si="52"/>
        <v>0</v>
      </c>
      <c r="AF329" s="231">
        <f t="shared" si="53"/>
        <v>0</v>
      </c>
      <c r="AG329" s="231">
        <f t="shared" si="54"/>
        <v>0</v>
      </c>
    </row>
    <row r="330" spans="1:33">
      <c r="A330" t="str">
        <f>IF(ABS(H330)&gt;0,基础信息!$B$1,"")</f>
        <v/>
      </c>
      <c r="S330" s="230">
        <f t="shared" si="46"/>
        <v>0</v>
      </c>
      <c r="Z330" s="231">
        <f t="shared" si="47"/>
        <v>0</v>
      </c>
      <c r="AA330" s="231">
        <f t="shared" si="48"/>
        <v>0</v>
      </c>
      <c r="AB330" s="231">
        <f t="shared" si="49"/>
        <v>0</v>
      </c>
      <c r="AC330" s="231">
        <f t="shared" si="50"/>
        <v>0</v>
      </c>
      <c r="AD330" s="231">
        <f t="shared" si="51"/>
        <v>0</v>
      </c>
      <c r="AE330" s="231">
        <f t="shared" si="52"/>
        <v>0</v>
      </c>
      <c r="AF330" s="231">
        <f t="shared" si="53"/>
        <v>0</v>
      </c>
      <c r="AG330" s="231">
        <f t="shared" si="54"/>
        <v>0</v>
      </c>
    </row>
    <row r="331" spans="1:33">
      <c r="A331" t="str">
        <f>IF(ABS(H331)&gt;0,基础信息!$B$1,"")</f>
        <v/>
      </c>
      <c r="S331" s="230">
        <f t="shared" si="46"/>
        <v>0</v>
      </c>
      <c r="Z331" s="231">
        <f t="shared" si="47"/>
        <v>0</v>
      </c>
      <c r="AA331" s="231">
        <f t="shared" si="48"/>
        <v>0</v>
      </c>
      <c r="AB331" s="231">
        <f t="shared" si="49"/>
        <v>0</v>
      </c>
      <c r="AC331" s="231">
        <f t="shared" si="50"/>
        <v>0</v>
      </c>
      <c r="AD331" s="231">
        <f t="shared" si="51"/>
        <v>0</v>
      </c>
      <c r="AE331" s="231">
        <f t="shared" si="52"/>
        <v>0</v>
      </c>
      <c r="AF331" s="231">
        <f t="shared" si="53"/>
        <v>0</v>
      </c>
      <c r="AG331" s="231">
        <f t="shared" si="54"/>
        <v>0</v>
      </c>
    </row>
    <row r="332" spans="1:33">
      <c r="A332" t="str">
        <f>IF(ABS(H332)&gt;0,基础信息!$B$1,"")</f>
        <v/>
      </c>
      <c r="S332" s="230">
        <f t="shared" si="46"/>
        <v>0</v>
      </c>
      <c r="Z332" s="231">
        <f t="shared" si="47"/>
        <v>0</v>
      </c>
      <c r="AA332" s="231">
        <f t="shared" si="48"/>
        <v>0</v>
      </c>
      <c r="AB332" s="231">
        <f t="shared" si="49"/>
        <v>0</v>
      </c>
      <c r="AC332" s="231">
        <f t="shared" si="50"/>
        <v>0</v>
      </c>
      <c r="AD332" s="231">
        <f t="shared" si="51"/>
        <v>0</v>
      </c>
      <c r="AE332" s="231">
        <f t="shared" si="52"/>
        <v>0</v>
      </c>
      <c r="AF332" s="231">
        <f t="shared" si="53"/>
        <v>0</v>
      </c>
      <c r="AG332" s="231">
        <f t="shared" si="54"/>
        <v>0</v>
      </c>
    </row>
    <row r="333" spans="1:33">
      <c r="A333" t="str">
        <f>IF(ABS(H333)&gt;0,基础信息!$B$1,"")</f>
        <v/>
      </c>
      <c r="S333" s="230">
        <f t="shared" si="46"/>
        <v>0</v>
      </c>
      <c r="Z333" s="231">
        <f t="shared" si="47"/>
        <v>0</v>
      </c>
      <c r="AA333" s="231">
        <f t="shared" si="48"/>
        <v>0</v>
      </c>
      <c r="AB333" s="231">
        <f t="shared" si="49"/>
        <v>0</v>
      </c>
      <c r="AC333" s="231">
        <f t="shared" si="50"/>
        <v>0</v>
      </c>
      <c r="AD333" s="231">
        <f t="shared" si="51"/>
        <v>0</v>
      </c>
      <c r="AE333" s="231">
        <f t="shared" si="52"/>
        <v>0</v>
      </c>
      <c r="AF333" s="231">
        <f t="shared" si="53"/>
        <v>0</v>
      </c>
      <c r="AG333" s="231">
        <f t="shared" si="54"/>
        <v>0</v>
      </c>
    </row>
    <row r="334" spans="1:33">
      <c r="A334" t="str">
        <f>IF(ABS(H334)&gt;0,基础信息!$B$1,"")</f>
        <v/>
      </c>
      <c r="S334" s="230">
        <f t="shared" si="46"/>
        <v>0</v>
      </c>
      <c r="Z334" s="231">
        <f t="shared" si="47"/>
        <v>0</v>
      </c>
      <c r="AA334" s="231">
        <f t="shared" si="48"/>
        <v>0</v>
      </c>
      <c r="AB334" s="231">
        <f t="shared" si="49"/>
        <v>0</v>
      </c>
      <c r="AC334" s="231">
        <f t="shared" si="50"/>
        <v>0</v>
      </c>
      <c r="AD334" s="231">
        <f t="shared" si="51"/>
        <v>0</v>
      </c>
      <c r="AE334" s="231">
        <f t="shared" si="52"/>
        <v>0</v>
      </c>
      <c r="AF334" s="231">
        <f t="shared" si="53"/>
        <v>0</v>
      </c>
      <c r="AG334" s="231">
        <f t="shared" si="54"/>
        <v>0</v>
      </c>
    </row>
    <row r="335" spans="1:33">
      <c r="A335" t="str">
        <f>IF(ABS(H335)&gt;0,基础信息!$B$1,"")</f>
        <v/>
      </c>
      <c r="S335" s="230">
        <f t="shared" si="46"/>
        <v>0</v>
      </c>
      <c r="Z335" s="231">
        <f t="shared" si="47"/>
        <v>0</v>
      </c>
      <c r="AA335" s="231">
        <f t="shared" si="48"/>
        <v>0</v>
      </c>
      <c r="AB335" s="231">
        <f t="shared" si="49"/>
        <v>0</v>
      </c>
      <c r="AC335" s="231">
        <f t="shared" si="50"/>
        <v>0</v>
      </c>
      <c r="AD335" s="231">
        <f t="shared" si="51"/>
        <v>0</v>
      </c>
      <c r="AE335" s="231">
        <f t="shared" si="52"/>
        <v>0</v>
      </c>
      <c r="AF335" s="231">
        <f t="shared" si="53"/>
        <v>0</v>
      </c>
      <c r="AG335" s="231">
        <f t="shared" si="54"/>
        <v>0</v>
      </c>
    </row>
    <row r="336" spans="1:33">
      <c r="A336" t="str">
        <f>IF(ABS(H336)&gt;0,基础信息!$B$1,"")</f>
        <v/>
      </c>
      <c r="S336" s="230">
        <f t="shared" si="46"/>
        <v>0</v>
      </c>
      <c r="Z336" s="231">
        <f t="shared" si="47"/>
        <v>0</v>
      </c>
      <c r="AA336" s="231">
        <f t="shared" si="48"/>
        <v>0</v>
      </c>
      <c r="AB336" s="231">
        <f t="shared" si="49"/>
        <v>0</v>
      </c>
      <c r="AC336" s="231">
        <f t="shared" si="50"/>
        <v>0</v>
      </c>
      <c r="AD336" s="231">
        <f t="shared" si="51"/>
        <v>0</v>
      </c>
      <c r="AE336" s="231">
        <f t="shared" si="52"/>
        <v>0</v>
      </c>
      <c r="AF336" s="231">
        <f t="shared" si="53"/>
        <v>0</v>
      </c>
      <c r="AG336" s="231">
        <f t="shared" si="54"/>
        <v>0</v>
      </c>
    </row>
    <row r="337" spans="1:33">
      <c r="A337" t="str">
        <f>IF(ABS(H337)&gt;0,基础信息!$B$1,"")</f>
        <v/>
      </c>
      <c r="S337" s="230">
        <f t="shared" si="46"/>
        <v>0</v>
      </c>
      <c r="Z337" s="231">
        <f t="shared" si="47"/>
        <v>0</v>
      </c>
      <c r="AA337" s="231">
        <f t="shared" si="48"/>
        <v>0</v>
      </c>
      <c r="AB337" s="231">
        <f t="shared" si="49"/>
        <v>0</v>
      </c>
      <c r="AC337" s="231">
        <f t="shared" si="50"/>
        <v>0</v>
      </c>
      <c r="AD337" s="231">
        <f t="shared" si="51"/>
        <v>0</v>
      </c>
      <c r="AE337" s="231">
        <f t="shared" si="52"/>
        <v>0</v>
      </c>
      <c r="AF337" s="231">
        <f t="shared" si="53"/>
        <v>0</v>
      </c>
      <c r="AG337" s="231">
        <f t="shared" si="54"/>
        <v>0</v>
      </c>
    </row>
    <row r="338" spans="1:33">
      <c r="A338" t="str">
        <f>IF(ABS(H338)&gt;0,基础信息!$B$1,"")</f>
        <v/>
      </c>
      <c r="S338" s="230">
        <f t="shared" si="46"/>
        <v>0</v>
      </c>
      <c r="Z338" s="231">
        <f t="shared" si="47"/>
        <v>0</v>
      </c>
      <c r="AA338" s="231">
        <f t="shared" si="48"/>
        <v>0</v>
      </c>
      <c r="AB338" s="231">
        <f t="shared" si="49"/>
        <v>0</v>
      </c>
      <c r="AC338" s="231">
        <f t="shared" si="50"/>
        <v>0</v>
      </c>
      <c r="AD338" s="231">
        <f t="shared" si="51"/>
        <v>0</v>
      </c>
      <c r="AE338" s="231">
        <f t="shared" si="52"/>
        <v>0</v>
      </c>
      <c r="AF338" s="231">
        <f t="shared" si="53"/>
        <v>0</v>
      </c>
      <c r="AG338" s="231">
        <f t="shared" si="54"/>
        <v>0</v>
      </c>
    </row>
    <row r="339" spans="1:33">
      <c r="A339" t="str">
        <f>IF(ABS(H339)&gt;0,基础信息!$B$1,"")</f>
        <v/>
      </c>
      <c r="S339" s="230">
        <f t="shared" si="46"/>
        <v>0</v>
      </c>
      <c r="Z339" s="231">
        <f t="shared" si="47"/>
        <v>0</v>
      </c>
      <c r="AA339" s="231">
        <f t="shared" si="48"/>
        <v>0</v>
      </c>
      <c r="AB339" s="231">
        <f t="shared" si="49"/>
        <v>0</v>
      </c>
      <c r="AC339" s="231">
        <f t="shared" si="50"/>
        <v>0</v>
      </c>
      <c r="AD339" s="231">
        <f t="shared" si="51"/>
        <v>0</v>
      </c>
      <c r="AE339" s="231">
        <f t="shared" si="52"/>
        <v>0</v>
      </c>
      <c r="AF339" s="231">
        <f t="shared" si="53"/>
        <v>0</v>
      </c>
      <c r="AG339" s="231">
        <f t="shared" si="54"/>
        <v>0</v>
      </c>
    </row>
    <row r="340" spans="1:33">
      <c r="A340" t="str">
        <f>IF(ABS(H340)&gt;0,基础信息!$B$1,"")</f>
        <v/>
      </c>
      <c r="S340" s="230">
        <f t="shared" si="46"/>
        <v>0</v>
      </c>
      <c r="Z340" s="231">
        <f t="shared" si="47"/>
        <v>0</v>
      </c>
      <c r="AA340" s="231">
        <f t="shared" si="48"/>
        <v>0</v>
      </c>
      <c r="AB340" s="231">
        <f t="shared" si="49"/>
        <v>0</v>
      </c>
      <c r="AC340" s="231">
        <f t="shared" si="50"/>
        <v>0</v>
      </c>
      <c r="AD340" s="231">
        <f t="shared" si="51"/>
        <v>0</v>
      </c>
      <c r="AE340" s="231">
        <f t="shared" si="52"/>
        <v>0</v>
      </c>
      <c r="AF340" s="231">
        <f t="shared" si="53"/>
        <v>0</v>
      </c>
      <c r="AG340" s="231">
        <f t="shared" si="54"/>
        <v>0</v>
      </c>
    </row>
    <row r="341" spans="1:33">
      <c r="A341" t="str">
        <f>IF(ABS(H341)&gt;0,基础信息!$B$1,"")</f>
        <v/>
      </c>
      <c r="S341" s="230">
        <f t="shared" ref="S341:S343" si="55">O341+P341-Q341-R341</f>
        <v>0</v>
      </c>
      <c r="Z341" s="231">
        <f t="shared" ref="Z341:Z343" si="56">H341-S341</f>
        <v>0</v>
      </c>
      <c r="AA341" s="231">
        <f t="shared" ref="AA341:AA343" si="57">I341-T341</f>
        <v>0</v>
      </c>
      <c r="AB341" s="231">
        <f t="shared" ref="AB341:AB343" si="58">J341-U341</f>
        <v>0</v>
      </c>
      <c r="AC341" s="231">
        <f t="shared" ref="AC341:AC343" si="59">K341-V341</f>
        <v>0</v>
      </c>
      <c r="AD341" s="231">
        <f t="shared" ref="AD341:AD343" si="60">L341-W341</f>
        <v>0</v>
      </c>
      <c r="AE341" s="231">
        <f t="shared" ref="AE341:AE343" si="61">M341-X341</f>
        <v>0</v>
      </c>
      <c r="AF341" s="231">
        <f t="shared" ref="AF341:AF343" si="62">N341-Y341</f>
        <v>0</v>
      </c>
      <c r="AG341" s="231">
        <f t="shared" ref="AG341:AG343" si="63">S341-SUM(T341:Y341)</f>
        <v>0</v>
      </c>
    </row>
    <row r="342" spans="1:33">
      <c r="A342" t="str">
        <f>IF(ABS(H342)&gt;0,基础信息!$B$1,"")</f>
        <v/>
      </c>
      <c r="S342" s="230">
        <f t="shared" si="55"/>
        <v>0</v>
      </c>
      <c r="Z342" s="231">
        <f t="shared" si="56"/>
        <v>0</v>
      </c>
      <c r="AA342" s="231">
        <f t="shared" si="57"/>
        <v>0</v>
      </c>
      <c r="AB342" s="231">
        <f t="shared" si="58"/>
        <v>0</v>
      </c>
      <c r="AC342" s="231">
        <f t="shared" si="59"/>
        <v>0</v>
      </c>
      <c r="AD342" s="231">
        <f t="shared" si="60"/>
        <v>0</v>
      </c>
      <c r="AE342" s="231">
        <f t="shared" si="61"/>
        <v>0</v>
      </c>
      <c r="AF342" s="231">
        <f t="shared" si="62"/>
        <v>0</v>
      </c>
      <c r="AG342" s="231">
        <f t="shared" si="63"/>
        <v>0</v>
      </c>
    </row>
    <row r="343" spans="1:33">
      <c r="A343" t="str">
        <f>IF(ABS(H343)&gt;0,基础信息!$B$1,"")</f>
        <v/>
      </c>
      <c r="S343" s="230">
        <f t="shared" si="55"/>
        <v>0</v>
      </c>
      <c r="Z343" s="231">
        <f t="shared" si="56"/>
        <v>0</v>
      </c>
      <c r="AA343" s="231">
        <f t="shared" si="57"/>
        <v>0</v>
      </c>
      <c r="AB343" s="231">
        <f t="shared" si="58"/>
        <v>0</v>
      </c>
      <c r="AC343" s="231">
        <f t="shared" si="59"/>
        <v>0</v>
      </c>
      <c r="AD343" s="231">
        <f t="shared" si="60"/>
        <v>0</v>
      </c>
      <c r="AE343" s="231">
        <f t="shared" si="61"/>
        <v>0</v>
      </c>
      <c r="AF343" s="231">
        <f t="shared" si="62"/>
        <v>0</v>
      </c>
      <c r="AG343" s="231">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D091315-2C6A-46A9-BE4E-66DA078E0D8A}">
          <x14:formula1>
            <xm:f>分类表!#REF!</xm:f>
          </x14:formula1>
          <xm:sqref>C21:C27 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codeName="Sheet99">
    <tabColor rgb="FFFFC000"/>
  </sheetPr>
  <dimension ref="A1:C4"/>
  <sheetViews>
    <sheetView workbookViewId="0">
      <selection activeCell="H12" sqref="H12"/>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7">
        <f>ROUND(SUMIF(应收款项融资明细表!C:C,A2,应收款项融资明细表!L:L),2)</f>
        <v>0</v>
      </c>
      <c r="C2" s="139"/>
    </row>
    <row r="3" spans="1:3">
      <c r="A3" s="18" t="s">
        <v>9</v>
      </c>
      <c r="B3" s="137">
        <f>ROUND(SUMIF(应收款项融资明细表!C:C,A3,应收款项融资明细表!L:L),2)</f>
        <v>0</v>
      </c>
      <c r="C3" s="139"/>
    </row>
    <row r="4" spans="1:3">
      <c r="A4" s="18" t="s">
        <v>204</v>
      </c>
      <c r="B4" s="137">
        <f>ROUND(SUM(B2:B3),2)</f>
        <v>0</v>
      </c>
      <c r="C4" s="1">
        <f>ROUND(SUM(C2:C3),2)</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g F A A B Q S w M E F A A C A A g A u 1 g j U s K q 4 T e l A A A A 9 Q A A A B I A H A B D b 2 5 m a W c v U G F j a 2 F n Z S 5 4 b W w g o h g A K K A U A A A A A A A A A A A A A A A A A A A A A A A A A A A A h Y + x D o I w G I R f h X S n L W i U k J 8 y s I o x M T G u T a n Q C M X Q Y o m v 5 u A j + Q p i F H V z v O / u k r v 7 9 Q b p 0 N T e W X Z G t T p B A a b I k 1 q 0 h d J l g n p 7 8 C O U M t h w c e S l 9 M a w N v F g V I I q a 0 8 x I c 4 5 7 G a 4 7 U o S U h q Q f b 7 a i k o 2 3 F f a W K 6 F R J 9 W 8 b + F G O x e Y 1 i I o y W O 5 g t M g U w M c q W / f j j O f b o / E L K + t n 0 n 2 a X y s z W Q S Q J 5 X 2 A P U E s D B B Q A A g A I A L t Y I 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W C N S o d G A E Z E C A A C 5 E g A A E w A c A E Z v c m 1 1 b G F z L 1 N l Y 3 R p b 2 4 x L m 0 g o h g A K K A U A A A A A A A A A A A A A A A A A A A A A A A A A A A A 3 d j N j t J Q H I b x P Q n 3 0 N Q N J I S e 9 / R b 4 8 L M z N L E K I k L 4 6 I M F Z p A S + g h 0 R B 2 7 t y 4 c K W J 9 2 D i R r 0 e m d u w M z j x I / P M 0 o V s K P 8 S y u 8 A 7 R P a 8 t x V T e 0 9 O d 7 r X r / X 7 7 W L Y l P O v D v + p J g u S 8 / 4 3 n 1 v W b p + z + t u h 6 9 v u 4 d P y + n 4 U T E v B 5 c b J 0 3 t y t q 1 A 3 / h 3 L q 9 G w T z y i 2 2 0 / F 5 s w q K 7 a x y m 3 L d b N z v 2 2 3 p X F X P 2 2 C 6 b K b B q q j q 4 P H Z g 9 O H Z + P V z B 8 O R 8 e D n R a u M N 3 h u o P u z P 7 Z 5 c P n P 3 c d P n w + v P t y 8 f 7 1 x a d v 3 z + + 6 Z 5 0 9 W 7 H k 0 1 R t y + a z e q k W W 5 X 9 e T V u m w H V 6 8 z 2 u 3 8 4 1 D + y H P d D s + V L 9 1 + 5 F 3 P L c x D m E c w j / + Y 7 4 f 9 X l X f + K 5 v X G 5 v Y I f / a M m v R / / f o v + a J z B P Y Z 7 B P I e 5 D O 0 g s Y g s M o v Q I r W I L X K L 4 C K 5 J b n F z 5 r k l u S W 5 J b k l u S W 5 J b k l u Q h y U O S h / g 1 J 3 l I 8 p D k I c l D k o c k D 0 k e k T w i e U T y C H / h J I 9 I H p E 8 I n l E 8 o j k M c l j k s c k j 0 k e 4 8 m N 5 D H J Y 5 L H J I 9 J n p A 8 I X l C 8 o T k C c k T P K + T P C F 5 Q v K E 5 C n J U 5 K n J E 9 J n p I 8 J X m K l z S S p y R P S Z 6 R P C N 5 R v K M 5 B n J M 5 J n J M / w a k 7 y j O Q 5 y X O S 5 y T P S Z 6 T P C d 5 T v K c 5 D m G D J c M p o z B l j E Y M w Z r x m D O G O w Z g 0 F j s G g M J o 3 B N b g l 5 3 A N O O i 4 6 D j p u O k 4 6 r j q O O u w 6 4 R h J y w 7 Y d o J 2 0 4 Y d 8 K 6 E + a d s O + E g S c s P G H i C R t P G H n C y h N m n r D z h K E n L D 1 h 6 g l b T x h 7 w t o T 5 p 6 w 9 4 T B J y w + Y f I J m 0 8 Y f c L q E 2 a f s P u E 4 S c s P 2 H 6 C d t P G H / C + h P m n 7 D / h A E o L E B h A g o b U H 9 F 4 G 1 / n P w A U E s B A i 0 A F A A C A A g A u 1 g j U s K q 4 T e l A A A A 9 Q A A A B I A A A A A A A A A A A A A A A A A A A A A A E N v b m Z p Z y 9 Q Y W N r Y W d l L n h t b F B L A Q I t A B Q A A g A I A L t Y I 1 I P y u m r p A A A A O k A A A A T A A A A A A A A A A A A A A A A A P E A A A B b Q 2 9 u d G V u d F 9 U e X B l c 1 0 u e G 1 s U E s B A i 0 A F A A C A A g A u 1 g j U q H R g B G R A g A A u R I A A B M A A A A A A A A A A A A A A A A A 4 g E A A E Z v c m 1 1 b G F z L 1 N l Y 3 R p b 2 4 x L m 1 Q S w U G A A A A A A M A A w D C A A A A w 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3 I A A A A A A A C 5 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L + h 5 o G v 5 Y i G 5 7 G 7 6 K G o I i A v P j x F b n R y e S B U e X B l P S J S Z W N v d m V y e V R h c m d l d E N v b H V t b i I g V m F s d W U 9 I m w 1 I i A v P j x F b n R y e S B U e X B l P S J S Z W N v d m V y e V R h c m d l d F J v d y I g V m F s d W U 9 I m w x I i A v P j x F b n R y e S B U e X B l P S J G a W x s V G F y Z 2 V 0 I i B W Y W x 1 Z T 0 i c 1 R h Y m x l X z 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E t M D E t M D N U M D I 6 N T k 6 M D I u M j E 5 N D k w 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Q 2 9 s d W 1 u Q 2 9 1 b n Q m c X V v d D s 6 N S w m c X V v d D t L Z X l D b 2 x 1 b W 5 O Y W 1 l c y Z x d W 9 0 O z p b X S w m c X V v d D t D 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U m V s Y X R p b 2 5 z a G l w S W 5 m b y Z x d W 9 0 O z p b X X 0 i I C 8 + P C 9 T d G F i b G V F b n R y a W V z P j w v S X R l b T 4 8 S X R l b T 4 8 S X R l b U x v Y 2 F 0 a W 9 u P j x J d G V t V H l w Z T 5 G b 3 J t d W x h P C 9 J d G V t V H l w Z T 4 8 S X R l b V B h d G g + U 2 V j d G l v b j E v V G F i b G U l M j A w L y V F N i V C Q S U 5 M D 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8 l R T Y l O U I l Q j Q l R T Y l O T Q l Q j k l R T c l O U E l O D Q l R T c l Q j E l Q k I l R T U l O U U l O E I 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l i I b n s b v o o a g i I C 8 + P E V u d H J 5 I F R 5 c G U 9 I l J l Y 2 9 2 Z X J 5 V G F y Z 2 V 0 Q 2 9 s d W 1 u I i B W Y W x 1 Z T 0 i b D E 2 N S I g L z 4 8 R W 5 0 c n k g V H l w Z T 0 i U m V j b 3 Z l c n l U Y X J n Z X R S b 3 c i I F Z h b H V l P S J s M S I g L z 4 8 R W 5 0 c n k g V H l w Z T 0 i R m l s b F R h c m d l d C I g V m F s d W U 9 I n N U Y W J s Z V 8 w X 1 8 y I i A v P j x F b n R y e S B U e X B l P S J G a W x s Z W R D b 2 1 w b G V 0 Z V J l c 3 V s d F R v V 2 9 y a 3 N o Z W V 0 I i B W Y W x 1 Z T 0 i b D E i I C 8 + P E V u d H J 5 I F R 5 c G U 9 I l J l b G F 0 a W 9 u c 2 h p c E l u Z m 9 D b 2 5 0 Y W l u Z X I i I F Z h b H V l P S J z e y Z x d W 9 0 O 2 N v b H V t b k N v d W 5 0 J n F 1 b 3 Q 7 O j E 2 N C w m c X V v d D t r Z X l D b 2 x 1 b W 5 O Y W 1 l c y Z x d W 9 0 O z p b X S w m c X V v d D t x d W V y e V J l b G F 0 a W 9 u c 2 h p c H M m c X V v d D s 6 W 1 0 s J n F 1 b 3 Q 7 Y 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Q 2 9 s d W 1 u Q 2 9 1 b n Q m c X V v d D s 6 M T Y 0 L C Z x d W 9 0 O 0 t l e U N v b H V t b k 5 h b W V z J n F 1 b 3 Q 7 O l t d L C Z x d W 9 0 O 0 N v b H V t b k l k Z W 5 0 a X R p Z X M m c X V v d D s 6 W y Z x d W 9 0 O 1 N l Y 3 R p b 2 4 x L 1 R h Y m x l I D A g K D I p L + a b t O a U u e e a h O e x u + W e i y 5 7 Q 2 9 s d W 1 u M S w w f S Z x d W 9 0 O y w m c X V v d D t T Z W N 0 a W 9 u M S 9 U Y W J s Z S A w I C g y K S / m m 7 T m l L n n m o T n s b v l n o s u e 0 N v b H V t b j I s M X 0 m c X V v d D s s J n F 1 b 3 Q 7 U 2 V j d G l v b j E v V G F i b G U g M C A o M i k v 5 p u 0 5 p S 5 5 5 q E 5 7 G 7 5 Z 6 L L n t D b 2 x 1 b W 4 z L D J 9 J n F 1 b 3 Q 7 L C Z x d W 9 0 O 1 N l Y 3 R p b 2 4 x L 1 R h Y m x l I D A g K D I p L + a b t O a U u e e a h O e x u + W e i y 5 7 Q 2 9 s d W 1 u N C w z f S Z x d W 9 0 O y w m c X V v d D t T Z W N 0 a W 9 u M S 9 U Y W J s Z S A w I C g y K S / m m 7 T m l L n n m o T n s b v l n o s u e 0 N v b H V t b j U s N H 0 m c X V v d D s s J n F 1 b 3 Q 7 U 2 V j d G l v b j E v V G F i b G U g M C A o M i k v 5 p u 0 5 p S 5 5 5 q E 5 7 G 7 5 Z 6 L L n t D b 2 x 1 b W 4 2 L D V 9 J n F 1 b 3 Q 7 L C Z x d W 9 0 O 1 N l Y 3 R p b 2 4 x L 1 R h Y m x l I D A g K D I p L + a b t O a U u e e a h O e x u + W e i y 5 7 Q 2 9 s d W 1 u N y w 2 f S Z x d W 9 0 O y w m c X V v d D t T Z W N 0 a W 9 u M S 9 U Y W J s Z S A w I C g y K S / m m 7 T m l L n n m o T n s b v l n o s u e 0 N v b H V t b j g s N 3 0 m c X V v d D s s J n F 1 b 3 Q 7 U 2 V j d G l v b j E v V G F i b G U g M C A o M i k v 5 p u 0 5 p S 5 5 5 q E 5 7 G 7 5 Z 6 L L n t D b 2 x 1 b W 4 5 L D h 9 J n F 1 b 3 Q 7 L C Z x d W 9 0 O 1 N l Y 3 R p b 2 4 x L 1 R h Y m x l I D A g K D I p L + a b t O a U u e e a h O e x u + W e i y 5 7 Q 2 9 s d W 1 u M T A s O X 0 m c X V v d D s s J n F 1 b 3 Q 7 U 2 V j d G l v b j E v V G F i b G U g M C A o M i k v 5 p u 0 5 p S 5 5 5 q E 5 7 G 7 5 Z 6 L L n t D b 2 x 1 b W 4 x M S w x M H 0 m c X V v d D s s J n F 1 b 3 Q 7 U 2 V j d G l v b j E v V G F i b G U g M C A o M i k v 5 p u 0 5 p S 5 5 5 q E 5 7 G 7 5 Z 6 L L n t D b 2 x 1 b W 4 x M i w x M X 0 m c X V v d D s s J n F 1 b 3 Q 7 U 2 V j d G l v b j E v V G F i b G U g M C A o M i k v 5 p u 0 5 p S 5 5 5 q E 5 7 G 7 5 Z 6 L L n t D b 2 x 1 b W 4 x M y w x M n 0 m c X V v d D s s J n F 1 b 3 Q 7 U 2 V j d G l v b j E v V G F i b G U g M C A o M i k v 5 p u 0 5 p S 5 5 5 q E 5 7 G 7 5 Z 6 L L n t D b 2 x 1 b W 4 x N C w x M 3 0 m c X V v d D s s J n F 1 b 3 Q 7 U 2 V j d G l v b j E v V G F i b G U g M C A o M i k v 5 p u 0 5 p S 5 5 5 q E 5 7 G 7 5 Z 6 L L n t D b 2 x 1 b W 4 x N S w x N H 0 m c X V v d D s s J n F 1 b 3 Q 7 U 2 V j d G l v b j E v V G F i b G U g M C A o M i k v 5 p u 0 5 p S 5 5 5 q E 5 7 G 7 5 Z 6 L L n t D b 2 x 1 b W 4 x N i w x N X 0 m c X V v d D s s J n F 1 b 3 Q 7 U 2 V j d G l v b j E v V G F i b G U g M C A o M i k v 5 p u 0 5 p S 5 5 5 q E 5 7 G 7 5 Z 6 L L n t D b 2 x 1 b W 4 x N y w x N n 0 m c X V v d D s s J n F 1 b 3 Q 7 U 2 V j d G l v b j E v V G F i b G U g M C A o M i k v 5 p u 0 5 p S 5 5 5 q E 5 7 G 7 5 Z 6 L L n t D b 2 x 1 b W 4 x O C w x N 3 0 m c X V v d D s s J n F 1 b 3 Q 7 U 2 V j d G l v b j E v V G F i b G U g M C A o M i k v 5 p u 0 5 p S 5 5 5 q E 5 7 G 7 5 Z 6 L L n t D b 2 x 1 b W 4 x O S w x O H 0 m c X V v d D s s J n F 1 b 3 Q 7 U 2 V j d G l v b j E v V G F i b G U g M C A o M i k v 5 p u 0 5 p S 5 5 5 q E 5 7 G 7 5 Z 6 L L n t D b 2 x 1 b W 4 y M C w x O X 0 m c X V v d D s s J n F 1 b 3 Q 7 U 2 V j d G l v b j E v V G F i b G U g M C A o M i k v 5 p u 0 5 p S 5 5 5 q E 5 7 G 7 5 Z 6 L L n t D b 2 x 1 b W 4 y M S w y M H 0 m c X V v d D s s J n F 1 b 3 Q 7 U 2 V j d G l v b j E v V G F i b G U g M C A o M i k v 5 p u 0 5 p S 5 5 5 q E 5 7 G 7 5 Z 6 L L n t D b 2 x 1 b W 4 y M i w y M X 0 m c X V v d D s s J n F 1 b 3 Q 7 U 2 V j d G l v b j E v V G F i b G U g M C A o M i k v 5 p u 0 5 p S 5 5 5 q E 5 7 G 7 5 Z 6 L L n t D b 2 x 1 b W 4 y M y w y M n 0 m c X V v d D s s J n F 1 b 3 Q 7 U 2 V j d G l v b j E v V G F i b G U g M C A o M i k v 5 p u 0 5 p S 5 5 5 q E 5 7 G 7 5 Z 6 L L n t D b 2 x 1 b W 4 y N C w y M 3 0 m c X V v d D s s J n F 1 b 3 Q 7 U 2 V j d G l v b j E v V G F i b G U g M C A o M i k v 5 p u 0 5 p S 5 5 5 q E 5 7 G 7 5 Z 6 L L n t D b 2 x 1 b W 4 y N S w y N H 0 m c X V v d D s s J n F 1 b 3 Q 7 U 2 V j d G l v b j E v V G F i b G U g M C A o M i k v 5 p u 0 5 p S 5 5 5 q E 5 7 G 7 5 Z 6 L L n t D b 2 x 1 b W 4 y N i w y N X 0 m c X V v d D s s J n F 1 b 3 Q 7 U 2 V j d G l v b j E v V G F i b G U g M C A o M i k v 5 p u 0 5 p S 5 5 5 q E 5 7 G 7 5 Z 6 L L n t D b 2 x 1 b W 4 y N y w y N n 0 m c X V v d D s s J n F 1 b 3 Q 7 U 2 V j d G l v b j E v V G F i b G U g M C A o M i k v 5 p u 0 5 p S 5 5 5 q E 5 7 G 7 5 Z 6 L L n t D b 2 x 1 b W 4 y O C w y N 3 0 m c X V v d D s s J n F 1 b 3 Q 7 U 2 V j d G l v b j E v V G F i b G U g M C A o M i k v 5 p u 0 5 p S 5 5 5 q E 5 7 G 7 5 Z 6 L L n t D b 2 x 1 b W 4 y O S w y O H 0 m c X V v d D s s J n F 1 b 3 Q 7 U 2 V j d G l v b j E v V G F i b G U g M C A o M i k v 5 p u 0 5 p S 5 5 5 q E 5 7 G 7 5 Z 6 L L n t D b 2 x 1 b W 4 z M C w y O X 0 m c X V v d D s s J n F 1 b 3 Q 7 U 2 V j d G l v b j E v V G F i b G U g M C A o M i k v 5 p u 0 5 p S 5 5 5 q E 5 7 G 7 5 Z 6 L L n t D b 2 x 1 b W 4 z M S w z M H 0 m c X V v d D s s J n F 1 b 3 Q 7 U 2 V j d G l v b j E v V G F i b G U g M C A o M i k v 5 p u 0 5 p S 5 5 5 q E 5 7 G 7 5 Z 6 L L n t D b 2 x 1 b W 4 z M i w z M X 0 m c X V v d D s s J n F 1 b 3 Q 7 U 2 V j d G l v b j E v V G F i b G U g M C A o M i k v 5 p u 0 5 p S 5 5 5 q E 5 7 G 7 5 Z 6 L L n t D b 2 x 1 b W 4 z M y w z M n 0 m c X V v d D s s J n F 1 b 3 Q 7 U 2 V j d G l v b j E v V G F i b G U g M C A o M i k v 5 p u 0 5 p S 5 5 5 q E 5 7 G 7 5 Z 6 L L n t D b 2 x 1 b W 4 z N C w z M 3 0 m c X V v d D s s J n F 1 b 3 Q 7 U 2 V j d G l v b j E v V G F i b G U g M C A o M i k v 5 p u 0 5 p S 5 5 5 q E 5 7 G 7 5 Z 6 L L n t D b 2 x 1 b W 4 z N S w z N H 0 m c X V v d D s s J n F 1 b 3 Q 7 U 2 V j d G l v b j E v V G F i b G U g M C A o M i k v 5 p u 0 5 p S 5 5 5 q E 5 7 G 7 5 Z 6 L L n t D b 2 x 1 b W 4 z N i w z N X 0 m c X V v d D s s J n F 1 b 3 Q 7 U 2 V j d G l v b j E v V G F i b G U g M C A o M i k v 5 p u 0 5 p S 5 5 5 q E 5 7 G 7 5 Z 6 L L n t D b 2 x 1 b W 4 z N y w z N n 0 m c X V v d D s s J n F 1 b 3 Q 7 U 2 V j d G l v b j E v V G F i b G U g M C A o M i k v 5 p u 0 5 p S 5 5 5 q E 5 7 G 7 5 Z 6 L L n t D b 2 x 1 b W 4 z O C w z N 3 0 m c X V v d D s s J n F 1 b 3 Q 7 U 2 V j d G l v b j E v V G F i b G U g M C A o M i k v 5 p u 0 5 p S 5 5 5 q E 5 7 G 7 5 Z 6 L L n t D b 2 x 1 b W 4 z O S w z O H 0 m c X V v d D s s J n F 1 b 3 Q 7 U 2 V j d G l v b j E v V G F i b G U g M C A o M i k v 5 p u 0 5 p S 5 5 5 q E 5 7 G 7 5 Z 6 L L n t D b 2 x 1 b W 4 0 M C w z O X 0 m c X V v d D s s J n F 1 b 3 Q 7 U 2 V j d G l v b j E v V G F i b G U g M C A o M i k v 5 p u 0 5 p S 5 5 5 q E 5 7 G 7 5 Z 6 L L n t D b 2 x 1 b W 4 0 M S w 0 M H 0 m c X V v d D s s J n F 1 b 3 Q 7 U 2 V j d G l v b j E v V G F i b G U g M C A o M i k v 5 p u 0 5 p S 5 5 5 q E 5 7 G 7 5 Z 6 L L n t D b 2 x 1 b W 4 0 M i w 0 M X 0 m c X V v d D s s J n F 1 b 3 Q 7 U 2 V j d G l v b j E v V G F i b G U g M C A o M i k v 5 p u 0 5 p S 5 5 5 q E 5 7 G 7 5 Z 6 L L n t D b 2 x 1 b W 4 0 M y w 0 M n 0 m c X V v d D s s J n F 1 b 3 Q 7 U 2 V j d G l v b j E v V G F i b G U g M C A o M i k v 5 p u 0 5 p S 5 5 5 q E 5 7 G 7 5 Z 6 L L n t D b 2 x 1 b W 4 0 N C w 0 M 3 0 m c X V v d D s s J n F 1 b 3 Q 7 U 2 V j d G l v b j E v V G F i b G U g M C A o M i k v 5 p u 0 5 p S 5 5 5 q E 5 7 G 7 5 Z 6 L L n t D b 2 x 1 b W 4 0 N S w 0 N H 0 m c X V v d D s s J n F 1 b 3 Q 7 U 2 V j d G l v b j E v V G F i b G U g M C A o M i k v 5 p u 0 5 p S 5 5 5 q E 5 7 G 7 5 Z 6 L L n t D b 2 x 1 b W 4 0 N i w 0 N X 0 m c X V v d D s s J n F 1 b 3 Q 7 U 2 V j d G l v b j E v V G F i b G U g M C A o M i k v 5 p u 0 5 p S 5 5 5 q E 5 7 G 7 5 Z 6 L L n t D b 2 x 1 b W 4 0 N y w 0 N n 0 m c X V v d D s s J n F 1 b 3 Q 7 U 2 V j d G l v b j E v V G F i b G U g M C A o M i k v 5 p u 0 5 p S 5 5 5 q E 5 7 G 7 5 Z 6 L L n t D b 2 x 1 b W 4 0 O C w 0 N 3 0 m c X V v d D s s J n F 1 b 3 Q 7 U 2 V j d G l v b j E v V G F i b G U g M C A o M i k v 5 p u 0 5 p S 5 5 5 q E 5 7 G 7 5 Z 6 L L n t D b 2 x 1 b W 4 0 O S w 0 O H 0 m c X V v d D s s J n F 1 b 3 Q 7 U 2 V j d G l v b j E v V G F i b G U g M C A o M i k v 5 p u 0 5 p S 5 5 5 q E 5 7 G 7 5 Z 6 L L n t D b 2 x 1 b W 4 1 M C w 0 O X 0 m c X V v d D s s J n F 1 b 3 Q 7 U 2 V j d G l v b j E v V G F i b G U g M C A o M i k v 5 p u 0 5 p S 5 5 5 q E 5 7 G 7 5 Z 6 L L n t D b 2 x 1 b W 4 1 M S w 1 M H 0 m c X V v d D s s J n F 1 b 3 Q 7 U 2 V j d G l v b j E v V G F i b G U g M C A o M i k v 5 p u 0 5 p S 5 5 5 q E 5 7 G 7 5 Z 6 L L n t D b 2 x 1 b W 4 1 M i w 1 M X 0 m c X V v d D s s J n F 1 b 3 Q 7 U 2 V j d G l v b j E v V G F i b G U g M C A o M i k v 5 p u 0 5 p S 5 5 5 q E 5 7 G 7 5 Z 6 L L n t D b 2 x 1 b W 4 1 M y w 1 M n 0 m c X V v d D s s J n F 1 b 3 Q 7 U 2 V j d G l v b j E v V G F i b G U g M C A o M i k v 5 p u 0 5 p S 5 5 5 q E 5 7 G 7 5 Z 6 L L n t D b 2 x 1 b W 4 1 N C w 1 M 3 0 m c X V v d D s s J n F 1 b 3 Q 7 U 2 V j d G l v b j E v V G F i b G U g M C A o M i k v 5 p u 0 5 p S 5 5 5 q E 5 7 G 7 5 Z 6 L L n t D b 2 x 1 b W 4 1 N S w 1 N H 0 m c X V v d D s s J n F 1 b 3 Q 7 U 2 V j d G l v b j E v V G F i b G U g M C A o M i k v 5 p u 0 5 p S 5 5 5 q E 5 7 G 7 5 Z 6 L L n t D b 2 x 1 b W 4 1 N i w 1 N X 0 m c X V v d D s s J n F 1 b 3 Q 7 U 2 V j d G l v b j E v V G F i b G U g M C A o M i k v 5 p u 0 5 p S 5 5 5 q E 5 7 G 7 5 Z 6 L L n t D b 2 x 1 b W 4 1 N y w 1 N n 0 m c X V v d D s s J n F 1 b 3 Q 7 U 2 V j d G l v b j E v V G F i b G U g M C A o M i k v 5 p u 0 5 p S 5 5 5 q E 5 7 G 7 5 Z 6 L L n t D b 2 x 1 b W 4 1 O C w 1 N 3 0 m c X V v d D s s J n F 1 b 3 Q 7 U 2 V j d G l v b j E v V G F i b G U g M C A o M i k v 5 p u 0 5 p S 5 5 5 q E 5 7 G 7 5 Z 6 L L n t D b 2 x 1 b W 4 1 O S w 1 O H 0 m c X V v d D s s J n F 1 b 3 Q 7 U 2 V j d G l v b j E v V G F i b G U g M C A o M i k v 5 p u 0 5 p S 5 5 5 q E 5 7 G 7 5 Z 6 L L n t D b 2 x 1 b W 4 2 M C w 1 O X 0 m c X V v d D s s J n F 1 b 3 Q 7 U 2 V j d G l v b j E v V G F i b G U g M C A o M i k v 5 p u 0 5 p S 5 5 5 q E 5 7 G 7 5 Z 6 L L n t D b 2 x 1 b W 4 2 M S w 2 M H 0 m c X V v d D s s J n F 1 b 3 Q 7 U 2 V j d G l v b j E v V G F i b G U g M C A o M i k v 5 p u 0 5 p S 5 5 5 q E 5 7 G 7 5 Z 6 L L n t D b 2 x 1 b W 4 2 M i w 2 M X 0 m c X V v d D s s J n F 1 b 3 Q 7 U 2 V j d G l v b j E v V G F i b G U g M C A o M i k v 5 p u 0 5 p S 5 5 5 q E 5 7 G 7 5 Z 6 L L n t D b 2 x 1 b W 4 2 M y w 2 M n 0 m c X V v d D s s J n F 1 b 3 Q 7 U 2 V j d G l v b j E v V G F i b G U g M C A o M i k v 5 p u 0 5 p S 5 5 5 q E 5 7 G 7 5 Z 6 L L n t D b 2 x 1 b W 4 2 N C w 2 M 3 0 m c X V v d D s s J n F 1 b 3 Q 7 U 2 V j d G l v b j E v V G F i b G U g M C A o M i k v 5 p u 0 5 p S 5 5 5 q E 5 7 G 7 5 Z 6 L L n t D b 2 x 1 b W 4 2 N S w 2 N H 0 m c X V v d D s s J n F 1 b 3 Q 7 U 2 V j d G l v b j E v V G F i b G U g M C A o M i k v 5 p u 0 5 p S 5 5 5 q E 5 7 G 7 5 Z 6 L L n t D b 2 x 1 b W 4 2 N i w 2 N X 0 m c X V v d D s s J n F 1 b 3 Q 7 U 2 V j d G l v b j E v V G F i b G U g M C A o M i k v 5 p u 0 5 p S 5 5 5 q E 5 7 G 7 5 Z 6 L L n t D b 2 x 1 b W 4 2 N y w 2 N n 0 m c X V v d D s s J n F 1 b 3 Q 7 U 2 V j d G l v b j E v V G F i b G U g M C A o M i k v 5 p u 0 5 p S 5 5 5 q E 5 7 G 7 5 Z 6 L L n t D b 2 x 1 b W 4 2 O C w 2 N 3 0 m c X V v d D s s J n F 1 b 3 Q 7 U 2 V j d G l v b j E v V G F i b G U g M C A o M i k v 5 p u 0 5 p S 5 5 5 q E 5 7 G 7 5 Z 6 L L n t D b 2 x 1 b W 4 2 O S w 2 O H 0 m c X V v d D s s J n F 1 b 3 Q 7 U 2 V j d G l v b j E v V G F i b G U g M C A o M i k v 5 p u 0 5 p S 5 5 5 q E 5 7 G 7 5 Z 6 L L n t D b 2 x 1 b W 4 3 M C w 2 O X 0 m c X V v d D s s J n F 1 b 3 Q 7 U 2 V j d G l v b j E v V G F i b G U g M C A o M i k v 5 p u 0 5 p S 5 5 5 q E 5 7 G 7 5 Z 6 L L n t D b 2 x 1 b W 4 3 M S w 3 M H 0 m c X V v d D s s J n F 1 b 3 Q 7 U 2 V j d G l v b j E v V G F i b G U g M C A o M i k v 5 p u 0 5 p S 5 5 5 q E 5 7 G 7 5 Z 6 L L n t D b 2 x 1 b W 4 3 M i w 3 M X 0 m c X V v d D s s J n F 1 b 3 Q 7 U 2 V j d G l v b j E v V G F i b G U g M C A o M i k v 5 p u 0 5 p S 5 5 5 q E 5 7 G 7 5 Z 6 L L n t D b 2 x 1 b W 4 3 M y w 3 M n 0 m c X V v d D s s J n F 1 b 3 Q 7 U 2 V j d G l v b j E v V G F i b G U g M C A o M i k v 5 p u 0 5 p S 5 5 5 q E 5 7 G 7 5 Z 6 L L n t D b 2 x 1 b W 4 3 N C w 3 M 3 0 m c X V v d D s s J n F 1 b 3 Q 7 U 2 V j d G l v b j E v V G F i b G U g M C A o M i k v 5 p u 0 5 p S 5 5 5 q E 5 7 G 7 5 Z 6 L L n t D b 2 x 1 b W 4 3 N S w 3 N H 0 m c X V v d D s s J n F 1 b 3 Q 7 U 2 V j d G l v b j E v V G F i b G U g M C A o M i k v 5 p u 0 5 p S 5 5 5 q E 5 7 G 7 5 Z 6 L L n t D b 2 x 1 b W 4 3 N i w 3 N X 0 m c X V v d D s s J n F 1 b 3 Q 7 U 2 V j d G l v b j E v V G F i b G U g M C A o M i k v 5 p u 0 5 p S 5 5 5 q E 5 7 G 7 5 Z 6 L L n t D b 2 x 1 b W 4 3 N y w 3 N n 0 m c X V v d D s s J n F 1 b 3 Q 7 U 2 V j d G l v b j E v V G F i b G U g M C A o M i k v 5 p u 0 5 p S 5 5 5 q E 5 7 G 7 5 Z 6 L L n t D b 2 x 1 b W 4 3 O C w 3 N 3 0 m c X V v d D s s J n F 1 b 3 Q 7 U 2 V j d G l v b j E v V G F i b G U g M C A o M i k v 5 p u 0 5 p S 5 5 5 q E 5 7 G 7 5 Z 6 L L n t D b 2 x 1 b W 4 3 O S w 3 O H 0 m c X V v d D s s J n F 1 b 3 Q 7 U 2 V j d G l v b j E v V G F i b G U g M C A o M i k v 5 p u 0 5 p S 5 5 5 q E 5 7 G 7 5 Z 6 L L n t D b 2 x 1 b W 4 4 M C w 3 O X 0 m c X V v d D s s J n F 1 b 3 Q 7 U 2 V j d G l v b j E v V G F i b G U g M C A o M i k v 5 p u 0 5 p S 5 5 5 q E 5 7 G 7 5 Z 6 L L n t D b 2 x 1 b W 4 4 M S w 4 M H 0 m c X V v d D s s J n F 1 b 3 Q 7 U 2 V j d G l v b j E v V G F i b G U g M C A o M i k v 5 p u 0 5 p S 5 5 5 q E 5 7 G 7 5 Z 6 L L n t D b 2 x 1 b W 4 4 M i w 4 M X 0 m c X V v d D s s J n F 1 b 3 Q 7 U 2 V j d G l v b j E v V G F i b G U g M C A o M i k v 5 p u 0 5 p S 5 5 5 q E 5 7 G 7 5 Z 6 L L n t D b 2 x 1 b W 4 4 M y w 4 M n 0 m c X V v d D s s J n F 1 b 3 Q 7 U 2 V j d G l v b j E v V G F i b G U g M C A o M i k v 5 p u 0 5 p S 5 5 5 q E 5 7 G 7 5 Z 6 L L n t D b 2 x 1 b W 4 4 N C w 4 M 3 0 m c X V v d D s s J n F 1 b 3 Q 7 U 2 V j d G l v b j E v V G F i b G U g M C A o M i k v 5 p u 0 5 p S 5 5 5 q E 5 7 G 7 5 Z 6 L L n t D b 2 x 1 b W 4 4 N S w 4 N H 0 m c X V v d D s s J n F 1 b 3 Q 7 U 2 V j d G l v b j E v V G F i b G U g M C A o M i k v 5 p u 0 5 p S 5 5 5 q E 5 7 G 7 5 Z 6 L L n t D b 2 x 1 b W 4 4 N i w 4 N X 0 m c X V v d D s s J n F 1 b 3 Q 7 U 2 V j d G l v b j E v V G F i b G U g M C A o M i k v 5 p u 0 5 p S 5 5 5 q E 5 7 G 7 5 Z 6 L L n t D b 2 x 1 b W 4 4 N y w 4 N n 0 m c X V v d D s s J n F 1 b 3 Q 7 U 2 V j d G l v b j E v V G F i b G U g M C A o M i k v 5 p u 0 5 p S 5 5 5 q E 5 7 G 7 5 Z 6 L L n t D b 2 x 1 b W 4 4 O C w 4 N 3 0 m c X V v d D s s J n F 1 b 3 Q 7 U 2 V j d G l v b j E v V G F i b G U g M C A o M i k v 5 p u 0 5 p S 5 5 5 q E 5 7 G 7 5 Z 6 L L n t D b 2 x 1 b W 4 4 O S w 4 O H 0 m c X V v d D s s J n F 1 b 3 Q 7 U 2 V j d G l v b j E v V G F i b G U g M C A o M i k v 5 p u 0 5 p S 5 5 5 q E 5 7 G 7 5 Z 6 L L n t D b 2 x 1 b W 4 5 M C w 4 O X 0 m c X V v d D s s J n F 1 b 3 Q 7 U 2 V j d G l v b j E v V G F i b G U g M C A o M i k v 5 p u 0 5 p S 5 5 5 q E 5 7 G 7 5 Z 6 L L n t D b 2 x 1 b W 4 5 M S w 5 M H 0 m c X V v d D s s J n F 1 b 3 Q 7 U 2 V j d G l v b j E v V G F i b G U g M C A o M i k v 5 p u 0 5 p S 5 5 5 q E 5 7 G 7 5 Z 6 L L n t D b 2 x 1 b W 4 5 M i w 5 M X 0 m c X V v d D s s J n F 1 b 3 Q 7 U 2 V j d G l v b j E v V G F i b G U g M C A o M i k v 5 p u 0 5 p S 5 5 5 q E 5 7 G 7 5 Z 6 L L n t D b 2 x 1 b W 4 5 M y w 5 M n 0 m c X V v d D s s J n F 1 b 3 Q 7 U 2 V j d G l v b j E v V G F i b G U g M C A o M i k v 5 p u 0 5 p S 5 5 5 q E 5 7 G 7 5 Z 6 L L n t D b 2 x 1 b W 4 5 N C w 5 M 3 0 m c X V v d D s s J n F 1 b 3 Q 7 U 2 V j d G l v b j E v V G F i b G U g M C A o M i k v 5 p u 0 5 p S 5 5 5 q E 5 7 G 7 5 Z 6 L L n t D b 2 x 1 b W 4 5 N S w 5 N H 0 m c X V v d D s s J n F 1 b 3 Q 7 U 2 V j d G l v b j E v V G F i b G U g M C A o M i k v 5 p u 0 5 p S 5 5 5 q E 5 7 G 7 5 Z 6 L L n t D b 2 x 1 b W 4 5 N i w 5 N X 0 m c X V v d D s s J n F 1 b 3 Q 7 U 2 V j d G l v b j E v V G F i b G U g M C A o M i k v 5 p u 0 5 p S 5 5 5 q E 5 7 G 7 5 Z 6 L L n t D b 2 x 1 b W 4 5 N y w 5 N n 0 m c X V v d D s s J n F 1 b 3 Q 7 U 2 V j d G l v b j E v V G F i b G U g M C A o M i k v 5 p u 0 5 p S 5 5 5 q E 5 7 G 7 5 Z 6 L L n t D b 2 x 1 b W 4 5 O C w 5 N 3 0 m c X V v d D s s J n F 1 b 3 Q 7 U 2 V j d G l v b j E v V G F i b G U g M C A o M i k v 5 p u 0 5 p S 5 5 5 q E 5 7 G 7 5 Z 6 L L n t D b 2 x 1 b W 4 5 O S w 5 O H 0 m c X V v d D s s J n F 1 b 3 Q 7 U 2 V j d G l v b j E v V G F i b G U g M C A o M i k v 5 p u 0 5 p S 5 5 5 q E 5 7 G 7 5 Z 6 L L n t D b 2 x 1 b W 4 x M D A s O T l 9 J n F 1 b 3 Q 7 L C Z x d W 9 0 O 1 N l Y 3 R p b 2 4 x L 1 R h Y m x l I D A g K D I p L + a b t O a U u e e a h O e x u + W e i y 5 7 Q 2 9 s d W 1 u M T A x L D E w M H 0 m c X V v d D s s J n F 1 b 3 Q 7 U 2 V j d G l v b j E v V G F i b G U g M C A o M i k v 5 p u 0 5 p S 5 5 5 q E 5 7 G 7 5 Z 6 L L n t D b 2 x 1 b W 4 x M D I s M T A x f S Z x d W 9 0 O y w m c X V v d D t T Z W N 0 a W 9 u M S 9 U Y W J s Z S A w I C g y K S / m m 7 T m l L n n m o T n s b v l n o s u e 0 N v b H V t b j E w M y w x M D J 9 J n F 1 b 3 Q 7 L C Z x d W 9 0 O 1 N l Y 3 R p b 2 4 x L 1 R h Y m x l I D A g K D I p L + a b t O a U u e e a h O e x u + W e i y 5 7 Q 2 9 s d W 1 u M T A 0 L D E w M 3 0 m c X V v d D s s J n F 1 b 3 Q 7 U 2 V j d G l v b j E v V G F i b G U g M C A o M i k v 5 p u 0 5 p S 5 5 5 q E 5 7 G 7 5 Z 6 L L n t D b 2 x 1 b W 4 x M D U s M T A 0 f S Z x d W 9 0 O y w m c X V v d D t T Z W N 0 a W 9 u M S 9 U Y W J s Z S A w I C g y K S / m m 7 T m l L n n m o T n s b v l n o s u e 0 N v b H V t b j E w N i w x M D V 9 J n F 1 b 3 Q 7 L C Z x d W 9 0 O 1 N l Y 3 R p b 2 4 x L 1 R h Y m x l I D A g K D I p L + a b t O a U u e e a h O e x u + W e i y 5 7 Q 2 9 s d W 1 u M T A 3 L D E w N n 0 m c X V v d D s s J n F 1 b 3 Q 7 U 2 V j d G l v b j E v V G F i b G U g M C A o M i k v 5 p u 0 5 p S 5 5 5 q E 5 7 G 7 5 Z 6 L L n t D b 2 x 1 b W 4 x M D g s M T A 3 f S Z x d W 9 0 O y w m c X V v d D t T Z W N 0 a W 9 u M S 9 U Y W J s Z S A w I C g y K S / m m 7 T m l L n n m o T n s b v l n o s u e 0 N v b H V t b j E w O S w x M D h 9 J n F 1 b 3 Q 7 L C Z x d W 9 0 O 1 N l Y 3 R p b 2 4 x L 1 R h Y m x l I D A g K D I p L + a b t O a U u e e a h O e x u + W e i y 5 7 Q 2 9 s d W 1 u M T E w L D E w O X 0 m c X V v d D s s J n F 1 b 3 Q 7 U 2 V j d G l v b j E v V G F i b G U g M C A o M i k v 5 p u 0 5 p S 5 5 5 q E 5 7 G 7 5 Z 6 L L n t D b 2 x 1 b W 4 x M T E s M T E w f S Z x d W 9 0 O y w m c X V v d D t T Z W N 0 a W 9 u M S 9 U Y W J s Z S A w I C g y K S / m m 7 T m l L n n m o T n s b v l n o s u e 0 N v b H V t b j E x M i w x M T F 9 J n F 1 b 3 Q 7 L C Z x d W 9 0 O 1 N l Y 3 R p b 2 4 x L 1 R h Y m x l I D A g K D I p L + a b t O a U u e e a h O e x u + W e i y 5 7 Q 2 9 s d W 1 u M T E z L D E x M n 0 m c X V v d D s s J n F 1 b 3 Q 7 U 2 V j d G l v b j E v V G F i b G U g M C A o M i k v 5 p u 0 5 p S 5 5 5 q E 5 7 G 7 5 Z 6 L L n t D b 2 x 1 b W 4 x M T Q s M T E z f S Z x d W 9 0 O y w m c X V v d D t T Z W N 0 a W 9 u M S 9 U Y W J s Z S A w I C g y K S / m m 7 T m l L n n m o T n s b v l n o s u e 0 N v b H V t b j E x N S w x M T R 9 J n F 1 b 3 Q 7 L C Z x d W 9 0 O 1 N l Y 3 R p b 2 4 x L 1 R h Y m x l I D A g K D I p L + a b t O a U u e e a h O e x u + W e i y 5 7 Q 2 9 s d W 1 u M T E 2 L D E x N X 0 m c X V v d D s s J n F 1 b 3 Q 7 U 2 V j d G l v b j E v V G F i b G U g M C A o M i k v 5 p u 0 5 p S 5 5 5 q E 5 7 G 7 5 Z 6 L L n t D b 2 x 1 b W 4 x M T c s M T E 2 f S Z x d W 9 0 O y w m c X V v d D t T Z W N 0 a W 9 u M S 9 U Y W J s Z S A w I C g y K S / m m 7 T m l L n n m o T n s b v l n o s u e 0 N v b H V t b j E x O C w x M T d 9 J n F 1 b 3 Q 7 L C Z x d W 9 0 O 1 N l Y 3 R p b 2 4 x L 1 R h Y m x l I D A g K D I p L + a b t O a U u e e a h O e x u + W e i y 5 7 Q 2 9 s d W 1 u M T E 5 L D E x O H 0 m c X V v d D s s J n F 1 b 3 Q 7 U 2 V j d G l v b j E v V G F i b G U g M C A o M i k v 5 p u 0 5 p S 5 5 5 q E 5 7 G 7 5 Z 6 L L n t D b 2 x 1 b W 4 x M j A s M T E 5 f S Z x d W 9 0 O y w m c X V v d D t T Z W N 0 a W 9 u M S 9 U Y W J s Z S A w I C g y K S / m m 7 T m l L n n m o T n s b v l n o s u e 0 N v b H V t b j E y M S w x M j B 9 J n F 1 b 3 Q 7 L C Z x d W 9 0 O 1 N l Y 3 R p b 2 4 x L 1 R h Y m x l I D A g K D I p L + a b t O a U u e e a h O e x u + W e i y 5 7 Q 2 9 s d W 1 u M T I y L D E y M X 0 m c X V v d D s s J n F 1 b 3 Q 7 U 2 V j d G l v b j E v V G F i b G U g M C A o M i k v 5 p u 0 5 p S 5 5 5 q E 5 7 G 7 5 Z 6 L L n t D b 2 x 1 b W 4 x M j M s M T I y f S Z x d W 9 0 O y w m c X V v d D t T Z W N 0 a W 9 u M S 9 U Y W J s Z S A w I C g y K S / m m 7 T m l L n n m o T n s b v l n o s u e 0 N v b H V t b j E y N C w x M j N 9 J n F 1 b 3 Q 7 L C Z x d W 9 0 O 1 N l Y 3 R p b 2 4 x L 1 R h Y m x l I D A g K D I p L + a b t O a U u e e a h O e x u + W e i y 5 7 Q 2 9 s d W 1 u M T I 1 L D E y N H 0 m c X V v d D s s J n F 1 b 3 Q 7 U 2 V j d G l v b j E v V G F i b G U g M C A o M i k v 5 p u 0 5 p S 5 5 5 q E 5 7 G 7 5 Z 6 L L n t D b 2 x 1 b W 4 x M j Y s M T I 1 f S Z x d W 9 0 O y w m c X V v d D t T Z W N 0 a W 9 u M S 9 U Y W J s Z S A w I C g y K S / m m 7 T m l L n n m o T n s b v l n o s u e 0 N v b H V t b j E y N y w x M j Z 9 J n F 1 b 3 Q 7 L C Z x d W 9 0 O 1 N l Y 3 R p b 2 4 x L 1 R h Y m x l I D A g K D I p L + a b t O a U u e e a h O e x u + W e i y 5 7 Q 2 9 s d W 1 u M T I 4 L D E y N 3 0 m c X V v d D s s J n F 1 b 3 Q 7 U 2 V j d G l v b j E v V G F i b G U g M C A o M i k v 5 p u 0 5 p S 5 5 5 q E 5 7 G 7 5 Z 6 L L n t D b 2 x 1 b W 4 x M j k s M T I 4 f S Z x d W 9 0 O y w m c X V v d D t T Z W N 0 a W 9 u M S 9 U Y W J s Z S A w I C g y K S / m m 7 T m l L n n m o T n s b v l n o s u e 0 N v b H V t b j E z M C w x M j l 9 J n F 1 b 3 Q 7 L C Z x d W 9 0 O 1 N l Y 3 R p b 2 4 x L 1 R h Y m x l I D A g K D I p L + a b t O a U u e e a h O e x u + W e i y 5 7 Q 2 9 s d W 1 u M T M x L D E z M H 0 m c X V v d D s s J n F 1 b 3 Q 7 U 2 V j d G l v b j E v V G F i b G U g M C A o M i k v 5 p u 0 5 p S 5 5 5 q E 5 7 G 7 5 Z 6 L L n t D b 2 x 1 b W 4 x M z I s M T M x f S Z x d W 9 0 O y w m c X V v d D t T Z W N 0 a W 9 u M S 9 U Y W J s Z S A w I C g y K S / m m 7 T m l L n n m o T n s b v l n o s u e 0 N v b H V t b j E z M y w x M z J 9 J n F 1 b 3 Q 7 L C Z x d W 9 0 O 1 N l Y 3 R p b 2 4 x L 1 R h Y m x l I D A g K D I p L + a b t O a U u e e a h O e x u + W e i y 5 7 Q 2 9 s d W 1 u M T M 0 L D E z M 3 0 m c X V v d D s s J n F 1 b 3 Q 7 U 2 V j d G l v b j E v V G F i b G U g M C A o M i k v 5 p u 0 5 p S 5 5 5 q E 5 7 G 7 5 Z 6 L L n t D b 2 x 1 b W 4 x M z U s M T M 0 f S Z x d W 9 0 O y w m c X V v d D t T Z W N 0 a W 9 u M S 9 U Y W J s Z S A w I C g y K S / m m 7 T m l L n n m o T n s b v l n o s u e 0 N v b H V t b j E z N i w x M z V 9 J n F 1 b 3 Q 7 L C Z x d W 9 0 O 1 N l Y 3 R p b 2 4 x L 1 R h Y m x l I D A g K D I p L + a b t O a U u e e a h O e x u + W e i y 5 7 Q 2 9 s d W 1 u M T M 3 L D E z N n 0 m c X V v d D s s J n F 1 b 3 Q 7 U 2 V j d G l v b j E v V G F i b G U g M C A o M i k v 5 p u 0 5 p S 5 5 5 q E 5 7 G 7 5 Z 6 L L n t D b 2 x 1 b W 4 x M z g s M T M 3 f S Z x d W 9 0 O y w m c X V v d D t T Z W N 0 a W 9 u M S 9 U Y W J s Z S A w I C g y K S / m m 7 T m l L n n m o T n s b v l n o s u e 0 N v b H V t b j E z O S w x M z h 9 J n F 1 b 3 Q 7 L C Z x d W 9 0 O 1 N l Y 3 R p b 2 4 x L 1 R h Y m x l I D A g K D I p L + a b t O a U u e e a h O e x u + W e i y 5 7 Q 2 9 s d W 1 u M T Q w L D E z O X 0 m c X V v d D s s J n F 1 b 3 Q 7 U 2 V j d G l v b j E v V G F i b G U g M C A o M i k v 5 p u 0 5 p S 5 5 5 q E 5 7 G 7 5 Z 6 L L n t D b 2 x 1 b W 4 x N D E s M T Q w f S Z x d W 9 0 O y w m c X V v d D t T Z W N 0 a W 9 u M S 9 U Y W J s Z S A w I C g y K S / m m 7 T m l L n n m o T n s b v l n o s u e 0 N v b H V t b j E 0 M i w x N D F 9 J n F 1 b 3 Q 7 L C Z x d W 9 0 O 1 N l Y 3 R p b 2 4 x L 1 R h Y m x l I D A g K D I p L + a b t O a U u e e a h O e x u + W e i y 5 7 Q 2 9 s d W 1 u M T Q z L D E 0 M n 0 m c X V v d D s s J n F 1 b 3 Q 7 U 2 V j d G l v b j E v V G F i b G U g M C A o M i k v 5 p u 0 5 p S 5 5 5 q E 5 7 G 7 5 Z 6 L L n t D b 2 x 1 b W 4 x N D Q s M T Q z f S Z x d W 9 0 O y w m c X V v d D t T Z W N 0 a W 9 u M S 9 U Y W J s Z S A w I C g y K S / m m 7 T m l L n n m o T n s b v l n o s u e 0 N v b H V t b j E 0 N S w x N D R 9 J n F 1 b 3 Q 7 L C Z x d W 9 0 O 1 N l Y 3 R p b 2 4 x L 1 R h Y m x l I D A g K D I p L + a b t O a U u e e a h O e x u + W e i y 5 7 Q 2 9 s d W 1 u M T Q 2 L D E 0 N X 0 m c X V v d D s s J n F 1 b 3 Q 7 U 2 V j d G l v b j E v V G F i b G U g M C A o M i k v 5 p u 0 5 p S 5 5 5 q E 5 7 G 7 5 Z 6 L L n t D b 2 x 1 b W 4 x N D c s M T Q 2 f S Z x d W 9 0 O y w m c X V v d D t T Z W N 0 a W 9 u M S 9 U Y W J s Z S A w I C g y K S / m m 7 T m l L n n m o T n s b v l n o s u e 0 N v b H V t b j E 0 O C w x N D d 9 J n F 1 b 3 Q 7 L C Z x d W 9 0 O 1 N l Y 3 R p b 2 4 x L 1 R h Y m x l I D A g K D I p L + a b t O a U u e e a h O e x u + W e i y 5 7 Q 2 9 s d W 1 u M T Q 5 L D E 0 O H 0 m c X V v d D s s J n F 1 b 3 Q 7 U 2 V j d G l v b j E v V G F i b G U g M C A o M i k v 5 p u 0 5 p S 5 5 5 q E 5 7 G 7 5 Z 6 L L n t D b 2 x 1 b W 4 x N T A s M T Q 5 f S Z x d W 9 0 O y w m c X V v d D t T Z W N 0 a W 9 u M S 9 U Y W J s Z S A w I C g y K S / m m 7 T m l L n n m o T n s b v l n o s u e 0 N v b H V t b j E 1 M S w x N T B 9 J n F 1 b 3 Q 7 L C Z x d W 9 0 O 1 N l Y 3 R p b 2 4 x L 1 R h Y m x l I D A g K D I p L + a b t O a U u e e a h O e x u + W e i y 5 7 Q 2 9 s d W 1 u M T U y L D E 1 M X 0 m c X V v d D s s J n F 1 b 3 Q 7 U 2 V j d G l v b j E v V G F i b G U g M C A o M i k v 5 p u 0 5 p S 5 5 5 q E 5 7 G 7 5 Z 6 L L n t D b 2 x 1 b W 4 x N T M s M T U y f S Z x d W 9 0 O y w m c X V v d D t T Z W N 0 a W 9 u M S 9 U Y W J s Z S A w I C g y K S / m m 7 T m l L n n m o T n s b v l n o s u e 0 N v b H V t b j E 1 N C w x N T N 9 J n F 1 b 3 Q 7 L C Z x d W 9 0 O 1 N l Y 3 R p b 2 4 x L 1 R h Y m x l I D A g K D I p L + a b t O a U u e e a h O e x u + W e i y 5 7 Q 2 9 s d W 1 u M T U 1 L D E 1 N H 0 m c X V v d D s s J n F 1 b 3 Q 7 U 2 V j d G l v b j E v V G F i b G U g M C A o M i k v 5 p u 0 5 p S 5 5 5 q E 5 7 G 7 5 Z 6 L L n t D b 2 x 1 b W 4 x N T Y s M T U 1 f S Z x d W 9 0 O y w m c X V v d D t T Z W N 0 a W 9 u M S 9 U Y W J s Z S A w I C g y K S / m m 7 T m l L n n m o T n s b v l n o s u e 0 N v b H V t b j E 1 N y w x N T Z 9 J n F 1 b 3 Q 7 L C Z x d W 9 0 O 1 N l Y 3 R p b 2 4 x L 1 R h Y m x l I D A g K D I p L + a b t O a U u e e a h O e x u + W e i y 5 7 Q 2 9 s d W 1 u M T U 4 L D E 1 N 3 0 m c X V v d D s s J n F 1 b 3 Q 7 U 2 V j d G l v b j E v V G F i b G U g M C A o M i k v 5 p u 0 5 p S 5 5 5 q E 5 7 G 7 5 Z 6 L L n t D b 2 x 1 b W 4 x N T k s M T U 4 f S Z x d W 9 0 O y w m c X V v d D t T Z W N 0 a W 9 u M S 9 U Y W J s Z S A w I C g y K S / m m 7 T m l L n n m o T n s b v l n o s u e 0 N v b H V t b j E 2 M C w x N T l 9 J n F 1 b 3 Q 7 L C Z x d W 9 0 O 1 N l Y 3 R p b 2 4 x L 1 R h Y m x l I D A g K D I p L + a b t O a U u e e a h O e x u + W e i y 5 7 Q 2 9 s d W 1 u M T Y x L D E 2 M H 0 m c X V v d D s s J n F 1 b 3 Q 7 U 2 V j d G l v b j E v V G F i b G U g M C A o M i k v 5 p u 0 5 p S 5 5 5 q E 5 7 G 7 5 Z 6 L L n t D b 2 x 1 b W 4 x N j I s M T Y x f S Z x d W 9 0 O y w m c X V v d D t T Z W N 0 a W 9 u M S 9 U Y W J s Z S A w I C g y K S / m m 7 T m l L n n m o T n s b v l n o s u e 0 N v b H V t b j E 2 M y w x N j J 9 J n F 1 b 3 Q 7 L C Z x d W 9 0 O 1 N l Y 3 R p b 2 4 x L 1 R h Y m x l I D A g K D I p L + a b t O a U u e e a h O e x u + W e i y 5 7 Q 2 9 s d W 1 u M T Y 0 L D E 2 M 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P S I g L z 4 8 R W 5 0 c n k g V H l w Z T 0 i R m l s b E x h c 3 R V c G R h d G V k I i B W Y W x 1 Z T 0 i Z D I w M j E t M D E t M D N U M D M 6 M D U 6 N T Q u N j U z M D Q 1 N 1 o i I C 8 + P E V u d H J 5 I F R 5 c G U 9 I k Z p b G x F c n J v c k N v d W 5 0 I i B W Y W x 1 Z T 0 i b D A i I C 8 + P E V u d H J 5 I F R 5 c G U 9 I k Z p b G x F c n J v c k N v Z G U i I F Z h b H V l P S J z V W 5 r b m 9 3 b i I g L z 4 8 R W 5 0 c n k g V H l w Z T 0 i R m l s b E N v d W 5 0 I i B W Y W x 1 Z T 0 i b D E w O C I g L z 4 8 R W 5 0 c n k g V H l w Z T 0 i Q W R k Z W R U b 0 R h d G F N b 2 R l b C I g V m F s d W U 9 I m w w I i A v P j x F b n R y e S B U e X B l P S J R d W V y e U l E I i B W Y W x 1 Z T 0 i c z h m Y W J h Z j U 2 L W M 0 M j E t N D g 0 Y i 0 4 O T I 4 L W Y 1 N W Z k Z j U 3 Z T l l N C I g L z 4 8 L 1 N 0 Y W J s Z U V u d H J p Z X M + P C 9 J d G V t P j x J d G V t P j x J d G V t T G 9 j Y X R p b 2 4 + P E l 0 Z W 1 U e X B l P k Z v c m 1 1 b G E 8 L 0 l 0 Z W 1 U e X B l P j x J d G V t U G F 0 a D 5 T Z W N 0 a W 9 u M S 9 U Y W J s Z S U y M D A l M j A o M i k v J U U 2 J U J B J T k w 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y V F N i U 5 Q i V C N C V F N i U 5 N C V C O S V F N y U 5 Q S U 4 N C V F N y V C M S V C Q i V F N S U 5 R S U 4 Q j w v S X R l b V B h d G g + P C 9 J d G V t T G 9 j Y X R p b 2 4 + P F N 0 Y W J s Z U V u d H J p Z X M g L z 4 8 L 0 l 0 Z W 0 + P C 9 J d G V t c z 4 8 L 0 x v Y 2 F s U G F j a 2 F n Z U 1 l d G F k Y X R h R m l s Z T 4 W A A A A U E s F B g A A A A A A A A A A A A A A A A A A A A A A A C Y B A A A B A A A A 0 I y d 3 w E V 0 R G M e g D A T 8 K X 6 w E A A A A P 8 X + l 1 Z v h S a O V d c z m w 8 n + A A A A A A I A A A A A A B B m A A A A A Q A A I A A A A E m 5 s 8 c T 9 T z 5 K d a r O F f 0 4 0 9 t l e 4 Z 0 w r q 0 r M Z o D m q C r 5 + A A A A A A 6 A A A A A A g A A I A A A A J q Q g X F u T J D z 5 5 x q G E j n A 2 b N j Q O r b K V Y K L i t 0 1 M 4 U e W o U A A A A N / M n q u G K A D s M C l 1 C I f B O E g 4 t 9 P W F 1 0 s p a 5 X + k p E j 4 / G + 4 e n Q x k N h 1 r 9 P u S s O i m H l 8 n P y X U U t x P I Y v w z p g Y Y y h 4 Y m B M + B e 8 1 1 D 4 B n I c G A 8 5 z Q A A A A E L 6 x Z 2 + 2 V 2 s B H D n k I 8 u 4 c B Q 8 Z 3 1 z 5 m N k O B p L L L k E 6 s y s N 6 7 n m I G j z d n i j C P U e C i x i s V 2 3 4 J w A K K r 9 5 5 u 8 A d x D A = < / 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422</vt:i4>
      </vt:variant>
      <vt:variant>
        <vt:lpstr>命名范围</vt:lpstr>
      </vt:variant>
      <vt:variant>
        <vt:i4>6</vt:i4>
      </vt:variant>
    </vt:vector>
  </HeadingPairs>
  <TitlesOfParts>
    <vt:vector size="428"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应收账款期末数首次新金融工具准则</vt:lpstr>
      <vt:lpstr>应收账款期初数新金融工具准则</vt:lpstr>
      <vt:lpstr>应收账款期末数新金融工具准则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应收政府组合首次执行</vt:lpstr>
      <vt:lpstr>账龄组合首次执行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vt:lpstr>
      <vt:lpstr>生产性生物资产明细表</vt:lpstr>
      <vt:lpstr>油气资产</vt:lpstr>
      <vt:lpstr>油气资产国有企业</vt:lpstr>
      <vt:lpstr>油气资产明细表</vt:lpstr>
      <vt:lpstr>使用权资产</vt:lpstr>
      <vt:lpstr>使用权资产明细表</vt:lpstr>
      <vt:lpstr>无形资产</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ASUS</cp:lastModifiedBy>
  <dcterms:created xsi:type="dcterms:W3CDTF">2015-06-05T18:17:20Z</dcterms:created>
  <dcterms:modified xsi:type="dcterms:W3CDTF">2021-11-20T14:57:56Z</dcterms:modified>
</cp:coreProperties>
</file>