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MX_1_Deliverables\"/>
    </mc:Choice>
  </mc:AlternateContent>
  <xr:revisionPtr revIDLastSave="0" documentId="13_ncr:1_{44C828FE-2612-44D5-B7C4-BF5C67FB1ECF}" xr6:coauthVersionLast="47" xr6:coauthVersionMax="47" xr10:uidLastSave="{00000000-0000-0000-0000-000000000000}"/>
  <bookViews>
    <workbookView xWindow="-108" yWindow="-108" windowWidth="23256" windowHeight="12456" firstSheet="1" activeTab="1" xr2:uid="{931705CB-CA90-4C1B-A8A1-50E580FC26E6}"/>
  </bookViews>
  <sheets>
    <sheet name="Sheet3" sheetId="8" state="hidden" r:id="rId1"/>
    <sheet name="BP Profitability_Sample" sheetId="2" r:id="rId2"/>
    <sheet name="cost_base" sheetId="4" r:id="rId3"/>
    <sheet name="payouts_table_AMD" sheetId="5" r:id="rId4"/>
    <sheet name="Sheet1" sheetId="6" state="hidden" r:id="rId5"/>
    <sheet name="Sheet2" sheetId="7" state="hidden" r:id="rId6"/>
  </sheets>
  <definedNames>
    <definedName name="_xlnm._FilterDatabase" localSheetId="1" hidden="1">'BP Profitability_Sample'!$A$1:$L$49</definedName>
    <definedName name="_xlnm._FilterDatabase" localSheetId="3" hidden="1">payouts_table_AMD!$A$1:$E$52</definedName>
    <definedName name="b" localSheetId="2">#REF!</definedName>
    <definedName name="b" localSheetId="3">#REF!</definedName>
    <definedName name="b">#REF!</definedName>
    <definedName name="cp" localSheetId="2">#REF!</definedName>
    <definedName name="cp" localSheetId="3">#REF!</definedName>
    <definedName name="cp">#REF!</definedName>
    <definedName name="p" localSheetId="2">#REF!</definedName>
    <definedName name="p" localSheetId="3">#REF!</definedName>
    <definedName name="p">#REF!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2" l="1"/>
  <c r="U65" i="4"/>
  <c r="S3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2" i="2"/>
  <c r="R64" i="4"/>
  <c r="S64" i="4" s="1"/>
  <c r="U64" i="4" s="1"/>
  <c r="S63" i="4"/>
  <c r="U63" i="4" s="1"/>
  <c r="R63" i="4"/>
  <c r="S62" i="4"/>
  <c r="U62" i="4" s="1"/>
  <c r="R62" i="4"/>
  <c r="R61" i="4"/>
  <c r="S61" i="4" s="1"/>
  <c r="U61" i="4" s="1"/>
  <c r="R60" i="4"/>
  <c r="S60" i="4" s="1"/>
  <c r="U60" i="4" s="1"/>
  <c r="R59" i="4"/>
  <c r="S59" i="4" s="1"/>
  <c r="U59" i="4" s="1"/>
  <c r="R58" i="4"/>
  <c r="S58" i="4" s="1"/>
  <c r="U58" i="4" s="1"/>
  <c r="R57" i="4"/>
  <c r="S57" i="4" s="1"/>
  <c r="U57" i="4" s="1"/>
  <c r="R56" i="4"/>
  <c r="S56" i="4" s="1"/>
  <c r="U56" i="4" s="1"/>
  <c r="S55" i="4"/>
  <c r="U55" i="4" s="1"/>
  <c r="R55" i="4"/>
  <c r="S54" i="4"/>
  <c r="U54" i="4" s="1"/>
  <c r="R54" i="4"/>
  <c r="R53" i="4"/>
  <c r="S53" i="4" s="1"/>
  <c r="U53" i="4" s="1"/>
  <c r="R52" i="4"/>
  <c r="S52" i="4" s="1"/>
  <c r="U52" i="4" s="1"/>
  <c r="R51" i="4"/>
  <c r="S51" i="4" s="1"/>
  <c r="U51" i="4" s="1"/>
  <c r="R50" i="4"/>
  <c r="S50" i="4" s="1"/>
  <c r="U50" i="4" s="1"/>
  <c r="R49" i="4"/>
  <c r="S49" i="4" s="1"/>
  <c r="U49" i="4" s="1"/>
  <c r="R48" i="4"/>
  <c r="S48" i="4" s="1"/>
  <c r="U48" i="4" s="1"/>
  <c r="S47" i="4"/>
  <c r="U47" i="4" s="1"/>
  <c r="R47" i="4"/>
  <c r="S46" i="4"/>
  <c r="U46" i="4" s="1"/>
  <c r="R46" i="4"/>
  <c r="R45" i="4"/>
  <c r="S45" i="4" s="1"/>
  <c r="U45" i="4" s="1"/>
  <c r="R44" i="4"/>
  <c r="S44" i="4" s="1"/>
  <c r="U44" i="4" s="1"/>
  <c r="R43" i="4"/>
  <c r="S43" i="4" s="1"/>
  <c r="U43" i="4" s="1"/>
  <c r="R42" i="4"/>
  <c r="S42" i="4" s="1"/>
  <c r="U42" i="4" s="1"/>
  <c r="R41" i="4"/>
  <c r="S41" i="4" s="1"/>
  <c r="U41" i="4" s="1"/>
  <c r="R40" i="4"/>
  <c r="S40" i="4" s="1"/>
  <c r="U40" i="4" s="1"/>
  <c r="S39" i="4"/>
  <c r="U39" i="4" s="1"/>
  <c r="R39" i="4"/>
  <c r="S38" i="4"/>
  <c r="U38" i="4" s="1"/>
  <c r="R38" i="4"/>
  <c r="R37" i="4"/>
  <c r="S37" i="4" s="1"/>
  <c r="U37" i="4" s="1"/>
  <c r="R36" i="4"/>
  <c r="S36" i="4" s="1"/>
  <c r="U36" i="4" s="1"/>
  <c r="R35" i="4"/>
  <c r="S35" i="4" s="1"/>
  <c r="U35" i="4" s="1"/>
  <c r="R34" i="4"/>
  <c r="S34" i="4" s="1"/>
  <c r="U34" i="4" s="1"/>
  <c r="R33" i="4"/>
  <c r="S33" i="4" s="1"/>
  <c r="U33" i="4" s="1"/>
  <c r="R32" i="4"/>
  <c r="S32" i="4" s="1"/>
  <c r="U32" i="4" s="1"/>
  <c r="S31" i="4"/>
  <c r="U31" i="4" s="1"/>
  <c r="R31" i="4"/>
  <c r="S30" i="4"/>
  <c r="U30" i="4" s="1"/>
  <c r="R30" i="4"/>
  <c r="R29" i="4"/>
  <c r="S29" i="4" s="1"/>
  <c r="U29" i="4" s="1"/>
  <c r="R28" i="4"/>
  <c r="S28" i="4" s="1"/>
  <c r="U28" i="4" s="1"/>
  <c r="R27" i="4"/>
  <c r="S27" i="4" s="1"/>
  <c r="U27" i="4" s="1"/>
  <c r="R26" i="4"/>
  <c r="S26" i="4" s="1"/>
  <c r="U26" i="4" s="1"/>
  <c r="R25" i="4"/>
  <c r="S25" i="4" s="1"/>
  <c r="U25" i="4" s="1"/>
  <c r="R24" i="4"/>
  <c r="S24" i="4" s="1"/>
  <c r="U24" i="4" s="1"/>
  <c r="S23" i="4"/>
  <c r="U23" i="4" s="1"/>
  <c r="R23" i="4"/>
  <c r="S22" i="4"/>
  <c r="U22" i="4" s="1"/>
  <c r="R22" i="4"/>
  <c r="R21" i="4"/>
  <c r="S21" i="4" s="1"/>
  <c r="U21" i="4" s="1"/>
  <c r="R20" i="4"/>
  <c r="S20" i="4" s="1"/>
  <c r="U20" i="4" s="1"/>
  <c r="R19" i="4"/>
  <c r="S19" i="4" s="1"/>
  <c r="U19" i="4" s="1"/>
  <c r="R18" i="4"/>
  <c r="S18" i="4" s="1"/>
  <c r="U18" i="4" s="1"/>
  <c r="R17" i="4"/>
  <c r="S17" i="4" s="1"/>
  <c r="U17" i="4" s="1"/>
  <c r="R16" i="4"/>
  <c r="S16" i="4" s="1"/>
  <c r="U16" i="4" s="1"/>
  <c r="S15" i="4"/>
  <c r="U15" i="4" s="1"/>
  <c r="R15" i="4"/>
  <c r="S14" i="4"/>
  <c r="U14" i="4" s="1"/>
  <c r="R14" i="4"/>
  <c r="R13" i="4"/>
  <c r="S13" i="4" s="1"/>
  <c r="U13" i="4" s="1"/>
  <c r="R12" i="4"/>
  <c r="S12" i="4" s="1"/>
  <c r="U12" i="4" s="1"/>
  <c r="R11" i="4"/>
  <c r="S11" i="4" s="1"/>
  <c r="U11" i="4" s="1"/>
  <c r="R10" i="4"/>
  <c r="S10" i="4" s="1"/>
  <c r="U10" i="4" s="1"/>
  <c r="R9" i="4"/>
  <c r="S9" i="4" s="1"/>
  <c r="U9" i="4" s="1"/>
  <c r="R8" i="4"/>
  <c r="S8" i="4" s="1"/>
  <c r="U8" i="4" s="1"/>
  <c r="S7" i="4"/>
  <c r="U7" i="4" s="1"/>
  <c r="R7" i="4"/>
  <c r="S6" i="4"/>
  <c r="U6" i="4" s="1"/>
  <c r="R6" i="4"/>
  <c r="R5" i="4"/>
  <c r="S5" i="4" s="1"/>
  <c r="U5" i="4" s="1"/>
  <c r="R4" i="4"/>
  <c r="S4" i="4" s="1"/>
  <c r="U4" i="4" s="1"/>
  <c r="R3" i="4"/>
  <c r="S3" i="4" s="1"/>
  <c r="U3" i="4" s="1"/>
  <c r="R2" i="4"/>
  <c r="S2" i="4" s="1"/>
  <c r="U2" i="4" s="1"/>
  <c r="G2" i="6"/>
  <c r="F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2" i="2"/>
  <c r="F3" i="2"/>
  <c r="J3" i="2" s="1"/>
  <c r="K3" i="2" s="1"/>
  <c r="N3" i="2" s="1"/>
  <c r="F4" i="2"/>
  <c r="J4" i="2" s="1"/>
  <c r="K4" i="2" s="1"/>
  <c r="N4" i="2" s="1"/>
  <c r="F5" i="2"/>
  <c r="F6" i="2"/>
  <c r="J6" i="2" s="1"/>
  <c r="K6" i="2" s="1"/>
  <c r="N6" i="2" s="1"/>
  <c r="F7" i="2"/>
  <c r="J7" i="2" s="1"/>
  <c r="K7" i="2" s="1"/>
  <c r="N7" i="2" s="1"/>
  <c r="F8" i="2"/>
  <c r="H8" i="2" s="1"/>
  <c r="I8" i="2" s="1"/>
  <c r="M8" i="2" s="1"/>
  <c r="F9" i="2"/>
  <c r="J9" i="2" s="1"/>
  <c r="K9" i="2" s="1"/>
  <c r="N9" i="2" s="1"/>
  <c r="F10" i="2"/>
  <c r="J10" i="2" s="1"/>
  <c r="K10" i="2" s="1"/>
  <c r="N10" i="2" s="1"/>
  <c r="F11" i="2"/>
  <c r="J11" i="2" s="1"/>
  <c r="K11" i="2" s="1"/>
  <c r="N11" i="2" s="1"/>
  <c r="F12" i="2"/>
  <c r="J12" i="2" s="1"/>
  <c r="K12" i="2" s="1"/>
  <c r="N12" i="2" s="1"/>
  <c r="F13" i="2"/>
  <c r="F14" i="2"/>
  <c r="J14" i="2" s="1"/>
  <c r="K14" i="2" s="1"/>
  <c r="N14" i="2" s="1"/>
  <c r="F15" i="2"/>
  <c r="H15" i="2" s="1"/>
  <c r="I15" i="2" s="1"/>
  <c r="M15" i="2" s="1"/>
  <c r="F16" i="2"/>
  <c r="H16" i="2" s="1"/>
  <c r="I16" i="2" s="1"/>
  <c r="M16" i="2" s="1"/>
  <c r="F17" i="2"/>
  <c r="J17" i="2" s="1"/>
  <c r="K17" i="2" s="1"/>
  <c r="N17" i="2" s="1"/>
  <c r="F18" i="2"/>
  <c r="H18" i="2" s="1"/>
  <c r="I18" i="2" s="1"/>
  <c r="M18" i="2" s="1"/>
  <c r="F19" i="2"/>
  <c r="J19" i="2" s="1"/>
  <c r="K19" i="2" s="1"/>
  <c r="N19" i="2" s="1"/>
  <c r="F20" i="2"/>
  <c r="J20" i="2" s="1"/>
  <c r="K20" i="2" s="1"/>
  <c r="N20" i="2" s="1"/>
  <c r="F21" i="2"/>
  <c r="F22" i="2"/>
  <c r="H22" i="2" s="1"/>
  <c r="I22" i="2" s="1"/>
  <c r="M22" i="2" s="1"/>
  <c r="F23" i="2"/>
  <c r="H23" i="2" s="1"/>
  <c r="I23" i="2" s="1"/>
  <c r="M23" i="2" s="1"/>
  <c r="F24" i="2"/>
  <c r="H24" i="2" s="1"/>
  <c r="I24" i="2" s="1"/>
  <c r="M24" i="2" s="1"/>
  <c r="F25" i="2"/>
  <c r="H25" i="2" s="1"/>
  <c r="I25" i="2" s="1"/>
  <c r="M25" i="2" s="1"/>
  <c r="F26" i="2"/>
  <c r="H26" i="2" s="1"/>
  <c r="I26" i="2" s="1"/>
  <c r="M26" i="2" s="1"/>
  <c r="F27" i="2"/>
  <c r="J27" i="2" s="1"/>
  <c r="K27" i="2" s="1"/>
  <c r="N27" i="2" s="1"/>
  <c r="F28" i="2"/>
  <c r="J28" i="2" s="1"/>
  <c r="K28" i="2" s="1"/>
  <c r="N28" i="2" s="1"/>
  <c r="F29" i="2"/>
  <c r="F30" i="2"/>
  <c r="H30" i="2" s="1"/>
  <c r="I30" i="2" s="1"/>
  <c r="M30" i="2" s="1"/>
  <c r="F31" i="2"/>
  <c r="J31" i="2" s="1"/>
  <c r="K31" i="2" s="1"/>
  <c r="N31" i="2" s="1"/>
  <c r="F32" i="2"/>
  <c r="J32" i="2" s="1"/>
  <c r="K32" i="2" s="1"/>
  <c r="N32" i="2" s="1"/>
  <c r="F33" i="2"/>
  <c r="F34" i="2"/>
  <c r="J34" i="2" s="1"/>
  <c r="K34" i="2" s="1"/>
  <c r="N34" i="2" s="1"/>
  <c r="F35" i="2"/>
  <c r="J35" i="2" s="1"/>
  <c r="K35" i="2" s="1"/>
  <c r="N35" i="2" s="1"/>
  <c r="F36" i="2"/>
  <c r="J36" i="2" s="1"/>
  <c r="K36" i="2" s="1"/>
  <c r="N36" i="2" s="1"/>
  <c r="F37" i="2"/>
  <c r="F38" i="2"/>
  <c r="J38" i="2" s="1"/>
  <c r="K38" i="2" s="1"/>
  <c r="N38" i="2" s="1"/>
  <c r="F39" i="2"/>
  <c r="H39" i="2" s="1"/>
  <c r="I39" i="2" s="1"/>
  <c r="M39" i="2" s="1"/>
  <c r="F40" i="2"/>
  <c r="H40" i="2" s="1"/>
  <c r="I40" i="2" s="1"/>
  <c r="M40" i="2" s="1"/>
  <c r="F41" i="2"/>
  <c r="J41" i="2" s="1"/>
  <c r="K41" i="2" s="1"/>
  <c r="N41" i="2" s="1"/>
  <c r="F42" i="2"/>
  <c r="J42" i="2" s="1"/>
  <c r="K42" i="2" s="1"/>
  <c r="N42" i="2" s="1"/>
  <c r="F43" i="2"/>
  <c r="J43" i="2" s="1"/>
  <c r="K43" i="2" s="1"/>
  <c r="N43" i="2" s="1"/>
  <c r="F44" i="2"/>
  <c r="J44" i="2" s="1"/>
  <c r="K44" i="2" s="1"/>
  <c r="N44" i="2" s="1"/>
  <c r="F45" i="2"/>
  <c r="F46" i="2"/>
  <c r="J46" i="2" s="1"/>
  <c r="K46" i="2" s="1"/>
  <c r="N46" i="2" s="1"/>
  <c r="F47" i="2"/>
  <c r="H47" i="2" s="1"/>
  <c r="I47" i="2" s="1"/>
  <c r="M47" i="2" s="1"/>
  <c r="F48" i="2"/>
  <c r="H48" i="2" s="1"/>
  <c r="I48" i="2" s="1"/>
  <c r="M48" i="2" s="1"/>
  <c r="F49" i="2"/>
  <c r="J49" i="2" s="1"/>
  <c r="K49" i="2" s="1"/>
  <c r="N49" i="2" s="1"/>
  <c r="F61" i="6"/>
  <c r="G61" i="6" s="1"/>
  <c r="F16" i="6"/>
  <c r="G16" i="6" s="1"/>
  <c r="F3" i="6"/>
  <c r="G3" i="6" s="1"/>
  <c r="F2" i="6"/>
  <c r="F55" i="6"/>
  <c r="G55" i="6" s="1"/>
  <c r="F54" i="6"/>
  <c r="G54" i="6" s="1"/>
  <c r="F42" i="6"/>
  <c r="G42" i="6" s="1"/>
  <c r="F34" i="6"/>
  <c r="G34" i="6" s="1"/>
  <c r="F31" i="6"/>
  <c r="G31" i="6" s="1"/>
  <c r="F12" i="6"/>
  <c r="G12" i="6" s="1"/>
  <c r="F4" i="6"/>
  <c r="G4" i="6" s="1"/>
  <c r="F60" i="6"/>
  <c r="G60" i="6" s="1"/>
  <c r="F40" i="6"/>
  <c r="G40" i="6" s="1"/>
  <c r="F24" i="6"/>
  <c r="G24" i="6" s="1"/>
  <c r="F17" i="6"/>
  <c r="G17" i="6" s="1"/>
  <c r="F7" i="6"/>
  <c r="G7" i="6" s="1"/>
  <c r="F49" i="6"/>
  <c r="G49" i="6" s="1"/>
  <c r="F32" i="6"/>
  <c r="G32" i="6" s="1"/>
  <c r="F48" i="6"/>
  <c r="G48" i="6" s="1"/>
  <c r="F23" i="6"/>
  <c r="G23" i="6" s="1"/>
  <c r="F11" i="6"/>
  <c r="G11" i="6" s="1"/>
  <c r="F47" i="6"/>
  <c r="G47" i="6" s="1"/>
  <c r="F44" i="6"/>
  <c r="G44" i="6" s="1"/>
  <c r="F35" i="6"/>
  <c r="G35" i="6" s="1"/>
  <c r="F19" i="6"/>
  <c r="G19" i="6" s="1"/>
  <c r="F6" i="6"/>
  <c r="G6" i="6" s="1"/>
  <c r="F20" i="6"/>
  <c r="G20" i="6" s="1"/>
  <c r="F64" i="6"/>
  <c r="G64" i="6" s="1"/>
  <c r="F53" i="6"/>
  <c r="G53" i="6" s="1"/>
  <c r="F46" i="6"/>
  <c r="G46" i="6" s="1"/>
  <c r="F45" i="6"/>
  <c r="G45" i="6" s="1"/>
  <c r="F39" i="6"/>
  <c r="G39" i="6" s="1"/>
  <c r="F38" i="6"/>
  <c r="G38" i="6" s="1"/>
  <c r="F33" i="6"/>
  <c r="G33" i="6" s="1"/>
  <c r="F28" i="6"/>
  <c r="G28" i="6" s="1"/>
  <c r="F27" i="6"/>
  <c r="G27" i="6" s="1"/>
  <c r="F26" i="6"/>
  <c r="G26" i="6" s="1"/>
  <c r="F25" i="6"/>
  <c r="G25" i="6" s="1"/>
  <c r="F18" i="6"/>
  <c r="G18" i="6" s="1"/>
  <c r="F13" i="6"/>
  <c r="G13" i="6" s="1"/>
  <c r="F10" i="6"/>
  <c r="G10" i="6" s="1"/>
  <c r="F62" i="6"/>
  <c r="G62" i="6" s="1"/>
  <c r="F56" i="6"/>
  <c r="G56" i="6" s="1"/>
  <c r="F51" i="6"/>
  <c r="G51" i="6" s="1"/>
  <c r="F43" i="6"/>
  <c r="G43" i="6" s="1"/>
  <c r="F37" i="6"/>
  <c r="G37" i="6" s="1"/>
  <c r="F29" i="6"/>
  <c r="G29" i="6" s="1"/>
  <c r="F22" i="6"/>
  <c r="G22" i="6" s="1"/>
  <c r="F21" i="6"/>
  <c r="G21" i="6" s="1"/>
  <c r="F5" i="6"/>
  <c r="G5" i="6" s="1"/>
  <c r="F59" i="6"/>
  <c r="G59" i="6" s="1"/>
  <c r="F57" i="6"/>
  <c r="G57" i="6" s="1"/>
  <c r="F52" i="6"/>
  <c r="G52" i="6" s="1"/>
  <c r="F50" i="6"/>
  <c r="G50" i="6" s="1"/>
  <c r="F36" i="6"/>
  <c r="G36" i="6" s="1"/>
  <c r="F9" i="6"/>
  <c r="G9" i="6" s="1"/>
  <c r="F8" i="6"/>
  <c r="G8" i="6" s="1"/>
  <c r="F58" i="6"/>
  <c r="G58" i="6" s="1"/>
  <c r="F14" i="6"/>
  <c r="G14" i="6" s="1"/>
  <c r="F63" i="6"/>
  <c r="G63" i="6" s="1"/>
  <c r="F41" i="6"/>
  <c r="G41" i="6" s="1"/>
  <c r="F15" i="6"/>
  <c r="G15" i="6" s="1"/>
  <c r="F30" i="6"/>
  <c r="G30" i="6" s="1"/>
  <c r="H33" i="2" l="1"/>
  <c r="I33" i="2" s="1"/>
  <c r="M33" i="2" s="1"/>
  <c r="J15" i="2"/>
  <c r="K15" i="2" s="1"/>
  <c r="N15" i="2" s="1"/>
  <c r="H14" i="2"/>
  <c r="I14" i="2" s="1"/>
  <c r="M14" i="2" s="1"/>
  <c r="J33" i="2"/>
  <c r="K33" i="2" s="1"/>
  <c r="N33" i="2" s="1"/>
  <c r="H2" i="2"/>
  <c r="I2" i="2" s="1"/>
  <c r="M2" i="2" s="1"/>
  <c r="J30" i="2"/>
  <c r="K30" i="2" s="1"/>
  <c r="N30" i="2" s="1"/>
  <c r="J16" i="2"/>
  <c r="K16" i="2" s="1"/>
  <c r="N16" i="2" s="1"/>
  <c r="H32" i="2"/>
  <c r="I32" i="2" s="1"/>
  <c r="M32" i="2" s="1"/>
  <c r="H17" i="2"/>
  <c r="I17" i="2" s="1"/>
  <c r="M17" i="2" s="1"/>
  <c r="H34" i="2"/>
  <c r="I34" i="2" s="1"/>
  <c r="M34" i="2" s="1"/>
  <c r="J2" i="2"/>
  <c r="K2" i="2" s="1"/>
  <c r="N2" i="2" s="1"/>
  <c r="H49" i="2"/>
  <c r="I49" i="2" s="1"/>
  <c r="M49" i="2" s="1"/>
  <c r="H31" i="2"/>
  <c r="I31" i="2" s="1"/>
  <c r="M31" i="2" s="1"/>
  <c r="H10" i="2"/>
  <c r="I10" i="2" s="1"/>
  <c r="M10" i="2" s="1"/>
  <c r="J26" i="2"/>
  <c r="K26" i="2" s="1"/>
  <c r="N26" i="2" s="1"/>
  <c r="H46" i="2"/>
  <c r="I46" i="2" s="1"/>
  <c r="M46" i="2" s="1"/>
  <c r="H9" i="2"/>
  <c r="I9" i="2" s="1"/>
  <c r="M9" i="2" s="1"/>
  <c r="J25" i="2"/>
  <c r="K25" i="2" s="1"/>
  <c r="N25" i="2" s="1"/>
  <c r="H42" i="2"/>
  <c r="I42" i="2" s="1"/>
  <c r="M42" i="2" s="1"/>
  <c r="H7" i="2"/>
  <c r="I7" i="2" s="1"/>
  <c r="M7" i="2" s="1"/>
  <c r="J22" i="2"/>
  <c r="K22" i="2" s="1"/>
  <c r="N22" i="2" s="1"/>
  <c r="H41" i="2"/>
  <c r="I41" i="2" s="1"/>
  <c r="M41" i="2" s="1"/>
  <c r="H6" i="2"/>
  <c r="I6" i="2" s="1"/>
  <c r="M6" i="2" s="1"/>
  <c r="J18" i="2"/>
  <c r="K18" i="2" s="1"/>
  <c r="N18" i="2" s="1"/>
  <c r="H38" i="2"/>
  <c r="I38" i="2" s="1"/>
  <c r="M38" i="2" s="1"/>
  <c r="J39" i="2"/>
  <c r="K39" i="2" s="1"/>
  <c r="N39" i="2" s="1"/>
  <c r="J29" i="2"/>
  <c r="K29" i="2" s="1"/>
  <c r="N29" i="2" s="1"/>
  <c r="H29" i="2"/>
  <c r="I29" i="2" s="1"/>
  <c r="M29" i="2" s="1"/>
  <c r="J40" i="2"/>
  <c r="K40" i="2" s="1"/>
  <c r="N40" i="2" s="1"/>
  <c r="J24" i="2"/>
  <c r="K24" i="2" s="1"/>
  <c r="N24" i="2" s="1"/>
  <c r="J48" i="2"/>
  <c r="K48" i="2" s="1"/>
  <c r="N48" i="2" s="1"/>
  <c r="J23" i="2"/>
  <c r="K23" i="2" s="1"/>
  <c r="N23" i="2" s="1"/>
  <c r="J37" i="2"/>
  <c r="K37" i="2" s="1"/>
  <c r="N37" i="2" s="1"/>
  <c r="H37" i="2"/>
  <c r="I37" i="2" s="1"/>
  <c r="M37" i="2" s="1"/>
  <c r="J13" i="2"/>
  <c r="K13" i="2" s="1"/>
  <c r="N13" i="2" s="1"/>
  <c r="H13" i="2"/>
  <c r="I13" i="2" s="1"/>
  <c r="M13" i="2" s="1"/>
  <c r="J47" i="2"/>
  <c r="K47" i="2" s="1"/>
  <c r="N47" i="2" s="1"/>
  <c r="J8" i="2"/>
  <c r="K8" i="2" s="1"/>
  <c r="N8" i="2" s="1"/>
  <c r="J45" i="2"/>
  <c r="K45" i="2" s="1"/>
  <c r="N45" i="2" s="1"/>
  <c r="H45" i="2"/>
  <c r="I45" i="2" s="1"/>
  <c r="M45" i="2" s="1"/>
  <c r="J21" i="2"/>
  <c r="K21" i="2" s="1"/>
  <c r="N21" i="2" s="1"/>
  <c r="H21" i="2"/>
  <c r="I21" i="2" s="1"/>
  <c r="M21" i="2" s="1"/>
  <c r="J5" i="2"/>
  <c r="K5" i="2" s="1"/>
  <c r="N5" i="2" s="1"/>
  <c r="H5" i="2"/>
  <c r="I5" i="2" s="1"/>
  <c r="M5" i="2" s="1"/>
  <c r="H44" i="2"/>
  <c r="I44" i="2" s="1"/>
  <c r="M44" i="2" s="1"/>
  <c r="H36" i="2"/>
  <c r="I36" i="2" s="1"/>
  <c r="M36" i="2" s="1"/>
  <c r="H28" i="2"/>
  <c r="I28" i="2" s="1"/>
  <c r="M28" i="2" s="1"/>
  <c r="H20" i="2"/>
  <c r="I20" i="2" s="1"/>
  <c r="M20" i="2" s="1"/>
  <c r="H12" i="2"/>
  <c r="I12" i="2" s="1"/>
  <c r="M12" i="2" s="1"/>
  <c r="H4" i="2"/>
  <c r="I4" i="2" s="1"/>
  <c r="M4" i="2" s="1"/>
  <c r="H43" i="2"/>
  <c r="I43" i="2" s="1"/>
  <c r="M43" i="2" s="1"/>
  <c r="H35" i="2"/>
  <c r="I35" i="2" s="1"/>
  <c r="M35" i="2" s="1"/>
  <c r="H27" i="2"/>
  <c r="I27" i="2" s="1"/>
  <c r="M27" i="2" s="1"/>
  <c r="H19" i="2"/>
  <c r="I19" i="2" s="1"/>
  <c r="M19" i="2" s="1"/>
  <c r="H11" i="2"/>
  <c r="I11" i="2" s="1"/>
  <c r="M11" i="2" s="1"/>
  <c r="H3" i="2"/>
  <c r="I3" i="2" s="1"/>
  <c r="M3" i="2" s="1"/>
  <c r="E3" i="2"/>
  <c r="L3" i="2" s="1"/>
  <c r="E4" i="2"/>
  <c r="L4" i="2" s="1"/>
  <c r="E5" i="2"/>
  <c r="L5" i="2" s="1"/>
  <c r="E6" i="2"/>
  <c r="L6" i="2" s="1"/>
  <c r="E7" i="2"/>
  <c r="L7" i="2" s="1"/>
  <c r="E8" i="2"/>
  <c r="L8" i="2" s="1"/>
  <c r="E9" i="2"/>
  <c r="L9" i="2" s="1"/>
  <c r="E10" i="2"/>
  <c r="L10" i="2" s="1"/>
  <c r="E11" i="2"/>
  <c r="L11" i="2" s="1"/>
  <c r="E12" i="2"/>
  <c r="L12" i="2" s="1"/>
  <c r="E13" i="2"/>
  <c r="L13" i="2" s="1"/>
  <c r="E14" i="2"/>
  <c r="L14" i="2" s="1"/>
  <c r="E15" i="2"/>
  <c r="L15" i="2" s="1"/>
  <c r="E16" i="2"/>
  <c r="L16" i="2" s="1"/>
  <c r="E17" i="2"/>
  <c r="L17" i="2" s="1"/>
  <c r="E18" i="2"/>
  <c r="L18" i="2" s="1"/>
  <c r="E19" i="2"/>
  <c r="L19" i="2" s="1"/>
  <c r="E20" i="2"/>
  <c r="L20" i="2" s="1"/>
  <c r="E21" i="2"/>
  <c r="L21" i="2" s="1"/>
  <c r="E22" i="2"/>
  <c r="L22" i="2" s="1"/>
  <c r="E23" i="2"/>
  <c r="L23" i="2" s="1"/>
  <c r="E24" i="2"/>
  <c r="L24" i="2" s="1"/>
  <c r="E25" i="2"/>
  <c r="L25" i="2" s="1"/>
  <c r="E26" i="2"/>
  <c r="L26" i="2" s="1"/>
  <c r="E27" i="2"/>
  <c r="L27" i="2" s="1"/>
  <c r="E28" i="2"/>
  <c r="L28" i="2" s="1"/>
  <c r="E29" i="2"/>
  <c r="L29" i="2" s="1"/>
  <c r="E30" i="2"/>
  <c r="L30" i="2" s="1"/>
  <c r="E31" i="2"/>
  <c r="L31" i="2" s="1"/>
  <c r="E32" i="2"/>
  <c r="L32" i="2" s="1"/>
  <c r="E33" i="2"/>
  <c r="L33" i="2" s="1"/>
  <c r="E34" i="2"/>
  <c r="L34" i="2" s="1"/>
  <c r="E35" i="2"/>
  <c r="L35" i="2" s="1"/>
  <c r="E36" i="2"/>
  <c r="L36" i="2" s="1"/>
  <c r="E37" i="2"/>
  <c r="L37" i="2" s="1"/>
  <c r="E38" i="2"/>
  <c r="L38" i="2" s="1"/>
  <c r="E39" i="2"/>
  <c r="L39" i="2" s="1"/>
  <c r="E40" i="2"/>
  <c r="L40" i="2" s="1"/>
  <c r="E41" i="2"/>
  <c r="L41" i="2" s="1"/>
  <c r="E42" i="2"/>
  <c r="L42" i="2" s="1"/>
  <c r="E43" i="2"/>
  <c r="L43" i="2" s="1"/>
  <c r="E44" i="2"/>
  <c r="L44" i="2" s="1"/>
  <c r="E45" i="2"/>
  <c r="L45" i="2" s="1"/>
  <c r="E46" i="2"/>
  <c r="L46" i="2" s="1"/>
  <c r="E47" i="2"/>
  <c r="L47" i="2" s="1"/>
  <c r="E48" i="2"/>
  <c r="L48" i="2" s="1"/>
  <c r="E49" i="2"/>
  <c r="L49" i="2" s="1"/>
  <c r="E2" i="2"/>
  <c r="L2" i="2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2" i="2"/>
  <c r="Q8" i="2" l="1"/>
  <c r="Q7" i="2" l="1"/>
  <c r="Q9" i="2" s="1"/>
</calcChain>
</file>

<file path=xl/sharedStrings.xml><?xml version="1.0" encoding="utf-8"?>
<sst xmlns="http://schemas.openxmlformats.org/spreadsheetml/2006/main" count="836" uniqueCount="188">
  <si>
    <t>BP name</t>
  </si>
  <si>
    <t>Hardik Patel</t>
  </si>
  <si>
    <t>Pravin Thakor</t>
  </si>
  <si>
    <t>Patani Salim Gafarbhai</t>
  </si>
  <si>
    <t>Dharmendra Sharma</t>
  </si>
  <si>
    <t>ASHISH SAXENA</t>
  </si>
  <si>
    <t>Amit Ramesh Agarwal</t>
  </si>
  <si>
    <t>Karan Mistry_Delivery</t>
  </si>
  <si>
    <t>VIRENDRA SOLANKI</t>
  </si>
  <si>
    <t>VIKAS AGARWAL</t>
  </si>
  <si>
    <t>Devendar Vanga</t>
  </si>
  <si>
    <t>Gulamhusen Mohamad Ghanchi</t>
  </si>
  <si>
    <t>MANISHA PRAVIN PATIL</t>
  </si>
  <si>
    <t>ZAINULSHA.M.DIWAN</t>
  </si>
  <si>
    <t>Visharad Chauhan</t>
  </si>
  <si>
    <t>GOHIL RAGHUVIRSINH R</t>
  </si>
  <si>
    <t>Harun Abdul Bhai Theba</t>
  </si>
  <si>
    <t>Inderkumar moolchand gupta</t>
  </si>
  <si>
    <t>Pravin Patil</t>
  </si>
  <si>
    <t>SANDEEP KUMAR</t>
  </si>
  <si>
    <t>SADHU RAM KARGWAL</t>
  </si>
  <si>
    <t>GULZAR F MEMON</t>
  </si>
  <si>
    <t>DINESHBHAI MOHANBHAI SOLANKI</t>
  </si>
  <si>
    <t>MULIYA TOFIKHUSEN HABIBBHAI</t>
  </si>
  <si>
    <t>BELIM RIYAZUDDIN MEHBOOBBHAI</t>
  </si>
  <si>
    <t>MAMATA PAL</t>
  </si>
  <si>
    <t>Siddhant Subhash Borse</t>
  </si>
  <si>
    <t>PATHAN PARVEZBHAI</t>
  </si>
  <si>
    <t>mo. Farukh</t>
  </si>
  <si>
    <t>Devendra r. mistry</t>
  </si>
  <si>
    <t>LALAJI BHAI THAKOR</t>
  </si>
  <si>
    <t>Bharat madhusing lodha</t>
  </si>
  <si>
    <t>OD Maheshbhai Bhikhabhai</t>
  </si>
  <si>
    <t>Rajesh Kumar Misra_Delivery</t>
  </si>
  <si>
    <t>SURESHBHAI RAJABHAI BHARWAD</t>
  </si>
  <si>
    <t>SWAPNIL PANDEY_BP</t>
  </si>
  <si>
    <t>AGARWAL SUGANDHA AMIT</t>
  </si>
  <si>
    <t>FAIZILA Theba</t>
  </si>
  <si>
    <t>MUKESHBHAI RAJABHAI BHARWAD</t>
  </si>
  <si>
    <t>DENISH B. BAVARIYA</t>
  </si>
  <si>
    <t>SHEKH JENULABEDEEN BADRUDIN</t>
  </si>
  <si>
    <t>EKTA AGARWAL</t>
  </si>
  <si>
    <t>Meenakshi Gupta</t>
  </si>
  <si>
    <t>RAKIB GULAMKADAR BLOCH</t>
  </si>
  <si>
    <t>RAJENDRASINH L CHAVDA</t>
  </si>
  <si>
    <t>Ashok Kumar_GNCB1</t>
  </si>
  <si>
    <t>MOINUDDIN R SHAIKH</t>
  </si>
  <si>
    <t>Shekh Seemabanu Mohammad</t>
  </si>
  <si>
    <t>GAJRAJSINGH B RATHOD</t>
  </si>
  <si>
    <t>OU</t>
  </si>
  <si>
    <t>Total cost</t>
  </si>
  <si>
    <t>per kg rate</t>
  </si>
  <si>
    <t>kg delivered</t>
  </si>
  <si>
    <t>payout</t>
  </si>
  <si>
    <t>budget</t>
  </si>
  <si>
    <t>difference</t>
  </si>
  <si>
    <t>difference %</t>
  </si>
  <si>
    <t>profit</t>
  </si>
  <si>
    <t>profit margin</t>
  </si>
  <si>
    <t>cost per kg</t>
  </si>
  <si>
    <t>Index</t>
  </si>
  <si>
    <t>OU Code</t>
  </si>
  <si>
    <t>Vehicle</t>
  </si>
  <si>
    <t>Ownership</t>
  </si>
  <si>
    <t>Purchase Year</t>
  </si>
  <si>
    <t>Vehicle name</t>
  </si>
  <si>
    <t>Mileage</t>
  </si>
  <si>
    <t>Vehicle Capacity</t>
  </si>
  <si>
    <t>KM travelled</t>
  </si>
  <si>
    <t>EMI</t>
  </si>
  <si>
    <t>Vapi</t>
  </si>
  <si>
    <t>Ahmedabad Branch</t>
  </si>
  <si>
    <t>Gandhi Nager</t>
  </si>
  <si>
    <t>Rampura Branch</t>
  </si>
  <si>
    <t>Jamnager</t>
  </si>
  <si>
    <t>Surat</t>
  </si>
  <si>
    <t>Vadodara</t>
  </si>
  <si>
    <t>Ahmmedabad City</t>
  </si>
  <si>
    <t>Sanand</t>
  </si>
  <si>
    <t>Rajkot</t>
  </si>
  <si>
    <t>Bhavnager</t>
  </si>
  <si>
    <t>Amreli</t>
  </si>
  <si>
    <t>Junagarh</t>
  </si>
  <si>
    <t>Mehsana</t>
  </si>
  <si>
    <t>bp_id</t>
  </si>
  <si>
    <t>bp_name</t>
  </si>
  <si>
    <t>branch_name</t>
  </si>
  <si>
    <t>per_kg_rate</t>
  </si>
  <si>
    <t>kg_delivered</t>
  </si>
  <si>
    <t>Ashish saxena</t>
  </si>
  <si>
    <t>Problem statement</t>
  </si>
  <si>
    <t>Chauhan navneet kumar</t>
  </si>
  <si>
    <t>Business overview - Process overview</t>
  </si>
  <si>
    <t>Milestone 1 : Build a model,scenario analysis</t>
  </si>
  <si>
    <t>Skill Tag 1</t>
  </si>
  <si>
    <t>Skill Tag 2</t>
  </si>
  <si>
    <t>Ability to structure business process into a model</t>
  </si>
  <si>
    <t>Ability to model different scenarios and answer What - If questions</t>
  </si>
  <si>
    <t>Answer questions</t>
  </si>
  <si>
    <t>Write the insights/recommendations</t>
  </si>
  <si>
    <t>Upload for review</t>
  </si>
  <si>
    <t xml:space="preserve">Milestone 1 Feedback : </t>
  </si>
  <si>
    <t>Karan Mistry_Pickup</t>
  </si>
  <si>
    <t>Milestone 2 : Select the right branch for analysis</t>
  </si>
  <si>
    <t>Rajesh Kumar Misra_Pickup</t>
  </si>
  <si>
    <t>Ability to understand patterns from data</t>
  </si>
  <si>
    <t>Ability to make business decisions</t>
  </si>
  <si>
    <t>Milestone 3 : Insights from AMD payout</t>
  </si>
  <si>
    <t>Milestone 4 : Build cost and revenue model</t>
  </si>
  <si>
    <t>Milestone 5 : Insights from Profitability model and dashboard</t>
  </si>
  <si>
    <t>Milestone 6 : Decision support tool</t>
  </si>
  <si>
    <t>status</t>
  </si>
  <si>
    <t>profitability</t>
  </si>
  <si>
    <t>BP</t>
  </si>
  <si>
    <t xml:space="preserve">OU </t>
  </si>
  <si>
    <t>Cluster</t>
  </si>
  <si>
    <t>Total Payout</t>
  </si>
  <si>
    <t>Budgeted payout</t>
  </si>
  <si>
    <t>Excess Payout</t>
  </si>
  <si>
    <t>% Excess Payout</t>
  </si>
  <si>
    <t>AKVB1</t>
  </si>
  <si>
    <t>Ahmedabad</t>
  </si>
  <si>
    <t>AMDBC</t>
  </si>
  <si>
    <t>AMDBL</t>
  </si>
  <si>
    <t>AMDBP</t>
  </si>
  <si>
    <t>SAMIR SHAMSUDDIN SOLAPURI</t>
  </si>
  <si>
    <t>V N PATEL</t>
  </si>
  <si>
    <t>AMDT1</t>
  </si>
  <si>
    <t>Sunder Srinivasan</t>
  </si>
  <si>
    <t>Chauhan  navneet kumar</t>
  </si>
  <si>
    <t>BDQT1</t>
  </si>
  <si>
    <t>FARHANUDDIN KAZI</t>
  </si>
  <si>
    <t>Kamleshbhai Muljibhai Rabari</t>
  </si>
  <si>
    <t>Parmar P K</t>
  </si>
  <si>
    <t>BVCB1</t>
  </si>
  <si>
    <t>GNCB1</t>
  </si>
  <si>
    <t>Rajnarayan Tiwari</t>
  </si>
  <si>
    <t>IXYB1</t>
  </si>
  <si>
    <t>JGAB1</t>
  </si>
  <si>
    <t>JNDB1</t>
  </si>
  <si>
    <t>Manishkumar Bhogilal Joshii</t>
  </si>
  <si>
    <t>MSHB1</t>
  </si>
  <si>
    <t>Bahadurbhai Prabhatbhai Jalu</t>
  </si>
  <si>
    <t>RAJB1</t>
  </si>
  <si>
    <t>Vavadiya Bhaveshbhai Kalabhai</t>
  </si>
  <si>
    <t>ARTI JAYESHBHAI TARSARIA</t>
  </si>
  <si>
    <t>STVT1</t>
  </si>
  <si>
    <t>SHREY JAYESHBHAI TARSARIA</t>
  </si>
  <si>
    <t>VAPT1</t>
  </si>
  <si>
    <t>14 ft</t>
  </si>
  <si>
    <t>Tata Ace</t>
  </si>
  <si>
    <t>Market</t>
  </si>
  <si>
    <t>17 ft</t>
  </si>
  <si>
    <t>Mahindra</t>
  </si>
  <si>
    <t>AL Dost</t>
  </si>
  <si>
    <t>22 ft</t>
  </si>
  <si>
    <t>Owned</t>
  </si>
  <si>
    <t>19 ft</t>
  </si>
  <si>
    <t>Super ace</t>
  </si>
  <si>
    <t>Pickup</t>
  </si>
  <si>
    <t>20 ft</t>
  </si>
  <si>
    <t>Eicher 14</t>
  </si>
  <si>
    <t>NULL</t>
  </si>
  <si>
    <t>Eicher 17</t>
  </si>
  <si>
    <t>Eicher 19</t>
  </si>
  <si>
    <t>Eicher 20</t>
  </si>
  <si>
    <t>fuel_cost_per_liter</t>
  </si>
  <si>
    <t>maintenance_and_additional_costs</t>
  </si>
  <si>
    <t>showroom_price</t>
  </si>
  <si>
    <t>downpayment_amount</t>
  </si>
  <si>
    <t>balance</t>
  </si>
  <si>
    <t>emi</t>
  </si>
  <si>
    <t xml:space="preserve"> fuel_cost</t>
  </si>
  <si>
    <t>vehicle_cost</t>
  </si>
  <si>
    <t>team_cost</t>
  </si>
  <si>
    <t>total_cost</t>
  </si>
  <si>
    <t>Row Labels</t>
  </si>
  <si>
    <t>(blank)</t>
  </si>
  <si>
    <t>Grand Total</t>
  </si>
  <si>
    <t>Average of kg_delivered</t>
  </si>
  <si>
    <t>Average of per_kg_rate</t>
  </si>
  <si>
    <t>branch</t>
  </si>
  <si>
    <t>`</t>
  </si>
  <si>
    <t>correlation b/w payout and cost per kg:</t>
  </si>
  <si>
    <t>Total partners :</t>
  </si>
  <si>
    <t>making profit :</t>
  </si>
  <si>
    <t>% :</t>
  </si>
  <si>
    <t>Overpaid: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</si>
</sst>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₹&quot;\ #,##0;[Red]&quot;₹&quot;\ \-#,##0"/>
    <numFmt numFmtId="164" formatCode="&quot;₹&quot;\ #,##0.0;[Red]&quot;₹&quot;\ \-#,##0.0"/>
    <numFmt numFmtId="165" formatCode="0.0%"/>
    <numFmt numFmtId="166" formatCode="[$₹]#,##0"/>
    <numFmt numFmtId="167" formatCode="[$₹]#,##0.00"/>
    <numFmt numFmtId="168" formatCode="[$₹]#,##0.0000"/>
    <numFmt numFmtId="169" formatCode="0.0"/>
    <numFmt numFmtId="170" formatCode="&quot;₹&quot;\ #,##0.00"/>
  </numFmts>
  <fonts count="8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71">
    <xf numFmtId="0" fontId="0" fillId="0" borderId="0" xfId="0"/>
    <xf numFmtId="0" fontId="2" fillId="0" borderId="0" xfId="1" applyFont="1"/>
    <xf numFmtId="3" fontId="3" fillId="0" borderId="0" xfId="1" applyNumberFormat="1" applyFont="1"/>
    <xf numFmtId="10" fontId="3" fillId="0" borderId="0" xfId="1" applyNumberFormat="1" applyFont="1"/>
    <xf numFmtId="0" fontId="3" fillId="0" borderId="0" xfId="1" applyFont="1"/>
    <xf numFmtId="0" fontId="5" fillId="0" borderId="0" xfId="1" applyFont="1"/>
    <xf numFmtId="0" fontId="5" fillId="0" borderId="0" xfId="1" applyFont="1" applyAlignment="1">
      <alignment wrapText="1"/>
    </xf>
    <xf numFmtId="164" fontId="0" fillId="0" borderId="0" xfId="0" applyNumberFormat="1"/>
    <xf numFmtId="6" fontId="0" fillId="0" borderId="0" xfId="0" applyNumberFormat="1"/>
    <xf numFmtId="0" fontId="7" fillId="0" borderId="0" xfId="0" applyFont="1"/>
    <xf numFmtId="0" fontId="7" fillId="0" borderId="0" xfId="1" applyFont="1"/>
    <xf numFmtId="0" fontId="4" fillId="0" borderId="0" xfId="1" applyFont="1"/>
    <xf numFmtId="9" fontId="4" fillId="0" borderId="0" xfId="1" applyNumberFormat="1" applyFont="1"/>
    <xf numFmtId="165" fontId="4" fillId="0" borderId="0" xfId="1" applyNumberFormat="1" applyFont="1"/>
    <xf numFmtId="3" fontId="4" fillId="0" borderId="0" xfId="1" applyNumberFormat="1" applyFont="1"/>
    <xf numFmtId="166" fontId="4" fillId="0" borderId="0" xfId="1" applyNumberFormat="1" applyFont="1"/>
    <xf numFmtId="10" fontId="4" fillId="0" borderId="0" xfId="1" applyNumberFormat="1" applyFont="1"/>
    <xf numFmtId="167" fontId="4" fillId="0" borderId="0" xfId="1" applyNumberFormat="1" applyFont="1"/>
    <xf numFmtId="1" fontId="4" fillId="0" borderId="0" xfId="1" applyNumberFormat="1" applyFont="1"/>
    <xf numFmtId="0" fontId="6" fillId="0" borderId="1" xfId="1" applyFont="1" applyBorder="1" applyAlignment="1">
      <alignment horizontal="left" vertical="top"/>
    </xf>
    <xf numFmtId="0" fontId="6" fillId="0" borderId="2" xfId="1" applyFont="1" applyBorder="1" applyAlignment="1">
      <alignment horizontal="left" vertical="top"/>
    </xf>
    <xf numFmtId="0" fontId="6" fillId="0" borderId="3" xfId="1" applyFont="1" applyBorder="1" applyAlignment="1">
      <alignment horizontal="left" vertical="top"/>
    </xf>
    <xf numFmtId="2" fontId="4" fillId="0" borderId="0" xfId="1" applyNumberFormat="1" applyFont="1"/>
    <xf numFmtId="0" fontId="6" fillId="0" borderId="6" xfId="1" applyFont="1" applyBorder="1" applyAlignment="1">
      <alignment horizontal="left" vertical="top"/>
    </xf>
    <xf numFmtId="0" fontId="6" fillId="0" borderId="7" xfId="1" applyFont="1" applyBorder="1" applyAlignment="1">
      <alignment horizontal="left" vertical="top"/>
    </xf>
    <xf numFmtId="0" fontId="6" fillId="0" borderId="8" xfId="1" applyFont="1" applyBorder="1" applyAlignment="1">
      <alignment horizontal="left" vertical="top"/>
    </xf>
    <xf numFmtId="168" fontId="4" fillId="0" borderId="0" xfId="1" applyNumberFormat="1" applyFont="1"/>
    <xf numFmtId="0" fontId="6" fillId="0" borderId="0" xfId="1" applyFont="1" applyAlignment="1">
      <alignment vertical="top"/>
    </xf>
    <xf numFmtId="4" fontId="4" fillId="0" borderId="0" xfId="1" applyNumberFormat="1" applyFont="1"/>
    <xf numFmtId="3" fontId="0" fillId="0" borderId="0" xfId="0" applyNumberFormat="1"/>
    <xf numFmtId="9" fontId="0" fillId="0" borderId="0" xfId="0" applyNumberFormat="1"/>
    <xf numFmtId="0" fontId="6" fillId="0" borderId="0" xfId="0" applyFont="1"/>
    <xf numFmtId="0" fontId="5" fillId="0" borderId="0" xfId="0" applyFont="1"/>
    <xf numFmtId="6" fontId="5" fillId="0" borderId="0" xfId="0" applyNumberFormat="1" applyFont="1"/>
    <xf numFmtId="10" fontId="0" fillId="0" borderId="0" xfId="0" applyNumberFormat="1"/>
    <xf numFmtId="10" fontId="5" fillId="0" borderId="0" xfId="1" applyNumberFormat="1" applyFont="1"/>
    <xf numFmtId="16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2" fontId="6" fillId="0" borderId="0" xfId="0" applyNumberFormat="1" applyFont="1"/>
    <xf numFmtId="0" fontId="7" fillId="5" borderId="0" xfId="0" applyFont="1" applyFill="1"/>
    <xf numFmtId="10" fontId="7" fillId="5" borderId="0" xfId="0" applyNumberFormat="1" applyFont="1" applyFill="1"/>
    <xf numFmtId="169" fontId="7" fillId="5" borderId="0" xfId="0" applyNumberFormat="1" applyFont="1" applyFill="1"/>
    <xf numFmtId="4" fontId="7" fillId="5" borderId="0" xfId="0" applyNumberFormat="1" applyFont="1" applyFill="1"/>
    <xf numFmtId="4" fontId="0" fillId="0" borderId="0" xfId="0" applyNumberFormat="1"/>
    <xf numFmtId="170" fontId="7" fillId="5" borderId="0" xfId="0" applyNumberFormat="1" applyFont="1" applyFill="1"/>
    <xf numFmtId="170" fontId="0" fillId="0" borderId="0" xfId="0" applyNumberFormat="1"/>
    <xf numFmtId="0" fontId="7" fillId="5" borderId="0" xfId="1" applyFont="1" applyFill="1"/>
    <xf numFmtId="0" fontId="5" fillId="6" borderId="0" xfId="1" applyFont="1" applyFill="1"/>
    <xf numFmtId="0" fontId="0" fillId="6" borderId="0" xfId="0" applyFill="1"/>
    <xf numFmtId="9" fontId="0" fillId="6" borderId="0" xfId="0" applyNumberFormat="1" applyFill="1"/>
    <xf numFmtId="0" fontId="6" fillId="0" borderId="1" xfId="1" applyFont="1" applyBorder="1" applyAlignment="1">
      <alignment horizontal="left" vertical="top"/>
    </xf>
    <xf numFmtId="0" fontId="6" fillId="0" borderId="2" xfId="1" applyFont="1" applyBorder="1" applyAlignment="1">
      <alignment horizontal="left" vertical="top"/>
    </xf>
    <xf numFmtId="0" fontId="6" fillId="0" borderId="3" xfId="1" applyFont="1" applyBorder="1" applyAlignment="1">
      <alignment horizontal="left" vertical="top"/>
    </xf>
    <xf numFmtId="0" fontId="6" fillId="0" borderId="4" xfId="1" applyFont="1" applyBorder="1" applyAlignment="1">
      <alignment horizontal="left" vertical="top"/>
    </xf>
    <xf numFmtId="0" fontId="6" fillId="0" borderId="0" xfId="1" applyFont="1" applyAlignment="1">
      <alignment horizontal="left" vertical="top"/>
    </xf>
    <xf numFmtId="0" fontId="6" fillId="0" borderId="5" xfId="1" applyFont="1" applyBorder="1" applyAlignment="1">
      <alignment horizontal="left" vertical="top"/>
    </xf>
    <xf numFmtId="0" fontId="6" fillId="0" borderId="6" xfId="1" applyFont="1" applyBorder="1" applyAlignment="1">
      <alignment horizontal="left" vertical="top"/>
    </xf>
    <xf numFmtId="0" fontId="6" fillId="0" borderId="7" xfId="1" applyFont="1" applyBorder="1" applyAlignment="1">
      <alignment horizontal="left" vertical="top"/>
    </xf>
    <xf numFmtId="0" fontId="6" fillId="0" borderId="8" xfId="1" applyFont="1" applyBorder="1" applyAlignment="1">
      <alignment horizontal="left" vertical="top"/>
    </xf>
    <xf numFmtId="0" fontId="5" fillId="2" borderId="9" xfId="1" applyFont="1" applyFill="1" applyBorder="1" applyAlignment="1">
      <alignment horizontal="center"/>
    </xf>
    <xf numFmtId="0" fontId="5" fillId="2" borderId="10" xfId="1" applyFont="1" applyFill="1" applyBorder="1" applyAlignment="1">
      <alignment horizontal="center"/>
    </xf>
    <xf numFmtId="0" fontId="5" fillId="3" borderId="9" xfId="1" applyFont="1" applyFill="1" applyBorder="1" applyAlignment="1">
      <alignment horizontal="center"/>
    </xf>
    <xf numFmtId="0" fontId="5" fillId="3" borderId="10" xfId="1" applyFont="1" applyFill="1" applyBorder="1" applyAlignment="1">
      <alignment horizontal="center"/>
    </xf>
    <xf numFmtId="0" fontId="6" fillId="4" borderId="11" xfId="1" applyFont="1" applyFill="1" applyBorder="1" applyAlignment="1">
      <alignment horizontal="left" vertical="top"/>
    </xf>
    <xf numFmtId="0" fontId="6" fillId="4" borderId="12" xfId="1" applyFont="1" applyFill="1" applyBorder="1" applyAlignment="1">
      <alignment horizontal="left" vertical="top"/>
    </xf>
    <xf numFmtId="0" fontId="6" fillId="4" borderId="13" xfId="1" applyFont="1" applyFill="1" applyBorder="1" applyAlignment="1">
      <alignment horizontal="left" vertical="top"/>
    </xf>
    <xf numFmtId="0" fontId="6" fillId="0" borderId="11" xfId="1" applyFont="1" applyBorder="1" applyAlignment="1">
      <alignment horizontal="left" vertical="top"/>
    </xf>
    <xf numFmtId="0" fontId="6" fillId="0" borderId="12" xfId="1" applyFont="1" applyBorder="1" applyAlignment="1">
      <alignment horizontal="left" vertical="top"/>
    </xf>
    <xf numFmtId="0" fontId="6" fillId="0" borderId="13" xfId="1" applyFont="1" applyBorder="1" applyAlignment="1">
      <alignment horizontal="left" vertical="top"/>
    </xf>
  </cellXfs>
  <cellStyles count="2">
    <cellStyle name="Normal" xfId="0" builtinId="0"/>
    <cellStyle name="Normal 2" xfId="1" xr:uid="{EE4AED24-2385-42BD-A4D2-4C91AFC53C2F}"/>
  </cellStyles>
  <dxfs count="29">
    <dxf>
      <fill>
        <patternFill patternType="solid">
          <fgColor rgb="FFB7E1CD"/>
          <bgColor rgb="FFB7E1CD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00B0F0"/>
        </patternFill>
      </fill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170" formatCode="&quot;₹&quot;\ #,##0.00"/>
    </dxf>
    <dxf>
      <numFmt numFmtId="169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rgb="FF00B0F0"/>
        </patternFill>
      </fill>
    </dxf>
    <dxf>
      <numFmt numFmtId="164" formatCode="&quot;₹&quot;\ #,##0.0;[Red]&quot;₹&quot;\ \-#,##0.0"/>
    </dxf>
    <dxf>
      <numFmt numFmtId="13" formatCode="0%"/>
    </dxf>
    <dxf>
      <numFmt numFmtId="10" formatCode="&quot;₹&quot;\ #,##0;[Red]&quot;₹&quot;\ \-#,##0"/>
    </dxf>
    <dxf>
      <numFmt numFmtId="14" formatCode="0.00%"/>
    </dxf>
    <dxf>
      <numFmt numFmtId="10" formatCode="&quot;₹&quot;\ #,##0;[Red]&quot;₹&quot;\ \-#,##0"/>
    </dxf>
    <dxf>
      <numFmt numFmtId="10" formatCode="&quot;₹&quot;\ #,##0;[Red]&quot;₹&quot;\ \-#,##0"/>
    </dxf>
    <dxf>
      <numFmt numFmtId="10" formatCode="&quot;₹&quot;\ #,##0;[Red]&quot;₹&quot;\ \-#,##0"/>
    </dxf>
    <dxf>
      <numFmt numFmtId="3" formatCode="#,##0"/>
    </dxf>
    <dxf>
      <numFmt numFmtId="164" formatCode="&quot;₹&quot;\ #,##0.0;[Red]&quot;₹&quot;\ \-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091.001381828704" createdVersion="8" refreshedVersion="8" minRefreshableVersion="3" recordCount="69" xr:uid="{2CE9E0E4-9B8F-4F33-B522-9B65E34D1612}">
  <cacheSource type="worksheet">
    <worksheetSource ref="A1:E1048576" sheet="payouts_table_AMD"/>
  </cacheSource>
  <cacheFields count="5">
    <cacheField name="bp_id" numFmtId="0">
      <sharedItems containsString="0" containsBlank="1" containsNumber="1" containsInteger="1" minValue="1022" maxValue="1377"/>
    </cacheField>
    <cacheField name="bp_name" numFmtId="0">
      <sharedItems containsBlank="1" count="52">
        <s v="Hardik Patel"/>
        <s v="Dharmendra Sharma"/>
        <s v="Ashish saxena"/>
        <s v="Amit Ramesh Agarwal"/>
        <s v="Devendar Vanga"/>
        <s v="VIRENDRA SOLANKI"/>
        <s v="VIKAS AGARWAL"/>
        <s v="Gulamhusen Mohamad Ghanchi"/>
        <s v="MANISHA PRAVIN PATIL"/>
        <s v="Chauhan navneet kumar"/>
        <s v="Pravin Patil"/>
        <s v="Harun Abdul Bhai Theba"/>
        <s v="Inderkumar moolchand gupta"/>
        <s v="GOHIL RAGHUVIRSINH R"/>
        <s v="SANDEEP KUMAR"/>
        <s v="SADHU RAM KARGWAL"/>
        <s v="GULZAR F MEMON"/>
        <s v="DINESHBHAI MOHANBHAI SOLANKI"/>
        <s v="MULIYA TOFIKHUSEN HABIBBHAI"/>
        <s v="Siddhant Subhash Borse"/>
        <s v="PATHAN PARVEZBHAI"/>
        <s v="BELIM RIYAZUDDIN MEHBOOBBHAI"/>
        <s v="MAMATA PAL"/>
        <s v="Bharat madhusing lodha"/>
        <s v="SWAPNIL PANDEY_BP"/>
        <s v="SURESHBHAI RAJABHAI BHARWAD"/>
        <s v="AGARWAL SUGANDHA AMIT"/>
        <s v="MUKESHBHAI RAJABHAI BHARWAD"/>
        <s v="EKTA AGARWAL"/>
        <s v="SHEKH JENULABEDEEN BADRUDIN"/>
        <s v="RAKIB GULAMKADAR BLOCH"/>
        <s v="RAJENDRASINH L CHAVDA"/>
        <s v="GAJRAJSINGH B RATHOD"/>
        <s v="FAIZILA Theba"/>
        <s v="Ashok Kumar_GNCB1"/>
        <s v="DENISH B. BAVARIYA"/>
        <s v="Devendra r. mistry"/>
        <s v="Karan Mistry_Delivery"/>
        <s v="Karan Mistry_Pickup"/>
        <s v="LALAJI BHAI THAKOR"/>
        <s v="Meenakshi Gupta"/>
        <s v="mo. Farukh"/>
        <s v="MOINUDDIN R SHAIKH"/>
        <s v="OD Maheshbhai Bhikhabhai"/>
        <s v="Patani Salim Gafarbhai"/>
        <s v="Pravin Thakor"/>
        <s v="Rajesh Kumar Misra_Delivery"/>
        <s v="Rajesh Kumar Misra_Pickup"/>
        <s v="Shekh Seemabanu Mohammad"/>
        <s v="Visharad Chauhan"/>
        <s v="ZAINULSHA.M.DIWAN"/>
        <m/>
      </sharedItems>
    </cacheField>
    <cacheField name="branch_name" numFmtId="0">
      <sharedItems containsBlank="1" count="15">
        <s v="Jamnager"/>
        <s v="Ahmmedabad City"/>
        <s v="Ahmedabad Branch"/>
        <s v="Vapi"/>
        <s v="Surat"/>
        <s v="Sanand"/>
        <s v="Vadodara"/>
        <s v="Rajkot"/>
        <s v="Bhavnager"/>
        <s v="Mehsana"/>
        <s v="Rampura Branch"/>
        <s v="Amreli"/>
        <s v="Junagarh"/>
        <s v="Gandhi Nager"/>
        <m/>
      </sharedItems>
    </cacheField>
    <cacheField name="per_kg_rate" numFmtId="0">
      <sharedItems containsString="0" containsBlank="1" containsNumber="1" minValue="3" maxValue="19"/>
    </cacheField>
    <cacheField name="kg_delivered" numFmtId="0">
      <sharedItems containsString="0" containsBlank="1" containsNumber="1" minValue="162.47999999999999" maxValue="663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091.012299305556" createdVersion="8" refreshedVersion="8" minRefreshableVersion="3" recordCount="49" xr:uid="{267FB154-94F7-49ED-9906-2C9CA9D7FA67}">
  <cacheSource type="worksheet">
    <worksheetSource ref="A1:N1048576" sheet="BP Profitability_Sample"/>
  </cacheSource>
  <cacheFields count="14">
    <cacheField name="BP name" numFmtId="0">
      <sharedItems containsBlank="1" count="49">
        <s v="AGARWAL SUGANDHA AMIT"/>
        <s v="Amit Ramesh Agarwal"/>
        <s v="ASHISH SAXENA"/>
        <s v="Ashok Kumar_GNCB1"/>
        <s v="BELIM RIYAZUDDIN MEHBOOBBHAI"/>
        <s v="Bharat madhusing lodha"/>
        <s v="DENISH B. BAVARIYA"/>
        <s v="Devendar Vanga"/>
        <s v="Devendra r. mistry"/>
        <s v="Dharmendra Sharma"/>
        <s v="DINESHBHAI MOHANBHAI SOLANKI"/>
        <s v="EKTA AGARWAL"/>
        <s v="FAIZILA Theba"/>
        <s v="GAJRAJSINGH B RATHOD"/>
        <s v="GOHIL RAGHUVIRSINH R"/>
        <s v="Gulamhusen Mohamad Ghanchi"/>
        <s v="GULZAR F MEMON"/>
        <s v="Hardik Patel"/>
        <s v="Harun Abdul Bhai Theba"/>
        <s v="Inderkumar moolchand gupta"/>
        <s v="Karan Mistry_Delivery"/>
        <s v="LALAJI BHAI THAKOR"/>
        <s v="MAMATA PAL"/>
        <s v="MANISHA PRAVIN PATIL"/>
        <s v="Meenakshi Gupta"/>
        <s v="mo. Farukh"/>
        <s v="MOINUDDIN R SHAIKH"/>
        <s v="MUKESHBHAI RAJABHAI BHARWAD"/>
        <s v="MULIYA TOFIKHUSEN HABIBBHAI"/>
        <s v="OD Maheshbhai Bhikhabhai"/>
        <s v="Patani Salim Gafarbhai"/>
        <s v="PATHAN PARVEZBHAI"/>
        <s v="Pravin Patil"/>
        <s v="Pravin Thakor"/>
        <s v="RAJENDRASINH L CHAVDA"/>
        <s v="Rajesh Kumar Misra_Delivery"/>
        <s v="RAKIB GULAMKADAR BLOCH"/>
        <s v="SADHU RAM KARGWAL"/>
        <s v="SANDEEP KUMAR"/>
        <s v="SHEKH JENULABEDEEN BADRUDIN"/>
        <s v="Shekh Seemabanu Mohammad"/>
        <s v="Siddhant Subhash Borse"/>
        <s v="SURESHBHAI RAJABHAI BHARWAD"/>
        <s v="SWAPNIL PANDEY_BP"/>
        <s v="VIKAS AGARWAL"/>
        <s v="VIRENDRA SOLANKI"/>
        <s v="Visharad Chauhan"/>
        <s v="ZAINULSHA.M.DIWAN"/>
        <m/>
      </sharedItems>
    </cacheField>
    <cacheField name="branch" numFmtId="0">
      <sharedItems containsBlank="1" count="15">
        <s v="Vapi"/>
        <s v="Ahmedabad Branch"/>
        <s v="Gandhi Nager"/>
        <s v="Rampura Branch"/>
        <s v="Jamnager"/>
        <s v="Surat"/>
        <s v="Vadodara"/>
        <s v="Ahmmedabad City"/>
        <s v="Sanand"/>
        <s v="Rajkot"/>
        <s v="Bhavnager"/>
        <s v="Amreli"/>
        <s v="Junagarh"/>
        <s v="Mehsana"/>
        <m/>
      </sharedItems>
    </cacheField>
    <cacheField name="Total cost" numFmtId="0">
      <sharedItems containsString="0" containsBlank="1" containsNumber="1" minValue="58526.034745130513" maxValue="344526.49247044354"/>
    </cacheField>
    <cacheField name="per kg rate" numFmtId="0">
      <sharedItems containsString="0" containsBlank="1" containsNumber="1" minValue="3" maxValue="19"/>
    </cacheField>
    <cacheField name="kg delivered" numFmtId="0">
      <sharedItems containsString="0" containsBlank="1" containsNumber="1" minValue="162.47999999999999" maxValue="66343"/>
    </cacheField>
    <cacheField name="payout" numFmtId="0">
      <sharedItems containsString="0" containsBlank="1" containsNumber="1" minValue="812.4" maxValue="265372.02880000015"/>
    </cacheField>
    <cacheField name="budget" numFmtId="0">
      <sharedItems containsString="0" containsBlank="1" containsNumber="1" minValue="744.30830420710652" maxValue="171703.4978070069"/>
    </cacheField>
    <cacheField name="difference" numFmtId="0">
      <sharedItems containsString="0" containsBlank="1" containsNumber="1" minValue="68.091695792893461" maxValue="232330.95562132465"/>
    </cacheField>
    <cacheField name="difference %" numFmtId="10">
      <sharedItems containsString="0" containsBlank="1" containsNumber="1" minValue="5.1105284503034799E-3" maxValue="12.09128133438286"/>
    </cacheField>
    <cacheField name="profit" numFmtId="0">
      <sharedItems containsString="0" containsBlank="1" containsNumber="1" minValue="-242950.71121295184" maxValue="181278.41358510073"/>
    </cacheField>
    <cacheField name="profit margin" numFmtId="0">
      <sharedItems containsString="0" containsBlank="1" containsNumber="1" minValue="-86.042007952925019" maxValue="0.7206579523362493"/>
    </cacheField>
    <cacheField name="cost per kg" numFmtId="0">
      <sharedItems containsString="0" containsBlank="1" containsNumber="1" minValue="2.0163244668870202" maxValue="435.21003976462504"/>
    </cacheField>
    <cacheField name="status" numFmtId="0">
      <sharedItems containsBlank="1"/>
    </cacheField>
    <cacheField name="profitabilit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">
  <r>
    <n v="1022"/>
    <x v="0"/>
    <x v="0"/>
    <n v="4"/>
    <n v="66343"/>
  </r>
  <r>
    <n v="1057"/>
    <x v="1"/>
    <x v="1"/>
    <n v="3"/>
    <n v="34688.666666666664"/>
  </r>
  <r>
    <n v="1061"/>
    <x v="2"/>
    <x v="2"/>
    <n v="5"/>
    <n v="29269"/>
  </r>
  <r>
    <n v="1070"/>
    <x v="3"/>
    <x v="3"/>
    <n v="5"/>
    <n v="36413.599999999999"/>
  </r>
  <r>
    <n v="1107"/>
    <x v="4"/>
    <x v="4"/>
    <n v="5"/>
    <n v="14851.2"/>
  </r>
  <r>
    <n v="1104"/>
    <x v="5"/>
    <x v="5"/>
    <n v="5"/>
    <n v="5479.6"/>
  </r>
  <r>
    <n v="1105"/>
    <x v="6"/>
    <x v="3"/>
    <n v="5"/>
    <n v="12176.6"/>
  </r>
  <r>
    <n v="1143"/>
    <x v="7"/>
    <x v="2"/>
    <n v="5"/>
    <n v="30367.4"/>
  </r>
  <r>
    <n v="1146"/>
    <x v="8"/>
    <x v="4"/>
    <n v="5"/>
    <n v="15057.4"/>
  </r>
  <r>
    <n v="1203"/>
    <x v="9"/>
    <x v="6"/>
    <n v="5"/>
    <n v="7678"/>
  </r>
  <r>
    <n v="1229"/>
    <x v="10"/>
    <x v="4"/>
    <n v="14"/>
    <n v="17967.571428571428"/>
  </r>
  <r>
    <n v="1217"/>
    <x v="11"/>
    <x v="7"/>
    <n v="7"/>
    <n v="11221.857142857143"/>
  </r>
  <r>
    <n v="1223"/>
    <x v="12"/>
    <x v="6"/>
    <n v="5"/>
    <n v="37402.800000000003"/>
  </r>
  <r>
    <n v="1209"/>
    <x v="13"/>
    <x v="8"/>
    <n v="7"/>
    <n v="2739.4285714285716"/>
  </r>
  <r>
    <n v="1237"/>
    <x v="14"/>
    <x v="2"/>
    <n v="5"/>
    <n v="12357.2"/>
  </r>
  <r>
    <n v="1240"/>
    <x v="15"/>
    <x v="9"/>
    <n v="7"/>
    <n v="1583.1428571428571"/>
  </r>
  <r>
    <n v="1259"/>
    <x v="16"/>
    <x v="2"/>
    <n v="5"/>
    <n v="8948.2000000000007"/>
  </r>
  <r>
    <n v="1275"/>
    <x v="17"/>
    <x v="5"/>
    <n v="5"/>
    <n v="162.47999999999999"/>
  </r>
  <r>
    <n v="1289"/>
    <x v="18"/>
    <x v="2"/>
    <n v="5"/>
    <n v="25992"/>
  </r>
  <r>
    <n v="1299"/>
    <x v="19"/>
    <x v="4"/>
    <n v="5"/>
    <n v="9403.6"/>
  </r>
  <r>
    <n v="1302"/>
    <x v="20"/>
    <x v="10"/>
    <n v="9"/>
    <n v="7681.4444444444443"/>
  </r>
  <r>
    <n v="1296"/>
    <x v="21"/>
    <x v="10"/>
    <n v="9"/>
    <n v="2553.3333333333335"/>
  </r>
  <r>
    <n v="1298"/>
    <x v="22"/>
    <x v="11"/>
    <n v="4"/>
    <n v="15837.5"/>
  </r>
  <r>
    <n v="1324"/>
    <x v="23"/>
    <x v="10"/>
    <n v="9"/>
    <n v="4069"/>
  </r>
  <r>
    <n v="1331"/>
    <x v="24"/>
    <x v="1"/>
    <n v="3"/>
    <n v="20175"/>
  </r>
  <r>
    <n v="1330"/>
    <x v="25"/>
    <x v="10"/>
    <n v="9"/>
    <n v="11325"/>
  </r>
  <r>
    <n v="1332"/>
    <x v="26"/>
    <x v="3"/>
    <n v="5"/>
    <n v="16347.6"/>
  </r>
  <r>
    <n v="1335"/>
    <x v="27"/>
    <x v="10"/>
    <n v="9"/>
    <n v="9502.6666666666661"/>
  </r>
  <r>
    <n v="1339"/>
    <x v="28"/>
    <x v="3"/>
    <n v="5"/>
    <n v="6016.6"/>
  </r>
  <r>
    <n v="1338"/>
    <x v="29"/>
    <x v="10"/>
    <n v="9"/>
    <n v="4789"/>
  </r>
  <r>
    <n v="1344"/>
    <x v="30"/>
    <x v="12"/>
    <n v="6"/>
    <n v="3031.3333333333335"/>
  </r>
  <r>
    <n v="1357"/>
    <x v="31"/>
    <x v="13"/>
    <n v="19"/>
    <n v="1308.8421052631579"/>
  </r>
  <r>
    <n v="1377"/>
    <x v="32"/>
    <x v="13"/>
    <n v="19"/>
    <n v="3100"/>
  </r>
  <r>
    <n v="1334"/>
    <x v="33"/>
    <x v="7"/>
    <n v="7"/>
    <n v="4040.4285714285716"/>
  </r>
  <r>
    <n v="1363"/>
    <x v="34"/>
    <x v="13"/>
    <n v="19"/>
    <n v="6740.5789473684208"/>
  </r>
  <r>
    <n v="1336"/>
    <x v="35"/>
    <x v="0"/>
    <n v="8.5"/>
    <n v="14256.470588235294"/>
  </r>
  <r>
    <n v="1318"/>
    <x v="36"/>
    <x v="6"/>
    <n v="10"/>
    <n v="13628.4"/>
  </r>
  <r>
    <n v="1075"/>
    <x v="37"/>
    <x v="6"/>
    <n v="10"/>
    <n v="17853.400000000001"/>
  </r>
  <r>
    <n v="1074"/>
    <x v="38"/>
    <x v="6"/>
    <n v="5"/>
    <n v="24819.200000000001"/>
  </r>
  <r>
    <n v="1319"/>
    <x v="39"/>
    <x v="2"/>
    <n v="5"/>
    <n v="30552.2"/>
  </r>
  <r>
    <n v="1342"/>
    <x v="40"/>
    <x v="6"/>
    <n v="5"/>
    <n v="5699.6"/>
  </r>
  <r>
    <n v="1317"/>
    <x v="41"/>
    <x v="4"/>
    <n v="5"/>
    <n v="4544.8"/>
  </r>
  <r>
    <n v="1364"/>
    <x v="42"/>
    <x v="13"/>
    <n v="19"/>
    <n v="1351.2631578947369"/>
  </r>
  <r>
    <n v="1327"/>
    <x v="43"/>
    <x v="6"/>
    <n v="5"/>
    <n v="4279.8"/>
  </r>
  <r>
    <n v="1042"/>
    <x v="44"/>
    <x v="7"/>
    <n v="7"/>
    <n v="3512.4285714285716"/>
  </r>
  <r>
    <n v="1031"/>
    <x v="45"/>
    <x v="2"/>
    <n v="5"/>
    <n v="5234.2"/>
  </r>
  <r>
    <n v="1328"/>
    <x v="46"/>
    <x v="6"/>
    <n v="8"/>
    <n v="19592.125"/>
  </r>
  <r>
    <n v="1329"/>
    <x v="47"/>
    <x v="6"/>
    <n v="5"/>
    <n v="19532.2"/>
  </r>
  <r>
    <n v="1367"/>
    <x v="48"/>
    <x v="6"/>
    <n v="5"/>
    <n v="8847.4"/>
  </r>
  <r>
    <n v="1171"/>
    <x v="49"/>
    <x v="5"/>
    <n v="5"/>
    <n v="5290.4"/>
  </r>
  <r>
    <n v="1151"/>
    <x v="50"/>
    <x v="6"/>
    <n v="5"/>
    <n v="7018.8"/>
  </r>
  <r>
    <m/>
    <x v="51"/>
    <x v="14"/>
    <m/>
    <m/>
  </r>
  <r>
    <m/>
    <x v="51"/>
    <x v="14"/>
    <m/>
    <m/>
  </r>
  <r>
    <m/>
    <x v="51"/>
    <x v="14"/>
    <m/>
    <m/>
  </r>
  <r>
    <m/>
    <x v="51"/>
    <x v="14"/>
    <m/>
    <m/>
  </r>
  <r>
    <m/>
    <x v="51"/>
    <x v="14"/>
    <m/>
    <m/>
  </r>
  <r>
    <m/>
    <x v="51"/>
    <x v="14"/>
    <m/>
    <m/>
  </r>
  <r>
    <m/>
    <x v="51"/>
    <x v="14"/>
    <m/>
    <m/>
  </r>
  <r>
    <m/>
    <x v="51"/>
    <x v="14"/>
    <m/>
    <m/>
  </r>
  <r>
    <m/>
    <x v="51"/>
    <x v="14"/>
    <m/>
    <m/>
  </r>
  <r>
    <m/>
    <x v="51"/>
    <x v="14"/>
    <m/>
    <m/>
  </r>
  <r>
    <m/>
    <x v="51"/>
    <x v="14"/>
    <m/>
    <m/>
  </r>
  <r>
    <m/>
    <x v="51"/>
    <x v="14"/>
    <m/>
    <m/>
  </r>
  <r>
    <m/>
    <x v="51"/>
    <x v="14"/>
    <m/>
    <m/>
  </r>
  <r>
    <m/>
    <x v="51"/>
    <x v="14"/>
    <m/>
    <m/>
  </r>
  <r>
    <m/>
    <x v="51"/>
    <x v="14"/>
    <m/>
    <m/>
  </r>
  <r>
    <m/>
    <x v="51"/>
    <x v="14"/>
    <m/>
    <m/>
  </r>
  <r>
    <m/>
    <x v="51"/>
    <x v="14"/>
    <m/>
    <m/>
  </r>
  <r>
    <m/>
    <x v="51"/>
    <x v="14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131947.66735256772"/>
    <n v="5"/>
    <n v="16347.6"/>
    <n v="81737.72"/>
    <n v="67307.695444082405"/>
    <n v="14430.024555917596"/>
    <n v="0.21438892626929576"/>
    <n v="-50209.947352567717"/>
    <n v="-0.61428123212352526"/>
    <n v="8.0713785113758423"/>
    <s v="overpaid"/>
    <s v="in loss"/>
  </r>
  <r>
    <x v="1"/>
    <x v="0"/>
    <n v="73421.63260743719"/>
    <n v="5"/>
    <n v="36413.599999999999"/>
    <n v="182068.2471119999"/>
    <n v="151594.20238356592"/>
    <n v="30474.044728433975"/>
    <n v="0.20102381390106261"/>
    <n v="108646.61450456271"/>
    <n v="0.59673565395358796"/>
    <n v="2.0163244668870202"/>
    <s v="overpaid"/>
    <s v="profitable"/>
  </r>
  <r>
    <x v="2"/>
    <x v="1"/>
    <n v="110504.94959940619"/>
    <n v="5"/>
    <n v="29269"/>
    <n v="146345.40696000005"/>
    <n v="27180.821150192936"/>
    <n v="119164.58580980712"/>
    <n v="4.3841422284978044"/>
    <n v="35840.457360593864"/>
    <n v="0.24490319242058603"/>
    <n v="3.7754945368617374"/>
    <s v="overpaid"/>
    <s v="profitable"/>
  </r>
  <r>
    <x v="3"/>
    <x v="2"/>
    <n v="73827.272539272526"/>
    <n v="19"/>
    <n v="6740.5789473684208"/>
    <n v="128071"/>
    <n v="23560.66190357352"/>
    <n v="104510.33809642648"/>
    <n v="4.4357980486352577"/>
    <n v="54243.727460727474"/>
    <n v="0.42354418612119427"/>
    <n v="10.95266046369731"/>
    <s v="overpaid"/>
    <s v="profitable"/>
  </r>
  <r>
    <x v="4"/>
    <x v="3"/>
    <n v="68723.169028905162"/>
    <n v="9"/>
    <n v="2553.3333333333335"/>
    <n v="22979.535200000002"/>
    <n v="14574.070793404973"/>
    <n v="8405.4644065950288"/>
    <n v="0.57674101668276867"/>
    <n v="-45743.633828905164"/>
    <n v="-1.990624850797903"/>
    <n v="26.915079254140402"/>
    <s v="overpaid"/>
    <s v="in loss"/>
  </r>
  <r>
    <x v="5"/>
    <x v="3"/>
    <n v="75995.320459825874"/>
    <n v="9"/>
    <n v="4069"/>
    <n v="36620.83728"/>
    <n v="11610.612907422201"/>
    <n v="25010.224372577799"/>
    <n v="2.1540830421268944"/>
    <n v="-39374.483179825875"/>
    <n v="-1.075193417309706"/>
    <n v="18.676657768450696"/>
    <s v="overpaid"/>
    <s v="in loss"/>
  </r>
  <r>
    <x v="6"/>
    <x v="4"/>
    <n v="63663.203129253117"/>
    <n v="8.5"/>
    <n v="14256.470588235294"/>
    <n v="121180"/>
    <n v="73367.308383054638"/>
    <n v="47812.691616945362"/>
    <n v="0.6516893241784576"/>
    <n v="57516.796870746883"/>
    <n v="0.47463935361236909"/>
    <n v="4.4655654942948635"/>
    <s v="overpaid"/>
    <s v="profitable"/>
  </r>
  <r>
    <x v="7"/>
    <x v="5"/>
    <n v="317206.23541295185"/>
    <n v="5"/>
    <n v="14851.2"/>
    <n v="74255.524200000014"/>
    <n v="44310.062860390266"/>
    <n v="29945.461339609748"/>
    <n v="0.67581626850677867"/>
    <n v="-242950.71121295184"/>
    <n v="-3.2718200272694564"/>
    <n v="21.358963276567"/>
    <s v="overpaid"/>
    <s v="in loss"/>
  </r>
  <r>
    <x v="8"/>
    <x v="6"/>
    <n v="65274.374174272481"/>
    <n v="10"/>
    <n v="13628.4"/>
    <n v="136284"/>
    <n v="61680.103608114805"/>
    <n v="74603.896391885195"/>
    <n v="1.2095293624323631"/>
    <n v="71009.625825727519"/>
    <n v="0.52104154431721639"/>
    <n v="4.7895845568278359"/>
    <s v="overpaid"/>
    <s v="profitable"/>
  </r>
  <r>
    <x v="9"/>
    <x v="7"/>
    <n v="198689.52210155205"/>
    <n v="3"/>
    <n v="34688.666666666664"/>
    <n v="104066.15040000004"/>
    <n v="91629.307316704435"/>
    <n v="12436.843083295607"/>
    <n v="0.13572996945518015"/>
    <n v="-94623.371701552009"/>
    <n v="-0.9092617660771275"/>
    <n v="5.7277935762367749"/>
    <s v="overpaid"/>
    <s v="in loss"/>
  </r>
  <r>
    <x v="10"/>
    <x v="8"/>
    <n v="70712.927260956276"/>
    <n v="5"/>
    <n v="162.47999999999999"/>
    <n v="812.4"/>
    <n v="744.30830420710652"/>
    <n v="68.091695792893461"/>
    <n v="9.1483187018086387E-2"/>
    <n v="-69900.527260956282"/>
    <n v="-86.042007952925019"/>
    <n v="435.21003976462504"/>
    <s v="overpaid"/>
    <s v="in loss"/>
  </r>
  <r>
    <x v="11"/>
    <x v="0"/>
    <n v="58526.034745130513"/>
    <n v="5"/>
    <n v="6016.6"/>
    <n v="30083.262999999999"/>
    <n v="6448.8527245637169"/>
    <n v="23634.410275436283"/>
    <n v="3.6649015390617743"/>
    <n v="-28442.771745130514"/>
    <n v="-0.94546830724880193"/>
    <n v="9.7274265773244863"/>
    <s v="overpaid"/>
    <s v="in loss"/>
  </r>
  <r>
    <x v="12"/>
    <x v="9"/>
    <n v="63569.013979525771"/>
    <n v="7"/>
    <n v="4040.4285714285716"/>
    <n v="28283.360000000001"/>
    <n v="6489.8369612275828"/>
    <n v="21793.523038772419"/>
    <n v="3.3581002371822408"/>
    <n v="-35285.65397952577"/>
    <n v="-1.2475764541244665"/>
    <n v="15.733235436717477"/>
    <s v="overpaid"/>
    <s v="in loss"/>
  </r>
  <r>
    <x v="13"/>
    <x v="2"/>
    <n v="73827.272539272526"/>
    <n v="19"/>
    <n v="3100"/>
    <n v="58899.704799999992"/>
    <n v="17011.759078401352"/>
    <n v="41887.94572159864"/>
    <n v="2.4622936128210782"/>
    <n v="-14927.567739272534"/>
    <n v="-0.25344045084709044"/>
    <n v="23.815249206216944"/>
    <s v="overpaid"/>
    <s v="in loss"/>
  </r>
  <r>
    <x v="14"/>
    <x v="10"/>
    <n v="82065.744948439868"/>
    <n v="7"/>
    <n v="2739.4285714285716"/>
    <n v="19176.379000000001"/>
    <n v="5958.8762529929299"/>
    <n v="13217.502747007071"/>
    <n v="2.2181200256287239"/>
    <n v="-62889.365948439867"/>
    <n v="-3.2795224765029864"/>
    <n v="29.957249407544797"/>
    <s v="overpaid"/>
    <s v="in loss"/>
  </r>
  <r>
    <x v="15"/>
    <x v="1"/>
    <n v="110504.94959940619"/>
    <n v="5"/>
    <n v="30367.4"/>
    <n v="151837.35529599997"/>
    <n v="32793.876250880952"/>
    <n v="119043.47904511902"/>
    <n v="3.6300520906527822"/>
    <n v="41332.405696593778"/>
    <n v="0.27221500016262895"/>
    <n v="3.63893351420952"/>
    <s v="overpaid"/>
    <s v="profitable"/>
  </r>
  <r>
    <x v="16"/>
    <x v="1"/>
    <n v="106901.42125984588"/>
    <n v="5"/>
    <n v="8948.2000000000007"/>
    <n v="44740.833599999998"/>
    <n v="7103.2057058461787"/>
    <n v="37637.627894153818"/>
    <n v="5.2986819547090942"/>
    <n v="-62160.587659845885"/>
    <n v="-1.3893479995385221"/>
    <n v="11.946695565571385"/>
    <s v="overpaid"/>
    <s v="in loss"/>
  </r>
  <r>
    <x v="17"/>
    <x v="4"/>
    <n v="145251.72712488961"/>
    <n v="4"/>
    <n v="66343"/>
    <n v="265372.02880000015"/>
    <n v="171703.4978070069"/>
    <n v="93668.530992993241"/>
    <n v="0.54552488556916745"/>
    <n v="120120.30167511053"/>
    <n v="0.4526486917942667"/>
    <n v="2.1894054704322929"/>
    <s v="overpaid"/>
    <s v="profitable"/>
  </r>
  <r>
    <x v="18"/>
    <x v="9"/>
    <n v="72547.548370211123"/>
    <n v="7"/>
    <n v="11221.857142857143"/>
    <n v="78553.013183999996"/>
    <n v="11737.89370301184"/>
    <n v="66815.119480988156"/>
    <n v="5.692258012512414"/>
    <n v="6005.4648137888726"/>
    <n v="7.6451106970548272E-2"/>
    <n v="6.4648433362376716"/>
    <s v="overpaid"/>
    <s v="profitable"/>
  </r>
  <r>
    <x v="19"/>
    <x v="6"/>
    <n v="228242.15210062929"/>
    <n v="5"/>
    <n v="37402.800000000003"/>
    <n v="187014.09524600004"/>
    <n v="92225.256194979564"/>
    <n v="94788.839051020477"/>
    <n v="1.0277969719121307"/>
    <n v="-41228.056854629249"/>
    <n v="-0.22045427538709042"/>
    <n v="6.1022744848147541"/>
    <s v="overpaid"/>
    <s v="in loss"/>
  </r>
  <r>
    <x v="20"/>
    <x v="6"/>
    <n v="143910.95461362271"/>
    <n v="10"/>
    <n v="17853.400000000001"/>
    <n v="178534"/>
    <n v="79369.259316286232"/>
    <n v="99164.740683713768"/>
    <n v="1.2494099294607577"/>
    <n v="34623.045386377285"/>
    <n v="0.19392970182921621"/>
    <n v="8.0607029817078377"/>
    <s v="overpaid"/>
    <s v="profitable"/>
  </r>
  <r>
    <x v="21"/>
    <x v="1"/>
    <n v="72886.152279154456"/>
    <n v="5"/>
    <n v="30552.2"/>
    <n v="152761"/>
    <n v="86832.960867592148"/>
    <n v="65928.039132407852"/>
    <n v="0.75925130818628528"/>
    <n v="79874.847720845544"/>
    <n v="0.5228746062204721"/>
    <n v="2.3856269688976393"/>
    <s v="overpaid"/>
    <s v="profitable"/>
  </r>
  <r>
    <x v="22"/>
    <x v="11"/>
    <n v="69222.691594822158"/>
    <n v="4"/>
    <n v="15837.5"/>
    <n v="63350.243199999997"/>
    <n v="23340.920231854023"/>
    <n v="40009.322968145978"/>
    <n v="1.7141279165824879"/>
    <n v="-5872.4483948221605"/>
    <n v="-9.2698119189259257E-2"/>
    <n v="4.3708092561845087"/>
    <s v="overpaid"/>
    <s v="in loss"/>
  </r>
  <r>
    <x v="23"/>
    <x v="5"/>
    <n v="158500.97315262631"/>
    <n v="5"/>
    <n v="15057.4"/>
    <n v="75287.279999999955"/>
    <n v="32247.584676247403"/>
    <n v="43039.695323752552"/>
    <n v="1.334664154101882"/>
    <n v="-83213.693152626351"/>
    <n v="-1.1052822356263421"/>
    <n v="10.526450326924058"/>
    <s v="overpaid"/>
    <s v="in loss"/>
  </r>
  <r>
    <x v="24"/>
    <x v="6"/>
    <n v="68364.252420792691"/>
    <n v="5"/>
    <n v="5699.6"/>
    <n v="28498"/>
    <n v="26302.187589666148"/>
    <n v="2195.8124103338523"/>
    <n v="8.348402211215937E-2"/>
    <n v="-39866.252420792691"/>
    <n v="-1.3989140438203624"/>
    <n v="11.994570219101812"/>
    <s v="overpaid"/>
    <s v="in loss"/>
  </r>
  <r>
    <x v="25"/>
    <x v="5"/>
    <n v="99155.989630329961"/>
    <n v="5"/>
    <n v="4544.8"/>
    <n v="22724"/>
    <n v="4466.0790200396841"/>
    <n v="18257.920979960316"/>
    <n v="4.088132094849966"/>
    <n v="-76431.989630329961"/>
    <n v="-3.3634918865661838"/>
    <n v="21.817459432830919"/>
    <s v="overpaid"/>
    <s v="in loss"/>
  </r>
  <r>
    <x v="26"/>
    <x v="2"/>
    <n v="82597.73849849368"/>
    <n v="19"/>
    <n v="1351.2631578947369"/>
    <n v="25674"/>
    <n v="4075.4628127403316"/>
    <n v="21598.53718725967"/>
    <n v="5.2996526234371073"/>
    <n v="-56923.73849849368"/>
    <n v="-2.2171745150149444"/>
    <n v="61.126315785283943"/>
    <s v="overpaid"/>
    <s v="in loss"/>
  </r>
  <r>
    <x v="27"/>
    <x v="3"/>
    <n v="77371.464372711373"/>
    <n v="9"/>
    <n v="9502.6666666666661"/>
    <n v="85524.036800000002"/>
    <n v="57868.480364122479"/>
    <n v="27655.556435877523"/>
    <n v="0.47790362321357105"/>
    <n v="8152.5724272886291"/>
    <n v="9.5324925393239029E-2"/>
    <n v="8.1420791749029799"/>
    <s v="overpaid"/>
    <s v="profitable"/>
  </r>
  <r>
    <x v="28"/>
    <x v="1"/>
    <n v="110504.94959940619"/>
    <n v="5"/>
    <n v="25992"/>
    <n v="129959.92400000003"/>
    <n v="75155.343453675232"/>
    <n v="54804.580546324796"/>
    <n v="0.72921735205834859"/>
    <n v="19454.974400593841"/>
    <n v="0.14969979822852034"/>
    <n v="4.2514985225994995"/>
    <s v="overpaid"/>
    <s v="profitable"/>
  </r>
  <r>
    <x v="29"/>
    <x v="6"/>
    <n v="68364.252420792691"/>
    <n v="5"/>
    <n v="4279.8"/>
    <n v="21399"/>
    <n v="17570.84919894964"/>
    <n v="3828.1508010503603"/>
    <n v="0.21786942439180468"/>
    <n v="-46965.252420792691"/>
    <n v="-2.1947405215567404"/>
    <n v="15.973702607783702"/>
    <s v="overpaid"/>
    <s v="in loss"/>
  </r>
  <r>
    <x v="30"/>
    <x v="9"/>
    <n v="126004.12526643014"/>
    <n v="7"/>
    <n v="3512.4285714285716"/>
    <n v="24587"/>
    <n v="6656.7476169818319"/>
    <n v="17930.252383018167"/>
    <n v="2.6935454691532588"/>
    <n v="-101417.12526643014"/>
    <n v="-4.1248271552621363"/>
    <n v="35.873790086834951"/>
    <s v="overpaid"/>
    <s v="in loss"/>
  </r>
  <r>
    <x v="31"/>
    <x v="3"/>
    <n v="75995.320459825874"/>
    <n v="9"/>
    <n v="7681.4444444444443"/>
    <n v="69132.501231999981"/>
    <n v="52203.104997488474"/>
    <n v="16929.396234511507"/>
    <n v="0.32429864536460029"/>
    <n v="-6862.8192278258939"/>
    <n v="-9.927051828770285E-2"/>
    <n v="9.8933632872641564"/>
    <s v="overpaid"/>
    <s v="in loss"/>
  </r>
  <r>
    <x v="32"/>
    <x v="5"/>
    <n v="70267.292664899374"/>
    <n v="14"/>
    <n v="17967.571428571428"/>
    <n v="251545.7062500001"/>
    <n v="19214.75062867544"/>
    <n v="232330.95562132465"/>
    <n v="12.09128133438286"/>
    <n v="181278.41358510073"/>
    <n v="0.7206579523362493"/>
    <n v="3.9107841003577528"/>
    <s v="overpaid"/>
    <s v="profitable"/>
  </r>
  <r>
    <x v="33"/>
    <x v="1"/>
    <n v="110504.94959940619"/>
    <n v="5"/>
    <n v="5234.2"/>
    <n v="26171"/>
    <n v="13791.290165725788"/>
    <n v="12379.709834274212"/>
    <n v="0.89764697033496943"/>
    <n v="-84333.949599406187"/>
    <n v="-3.2224198387301284"/>
    <n v="21.112099193650643"/>
    <s v="overpaid"/>
    <s v="in loss"/>
  </r>
  <r>
    <x v="34"/>
    <x v="2"/>
    <n v="82597.73849849368"/>
    <n v="19"/>
    <n v="1308.8421052631579"/>
    <n v="24867.994599999998"/>
    <n v="12643.490413589292"/>
    <n v="12224.504186410706"/>
    <n v="0.96686150631883605"/>
    <n v="-57729.743898493682"/>
    <n v="-2.3214475001733228"/>
    <n v="63.107488799717707"/>
    <s v="overpaid"/>
    <s v="in loss"/>
  </r>
  <r>
    <x v="35"/>
    <x v="6"/>
    <n v="147000.83286014292"/>
    <n v="8"/>
    <n v="19592.125"/>
    <n v="156737"/>
    <n v="123213.64071313376"/>
    <n v="33523.359286866238"/>
    <n v="0.27207506484542071"/>
    <n v="9736.1671398570761"/>
    <n v="6.2117860746709941E-2"/>
    <n v="7.50305711402632"/>
    <s v="overpaid"/>
    <s v="profitable"/>
  </r>
  <r>
    <x v="36"/>
    <x v="12"/>
    <n v="66292.974009488593"/>
    <n v="6"/>
    <n v="3031.3333333333335"/>
    <n v="18188.14"/>
    <n v="5989.241978045161"/>
    <n v="12198.898021954839"/>
    <n v="2.0368016631607961"/>
    <n v="-48104.834009488593"/>
    <n v="-2.6448462574781475"/>
    <n v="21.869245879532194"/>
    <s v="overpaid"/>
    <s v="in loss"/>
  </r>
  <r>
    <x v="37"/>
    <x v="13"/>
    <n v="161370.75028406369"/>
    <n v="7"/>
    <n v="1583.1428571428571"/>
    <n v="11082.454"/>
    <n v="1041.6164535348087"/>
    <n v="10040.837546465191"/>
    <n v="9.6396687210448775"/>
    <n v="-150288.29628406369"/>
    <n v="-13.560922182403257"/>
    <n v="101.93063093200197"/>
    <s v="overpaid"/>
    <s v="in loss"/>
  </r>
  <r>
    <x v="38"/>
    <x v="1"/>
    <n v="110504.94959940619"/>
    <n v="5"/>
    <n v="12357.2"/>
    <n v="61786.355999999992"/>
    <n v="39833.290219168477"/>
    <n v="21953.065780831515"/>
    <n v="0.55112358683007601"/>
    <n v="-48718.593599406195"/>
    <n v="-0.78850083988455644"/>
    <n v="8.9425557245497505"/>
    <s v="overpaid"/>
    <s v="in loss"/>
  </r>
  <r>
    <x v="39"/>
    <x v="3"/>
    <n v="77371.464372711373"/>
    <n v="9"/>
    <n v="4789"/>
    <n v="43101.428800000009"/>
    <n v="14793.643655087924"/>
    <n v="28307.785144912086"/>
    <n v="1.9135100050335667"/>
    <n v="-34270.035572711364"/>
    <n v="-0.79510207728221194"/>
    <n v="16.156079426333552"/>
    <s v="overpaid"/>
    <s v="in loss"/>
  </r>
  <r>
    <x v="40"/>
    <x v="6"/>
    <n v="68364.252420792691"/>
    <n v="5"/>
    <n v="8847.4"/>
    <n v="44237"/>
    <n v="31992.051864244233"/>
    <n v="12244.948135755767"/>
    <n v="0.38274969632195666"/>
    <n v="-24127.252420792691"/>
    <n v="-0.54540887539373584"/>
    <n v="7.7270443769686796"/>
    <s v="overpaid"/>
    <s v="in loss"/>
  </r>
  <r>
    <x v="41"/>
    <x v="5"/>
    <n v="70267.292664899374"/>
    <n v="5"/>
    <n v="9403.6"/>
    <n v="47018.001600000003"/>
    <n v="36462.95362853499"/>
    <n v="10555.047971465014"/>
    <n v="0.28947320282921069"/>
    <n v="-23249.291064899371"/>
    <n v="-0.49447637657359239"/>
    <n v="7.4723821371495358"/>
    <s v="overpaid"/>
    <s v="in loss"/>
  </r>
  <r>
    <x v="42"/>
    <x v="3"/>
    <n v="344526.49247044354"/>
    <n v="9"/>
    <n v="11325"/>
    <n v="101924.88160000001"/>
    <n v="68251.613256207391"/>
    <n v="33673.268343792617"/>
    <n v="0.49336955915441427"/>
    <n v="-242601.61087044352"/>
    <n v="-2.3802000754096877"/>
    <n v="30.421765339553513"/>
    <s v="overpaid"/>
    <s v="in loss"/>
  </r>
  <r>
    <x v="43"/>
    <x v="7"/>
    <n v="72680.017290899545"/>
    <n v="3"/>
    <n v="20175"/>
    <n v="60525.494399999996"/>
    <n v="5138.849705816694"/>
    <n v="55386.644694183298"/>
    <n v="10.778023850647127"/>
    <n v="-12154.522890899549"/>
    <n v="-0.20081658169651481"/>
    <n v="3.6024791717917988"/>
    <s v="overpaid"/>
    <s v="in loss"/>
  </r>
  <r>
    <x v="44"/>
    <x v="0"/>
    <n v="87231.715721389963"/>
    <n v="5"/>
    <n v="12176.6"/>
    <n v="60882.838983999995"/>
    <n v="60573.277525875877"/>
    <n v="309.56145812411705"/>
    <n v="5.1105284503034799E-3"/>
    <n v="-26348.876737389968"/>
    <n v="-0.43278002762509893"/>
    <n v="7.1638811919082466"/>
    <s v="overpaid"/>
    <s v="in loss"/>
  </r>
  <r>
    <x v="45"/>
    <x v="8"/>
    <n v="72160.878580535107"/>
    <n v="5"/>
    <n v="5479.6"/>
    <n v="27397.922015999997"/>
    <n v="9412.3100994900014"/>
    <n v="17985.611916509995"/>
    <n v="1.9108605354475658"/>
    <n v="-44762.95656453511"/>
    <n v="-1.6338084522758398"/>
    <n v="13.169004777818655"/>
    <s v="overpaid"/>
    <s v="in loss"/>
  </r>
  <r>
    <x v="46"/>
    <x v="8"/>
    <n v="72160.878580535107"/>
    <n v="5"/>
    <n v="5290.4"/>
    <n v="26452"/>
    <n v="10107.177123675472"/>
    <n v="16344.822876324528"/>
    <n v="1.6171501376024899"/>
    <n v="-45708.878580535107"/>
    <n v="-1.7279932927769208"/>
    <n v="13.639966463884605"/>
    <s v="overpaid"/>
    <s v="in loss"/>
  </r>
  <r>
    <x v="47"/>
    <x v="6"/>
    <n v="81241.319240486366"/>
    <n v="5"/>
    <n v="7018.8"/>
    <n v="35094"/>
    <n v="5041.5172774335551"/>
    <n v="30052.482722566445"/>
    <n v="5.9609996492692812"/>
    <n v="-46147.319240486366"/>
    <n v="-1.3149632199374925"/>
    <n v="11.574816099687462"/>
    <s v="overpaid"/>
    <s v="in loss"/>
  </r>
  <r>
    <x v="48"/>
    <x v="14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D5BAD1-6E9B-4AB8-9CAF-B84971BE74CE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19" firstHeaderRow="1" firstDataRow="1" firstDataCol="1"/>
  <pivotFields count="14">
    <pivotField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axis="axisRow" showAll="0">
      <items count="16">
        <item x="1"/>
        <item x="7"/>
        <item x="11"/>
        <item x="10"/>
        <item x="2"/>
        <item x="4"/>
        <item x="12"/>
        <item x="13"/>
        <item x="9"/>
        <item x="3"/>
        <item x="8"/>
        <item x="5"/>
        <item x="6"/>
        <item x="0"/>
        <item x="1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2931E7-5DF1-474F-A258-1F12EB7C98A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9" firstHeaderRow="0" firstDataRow="1" firstDataCol="1"/>
  <pivotFields count="5">
    <pivotField showAll="0"/>
    <pivotField showAll="0">
      <items count="53">
        <item x="26"/>
        <item x="3"/>
        <item x="2"/>
        <item x="34"/>
        <item x="21"/>
        <item x="23"/>
        <item x="9"/>
        <item x="35"/>
        <item x="4"/>
        <item x="36"/>
        <item x="1"/>
        <item x="17"/>
        <item x="28"/>
        <item x="33"/>
        <item x="32"/>
        <item x="13"/>
        <item x="7"/>
        <item x="16"/>
        <item x="0"/>
        <item x="11"/>
        <item x="12"/>
        <item x="37"/>
        <item x="38"/>
        <item x="39"/>
        <item x="22"/>
        <item x="8"/>
        <item x="40"/>
        <item x="41"/>
        <item x="42"/>
        <item x="27"/>
        <item x="18"/>
        <item x="43"/>
        <item x="44"/>
        <item x="20"/>
        <item x="10"/>
        <item x="45"/>
        <item x="31"/>
        <item x="46"/>
        <item x="47"/>
        <item x="30"/>
        <item x="15"/>
        <item x="14"/>
        <item x="29"/>
        <item x="48"/>
        <item x="19"/>
        <item x="25"/>
        <item x="24"/>
        <item x="6"/>
        <item x="5"/>
        <item x="49"/>
        <item x="50"/>
        <item x="51"/>
        <item t="default"/>
      </items>
    </pivotField>
    <pivotField axis="axisRow" showAll="0">
      <items count="16">
        <item x="2"/>
        <item x="1"/>
        <item x="11"/>
        <item x="8"/>
        <item x="13"/>
        <item x="0"/>
        <item x="12"/>
        <item x="9"/>
        <item x="7"/>
        <item x="10"/>
        <item x="5"/>
        <item x="4"/>
        <item x="6"/>
        <item x="3"/>
        <item x="14"/>
        <item t="default"/>
      </items>
    </pivotField>
    <pivotField dataField="1" showAll="0"/>
    <pivotField dataField="1" showAll="0"/>
  </pivotFields>
  <rowFields count="1"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er_kg_rate" fld="3" subtotal="average" baseField="2" baseItem="2"/>
    <dataField name="Average of kg_delivered" fld="4" subtotal="average" baseField="2" baseItem="2" numFmtId="2"/>
  </dataFields>
  <formats count="3">
    <format dxfId="3">
      <pivotArea collapsedLevelsAreSubtotals="1" fieldPosition="0">
        <references count="2">
          <reference field="4294967294" count="1" selected="0">
            <x v="0"/>
          </reference>
          <reference field="2" count="1">
            <x v="12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407253-029E-4966-BF0D-B87C3E0F8072}" name="BP_profitability_sample" displayName="BP_profitability_sample" ref="A1:N49" totalsRowShown="0" headerRowDxfId="28">
  <autoFilter ref="A1:N49" xr:uid="{84407253-029E-4966-BF0D-B87C3E0F8072}"/>
  <tableColumns count="14">
    <tableColumn id="1" xr3:uid="{62F8F137-C136-44FF-A062-19F00D128652}" name="BP name"/>
    <tableColumn id="2" xr3:uid="{F813A5AE-3EF5-464E-BFD2-B508403D19D4}" name="branch">
      <calculatedColumnFormula>VLOOKUP(A2,payouts_table_AMD!$B$2:$C$52,2,FALSE)</calculatedColumnFormula>
    </tableColumn>
    <tableColumn id="3" xr3:uid="{AE41722D-6983-4531-90F7-46A23074159A}" name="Total cost"/>
    <tableColumn id="4" xr3:uid="{0F8D9DC9-8E81-45B5-8A48-EC2705E0A990}" name="per kg rate" dataDxfId="27">
      <calculatedColumnFormula>VLOOKUP(A2,payouts_table_AMD!$B$2:$E$52,3,FALSE)</calculatedColumnFormula>
    </tableColumn>
    <tableColumn id="5" xr3:uid="{6AA688BE-5E56-4CC3-8E69-20080BFDF616}" name="kg delivered" dataDxfId="26">
      <calculatedColumnFormula>VLOOKUP(A2,payouts_table_AMD!$B$2:$E$52,4,FALSE)</calculatedColumnFormula>
    </tableColumn>
    <tableColumn id="6" xr3:uid="{3AF20F91-5069-4487-A617-90D28B08FAB3}" name="payout" dataDxfId="25">
      <calculatedColumnFormula>VLOOKUP(A2,Sheet1!$A$2:$G$64,4,FALSE)</calculatedColumnFormula>
    </tableColumn>
    <tableColumn id="7" xr3:uid="{6E666A3B-1AE9-4288-983F-DF15301C56D5}" name="budget" dataDxfId="24">
      <calculatedColumnFormula>VLOOKUP(A2,Sheet1!$A$2:$G$64,5,FALSE)</calculatedColumnFormula>
    </tableColumn>
    <tableColumn id="8" xr3:uid="{3DAAEF0B-53E0-4A4A-A888-FC24F125BD62}" name="difference" dataDxfId="23">
      <calculatedColumnFormula>F2-G2</calculatedColumnFormula>
    </tableColumn>
    <tableColumn id="9" xr3:uid="{66A9C100-3B96-4363-A057-C9A194CB6278}" name="difference %" dataDxfId="22">
      <calculatedColumnFormula>H2/G2</calculatedColumnFormula>
    </tableColumn>
    <tableColumn id="10" xr3:uid="{1715AAD3-B259-45A4-975A-5446757F5A4B}" name="profit" dataDxfId="21">
      <calculatedColumnFormula>F2-C2</calculatedColumnFormula>
    </tableColumn>
    <tableColumn id="11" xr3:uid="{72D2F741-7442-46E4-BB20-74830B624C32}" name="profit margin" dataDxfId="20">
      <calculatedColumnFormula>(J2/F2)</calculatedColumnFormula>
    </tableColumn>
    <tableColumn id="12" xr3:uid="{7BBD3280-C178-4E9A-A2BC-33630DA1BFB0}" name="cost per kg" dataDxfId="19">
      <calculatedColumnFormula>C2/E2</calculatedColumnFormula>
    </tableColumn>
    <tableColumn id="13" xr3:uid="{3D619382-E7F2-4AEA-948F-64287B1CBEB9}" name="status">
      <calculatedColumnFormula>IF(I2&gt;0,"overpaid","under budget")</calculatedColumnFormula>
    </tableColumn>
    <tableColumn id="14" xr3:uid="{D1E0E67A-FF2E-41FD-B333-42A531E095D0}" name="profitability">
      <calculatedColumnFormula>IF(K2&gt;0,"profitable","in loss")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EF06CE-EE3E-49C9-8DED-F627582B3F93}" name="Cost_base" displayName="Cost_base" ref="A1:U1048576" totalsRowShown="0" headerRowDxfId="18">
  <autoFilter ref="A1:U1048576" xr:uid="{40EF06CE-EE3E-49C9-8DED-F627582B3F93}"/>
  <tableColumns count="21">
    <tableColumn id="1" xr3:uid="{D42F195D-9095-48D4-BE8C-6B18FBF3D9C1}" name="Index"/>
    <tableColumn id="2" xr3:uid="{D4307597-43A6-466A-AD90-DCD16040D38A}" name="OU"/>
    <tableColumn id="3" xr3:uid="{735EEDB6-EB14-4517-95F5-43DD5D287D99}" name="OU Code"/>
    <tableColumn id="4" xr3:uid="{7533125B-4225-4533-980C-3EB49F9ECE95}" name="BP name"/>
    <tableColumn id="5" xr3:uid="{AF82C8F6-087B-4D9C-BE33-F9DB698A27DB}" name="Vehicle"/>
    <tableColumn id="6" xr3:uid="{C265CB72-9381-423E-9032-AC6A17B1C1F4}" name="Ownership"/>
    <tableColumn id="7" xr3:uid="{3BBAF80B-F8FE-4BA8-ADB0-D3C763CB211B}" name="Purchase Year"/>
    <tableColumn id="8" xr3:uid="{94185936-2F41-4B80-A4AC-10968551A5C5}" name="Vehicle name"/>
    <tableColumn id="9" xr3:uid="{2FA09A59-0529-4F80-8E95-A5955AD4FD9C}" name="Mileage"/>
    <tableColumn id="10" xr3:uid="{BA2CE6CA-2053-41BB-84BE-E0117F983E42}" name="Vehicle Capacity" dataDxfId="17"/>
    <tableColumn id="11" xr3:uid="{93D90737-8B44-4472-87B0-84FB8B9DF43B}" name="KM travelled"/>
    <tableColumn id="12" xr3:uid="{B371477A-65E0-42A1-891D-499E063612C9}" name="fuel_cost_per_liter"/>
    <tableColumn id="13" xr3:uid="{7510226B-5EB8-43C0-A1EA-84390211F815}" name="maintenance_and_additional_costs" dataDxfId="16"/>
    <tableColumn id="14" xr3:uid="{1FCA20A3-AF93-4701-BECD-E0083D019588}" name="showroom_price"/>
    <tableColumn id="15" xr3:uid="{DA158563-08CB-4F6D-920D-D4E1232915EE}" name="downpayment_amount"/>
    <tableColumn id="16" xr3:uid="{8E82030C-8BF8-4731-AD86-2A236DACE522}" name="balance"/>
    <tableColumn id="17" xr3:uid="{C27933FA-00E8-4C26-BD73-108F8E4B9C1E}" name="emi" dataDxfId="15"/>
    <tableColumn id="18" xr3:uid="{4AB921F5-EE5D-48EC-9199-DF2BBFB2BCD8}" name=" fuel_cost" dataDxfId="14"/>
    <tableColumn id="19" xr3:uid="{82EFB4BD-A758-4D1D-A18A-463D0DAE6145}" name="vehicle_cost" dataDxfId="13"/>
    <tableColumn id="20" xr3:uid="{21548CBD-F8EA-4992-9E7A-3978643D93FB}" name="team_cost" dataDxfId="12"/>
    <tableColumn id="21" xr3:uid="{9A5251E4-7C8A-4398-8DEB-3C6E66F5F453}" name="total_cost" dataDxfId="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487462-F76E-4F5C-8498-DD89062F2D8E}" name="payouts_table_AMD" displayName="payouts_table_AMD" ref="A1:E52" totalsRowShown="0" headerRowDxfId="10" dataDxfId="9" headerRowCellStyle="Normal 2" dataCellStyle="Normal 2">
  <autoFilter ref="A1:E52" xr:uid="{5C487462-F76E-4F5C-8498-DD89062F2D8E}"/>
  <tableColumns count="5">
    <tableColumn id="1" xr3:uid="{6768AA4E-2D5A-4775-929A-1F3ADF236823}" name="bp_id" dataDxfId="8" dataCellStyle="Normal 2"/>
    <tableColumn id="2" xr3:uid="{51DCA3F8-0708-4FB0-AB48-06EFC25399DB}" name="bp_name" dataDxfId="7" dataCellStyle="Normal 2"/>
    <tableColumn id="3" xr3:uid="{5B69AF0D-95FF-4A78-A082-1055A0154E7C}" name="branch_name" dataDxfId="6" dataCellStyle="Normal 2"/>
    <tableColumn id="4" xr3:uid="{ACE4BB63-3437-485A-955D-C27C8B68B671}" name="per_kg_rate" dataDxfId="5" dataCellStyle="Normal 2"/>
    <tableColumn id="5" xr3:uid="{50866BDE-8FE5-4483-9932-0BD33209A051}" name="kg_delivered" dataDxfId="4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25707-2367-42B6-B9FF-D87739D7C0DB}">
  <dimension ref="A3:A19"/>
  <sheetViews>
    <sheetView workbookViewId="0">
      <selection activeCell="A3" sqref="A3"/>
    </sheetView>
  </sheetViews>
  <sheetFormatPr defaultRowHeight="14.4" x14ac:dyDescent="0.3"/>
  <cols>
    <col min="1" max="1" width="16.88671875" bestFit="1" customWidth="1"/>
    <col min="2" max="4" width="16.6640625" bestFit="1" customWidth="1"/>
  </cols>
  <sheetData>
    <row r="3" spans="1:1" x14ac:dyDescent="0.3">
      <c r="A3" s="37" t="s">
        <v>176</v>
      </c>
    </row>
    <row r="4" spans="1:1" x14ac:dyDescent="0.3">
      <c r="A4" s="38" t="s">
        <v>71</v>
      </c>
    </row>
    <row r="5" spans="1:1" x14ac:dyDescent="0.3">
      <c r="A5" s="38" t="s">
        <v>77</v>
      </c>
    </row>
    <row r="6" spans="1:1" x14ac:dyDescent="0.3">
      <c r="A6" s="38" t="s">
        <v>81</v>
      </c>
    </row>
    <row r="7" spans="1:1" x14ac:dyDescent="0.3">
      <c r="A7" s="38" t="s">
        <v>80</v>
      </c>
    </row>
    <row r="8" spans="1:1" x14ac:dyDescent="0.3">
      <c r="A8" s="38" t="s">
        <v>72</v>
      </c>
    </row>
    <row r="9" spans="1:1" x14ac:dyDescent="0.3">
      <c r="A9" s="38" t="s">
        <v>74</v>
      </c>
    </row>
    <row r="10" spans="1:1" x14ac:dyDescent="0.3">
      <c r="A10" s="38" t="s">
        <v>82</v>
      </c>
    </row>
    <row r="11" spans="1:1" x14ac:dyDescent="0.3">
      <c r="A11" s="38" t="s">
        <v>83</v>
      </c>
    </row>
    <row r="12" spans="1:1" x14ac:dyDescent="0.3">
      <c r="A12" s="38" t="s">
        <v>79</v>
      </c>
    </row>
    <row r="13" spans="1:1" x14ac:dyDescent="0.3">
      <c r="A13" s="38" t="s">
        <v>73</v>
      </c>
    </row>
    <row r="14" spans="1:1" x14ac:dyDescent="0.3">
      <c r="A14" s="38" t="s">
        <v>78</v>
      </c>
    </row>
    <row r="15" spans="1:1" x14ac:dyDescent="0.3">
      <c r="A15" s="38" t="s">
        <v>75</v>
      </c>
    </row>
    <row r="16" spans="1:1" x14ac:dyDescent="0.3">
      <c r="A16" s="38" t="s">
        <v>76</v>
      </c>
    </row>
    <row r="17" spans="1:1" x14ac:dyDescent="0.3">
      <c r="A17" s="38" t="s">
        <v>70</v>
      </c>
    </row>
    <row r="18" spans="1:1" x14ac:dyDescent="0.3">
      <c r="A18" s="38" t="s">
        <v>177</v>
      </c>
    </row>
    <row r="19" spans="1:1" x14ac:dyDescent="0.3">
      <c r="A19" s="38" t="s">
        <v>178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FE028-AF57-44F9-A44E-F092C80E1355}">
  <dimension ref="A1:W49"/>
  <sheetViews>
    <sheetView tabSelected="1" zoomScaleNormal="100" workbookViewId="0">
      <selection activeCell="P6" sqref="P6"/>
    </sheetView>
  </sheetViews>
  <sheetFormatPr defaultColWidth="12.6640625" defaultRowHeight="14.4" x14ac:dyDescent="0.3"/>
  <cols>
    <col min="1" max="1" width="32.5546875" style="5" bestFit="1" customWidth="1"/>
    <col min="2" max="2" width="16.88671875" style="5" customWidth="1"/>
    <col min="3" max="3" width="11.33203125" style="5" customWidth="1"/>
    <col min="4" max="4" width="11.88671875" style="5" customWidth="1"/>
    <col min="5" max="5" width="13.109375" style="5" customWidth="1"/>
    <col min="6" max="6" width="10.6640625" style="5" bestFit="1" customWidth="1"/>
    <col min="7" max="7" width="11" style="5" customWidth="1"/>
    <col min="8" max="8" width="13.109375" style="5" bestFit="1" customWidth="1"/>
    <col min="9" max="9" width="13.33203125" style="35" customWidth="1"/>
    <col min="10" max="10" width="10.44140625" style="5" bestFit="1" customWidth="1"/>
    <col min="11" max="11" width="13.88671875" style="6" customWidth="1"/>
    <col min="12" max="12" width="12.33203125" style="6" customWidth="1"/>
    <col min="13" max="13" width="12" style="5" customWidth="1"/>
    <col min="14" max="14" width="12.6640625" style="6" customWidth="1"/>
    <col min="15" max="15" width="9.33203125" style="5" customWidth="1"/>
    <col min="16" max="16" width="13.44140625" style="5" bestFit="1" customWidth="1"/>
    <col min="17" max="17" width="9.33203125" style="5" customWidth="1"/>
    <col min="18" max="18" width="11.33203125" style="5" customWidth="1"/>
    <col min="19" max="22" width="9.33203125" style="5" customWidth="1"/>
    <col min="23" max="23" width="13.6640625" style="5" customWidth="1"/>
    <col min="24" max="30" width="9.33203125" style="5" customWidth="1"/>
    <col min="31" max="16384" width="12.6640625" style="5"/>
  </cols>
  <sheetData>
    <row r="1" spans="1:23" x14ac:dyDescent="0.3">
      <c r="A1" s="41" t="s">
        <v>0</v>
      </c>
      <c r="B1" s="41" t="s">
        <v>181</v>
      </c>
      <c r="C1" s="41" t="s">
        <v>50</v>
      </c>
      <c r="D1" s="41" t="s">
        <v>51</v>
      </c>
      <c r="E1" s="41" t="s">
        <v>52</v>
      </c>
      <c r="F1" s="41" t="s">
        <v>53</v>
      </c>
      <c r="G1" s="41" t="s">
        <v>54</v>
      </c>
      <c r="H1" s="41" t="s">
        <v>55</v>
      </c>
      <c r="I1" s="42" t="s">
        <v>56</v>
      </c>
      <c r="J1" s="41" t="s">
        <v>57</v>
      </c>
      <c r="K1" s="41" t="s">
        <v>58</v>
      </c>
      <c r="L1" s="41" t="s">
        <v>59</v>
      </c>
      <c r="M1" s="41" t="s">
        <v>111</v>
      </c>
      <c r="N1" s="41" t="s">
        <v>112</v>
      </c>
    </row>
    <row r="2" spans="1:23" x14ac:dyDescent="0.3">
      <c r="A2" t="s">
        <v>36</v>
      </c>
      <c r="B2" t="str">
        <f>VLOOKUP(A2,payouts_table_AMD!$B$2:$C$52,2,FALSE)</f>
        <v>Vapi</v>
      </c>
      <c r="C2">
        <v>131947.66735256772</v>
      </c>
      <c r="D2" s="7">
        <f>VLOOKUP(A2,payouts_table_AMD!$B$2:$E$52,3,FALSE)</f>
        <v>5</v>
      </c>
      <c r="E2" s="29">
        <f>VLOOKUP(A2,payouts_table_AMD!$B$2:$E$52,4,FALSE)</f>
        <v>16347.6</v>
      </c>
      <c r="F2" s="8">
        <f>VLOOKUP(A2,Sheet1!$A$2:$G$64,4,FALSE)</f>
        <v>81737.72</v>
      </c>
      <c r="G2" s="8">
        <f>VLOOKUP(A2,Sheet1!$A$2:$G$64,5,FALSE)</f>
        <v>67307.695444082405</v>
      </c>
      <c r="H2" s="8">
        <f t="shared" ref="H2:H49" si="0">F2-G2</f>
        <v>14430.024555917596</v>
      </c>
      <c r="I2" s="34">
        <f t="shared" ref="I2:I49" si="1">H2/G2</f>
        <v>0.21438892626929576</v>
      </c>
      <c r="J2" s="8">
        <f t="shared" ref="J2:J49" si="2">F2-C2</f>
        <v>-50209.947352567717</v>
      </c>
      <c r="K2" s="30">
        <f t="shared" ref="K2:K49" si="3">(J2/F2)</f>
        <v>-0.61428123212352526</v>
      </c>
      <c r="L2" s="7">
        <f t="shared" ref="L2:L49" si="4">C2/E2</f>
        <v>8.0713785113758423</v>
      </c>
      <c r="M2" t="str">
        <f t="shared" ref="M2:M49" si="5">IF(I2&gt;0,"overpaid","under budget")</f>
        <v>overpaid</v>
      </c>
      <c r="N2" t="str">
        <f t="shared" ref="N2:N49" si="6">IF(K2&gt;0,"profitable","in loss")</f>
        <v>in loss</v>
      </c>
    </row>
    <row r="3" spans="1:23" x14ac:dyDescent="0.3">
      <c r="A3" t="s">
        <v>6</v>
      </c>
      <c r="B3" t="str">
        <f>VLOOKUP(A3,payouts_table_AMD!$B$2:$C$52,2,FALSE)</f>
        <v>Vapi</v>
      </c>
      <c r="C3">
        <v>73421.63260743719</v>
      </c>
      <c r="D3" s="7">
        <f>VLOOKUP(A3,payouts_table_AMD!$B$2:$E$52,3,FALSE)</f>
        <v>5</v>
      </c>
      <c r="E3" s="29">
        <f>VLOOKUP(A3,payouts_table_AMD!$B$2:$E$52,4,FALSE)</f>
        <v>36413.599999999999</v>
      </c>
      <c r="F3" s="8">
        <f>VLOOKUP(A3,Sheet1!$A$2:$G$64,4,FALSE)</f>
        <v>182068.2471119999</v>
      </c>
      <c r="G3" s="8">
        <f>VLOOKUP(A3,Sheet1!$A$2:$G$64,5,FALSE)</f>
        <v>151594.20238356592</v>
      </c>
      <c r="H3" s="8">
        <f t="shared" si="0"/>
        <v>30474.044728433975</v>
      </c>
      <c r="I3" s="34">
        <f t="shared" si="1"/>
        <v>0.20102381390106261</v>
      </c>
      <c r="J3" s="8">
        <f t="shared" si="2"/>
        <v>108646.61450456271</v>
      </c>
      <c r="K3" s="30">
        <f t="shared" si="3"/>
        <v>0.59673565395358796</v>
      </c>
      <c r="L3" s="7">
        <f t="shared" si="4"/>
        <v>2.0163244668870202</v>
      </c>
      <c r="M3" t="str">
        <f t="shared" si="5"/>
        <v>overpaid</v>
      </c>
      <c r="N3" t="str">
        <f t="shared" si="6"/>
        <v>profitable</v>
      </c>
      <c r="P3" s="9" t="s">
        <v>183</v>
      </c>
      <c r="Q3"/>
      <c r="S3" s="49">
        <f>CORREL(L2:L49,D2:D49)</f>
        <v>3.6730556385408383E-2</v>
      </c>
    </row>
    <row r="4" spans="1:23" x14ac:dyDescent="0.3">
      <c r="A4" t="s">
        <v>5</v>
      </c>
      <c r="B4" t="str">
        <f>VLOOKUP(A4,payouts_table_AMD!$B$2:$C$52,2,FALSE)</f>
        <v>Ahmedabad Branch</v>
      </c>
      <c r="C4">
        <v>110504.94959940619</v>
      </c>
      <c r="D4" s="7">
        <f>VLOOKUP(A4,payouts_table_AMD!$B$2:$E$52,3,FALSE)</f>
        <v>5</v>
      </c>
      <c r="E4" s="29">
        <f>VLOOKUP(A4,payouts_table_AMD!$B$2:$E$52,4,FALSE)</f>
        <v>29269</v>
      </c>
      <c r="F4" s="8">
        <f>VLOOKUP(A4,Sheet1!$A$2:$G$64,4,FALSE)</f>
        <v>146345.40696000005</v>
      </c>
      <c r="G4" s="8">
        <f>VLOOKUP(A4,Sheet1!$A$2:$G$64,5,FALSE)</f>
        <v>27180.821150192936</v>
      </c>
      <c r="H4" s="8">
        <f t="shared" si="0"/>
        <v>119164.58580980712</v>
      </c>
      <c r="I4" s="34">
        <f t="shared" si="1"/>
        <v>4.3841422284978044</v>
      </c>
      <c r="J4" s="8">
        <f t="shared" si="2"/>
        <v>35840.457360593864</v>
      </c>
      <c r="K4" s="30">
        <f t="shared" si="3"/>
        <v>0.24490319242058603</v>
      </c>
      <c r="L4" s="7">
        <f t="shared" si="4"/>
        <v>3.7754945368617374</v>
      </c>
      <c r="M4" t="str">
        <f t="shared" si="5"/>
        <v>overpaid</v>
      </c>
      <c r="N4" t="str">
        <f t="shared" si="6"/>
        <v>profitable</v>
      </c>
      <c r="P4"/>
      <c r="Q4"/>
    </row>
    <row r="5" spans="1:23" x14ac:dyDescent="0.3">
      <c r="A5" t="s">
        <v>45</v>
      </c>
      <c r="B5" t="str">
        <f>VLOOKUP(A5,payouts_table_AMD!$B$2:$C$52,2,FALSE)</f>
        <v>Gandhi Nager</v>
      </c>
      <c r="C5">
        <v>73827.272539272526</v>
      </c>
      <c r="D5" s="7">
        <f>VLOOKUP(A5,payouts_table_AMD!$B$2:$E$52,3,FALSE)</f>
        <v>19</v>
      </c>
      <c r="E5" s="29">
        <f>VLOOKUP(A5,payouts_table_AMD!$B$2:$E$52,4,FALSE)</f>
        <v>6740.5789473684208</v>
      </c>
      <c r="F5" s="8">
        <f>VLOOKUP(A5,Sheet1!$A$2:$G$64,4,FALSE)</f>
        <v>128071</v>
      </c>
      <c r="G5" s="8">
        <f>VLOOKUP(A5,Sheet1!$A$2:$G$64,5,FALSE)</f>
        <v>23560.66190357352</v>
      </c>
      <c r="H5" s="8">
        <f t="shared" si="0"/>
        <v>104510.33809642648</v>
      </c>
      <c r="I5" s="34">
        <f t="shared" si="1"/>
        <v>4.4357980486352577</v>
      </c>
      <c r="J5" s="8">
        <f t="shared" si="2"/>
        <v>54243.727460727474</v>
      </c>
      <c r="K5" s="30">
        <f t="shared" si="3"/>
        <v>0.42354418612119427</v>
      </c>
      <c r="L5" s="7">
        <f t="shared" si="4"/>
        <v>10.95266046369731</v>
      </c>
      <c r="M5" t="str">
        <f t="shared" si="5"/>
        <v>overpaid</v>
      </c>
      <c r="N5" t="str">
        <f t="shared" si="6"/>
        <v>profitable</v>
      </c>
      <c r="P5" s="9" t="s">
        <v>187</v>
      </c>
      <c r="Q5">
        <f>COUNTIF(BP_profitability_sample[status],"overpaid")</f>
        <v>48</v>
      </c>
    </row>
    <row r="6" spans="1:23" x14ac:dyDescent="0.3">
      <c r="A6" t="s">
        <v>24</v>
      </c>
      <c r="B6" t="str">
        <f>VLOOKUP(A6,payouts_table_AMD!$B$2:$C$52,2,FALSE)</f>
        <v>Rampura Branch</v>
      </c>
      <c r="C6">
        <v>68723.169028905162</v>
      </c>
      <c r="D6" s="7">
        <f>VLOOKUP(A6,payouts_table_AMD!$B$2:$E$52,3,FALSE)</f>
        <v>9</v>
      </c>
      <c r="E6" s="29">
        <f>VLOOKUP(A6,payouts_table_AMD!$B$2:$E$52,4,FALSE)</f>
        <v>2553.3333333333335</v>
      </c>
      <c r="F6" s="8">
        <f>VLOOKUP(A6,Sheet1!$A$2:$G$64,4,FALSE)</f>
        <v>22979.535200000002</v>
      </c>
      <c r="G6" s="8">
        <f>VLOOKUP(A6,Sheet1!$A$2:$G$64,5,FALSE)</f>
        <v>14574.070793404973</v>
      </c>
      <c r="H6" s="8">
        <f t="shared" si="0"/>
        <v>8405.4644065950288</v>
      </c>
      <c r="I6" s="34">
        <f t="shared" si="1"/>
        <v>0.57674101668276867</v>
      </c>
      <c r="J6" s="8">
        <f t="shared" si="2"/>
        <v>-45743.633828905164</v>
      </c>
      <c r="K6" s="30">
        <f t="shared" si="3"/>
        <v>-1.990624850797903</v>
      </c>
      <c r="L6" s="7">
        <f t="shared" si="4"/>
        <v>26.915079254140402</v>
      </c>
      <c r="M6" t="str">
        <f t="shared" si="5"/>
        <v>overpaid</v>
      </c>
      <c r="N6" t="str">
        <f t="shared" si="6"/>
        <v>in loss</v>
      </c>
      <c r="P6"/>
      <c r="Q6"/>
    </row>
    <row r="7" spans="1:23" x14ac:dyDescent="0.3">
      <c r="A7" t="s">
        <v>31</v>
      </c>
      <c r="B7" t="str">
        <f>VLOOKUP(A7,payouts_table_AMD!$B$2:$C$52,2,FALSE)</f>
        <v>Rampura Branch</v>
      </c>
      <c r="C7">
        <v>75995.320459825874</v>
      </c>
      <c r="D7" s="7">
        <f>VLOOKUP(A7,payouts_table_AMD!$B$2:$E$52,3,FALSE)</f>
        <v>9</v>
      </c>
      <c r="E7" s="29">
        <f>VLOOKUP(A7,payouts_table_AMD!$B$2:$E$52,4,FALSE)</f>
        <v>4069</v>
      </c>
      <c r="F7" s="8">
        <f>VLOOKUP(A7,Sheet1!$A$2:$G$64,4,FALSE)</f>
        <v>36620.83728</v>
      </c>
      <c r="G7" s="8">
        <f>VLOOKUP(A7,Sheet1!$A$2:$G$64,5,FALSE)</f>
        <v>11610.612907422201</v>
      </c>
      <c r="H7" s="8">
        <f t="shared" si="0"/>
        <v>25010.224372577799</v>
      </c>
      <c r="I7" s="34">
        <f t="shared" si="1"/>
        <v>2.1540830421268944</v>
      </c>
      <c r="J7" s="8">
        <f t="shared" si="2"/>
        <v>-39374.483179825875</v>
      </c>
      <c r="K7" s="30">
        <f t="shared" si="3"/>
        <v>-1.075193417309706</v>
      </c>
      <c r="L7" s="7">
        <f t="shared" si="4"/>
        <v>18.676657768450696</v>
      </c>
      <c r="M7" t="str">
        <f t="shared" si="5"/>
        <v>overpaid</v>
      </c>
      <c r="N7" t="str">
        <f t="shared" si="6"/>
        <v>in loss</v>
      </c>
      <c r="P7" s="9" t="s">
        <v>184</v>
      </c>
      <c r="Q7" s="50">
        <f>COUNTA(A2:A49)</f>
        <v>48</v>
      </c>
      <c r="S7" s="4"/>
      <c r="T7" s="1"/>
      <c r="U7" s="4"/>
      <c r="V7" s="4"/>
      <c r="W7" s="1"/>
    </row>
    <row r="8" spans="1:23" x14ac:dyDescent="0.3">
      <c r="A8" t="s">
        <v>39</v>
      </c>
      <c r="B8" t="str">
        <f>VLOOKUP(A8,payouts_table_AMD!$B$2:$C$52,2,FALSE)</f>
        <v>Jamnager</v>
      </c>
      <c r="C8">
        <v>63663.203129253117</v>
      </c>
      <c r="D8" s="7">
        <f>VLOOKUP(A8,payouts_table_AMD!$B$2:$E$52,3,FALSE)</f>
        <v>8.5</v>
      </c>
      <c r="E8" s="29">
        <f>VLOOKUP(A8,payouts_table_AMD!$B$2:$E$52,4,FALSE)</f>
        <v>14256.470588235294</v>
      </c>
      <c r="F8" s="8">
        <f>VLOOKUP(A8,Sheet1!$A$2:$G$64,4,FALSE)</f>
        <v>121180</v>
      </c>
      <c r="G8" s="8">
        <f>VLOOKUP(A8,Sheet1!$A$2:$G$64,5,FALSE)</f>
        <v>73367.308383054638</v>
      </c>
      <c r="H8" s="8">
        <f t="shared" si="0"/>
        <v>47812.691616945362</v>
      </c>
      <c r="I8" s="34">
        <f t="shared" si="1"/>
        <v>0.6516893241784576</v>
      </c>
      <c r="J8" s="8">
        <f t="shared" si="2"/>
        <v>57516.796870746883</v>
      </c>
      <c r="K8" s="30">
        <f t="shared" si="3"/>
        <v>0.47463935361236909</v>
      </c>
      <c r="L8" s="7">
        <f t="shared" si="4"/>
        <v>4.4655654942948635</v>
      </c>
      <c r="M8" t="str">
        <f t="shared" si="5"/>
        <v>overpaid</v>
      </c>
      <c r="N8" t="str">
        <f t="shared" si="6"/>
        <v>profitable</v>
      </c>
      <c r="P8" s="9" t="s">
        <v>185</v>
      </c>
      <c r="Q8" s="50">
        <f>COUNTIF(N2:N49,"profitable")</f>
        <v>14</v>
      </c>
      <c r="S8" s="4"/>
      <c r="T8" s="2"/>
      <c r="U8" s="4"/>
      <c r="V8" s="4"/>
      <c r="W8" s="3"/>
    </row>
    <row r="9" spans="1:23" x14ac:dyDescent="0.3">
      <c r="A9" t="s">
        <v>10</v>
      </c>
      <c r="B9" t="str">
        <f>VLOOKUP(A9,payouts_table_AMD!$B$2:$C$52,2,FALSE)</f>
        <v>Surat</v>
      </c>
      <c r="C9">
        <v>317206.23541295185</v>
      </c>
      <c r="D9" s="7">
        <f>VLOOKUP(A9,payouts_table_AMD!$B$2:$E$52,3,FALSE)</f>
        <v>5</v>
      </c>
      <c r="E9" s="29">
        <f>VLOOKUP(A9,payouts_table_AMD!$B$2:$E$52,4,FALSE)</f>
        <v>14851.2</v>
      </c>
      <c r="F9" s="8">
        <f>VLOOKUP(A9,Sheet1!$A$2:$G$64,4,FALSE)</f>
        <v>74255.524200000014</v>
      </c>
      <c r="G9" s="8">
        <f>VLOOKUP(A9,Sheet1!$A$2:$G$64,5,FALSE)</f>
        <v>44310.062860390266</v>
      </c>
      <c r="H9" s="8">
        <f t="shared" si="0"/>
        <v>29945.461339609748</v>
      </c>
      <c r="I9" s="34">
        <f t="shared" si="1"/>
        <v>0.67581626850677867</v>
      </c>
      <c r="J9" s="8">
        <f t="shared" si="2"/>
        <v>-242950.71121295184</v>
      </c>
      <c r="K9" s="30">
        <f t="shared" si="3"/>
        <v>-3.2718200272694564</v>
      </c>
      <c r="L9" s="7">
        <f t="shared" si="4"/>
        <v>21.358963276567</v>
      </c>
      <c r="M9" t="str">
        <f t="shared" si="5"/>
        <v>overpaid</v>
      </c>
      <c r="N9" t="str">
        <f t="shared" si="6"/>
        <v>in loss</v>
      </c>
      <c r="P9" s="9" t="s">
        <v>186</v>
      </c>
      <c r="Q9" s="51">
        <f>Q8/Q7</f>
        <v>0.29166666666666669</v>
      </c>
      <c r="S9" s="4"/>
      <c r="T9" s="2"/>
      <c r="U9" s="4"/>
      <c r="V9" s="4"/>
      <c r="W9" s="4"/>
    </row>
    <row r="10" spans="1:23" x14ac:dyDescent="0.3">
      <c r="A10" t="s">
        <v>29</v>
      </c>
      <c r="B10" t="str">
        <f>VLOOKUP(A10,payouts_table_AMD!$B$2:$C$52,2,FALSE)</f>
        <v>Vadodara</v>
      </c>
      <c r="C10">
        <v>65274.374174272481</v>
      </c>
      <c r="D10" s="7">
        <f>VLOOKUP(A10,payouts_table_AMD!$B$2:$E$52,3,FALSE)</f>
        <v>10</v>
      </c>
      <c r="E10" s="29">
        <f>VLOOKUP(A10,payouts_table_AMD!$B$2:$E$52,4,FALSE)</f>
        <v>13628.4</v>
      </c>
      <c r="F10" s="8">
        <f>VLOOKUP(A10,Sheet1!$A$2:$G$64,4,FALSE)</f>
        <v>136284</v>
      </c>
      <c r="G10" s="8">
        <f>VLOOKUP(A10,Sheet1!$A$2:$G$64,5,FALSE)</f>
        <v>61680.103608114805</v>
      </c>
      <c r="H10" s="8">
        <f t="shared" si="0"/>
        <v>74603.896391885195</v>
      </c>
      <c r="I10" s="34">
        <f t="shared" si="1"/>
        <v>1.2095293624323631</v>
      </c>
      <c r="J10" s="8">
        <f t="shared" si="2"/>
        <v>71009.625825727519</v>
      </c>
      <c r="K10" s="30">
        <f t="shared" si="3"/>
        <v>0.52104154431721639</v>
      </c>
      <c r="L10" s="7">
        <f t="shared" si="4"/>
        <v>4.7895845568278359</v>
      </c>
      <c r="M10" t="str">
        <f t="shared" si="5"/>
        <v>overpaid</v>
      </c>
      <c r="N10" t="str">
        <f t="shared" si="6"/>
        <v>profitable</v>
      </c>
      <c r="S10" s="4"/>
      <c r="T10" s="4"/>
      <c r="U10" s="4"/>
      <c r="V10" s="4"/>
      <c r="W10" s="4"/>
    </row>
    <row r="11" spans="1:23" x14ac:dyDescent="0.3">
      <c r="A11" t="s">
        <v>4</v>
      </c>
      <c r="B11" t="str">
        <f>VLOOKUP(A11,payouts_table_AMD!$B$2:$C$52,2,FALSE)</f>
        <v>Ahmmedabad City</v>
      </c>
      <c r="C11">
        <v>198689.52210155205</v>
      </c>
      <c r="D11" s="7">
        <f>VLOOKUP(A11,payouts_table_AMD!$B$2:$E$52,3,FALSE)</f>
        <v>3</v>
      </c>
      <c r="E11" s="29">
        <f>VLOOKUP(A11,payouts_table_AMD!$B$2:$E$52,4,FALSE)</f>
        <v>34688.666666666664</v>
      </c>
      <c r="F11" s="8">
        <f>VLOOKUP(A11,Sheet1!$A$2:$G$64,4,FALSE)</f>
        <v>104066.15040000004</v>
      </c>
      <c r="G11" s="8">
        <f>VLOOKUP(A11,Sheet1!$A$2:$G$64,5,FALSE)</f>
        <v>91629.307316704435</v>
      </c>
      <c r="H11" s="8">
        <f t="shared" si="0"/>
        <v>12436.843083295607</v>
      </c>
      <c r="I11" s="34">
        <f t="shared" si="1"/>
        <v>0.13572996945518015</v>
      </c>
      <c r="J11" s="8">
        <f t="shared" si="2"/>
        <v>-94623.371701552009</v>
      </c>
      <c r="K11" s="30">
        <f t="shared" si="3"/>
        <v>-0.9092617660771275</v>
      </c>
      <c r="L11" s="7">
        <f t="shared" si="4"/>
        <v>5.7277935762367749</v>
      </c>
      <c r="M11" t="str">
        <f t="shared" si="5"/>
        <v>overpaid</v>
      </c>
      <c r="N11" t="str">
        <f t="shared" si="6"/>
        <v>in loss</v>
      </c>
      <c r="S11" s="4"/>
      <c r="T11" s="2"/>
      <c r="U11" s="4"/>
      <c r="V11" s="4"/>
      <c r="W11" s="3"/>
    </row>
    <row r="12" spans="1:23" x14ac:dyDescent="0.3">
      <c r="A12" t="s">
        <v>22</v>
      </c>
      <c r="B12" t="str">
        <f>VLOOKUP(A12,payouts_table_AMD!$B$2:$C$52,2,FALSE)</f>
        <v>Sanand</v>
      </c>
      <c r="C12">
        <v>70712.927260956276</v>
      </c>
      <c r="D12" s="7">
        <f>VLOOKUP(A12,payouts_table_AMD!$B$2:$E$52,3,FALSE)</f>
        <v>5</v>
      </c>
      <c r="E12" s="29">
        <f>VLOOKUP(A12,payouts_table_AMD!$B$2:$E$52,4,FALSE)</f>
        <v>162.47999999999999</v>
      </c>
      <c r="F12" s="8">
        <f>VLOOKUP(A12,Sheet1!$A$2:$G$64,4,FALSE)</f>
        <v>812.4</v>
      </c>
      <c r="G12" s="8">
        <f>VLOOKUP(A12,Sheet1!$A$2:$G$64,5,FALSE)</f>
        <v>744.30830420710652</v>
      </c>
      <c r="H12" s="8">
        <f t="shared" si="0"/>
        <v>68.091695792893461</v>
      </c>
      <c r="I12" s="34">
        <f t="shared" si="1"/>
        <v>9.1483187018086387E-2</v>
      </c>
      <c r="J12" s="8">
        <f t="shared" si="2"/>
        <v>-69900.527260956282</v>
      </c>
      <c r="K12" s="30">
        <f t="shared" si="3"/>
        <v>-86.042007952925019</v>
      </c>
      <c r="L12" s="7">
        <f t="shared" si="4"/>
        <v>435.21003976462504</v>
      </c>
      <c r="M12" t="str">
        <f t="shared" si="5"/>
        <v>overpaid</v>
      </c>
      <c r="N12" t="str">
        <f t="shared" si="6"/>
        <v>in loss</v>
      </c>
      <c r="S12" s="4"/>
      <c r="T12" s="2"/>
      <c r="U12" s="4"/>
      <c r="V12" s="4"/>
      <c r="W12" s="3"/>
    </row>
    <row r="13" spans="1:23" x14ac:dyDescent="0.3">
      <c r="A13" t="s">
        <v>41</v>
      </c>
      <c r="B13" t="str">
        <f>VLOOKUP(A13,payouts_table_AMD!$B$2:$C$52,2,FALSE)</f>
        <v>Vapi</v>
      </c>
      <c r="C13">
        <v>58526.034745130513</v>
      </c>
      <c r="D13" s="7">
        <f>VLOOKUP(A13,payouts_table_AMD!$B$2:$E$52,3,FALSE)</f>
        <v>5</v>
      </c>
      <c r="E13" s="29">
        <f>VLOOKUP(A13,payouts_table_AMD!$B$2:$E$52,4,FALSE)</f>
        <v>6016.6</v>
      </c>
      <c r="F13" s="8">
        <f>VLOOKUP(A13,Sheet1!$A$2:$G$64,4,FALSE)</f>
        <v>30083.262999999999</v>
      </c>
      <c r="G13" s="8">
        <f>VLOOKUP(A13,Sheet1!$A$2:$G$64,5,FALSE)</f>
        <v>6448.8527245637169</v>
      </c>
      <c r="H13" s="8">
        <f t="shared" si="0"/>
        <v>23634.410275436283</v>
      </c>
      <c r="I13" s="34">
        <f t="shared" si="1"/>
        <v>3.6649015390617743</v>
      </c>
      <c r="J13" s="8">
        <f t="shared" si="2"/>
        <v>-28442.771745130514</v>
      </c>
      <c r="K13" s="30">
        <f t="shared" si="3"/>
        <v>-0.94546830724880193</v>
      </c>
      <c r="L13" s="7">
        <f t="shared" si="4"/>
        <v>9.7274265773244863</v>
      </c>
      <c r="M13" t="str">
        <f t="shared" si="5"/>
        <v>overpaid</v>
      </c>
      <c r="N13" t="str">
        <f t="shared" si="6"/>
        <v>in loss</v>
      </c>
      <c r="O13" s="5" t="s">
        <v>182</v>
      </c>
      <c r="S13" s="4"/>
      <c r="T13" s="2"/>
      <c r="U13" s="4"/>
      <c r="V13" s="4"/>
      <c r="W13" s="4"/>
    </row>
    <row r="14" spans="1:23" x14ac:dyDescent="0.3">
      <c r="A14" t="s">
        <v>37</v>
      </c>
      <c r="B14" t="str">
        <f>VLOOKUP(A14,payouts_table_AMD!$B$2:$C$52,2,FALSE)</f>
        <v>Rajkot</v>
      </c>
      <c r="C14">
        <v>63569.013979525771</v>
      </c>
      <c r="D14" s="7">
        <f>VLOOKUP(A14,payouts_table_AMD!$B$2:$E$52,3,FALSE)</f>
        <v>7</v>
      </c>
      <c r="E14" s="29">
        <f>VLOOKUP(A14,payouts_table_AMD!$B$2:$E$52,4,FALSE)</f>
        <v>4040.4285714285716</v>
      </c>
      <c r="F14" s="8">
        <f>VLOOKUP(A14,Sheet1!$A$2:$G$64,4,FALSE)</f>
        <v>28283.360000000001</v>
      </c>
      <c r="G14" s="8">
        <f>VLOOKUP(A14,Sheet1!$A$2:$G$64,5,FALSE)</f>
        <v>6489.8369612275828</v>
      </c>
      <c r="H14" s="8">
        <f t="shared" si="0"/>
        <v>21793.523038772419</v>
      </c>
      <c r="I14" s="34">
        <f t="shared" si="1"/>
        <v>3.3581002371822408</v>
      </c>
      <c r="J14" s="8">
        <f t="shared" si="2"/>
        <v>-35285.65397952577</v>
      </c>
      <c r="K14" s="30">
        <f t="shared" si="3"/>
        <v>-1.2475764541244665</v>
      </c>
      <c r="L14" s="7">
        <f t="shared" si="4"/>
        <v>15.733235436717477</v>
      </c>
      <c r="M14" t="str">
        <f t="shared" si="5"/>
        <v>overpaid</v>
      </c>
      <c r="N14" t="str">
        <f t="shared" si="6"/>
        <v>in loss</v>
      </c>
      <c r="S14" s="4"/>
      <c r="T14" s="2"/>
      <c r="U14" s="4"/>
      <c r="V14" s="4"/>
      <c r="W14" s="3"/>
    </row>
    <row r="15" spans="1:23" x14ac:dyDescent="0.3">
      <c r="A15" t="s">
        <v>48</v>
      </c>
      <c r="B15" t="str">
        <f>VLOOKUP(A15,payouts_table_AMD!$B$2:$C$52,2,FALSE)</f>
        <v>Gandhi Nager</v>
      </c>
      <c r="C15">
        <v>73827.272539272526</v>
      </c>
      <c r="D15" s="7">
        <f>VLOOKUP(A15,payouts_table_AMD!$B$2:$E$52,3,FALSE)</f>
        <v>19</v>
      </c>
      <c r="E15" s="29">
        <f>VLOOKUP(A15,payouts_table_AMD!$B$2:$E$52,4,FALSE)</f>
        <v>3100</v>
      </c>
      <c r="F15" s="8">
        <f>VLOOKUP(A15,Sheet1!$A$2:$G$64,4,FALSE)</f>
        <v>58899.704799999992</v>
      </c>
      <c r="G15" s="8">
        <f>VLOOKUP(A15,Sheet1!$A$2:$G$64,5,FALSE)</f>
        <v>17011.759078401352</v>
      </c>
      <c r="H15" s="8">
        <f t="shared" si="0"/>
        <v>41887.94572159864</v>
      </c>
      <c r="I15" s="34">
        <f t="shared" si="1"/>
        <v>2.4622936128210782</v>
      </c>
      <c r="J15" s="8">
        <f t="shared" si="2"/>
        <v>-14927.567739272534</v>
      </c>
      <c r="K15" s="30">
        <f t="shared" si="3"/>
        <v>-0.25344045084709044</v>
      </c>
      <c r="L15" s="7">
        <f t="shared" si="4"/>
        <v>23.815249206216944</v>
      </c>
      <c r="M15" t="str">
        <f t="shared" si="5"/>
        <v>overpaid</v>
      </c>
      <c r="N15" t="str">
        <f t="shared" si="6"/>
        <v>in loss</v>
      </c>
      <c r="S15" s="4"/>
      <c r="T15" s="2"/>
      <c r="U15" s="4"/>
      <c r="V15" s="4"/>
      <c r="W15" s="3"/>
    </row>
    <row r="16" spans="1:23" x14ac:dyDescent="0.3">
      <c r="A16" t="s">
        <v>15</v>
      </c>
      <c r="B16" t="str">
        <f>VLOOKUP(A16,payouts_table_AMD!$B$2:$C$52,2,FALSE)</f>
        <v>Bhavnager</v>
      </c>
      <c r="C16">
        <v>82065.744948439868</v>
      </c>
      <c r="D16" s="7">
        <f>VLOOKUP(A16,payouts_table_AMD!$B$2:$E$52,3,FALSE)</f>
        <v>7</v>
      </c>
      <c r="E16" s="29">
        <f>VLOOKUP(A16,payouts_table_AMD!$B$2:$E$52,4,FALSE)</f>
        <v>2739.4285714285716</v>
      </c>
      <c r="F16" s="8">
        <f>VLOOKUP(A16,Sheet1!$A$2:$G$64,4,FALSE)</f>
        <v>19176.379000000001</v>
      </c>
      <c r="G16" s="8">
        <f>VLOOKUP(A16,Sheet1!$A$2:$G$64,5,FALSE)</f>
        <v>5958.8762529929299</v>
      </c>
      <c r="H16" s="8">
        <f t="shared" si="0"/>
        <v>13217.502747007071</v>
      </c>
      <c r="I16" s="34">
        <f t="shared" si="1"/>
        <v>2.2181200256287239</v>
      </c>
      <c r="J16" s="8">
        <f t="shared" si="2"/>
        <v>-62889.365948439867</v>
      </c>
      <c r="K16" s="30">
        <f t="shared" si="3"/>
        <v>-3.2795224765029864</v>
      </c>
      <c r="L16" s="7">
        <f t="shared" si="4"/>
        <v>29.957249407544797</v>
      </c>
      <c r="M16" t="str">
        <f t="shared" si="5"/>
        <v>overpaid</v>
      </c>
      <c r="N16" t="str">
        <f t="shared" si="6"/>
        <v>in loss</v>
      </c>
      <c r="S16" s="4"/>
      <c r="T16" s="2"/>
      <c r="U16" s="4"/>
      <c r="V16" s="4"/>
      <c r="W16" s="4"/>
    </row>
    <row r="17" spans="1:23" x14ac:dyDescent="0.3">
      <c r="A17" t="s">
        <v>11</v>
      </c>
      <c r="B17" t="str">
        <f>VLOOKUP(A17,payouts_table_AMD!$B$2:$C$52,2,FALSE)</f>
        <v>Ahmedabad Branch</v>
      </c>
      <c r="C17">
        <v>110504.94959940619</v>
      </c>
      <c r="D17" s="7">
        <f>VLOOKUP(A17,payouts_table_AMD!$B$2:$E$52,3,FALSE)</f>
        <v>5</v>
      </c>
      <c r="E17" s="29">
        <f>VLOOKUP(A17,payouts_table_AMD!$B$2:$E$52,4,FALSE)</f>
        <v>30367.4</v>
      </c>
      <c r="F17" s="8">
        <f>VLOOKUP(A17,Sheet1!$A$2:$G$64,4,FALSE)</f>
        <v>151837.35529599997</v>
      </c>
      <c r="G17" s="8">
        <f>VLOOKUP(A17,Sheet1!$A$2:$G$64,5,FALSE)</f>
        <v>32793.876250880952</v>
      </c>
      <c r="H17" s="8">
        <f t="shared" si="0"/>
        <v>119043.47904511902</v>
      </c>
      <c r="I17" s="34">
        <f t="shared" si="1"/>
        <v>3.6300520906527822</v>
      </c>
      <c r="J17" s="8">
        <f t="shared" si="2"/>
        <v>41332.405696593778</v>
      </c>
      <c r="K17" s="30">
        <f t="shared" si="3"/>
        <v>0.27221500016262895</v>
      </c>
      <c r="L17" s="7">
        <f t="shared" si="4"/>
        <v>3.63893351420952</v>
      </c>
      <c r="M17" t="str">
        <f t="shared" si="5"/>
        <v>overpaid</v>
      </c>
      <c r="N17" t="str">
        <f t="shared" si="6"/>
        <v>profitable</v>
      </c>
      <c r="S17" s="4"/>
      <c r="T17" s="2"/>
      <c r="U17" s="4"/>
      <c r="V17" s="4"/>
      <c r="W17" s="4"/>
    </row>
    <row r="18" spans="1:23" x14ac:dyDescent="0.3">
      <c r="A18" t="s">
        <v>21</v>
      </c>
      <c r="B18" t="str">
        <f>VLOOKUP(A18,payouts_table_AMD!$B$2:$C$52,2,FALSE)</f>
        <v>Ahmedabad Branch</v>
      </c>
      <c r="C18">
        <v>106901.42125984588</v>
      </c>
      <c r="D18" s="7">
        <f>VLOOKUP(A18,payouts_table_AMD!$B$2:$E$52,3,FALSE)</f>
        <v>5</v>
      </c>
      <c r="E18" s="29">
        <f>VLOOKUP(A18,payouts_table_AMD!$B$2:$E$52,4,FALSE)</f>
        <v>8948.2000000000007</v>
      </c>
      <c r="F18" s="8">
        <f>VLOOKUP(A18,Sheet1!$A$2:$G$64,4,FALSE)</f>
        <v>44740.833599999998</v>
      </c>
      <c r="G18" s="8">
        <f>VLOOKUP(A18,Sheet1!$A$2:$G$64,5,FALSE)</f>
        <v>7103.2057058461787</v>
      </c>
      <c r="H18" s="8">
        <f t="shared" si="0"/>
        <v>37637.627894153818</v>
      </c>
      <c r="I18" s="34">
        <f t="shared" si="1"/>
        <v>5.2986819547090942</v>
      </c>
      <c r="J18" s="8">
        <f t="shared" si="2"/>
        <v>-62160.587659845885</v>
      </c>
      <c r="K18" s="30">
        <f t="shared" si="3"/>
        <v>-1.3893479995385221</v>
      </c>
      <c r="L18" s="7">
        <f t="shared" si="4"/>
        <v>11.946695565571385</v>
      </c>
      <c r="M18" t="str">
        <f t="shared" si="5"/>
        <v>overpaid</v>
      </c>
      <c r="N18" t="str">
        <f t="shared" si="6"/>
        <v>in loss</v>
      </c>
      <c r="S18" s="4"/>
      <c r="T18" s="2"/>
      <c r="U18" s="4"/>
      <c r="V18" s="4"/>
      <c r="W18" s="4"/>
    </row>
    <row r="19" spans="1:23" x14ac:dyDescent="0.3">
      <c r="A19" t="s">
        <v>1</v>
      </c>
      <c r="B19" t="str">
        <f>VLOOKUP(A19,payouts_table_AMD!$B$2:$C$52,2,FALSE)</f>
        <v>Jamnager</v>
      </c>
      <c r="C19">
        <v>145251.72712488961</v>
      </c>
      <c r="D19" s="7">
        <f>VLOOKUP(A19,payouts_table_AMD!$B$2:$E$52,3,FALSE)</f>
        <v>4</v>
      </c>
      <c r="E19" s="29">
        <f>VLOOKUP(A19,payouts_table_AMD!$B$2:$E$52,4,FALSE)</f>
        <v>66343</v>
      </c>
      <c r="F19" s="8">
        <f>VLOOKUP(A19,Sheet1!$A$2:$G$64,4,FALSE)</f>
        <v>265372.02880000015</v>
      </c>
      <c r="G19" s="8">
        <f>VLOOKUP(A19,Sheet1!$A$2:$G$64,5,FALSE)</f>
        <v>171703.4978070069</v>
      </c>
      <c r="H19" s="8">
        <f t="shared" si="0"/>
        <v>93668.530992993241</v>
      </c>
      <c r="I19" s="34">
        <f t="shared" si="1"/>
        <v>0.54552488556916745</v>
      </c>
      <c r="J19" s="8">
        <f t="shared" si="2"/>
        <v>120120.30167511053</v>
      </c>
      <c r="K19" s="30">
        <f t="shared" si="3"/>
        <v>0.4526486917942667</v>
      </c>
      <c r="L19" s="7">
        <f t="shared" si="4"/>
        <v>2.1894054704322929</v>
      </c>
      <c r="M19" t="str">
        <f t="shared" si="5"/>
        <v>overpaid</v>
      </c>
      <c r="N19" t="str">
        <f t="shared" si="6"/>
        <v>profitable</v>
      </c>
      <c r="S19" s="4"/>
      <c r="T19" s="4"/>
      <c r="U19" s="4"/>
      <c r="V19" s="4"/>
      <c r="W19" s="4"/>
    </row>
    <row r="20" spans="1:23" x14ac:dyDescent="0.3">
      <c r="A20" t="s">
        <v>16</v>
      </c>
      <c r="B20" t="str">
        <f>VLOOKUP(A20,payouts_table_AMD!$B$2:$C$52,2,FALSE)</f>
        <v>Rajkot</v>
      </c>
      <c r="C20">
        <v>72547.548370211123</v>
      </c>
      <c r="D20" s="7">
        <f>VLOOKUP(A20,payouts_table_AMD!$B$2:$E$52,3,FALSE)</f>
        <v>7</v>
      </c>
      <c r="E20" s="29">
        <f>VLOOKUP(A20,payouts_table_AMD!$B$2:$E$52,4,FALSE)</f>
        <v>11221.857142857143</v>
      </c>
      <c r="F20" s="8">
        <f>VLOOKUP(A20,Sheet1!$A$2:$G$64,4,FALSE)</f>
        <v>78553.013183999996</v>
      </c>
      <c r="G20" s="8">
        <f>VLOOKUP(A20,Sheet1!$A$2:$G$64,5,FALSE)</f>
        <v>11737.89370301184</v>
      </c>
      <c r="H20" s="8">
        <f t="shared" si="0"/>
        <v>66815.119480988156</v>
      </c>
      <c r="I20" s="34">
        <f t="shared" si="1"/>
        <v>5.692258012512414</v>
      </c>
      <c r="J20" s="8">
        <f t="shared" si="2"/>
        <v>6005.4648137888726</v>
      </c>
      <c r="K20" s="30">
        <f t="shared" si="3"/>
        <v>7.6451106970548272E-2</v>
      </c>
      <c r="L20" s="7">
        <f t="shared" si="4"/>
        <v>6.4648433362376716</v>
      </c>
      <c r="M20" t="str">
        <f t="shared" si="5"/>
        <v>overpaid</v>
      </c>
      <c r="N20" t="str">
        <f t="shared" si="6"/>
        <v>profitable</v>
      </c>
    </row>
    <row r="21" spans="1:23" x14ac:dyDescent="0.3">
      <c r="A21" t="s">
        <v>17</v>
      </c>
      <c r="B21" t="str">
        <f>VLOOKUP(A21,payouts_table_AMD!$B$2:$C$52,2,FALSE)</f>
        <v>Vadodara</v>
      </c>
      <c r="C21">
        <v>228242.15210062929</v>
      </c>
      <c r="D21" s="7">
        <f>VLOOKUP(A21,payouts_table_AMD!$B$2:$E$52,3,FALSE)</f>
        <v>5</v>
      </c>
      <c r="E21" s="29">
        <f>VLOOKUP(A21,payouts_table_AMD!$B$2:$E$52,4,FALSE)</f>
        <v>37402.800000000003</v>
      </c>
      <c r="F21" s="8">
        <f>VLOOKUP(A21,Sheet1!$A$2:$G$64,4,FALSE)</f>
        <v>187014.09524600004</v>
      </c>
      <c r="G21" s="8">
        <f>VLOOKUP(A21,Sheet1!$A$2:$G$64,5,FALSE)</f>
        <v>92225.256194979564</v>
      </c>
      <c r="H21" s="8">
        <f t="shared" si="0"/>
        <v>94788.839051020477</v>
      </c>
      <c r="I21" s="34">
        <f t="shared" si="1"/>
        <v>1.0277969719121307</v>
      </c>
      <c r="J21" s="8">
        <f t="shared" si="2"/>
        <v>-41228.056854629249</v>
      </c>
      <c r="K21" s="30">
        <f t="shared" si="3"/>
        <v>-0.22045427538709042</v>
      </c>
      <c r="L21" s="7">
        <f t="shared" si="4"/>
        <v>6.1022744848147541</v>
      </c>
      <c r="M21" t="str">
        <f t="shared" si="5"/>
        <v>overpaid</v>
      </c>
      <c r="N21" t="str">
        <f t="shared" si="6"/>
        <v>in loss</v>
      </c>
    </row>
    <row r="22" spans="1:23" x14ac:dyDescent="0.3">
      <c r="A22" t="s">
        <v>7</v>
      </c>
      <c r="B22" t="str">
        <f>VLOOKUP(A22,payouts_table_AMD!$B$2:$C$52,2,FALSE)</f>
        <v>Vadodara</v>
      </c>
      <c r="C22">
        <v>143910.95461362271</v>
      </c>
      <c r="D22" s="7">
        <f>VLOOKUP(A22,payouts_table_AMD!$B$2:$E$52,3,FALSE)</f>
        <v>10</v>
      </c>
      <c r="E22" s="29">
        <f>VLOOKUP(A22,payouts_table_AMD!$B$2:$E$52,4,FALSE)</f>
        <v>17853.400000000001</v>
      </c>
      <c r="F22" s="8">
        <f>VLOOKUP(A22,Sheet1!$A$2:$G$64,4,FALSE)</f>
        <v>178534</v>
      </c>
      <c r="G22" s="8">
        <f>VLOOKUP(A22,Sheet1!$A$2:$G$64,5,FALSE)</f>
        <v>79369.259316286232</v>
      </c>
      <c r="H22" s="8">
        <f t="shared" si="0"/>
        <v>99164.740683713768</v>
      </c>
      <c r="I22" s="34">
        <f t="shared" si="1"/>
        <v>1.2494099294607577</v>
      </c>
      <c r="J22" s="8">
        <f t="shared" si="2"/>
        <v>34623.045386377285</v>
      </c>
      <c r="K22" s="30">
        <f t="shared" si="3"/>
        <v>0.19392970182921621</v>
      </c>
      <c r="L22" s="7">
        <f t="shared" si="4"/>
        <v>8.0607029817078377</v>
      </c>
      <c r="M22" t="str">
        <f t="shared" si="5"/>
        <v>overpaid</v>
      </c>
      <c r="N22" t="str">
        <f t="shared" si="6"/>
        <v>profitable</v>
      </c>
    </row>
    <row r="23" spans="1:23" x14ac:dyDescent="0.3">
      <c r="A23" t="s">
        <v>30</v>
      </c>
      <c r="B23" t="str">
        <f>VLOOKUP(A23,payouts_table_AMD!$B$2:$C$52,2,FALSE)</f>
        <v>Ahmedabad Branch</v>
      </c>
      <c r="C23">
        <v>72886.152279154456</v>
      </c>
      <c r="D23" s="7">
        <f>VLOOKUP(A23,payouts_table_AMD!$B$2:$E$52,3,FALSE)</f>
        <v>5</v>
      </c>
      <c r="E23" s="29">
        <f>VLOOKUP(A23,payouts_table_AMD!$B$2:$E$52,4,FALSE)</f>
        <v>30552.2</v>
      </c>
      <c r="F23" s="8">
        <f>VLOOKUP(A23,Sheet1!$A$2:$G$64,4,FALSE)</f>
        <v>152761</v>
      </c>
      <c r="G23" s="8">
        <f>VLOOKUP(A23,Sheet1!$A$2:$G$64,5,FALSE)</f>
        <v>86832.960867592148</v>
      </c>
      <c r="H23" s="8">
        <f t="shared" si="0"/>
        <v>65928.039132407852</v>
      </c>
      <c r="I23" s="34">
        <f t="shared" si="1"/>
        <v>0.75925130818628528</v>
      </c>
      <c r="J23" s="8">
        <f t="shared" si="2"/>
        <v>79874.847720845544</v>
      </c>
      <c r="K23" s="30">
        <f t="shared" si="3"/>
        <v>0.5228746062204721</v>
      </c>
      <c r="L23" s="7">
        <f t="shared" si="4"/>
        <v>2.3856269688976393</v>
      </c>
      <c r="M23" t="str">
        <f t="shared" si="5"/>
        <v>overpaid</v>
      </c>
      <c r="N23" t="str">
        <f t="shared" si="6"/>
        <v>profitable</v>
      </c>
      <c r="T23" s="1"/>
    </row>
    <row r="24" spans="1:23" x14ac:dyDescent="0.3">
      <c r="A24" t="s">
        <v>25</v>
      </c>
      <c r="B24" t="str">
        <f>VLOOKUP(A24,payouts_table_AMD!$B$2:$C$52,2,FALSE)</f>
        <v>Amreli</v>
      </c>
      <c r="C24">
        <v>69222.691594822158</v>
      </c>
      <c r="D24" s="7">
        <f>VLOOKUP(A24,payouts_table_AMD!$B$2:$E$52,3,FALSE)</f>
        <v>4</v>
      </c>
      <c r="E24" s="29">
        <f>VLOOKUP(A24,payouts_table_AMD!$B$2:$E$52,4,FALSE)</f>
        <v>15837.5</v>
      </c>
      <c r="F24" s="8">
        <f>VLOOKUP(A24,Sheet1!$A$2:$G$64,4,FALSE)</f>
        <v>63350.243199999997</v>
      </c>
      <c r="G24" s="8">
        <f>VLOOKUP(A24,Sheet1!$A$2:$G$64,5,FALSE)</f>
        <v>23340.920231854023</v>
      </c>
      <c r="H24" s="8">
        <f t="shared" si="0"/>
        <v>40009.322968145978</v>
      </c>
      <c r="I24" s="34">
        <f t="shared" si="1"/>
        <v>1.7141279165824879</v>
      </c>
      <c r="J24" s="8">
        <f t="shared" si="2"/>
        <v>-5872.4483948221605</v>
      </c>
      <c r="K24" s="30">
        <f t="shared" si="3"/>
        <v>-9.2698119189259257E-2</v>
      </c>
      <c r="L24" s="7">
        <f t="shared" si="4"/>
        <v>4.3708092561845087</v>
      </c>
      <c r="M24" t="str">
        <f t="shared" si="5"/>
        <v>overpaid</v>
      </c>
      <c r="N24" t="str">
        <f t="shared" si="6"/>
        <v>in loss</v>
      </c>
    </row>
    <row r="25" spans="1:23" x14ac:dyDescent="0.3">
      <c r="A25" t="s">
        <v>12</v>
      </c>
      <c r="B25" t="str">
        <f>VLOOKUP(A25,payouts_table_AMD!$B$2:$C$52,2,FALSE)</f>
        <v>Surat</v>
      </c>
      <c r="C25">
        <v>158500.97315262631</v>
      </c>
      <c r="D25" s="7">
        <f>VLOOKUP(A25,payouts_table_AMD!$B$2:$E$52,3,FALSE)</f>
        <v>5</v>
      </c>
      <c r="E25" s="29">
        <f>VLOOKUP(A25,payouts_table_AMD!$B$2:$E$52,4,FALSE)</f>
        <v>15057.4</v>
      </c>
      <c r="F25" s="8">
        <f>VLOOKUP(A25,Sheet1!$A$2:$G$64,4,FALSE)</f>
        <v>75287.279999999955</v>
      </c>
      <c r="G25" s="8">
        <f>VLOOKUP(A25,Sheet1!$A$2:$G$64,5,FALSE)</f>
        <v>32247.584676247403</v>
      </c>
      <c r="H25" s="8">
        <f t="shared" si="0"/>
        <v>43039.695323752552</v>
      </c>
      <c r="I25" s="34">
        <f t="shared" si="1"/>
        <v>1.334664154101882</v>
      </c>
      <c r="J25" s="8">
        <f t="shared" si="2"/>
        <v>-83213.693152626351</v>
      </c>
      <c r="K25" s="30">
        <f t="shared" si="3"/>
        <v>-1.1052822356263421</v>
      </c>
      <c r="L25" s="7">
        <f t="shared" si="4"/>
        <v>10.526450326924058</v>
      </c>
      <c r="M25" t="str">
        <f t="shared" si="5"/>
        <v>overpaid</v>
      </c>
      <c r="N25" t="str">
        <f t="shared" si="6"/>
        <v>in loss</v>
      </c>
      <c r="T25" s="1"/>
    </row>
    <row r="26" spans="1:23" x14ac:dyDescent="0.3">
      <c r="A26" t="s">
        <v>42</v>
      </c>
      <c r="B26" t="str">
        <f>VLOOKUP(A26,payouts_table_AMD!$B$2:$C$52,2,FALSE)</f>
        <v>Vadodara</v>
      </c>
      <c r="C26">
        <v>68364.252420792691</v>
      </c>
      <c r="D26" s="7">
        <f>VLOOKUP(A26,payouts_table_AMD!$B$2:$E$52,3,FALSE)</f>
        <v>5</v>
      </c>
      <c r="E26" s="29">
        <f>VLOOKUP(A26,payouts_table_AMD!$B$2:$E$52,4,FALSE)</f>
        <v>5699.6</v>
      </c>
      <c r="F26" s="8">
        <f>VLOOKUP(A26,Sheet1!$A$2:$G$64,4,FALSE)</f>
        <v>28498</v>
      </c>
      <c r="G26" s="8">
        <f>VLOOKUP(A26,Sheet1!$A$2:$G$64,5,FALSE)</f>
        <v>26302.187589666148</v>
      </c>
      <c r="H26" s="8">
        <f t="shared" si="0"/>
        <v>2195.8124103338523</v>
      </c>
      <c r="I26" s="34">
        <f t="shared" si="1"/>
        <v>8.348402211215937E-2</v>
      </c>
      <c r="J26" s="8">
        <f t="shared" si="2"/>
        <v>-39866.252420792691</v>
      </c>
      <c r="K26" s="30">
        <f t="shared" si="3"/>
        <v>-1.3989140438203624</v>
      </c>
      <c r="L26" s="7">
        <f t="shared" si="4"/>
        <v>11.994570219101812</v>
      </c>
      <c r="M26" t="str">
        <f t="shared" si="5"/>
        <v>overpaid</v>
      </c>
      <c r="N26" t="str">
        <f t="shared" si="6"/>
        <v>in loss</v>
      </c>
      <c r="T26" s="1"/>
    </row>
    <row r="27" spans="1:23" x14ac:dyDescent="0.3">
      <c r="A27" t="s">
        <v>28</v>
      </c>
      <c r="B27" t="str">
        <f>VLOOKUP(A27,payouts_table_AMD!$B$2:$C$52,2,FALSE)</f>
        <v>Surat</v>
      </c>
      <c r="C27">
        <v>99155.989630329961</v>
      </c>
      <c r="D27" s="7">
        <f>VLOOKUP(A27,payouts_table_AMD!$B$2:$E$52,3,FALSE)</f>
        <v>5</v>
      </c>
      <c r="E27" s="29">
        <f>VLOOKUP(A27,payouts_table_AMD!$B$2:$E$52,4,FALSE)</f>
        <v>4544.8</v>
      </c>
      <c r="F27" s="8">
        <f>VLOOKUP(A27,Sheet1!$A$2:$G$64,4,FALSE)</f>
        <v>22724</v>
      </c>
      <c r="G27" s="8">
        <f>VLOOKUP(A27,Sheet1!$A$2:$G$64,5,FALSE)</f>
        <v>4466.0790200396841</v>
      </c>
      <c r="H27" s="8">
        <f t="shared" si="0"/>
        <v>18257.920979960316</v>
      </c>
      <c r="I27" s="34">
        <f t="shared" si="1"/>
        <v>4.088132094849966</v>
      </c>
      <c r="J27" s="8">
        <f t="shared" si="2"/>
        <v>-76431.989630329961</v>
      </c>
      <c r="K27" s="30">
        <f t="shared" si="3"/>
        <v>-3.3634918865661838</v>
      </c>
      <c r="L27" s="7">
        <f t="shared" si="4"/>
        <v>21.817459432830919</v>
      </c>
      <c r="M27" t="str">
        <f t="shared" si="5"/>
        <v>overpaid</v>
      </c>
      <c r="N27" t="str">
        <f t="shared" si="6"/>
        <v>in loss</v>
      </c>
    </row>
    <row r="28" spans="1:23" x14ac:dyDescent="0.3">
      <c r="A28" t="s">
        <v>46</v>
      </c>
      <c r="B28" t="str">
        <f>VLOOKUP(A28,payouts_table_AMD!$B$2:$C$52,2,FALSE)</f>
        <v>Gandhi Nager</v>
      </c>
      <c r="C28">
        <v>82597.73849849368</v>
      </c>
      <c r="D28" s="7">
        <f>VLOOKUP(A28,payouts_table_AMD!$B$2:$E$52,3,FALSE)</f>
        <v>19</v>
      </c>
      <c r="E28" s="29">
        <f>VLOOKUP(A28,payouts_table_AMD!$B$2:$E$52,4,FALSE)</f>
        <v>1351.2631578947369</v>
      </c>
      <c r="F28" s="8">
        <f>VLOOKUP(A28,Sheet1!$A$2:$G$64,4,FALSE)</f>
        <v>25674</v>
      </c>
      <c r="G28" s="8">
        <f>VLOOKUP(A28,Sheet1!$A$2:$G$64,5,FALSE)</f>
        <v>4075.4628127403316</v>
      </c>
      <c r="H28" s="8">
        <f t="shared" si="0"/>
        <v>21598.53718725967</v>
      </c>
      <c r="I28" s="34">
        <f t="shared" si="1"/>
        <v>5.2996526234371073</v>
      </c>
      <c r="J28" s="8">
        <f t="shared" si="2"/>
        <v>-56923.73849849368</v>
      </c>
      <c r="K28" s="30">
        <f t="shared" si="3"/>
        <v>-2.2171745150149444</v>
      </c>
      <c r="L28" s="7">
        <f t="shared" si="4"/>
        <v>61.126315785283943</v>
      </c>
      <c r="M28" t="str">
        <f t="shared" si="5"/>
        <v>overpaid</v>
      </c>
      <c r="N28" t="str">
        <f t="shared" si="6"/>
        <v>in loss</v>
      </c>
    </row>
    <row r="29" spans="1:23" x14ac:dyDescent="0.3">
      <c r="A29" t="s">
        <v>38</v>
      </c>
      <c r="B29" t="str">
        <f>VLOOKUP(A29,payouts_table_AMD!$B$2:$C$52,2,FALSE)</f>
        <v>Rampura Branch</v>
      </c>
      <c r="C29">
        <v>77371.464372711373</v>
      </c>
      <c r="D29" s="7">
        <f>VLOOKUP(A29,payouts_table_AMD!$B$2:$E$52,3,FALSE)</f>
        <v>9</v>
      </c>
      <c r="E29" s="29">
        <f>VLOOKUP(A29,payouts_table_AMD!$B$2:$E$52,4,FALSE)</f>
        <v>9502.6666666666661</v>
      </c>
      <c r="F29" s="8">
        <f>VLOOKUP(A29,Sheet1!$A$2:$G$64,4,FALSE)</f>
        <v>85524.036800000002</v>
      </c>
      <c r="G29" s="8">
        <f>VLOOKUP(A29,Sheet1!$A$2:$G$64,5,FALSE)</f>
        <v>57868.480364122479</v>
      </c>
      <c r="H29" s="8">
        <f t="shared" si="0"/>
        <v>27655.556435877523</v>
      </c>
      <c r="I29" s="34">
        <f t="shared" si="1"/>
        <v>0.47790362321357105</v>
      </c>
      <c r="J29" s="8">
        <f t="shared" si="2"/>
        <v>8152.5724272886291</v>
      </c>
      <c r="K29" s="30">
        <f t="shared" si="3"/>
        <v>9.5324925393239029E-2</v>
      </c>
      <c r="L29" s="7">
        <f t="shared" si="4"/>
        <v>8.1420791749029799</v>
      </c>
      <c r="M29" t="str">
        <f t="shared" si="5"/>
        <v>overpaid</v>
      </c>
      <c r="N29" t="str">
        <f t="shared" si="6"/>
        <v>profitable</v>
      </c>
    </row>
    <row r="30" spans="1:23" x14ac:dyDescent="0.3">
      <c r="A30" t="s">
        <v>23</v>
      </c>
      <c r="B30" t="str">
        <f>VLOOKUP(A30,payouts_table_AMD!$B$2:$C$52,2,FALSE)</f>
        <v>Ahmedabad Branch</v>
      </c>
      <c r="C30">
        <v>110504.94959940619</v>
      </c>
      <c r="D30" s="7">
        <f>VLOOKUP(A30,payouts_table_AMD!$B$2:$E$52,3,FALSE)</f>
        <v>5</v>
      </c>
      <c r="E30" s="29">
        <f>VLOOKUP(A30,payouts_table_AMD!$B$2:$E$52,4,FALSE)</f>
        <v>25992</v>
      </c>
      <c r="F30" s="8">
        <f>VLOOKUP(A30,Sheet1!$A$2:$G$64,4,FALSE)</f>
        <v>129959.92400000003</v>
      </c>
      <c r="G30" s="8">
        <f>VLOOKUP(A30,Sheet1!$A$2:$G$64,5,FALSE)</f>
        <v>75155.343453675232</v>
      </c>
      <c r="H30" s="8">
        <f t="shared" si="0"/>
        <v>54804.580546324796</v>
      </c>
      <c r="I30" s="34">
        <f t="shared" si="1"/>
        <v>0.72921735205834859</v>
      </c>
      <c r="J30" s="8">
        <f t="shared" si="2"/>
        <v>19454.974400593841</v>
      </c>
      <c r="K30" s="30">
        <f t="shared" si="3"/>
        <v>0.14969979822852034</v>
      </c>
      <c r="L30" s="7">
        <f t="shared" si="4"/>
        <v>4.2514985225994995</v>
      </c>
      <c r="M30" t="str">
        <f t="shared" si="5"/>
        <v>overpaid</v>
      </c>
      <c r="N30" t="str">
        <f t="shared" si="6"/>
        <v>profitable</v>
      </c>
    </row>
    <row r="31" spans="1:23" x14ac:dyDescent="0.3">
      <c r="A31" t="s">
        <v>32</v>
      </c>
      <c r="B31" t="str">
        <f>VLOOKUP(A31,payouts_table_AMD!$B$2:$C$52,2,FALSE)</f>
        <v>Vadodara</v>
      </c>
      <c r="C31">
        <v>68364.252420792691</v>
      </c>
      <c r="D31" s="7">
        <f>VLOOKUP(A31,payouts_table_AMD!$B$2:$E$52,3,FALSE)</f>
        <v>5</v>
      </c>
      <c r="E31" s="29">
        <f>VLOOKUP(A31,payouts_table_AMD!$B$2:$E$52,4,FALSE)</f>
        <v>4279.8</v>
      </c>
      <c r="F31" s="8">
        <f>VLOOKUP(A31,Sheet1!$A$2:$G$64,4,FALSE)</f>
        <v>21399</v>
      </c>
      <c r="G31" s="8">
        <f>VLOOKUP(A31,Sheet1!$A$2:$G$64,5,FALSE)</f>
        <v>17570.84919894964</v>
      </c>
      <c r="H31" s="8">
        <f t="shared" si="0"/>
        <v>3828.1508010503603</v>
      </c>
      <c r="I31" s="34">
        <f t="shared" si="1"/>
        <v>0.21786942439180468</v>
      </c>
      <c r="J31" s="8">
        <f t="shared" si="2"/>
        <v>-46965.252420792691</v>
      </c>
      <c r="K31" s="30">
        <f t="shared" si="3"/>
        <v>-2.1947405215567404</v>
      </c>
      <c r="L31" s="7">
        <f t="shared" si="4"/>
        <v>15.973702607783702</v>
      </c>
      <c r="M31" t="str">
        <f t="shared" si="5"/>
        <v>overpaid</v>
      </c>
      <c r="N31" t="str">
        <f t="shared" si="6"/>
        <v>in loss</v>
      </c>
    </row>
    <row r="32" spans="1:23" x14ac:dyDescent="0.3">
      <c r="A32" t="s">
        <v>3</v>
      </c>
      <c r="B32" t="str">
        <f>VLOOKUP(A32,payouts_table_AMD!$B$2:$C$52,2,FALSE)</f>
        <v>Rajkot</v>
      </c>
      <c r="C32">
        <v>126004.12526643014</v>
      </c>
      <c r="D32" s="7">
        <f>VLOOKUP(A32,payouts_table_AMD!$B$2:$E$52,3,FALSE)</f>
        <v>7</v>
      </c>
      <c r="E32" s="29">
        <f>VLOOKUP(A32,payouts_table_AMD!$B$2:$E$52,4,FALSE)</f>
        <v>3512.4285714285716</v>
      </c>
      <c r="F32" s="8">
        <f>VLOOKUP(A32,Sheet1!$A$2:$G$64,4,FALSE)</f>
        <v>24587</v>
      </c>
      <c r="G32" s="8">
        <f>VLOOKUP(A32,Sheet1!$A$2:$G$64,5,FALSE)</f>
        <v>6656.7476169818319</v>
      </c>
      <c r="H32" s="8">
        <f t="shared" si="0"/>
        <v>17930.252383018167</v>
      </c>
      <c r="I32" s="34">
        <f t="shared" si="1"/>
        <v>2.6935454691532588</v>
      </c>
      <c r="J32" s="8">
        <f t="shared" si="2"/>
        <v>-101417.12526643014</v>
      </c>
      <c r="K32" s="30">
        <f t="shared" si="3"/>
        <v>-4.1248271552621363</v>
      </c>
      <c r="L32" s="7">
        <f t="shared" si="4"/>
        <v>35.873790086834951</v>
      </c>
      <c r="M32" t="str">
        <f t="shared" si="5"/>
        <v>overpaid</v>
      </c>
      <c r="N32" t="str">
        <f t="shared" si="6"/>
        <v>in loss</v>
      </c>
    </row>
    <row r="33" spans="1:14" x14ac:dyDescent="0.3">
      <c r="A33" t="s">
        <v>27</v>
      </c>
      <c r="B33" t="str">
        <f>VLOOKUP(A33,payouts_table_AMD!$B$2:$C$52,2,FALSE)</f>
        <v>Rampura Branch</v>
      </c>
      <c r="C33">
        <v>75995.320459825874</v>
      </c>
      <c r="D33" s="7">
        <f>VLOOKUP(A33,payouts_table_AMD!$B$2:$E$52,3,FALSE)</f>
        <v>9</v>
      </c>
      <c r="E33" s="29">
        <f>VLOOKUP(A33,payouts_table_AMD!$B$2:$E$52,4,FALSE)</f>
        <v>7681.4444444444443</v>
      </c>
      <c r="F33" s="8">
        <f>VLOOKUP(A33,Sheet1!$A$2:$G$64,4,FALSE)</f>
        <v>69132.501231999981</v>
      </c>
      <c r="G33" s="8">
        <f>VLOOKUP(A33,Sheet1!$A$2:$G$64,5,FALSE)</f>
        <v>52203.104997488474</v>
      </c>
      <c r="H33" s="8">
        <f t="shared" si="0"/>
        <v>16929.396234511507</v>
      </c>
      <c r="I33" s="34">
        <f t="shared" si="1"/>
        <v>0.32429864536460029</v>
      </c>
      <c r="J33" s="8">
        <f t="shared" si="2"/>
        <v>-6862.8192278258939</v>
      </c>
      <c r="K33" s="30">
        <f t="shared" si="3"/>
        <v>-9.927051828770285E-2</v>
      </c>
      <c r="L33" s="7">
        <f t="shared" si="4"/>
        <v>9.8933632872641564</v>
      </c>
      <c r="M33" t="str">
        <f t="shared" si="5"/>
        <v>overpaid</v>
      </c>
      <c r="N33" t="str">
        <f t="shared" si="6"/>
        <v>in loss</v>
      </c>
    </row>
    <row r="34" spans="1:14" x14ac:dyDescent="0.3">
      <c r="A34" t="s">
        <v>18</v>
      </c>
      <c r="B34" t="str">
        <f>VLOOKUP(A34,payouts_table_AMD!$B$2:$C$52,2,FALSE)</f>
        <v>Surat</v>
      </c>
      <c r="C34">
        <v>70267.292664899374</v>
      </c>
      <c r="D34" s="7">
        <f>VLOOKUP(A34,payouts_table_AMD!$B$2:$E$52,3,FALSE)</f>
        <v>14</v>
      </c>
      <c r="E34" s="29">
        <f>VLOOKUP(A34,payouts_table_AMD!$B$2:$E$52,4,FALSE)</f>
        <v>17967.571428571428</v>
      </c>
      <c r="F34" s="8">
        <f>VLOOKUP(A34,Sheet1!$A$2:$G$64,4,FALSE)</f>
        <v>251545.7062500001</v>
      </c>
      <c r="G34" s="8">
        <f>VLOOKUP(A34,Sheet1!$A$2:$G$64,5,FALSE)</f>
        <v>19214.75062867544</v>
      </c>
      <c r="H34" s="8">
        <f t="shared" si="0"/>
        <v>232330.95562132465</v>
      </c>
      <c r="I34" s="34">
        <f t="shared" si="1"/>
        <v>12.09128133438286</v>
      </c>
      <c r="J34" s="8">
        <f t="shared" si="2"/>
        <v>181278.41358510073</v>
      </c>
      <c r="K34" s="30">
        <f t="shared" si="3"/>
        <v>0.7206579523362493</v>
      </c>
      <c r="L34" s="7">
        <f t="shared" si="4"/>
        <v>3.9107841003577528</v>
      </c>
      <c r="M34" t="str">
        <f t="shared" si="5"/>
        <v>overpaid</v>
      </c>
      <c r="N34" t="str">
        <f t="shared" si="6"/>
        <v>profitable</v>
      </c>
    </row>
    <row r="35" spans="1:14" x14ac:dyDescent="0.3">
      <c r="A35" t="s">
        <v>2</v>
      </c>
      <c r="B35" t="str">
        <f>VLOOKUP(A35,payouts_table_AMD!$B$2:$C$52,2,FALSE)</f>
        <v>Ahmedabad Branch</v>
      </c>
      <c r="C35">
        <v>110504.94959940619</v>
      </c>
      <c r="D35" s="7">
        <f>VLOOKUP(A35,payouts_table_AMD!$B$2:$E$52,3,FALSE)</f>
        <v>5</v>
      </c>
      <c r="E35" s="29">
        <f>VLOOKUP(A35,payouts_table_AMD!$B$2:$E$52,4,FALSE)</f>
        <v>5234.2</v>
      </c>
      <c r="F35" s="8">
        <f>VLOOKUP(A35,Sheet1!$A$2:$G$64,4,FALSE)</f>
        <v>26171</v>
      </c>
      <c r="G35" s="8">
        <f>VLOOKUP(A35,Sheet1!$A$2:$G$64,5,FALSE)</f>
        <v>13791.290165725788</v>
      </c>
      <c r="H35" s="8">
        <f t="shared" si="0"/>
        <v>12379.709834274212</v>
      </c>
      <c r="I35" s="34">
        <f t="shared" si="1"/>
        <v>0.89764697033496943</v>
      </c>
      <c r="J35" s="8">
        <f t="shared" si="2"/>
        <v>-84333.949599406187</v>
      </c>
      <c r="K35" s="30">
        <f t="shared" si="3"/>
        <v>-3.2224198387301284</v>
      </c>
      <c r="L35" s="7">
        <f t="shared" si="4"/>
        <v>21.112099193650643</v>
      </c>
      <c r="M35" t="str">
        <f t="shared" si="5"/>
        <v>overpaid</v>
      </c>
      <c r="N35" t="str">
        <f t="shared" si="6"/>
        <v>in loss</v>
      </c>
    </row>
    <row r="36" spans="1:14" x14ac:dyDescent="0.3">
      <c r="A36" t="s">
        <v>44</v>
      </c>
      <c r="B36" t="str">
        <f>VLOOKUP(A36,payouts_table_AMD!$B$2:$C$52,2,FALSE)</f>
        <v>Gandhi Nager</v>
      </c>
      <c r="C36">
        <v>82597.73849849368</v>
      </c>
      <c r="D36" s="7">
        <f>VLOOKUP(A36,payouts_table_AMD!$B$2:$E$52,3,FALSE)</f>
        <v>19</v>
      </c>
      <c r="E36" s="29">
        <f>VLOOKUP(A36,payouts_table_AMD!$B$2:$E$52,4,FALSE)</f>
        <v>1308.8421052631579</v>
      </c>
      <c r="F36" s="8">
        <f>VLOOKUP(A36,Sheet1!$A$2:$G$64,4,FALSE)</f>
        <v>24867.994599999998</v>
      </c>
      <c r="G36" s="8">
        <f>VLOOKUP(A36,Sheet1!$A$2:$G$64,5,FALSE)</f>
        <v>12643.490413589292</v>
      </c>
      <c r="H36" s="8">
        <f t="shared" si="0"/>
        <v>12224.504186410706</v>
      </c>
      <c r="I36" s="34">
        <f t="shared" si="1"/>
        <v>0.96686150631883605</v>
      </c>
      <c r="J36" s="8">
        <f t="shared" si="2"/>
        <v>-57729.743898493682</v>
      </c>
      <c r="K36" s="30">
        <f t="shared" si="3"/>
        <v>-2.3214475001733228</v>
      </c>
      <c r="L36" s="7">
        <f t="shared" si="4"/>
        <v>63.107488799717707</v>
      </c>
      <c r="M36" t="str">
        <f t="shared" si="5"/>
        <v>overpaid</v>
      </c>
      <c r="N36" t="str">
        <f t="shared" si="6"/>
        <v>in loss</v>
      </c>
    </row>
    <row r="37" spans="1:14" x14ac:dyDescent="0.3">
      <c r="A37" t="s">
        <v>33</v>
      </c>
      <c r="B37" t="str">
        <f>VLOOKUP(A37,payouts_table_AMD!$B$2:$C$52,2,FALSE)</f>
        <v>Vadodara</v>
      </c>
      <c r="C37">
        <v>147000.83286014292</v>
      </c>
      <c r="D37" s="7">
        <f>VLOOKUP(A37,payouts_table_AMD!$B$2:$E$52,3,FALSE)</f>
        <v>8</v>
      </c>
      <c r="E37" s="29">
        <f>VLOOKUP(A37,payouts_table_AMD!$B$2:$E$52,4,FALSE)</f>
        <v>19592.125</v>
      </c>
      <c r="F37" s="8">
        <f>VLOOKUP(A37,Sheet1!$A$2:$G$64,4,FALSE)</f>
        <v>156737</v>
      </c>
      <c r="G37" s="8">
        <f>VLOOKUP(A37,Sheet1!$A$2:$G$64,5,FALSE)</f>
        <v>123213.64071313376</v>
      </c>
      <c r="H37" s="8">
        <f t="shared" si="0"/>
        <v>33523.359286866238</v>
      </c>
      <c r="I37" s="34">
        <f t="shared" si="1"/>
        <v>0.27207506484542071</v>
      </c>
      <c r="J37" s="8">
        <f t="shared" si="2"/>
        <v>9736.1671398570761</v>
      </c>
      <c r="K37" s="30">
        <f t="shared" si="3"/>
        <v>6.2117860746709941E-2</v>
      </c>
      <c r="L37" s="7">
        <f t="shared" si="4"/>
        <v>7.50305711402632</v>
      </c>
      <c r="M37" t="str">
        <f t="shared" si="5"/>
        <v>overpaid</v>
      </c>
      <c r="N37" t="str">
        <f t="shared" si="6"/>
        <v>profitable</v>
      </c>
    </row>
    <row r="38" spans="1:14" x14ac:dyDescent="0.3">
      <c r="A38" t="s">
        <v>43</v>
      </c>
      <c r="B38" t="str">
        <f>VLOOKUP(A38,payouts_table_AMD!$B$2:$C$52,2,FALSE)</f>
        <v>Junagarh</v>
      </c>
      <c r="C38">
        <v>66292.974009488593</v>
      </c>
      <c r="D38" s="7">
        <f>VLOOKUP(A38,payouts_table_AMD!$B$2:$E$52,3,FALSE)</f>
        <v>6</v>
      </c>
      <c r="E38" s="29">
        <f>VLOOKUP(A38,payouts_table_AMD!$B$2:$E$52,4,FALSE)</f>
        <v>3031.3333333333335</v>
      </c>
      <c r="F38" s="8">
        <f>VLOOKUP(A38,Sheet1!$A$2:$G$64,4,FALSE)</f>
        <v>18188.14</v>
      </c>
      <c r="G38" s="8">
        <f>VLOOKUP(A38,Sheet1!$A$2:$G$64,5,FALSE)</f>
        <v>5989.241978045161</v>
      </c>
      <c r="H38" s="8">
        <f t="shared" si="0"/>
        <v>12198.898021954839</v>
      </c>
      <c r="I38" s="34">
        <f t="shared" si="1"/>
        <v>2.0368016631607961</v>
      </c>
      <c r="J38" s="8">
        <f t="shared" si="2"/>
        <v>-48104.834009488593</v>
      </c>
      <c r="K38" s="30">
        <f t="shared" si="3"/>
        <v>-2.6448462574781475</v>
      </c>
      <c r="L38" s="7">
        <f t="shared" si="4"/>
        <v>21.869245879532194</v>
      </c>
      <c r="M38" t="str">
        <f t="shared" si="5"/>
        <v>overpaid</v>
      </c>
      <c r="N38" t="str">
        <f t="shared" si="6"/>
        <v>in loss</v>
      </c>
    </row>
    <row r="39" spans="1:14" x14ac:dyDescent="0.3">
      <c r="A39" t="s">
        <v>20</v>
      </c>
      <c r="B39" t="str">
        <f>VLOOKUP(A39,payouts_table_AMD!$B$2:$C$52,2,FALSE)</f>
        <v>Mehsana</v>
      </c>
      <c r="C39">
        <v>161370.75028406369</v>
      </c>
      <c r="D39" s="7">
        <f>VLOOKUP(A39,payouts_table_AMD!$B$2:$E$52,3,FALSE)</f>
        <v>7</v>
      </c>
      <c r="E39" s="29">
        <f>VLOOKUP(A39,payouts_table_AMD!$B$2:$E$52,4,FALSE)</f>
        <v>1583.1428571428571</v>
      </c>
      <c r="F39" s="8">
        <f>VLOOKUP(A39,Sheet1!$A$2:$G$64,4,FALSE)</f>
        <v>11082.454</v>
      </c>
      <c r="G39" s="8">
        <f>VLOOKUP(A39,Sheet1!$A$2:$G$64,5,FALSE)</f>
        <v>1041.6164535348087</v>
      </c>
      <c r="H39" s="8">
        <f t="shared" si="0"/>
        <v>10040.837546465191</v>
      </c>
      <c r="I39" s="34">
        <f t="shared" si="1"/>
        <v>9.6396687210448775</v>
      </c>
      <c r="J39" s="8">
        <f t="shared" si="2"/>
        <v>-150288.29628406369</v>
      </c>
      <c r="K39" s="30">
        <f t="shared" si="3"/>
        <v>-13.560922182403257</v>
      </c>
      <c r="L39" s="7">
        <f t="shared" si="4"/>
        <v>101.93063093200197</v>
      </c>
      <c r="M39" t="str">
        <f t="shared" si="5"/>
        <v>overpaid</v>
      </c>
      <c r="N39" t="str">
        <f t="shared" si="6"/>
        <v>in loss</v>
      </c>
    </row>
    <row r="40" spans="1:14" x14ac:dyDescent="0.3">
      <c r="A40" t="s">
        <v>19</v>
      </c>
      <c r="B40" t="str">
        <f>VLOOKUP(A40,payouts_table_AMD!$B$2:$C$52,2,FALSE)</f>
        <v>Ahmedabad Branch</v>
      </c>
      <c r="C40">
        <v>110504.94959940619</v>
      </c>
      <c r="D40" s="7">
        <f>VLOOKUP(A40,payouts_table_AMD!$B$2:$E$52,3,FALSE)</f>
        <v>5</v>
      </c>
      <c r="E40" s="29">
        <f>VLOOKUP(A40,payouts_table_AMD!$B$2:$E$52,4,FALSE)</f>
        <v>12357.2</v>
      </c>
      <c r="F40" s="8">
        <f>VLOOKUP(A40,Sheet1!$A$2:$G$64,4,FALSE)</f>
        <v>61786.355999999992</v>
      </c>
      <c r="G40" s="8">
        <f>VLOOKUP(A40,Sheet1!$A$2:$G$64,5,FALSE)</f>
        <v>39833.290219168477</v>
      </c>
      <c r="H40" s="8">
        <f t="shared" si="0"/>
        <v>21953.065780831515</v>
      </c>
      <c r="I40" s="34">
        <f t="shared" si="1"/>
        <v>0.55112358683007601</v>
      </c>
      <c r="J40" s="8">
        <f t="shared" si="2"/>
        <v>-48718.593599406195</v>
      </c>
      <c r="K40" s="30">
        <f t="shared" si="3"/>
        <v>-0.78850083988455644</v>
      </c>
      <c r="L40" s="7">
        <f t="shared" si="4"/>
        <v>8.9425557245497505</v>
      </c>
      <c r="M40" t="str">
        <f t="shared" si="5"/>
        <v>overpaid</v>
      </c>
      <c r="N40" t="str">
        <f t="shared" si="6"/>
        <v>in loss</v>
      </c>
    </row>
    <row r="41" spans="1:14" x14ac:dyDescent="0.3">
      <c r="A41" t="s">
        <v>40</v>
      </c>
      <c r="B41" t="str">
        <f>VLOOKUP(A41,payouts_table_AMD!$B$2:$C$52,2,FALSE)</f>
        <v>Rampura Branch</v>
      </c>
      <c r="C41">
        <v>77371.464372711373</v>
      </c>
      <c r="D41" s="7">
        <f>VLOOKUP(A41,payouts_table_AMD!$B$2:$E$52,3,FALSE)</f>
        <v>9</v>
      </c>
      <c r="E41" s="29">
        <f>VLOOKUP(A41,payouts_table_AMD!$B$2:$E$52,4,FALSE)</f>
        <v>4789</v>
      </c>
      <c r="F41" s="8">
        <f>VLOOKUP(A41,Sheet1!$A$2:$G$64,4,FALSE)</f>
        <v>43101.428800000009</v>
      </c>
      <c r="G41" s="8">
        <f>VLOOKUP(A41,Sheet1!$A$2:$G$64,5,FALSE)</f>
        <v>14793.643655087924</v>
      </c>
      <c r="H41" s="8">
        <f t="shared" si="0"/>
        <v>28307.785144912086</v>
      </c>
      <c r="I41" s="34">
        <f t="shared" si="1"/>
        <v>1.9135100050335667</v>
      </c>
      <c r="J41" s="8">
        <f t="shared" si="2"/>
        <v>-34270.035572711364</v>
      </c>
      <c r="K41" s="30">
        <f t="shared" si="3"/>
        <v>-0.79510207728221194</v>
      </c>
      <c r="L41" s="7">
        <f t="shared" si="4"/>
        <v>16.156079426333552</v>
      </c>
      <c r="M41" t="str">
        <f t="shared" si="5"/>
        <v>overpaid</v>
      </c>
      <c r="N41" t="str">
        <f t="shared" si="6"/>
        <v>in loss</v>
      </c>
    </row>
    <row r="42" spans="1:14" x14ac:dyDescent="0.3">
      <c r="A42" t="s">
        <v>47</v>
      </c>
      <c r="B42" t="str">
        <f>VLOOKUP(A42,payouts_table_AMD!$B$2:$C$52,2,FALSE)</f>
        <v>Vadodara</v>
      </c>
      <c r="C42">
        <v>68364.252420792691</v>
      </c>
      <c r="D42" s="7">
        <f>VLOOKUP(A42,payouts_table_AMD!$B$2:$E$52,3,FALSE)</f>
        <v>5</v>
      </c>
      <c r="E42" s="29">
        <f>VLOOKUP(A42,payouts_table_AMD!$B$2:$E$52,4,FALSE)</f>
        <v>8847.4</v>
      </c>
      <c r="F42" s="8">
        <f>VLOOKUP(A42,Sheet1!$A$2:$G$64,4,FALSE)</f>
        <v>44237</v>
      </c>
      <c r="G42" s="8">
        <f>VLOOKUP(A42,Sheet1!$A$2:$G$64,5,FALSE)</f>
        <v>31992.051864244233</v>
      </c>
      <c r="H42" s="8">
        <f t="shared" si="0"/>
        <v>12244.948135755767</v>
      </c>
      <c r="I42" s="34">
        <f t="shared" si="1"/>
        <v>0.38274969632195666</v>
      </c>
      <c r="J42" s="8">
        <f t="shared" si="2"/>
        <v>-24127.252420792691</v>
      </c>
      <c r="K42" s="30">
        <f t="shared" si="3"/>
        <v>-0.54540887539373584</v>
      </c>
      <c r="L42" s="7">
        <f t="shared" si="4"/>
        <v>7.7270443769686796</v>
      </c>
      <c r="M42" t="str">
        <f t="shared" si="5"/>
        <v>overpaid</v>
      </c>
      <c r="N42" t="str">
        <f t="shared" si="6"/>
        <v>in loss</v>
      </c>
    </row>
    <row r="43" spans="1:14" x14ac:dyDescent="0.3">
      <c r="A43" t="s">
        <v>26</v>
      </c>
      <c r="B43" t="str">
        <f>VLOOKUP(A43,payouts_table_AMD!$B$2:$C$52,2,FALSE)</f>
        <v>Surat</v>
      </c>
      <c r="C43">
        <v>70267.292664899374</v>
      </c>
      <c r="D43" s="7">
        <f>VLOOKUP(A43,payouts_table_AMD!$B$2:$E$52,3,FALSE)</f>
        <v>5</v>
      </c>
      <c r="E43" s="29">
        <f>VLOOKUP(A43,payouts_table_AMD!$B$2:$E$52,4,FALSE)</f>
        <v>9403.6</v>
      </c>
      <c r="F43" s="8">
        <f>VLOOKUP(A43,Sheet1!$A$2:$G$64,4,FALSE)</f>
        <v>47018.001600000003</v>
      </c>
      <c r="G43" s="8">
        <f>VLOOKUP(A43,Sheet1!$A$2:$G$64,5,FALSE)</f>
        <v>36462.95362853499</v>
      </c>
      <c r="H43" s="8">
        <f t="shared" si="0"/>
        <v>10555.047971465014</v>
      </c>
      <c r="I43" s="34">
        <f t="shared" si="1"/>
        <v>0.28947320282921069</v>
      </c>
      <c r="J43" s="8">
        <f t="shared" si="2"/>
        <v>-23249.291064899371</v>
      </c>
      <c r="K43" s="30">
        <f t="shared" si="3"/>
        <v>-0.49447637657359239</v>
      </c>
      <c r="L43" s="7">
        <f t="shared" si="4"/>
        <v>7.4723821371495358</v>
      </c>
      <c r="M43" t="str">
        <f t="shared" si="5"/>
        <v>overpaid</v>
      </c>
      <c r="N43" t="str">
        <f t="shared" si="6"/>
        <v>in loss</v>
      </c>
    </row>
    <row r="44" spans="1:14" x14ac:dyDescent="0.3">
      <c r="A44" t="s">
        <v>34</v>
      </c>
      <c r="B44" t="str">
        <f>VLOOKUP(A44,payouts_table_AMD!$B$2:$C$52,2,FALSE)</f>
        <v>Rampura Branch</v>
      </c>
      <c r="C44">
        <v>344526.49247044354</v>
      </c>
      <c r="D44" s="7">
        <f>VLOOKUP(A44,payouts_table_AMD!$B$2:$E$52,3,FALSE)</f>
        <v>9</v>
      </c>
      <c r="E44" s="29">
        <f>VLOOKUP(A44,payouts_table_AMD!$B$2:$E$52,4,FALSE)</f>
        <v>11325</v>
      </c>
      <c r="F44" s="8">
        <f>VLOOKUP(A44,Sheet1!$A$2:$G$64,4,FALSE)</f>
        <v>101924.88160000001</v>
      </c>
      <c r="G44" s="8">
        <f>VLOOKUP(A44,Sheet1!$A$2:$G$64,5,FALSE)</f>
        <v>68251.613256207391</v>
      </c>
      <c r="H44" s="8">
        <f t="shared" si="0"/>
        <v>33673.268343792617</v>
      </c>
      <c r="I44" s="34">
        <f t="shared" si="1"/>
        <v>0.49336955915441427</v>
      </c>
      <c r="J44" s="8">
        <f t="shared" si="2"/>
        <v>-242601.61087044352</v>
      </c>
      <c r="K44" s="30">
        <f t="shared" si="3"/>
        <v>-2.3802000754096877</v>
      </c>
      <c r="L44" s="7">
        <f t="shared" si="4"/>
        <v>30.421765339553513</v>
      </c>
      <c r="M44" t="str">
        <f t="shared" si="5"/>
        <v>overpaid</v>
      </c>
      <c r="N44" t="str">
        <f t="shared" si="6"/>
        <v>in loss</v>
      </c>
    </row>
    <row r="45" spans="1:14" x14ac:dyDescent="0.3">
      <c r="A45" t="s">
        <v>35</v>
      </c>
      <c r="B45" t="str">
        <f>VLOOKUP(A45,payouts_table_AMD!$B$2:$C$52,2,FALSE)</f>
        <v>Ahmmedabad City</v>
      </c>
      <c r="C45">
        <v>72680.017290899545</v>
      </c>
      <c r="D45" s="7">
        <f>VLOOKUP(A45,payouts_table_AMD!$B$2:$E$52,3,FALSE)</f>
        <v>3</v>
      </c>
      <c r="E45" s="29">
        <f>VLOOKUP(A45,payouts_table_AMD!$B$2:$E$52,4,FALSE)</f>
        <v>20175</v>
      </c>
      <c r="F45" s="8">
        <f>VLOOKUP(A45,Sheet1!$A$2:$G$64,4,FALSE)</f>
        <v>60525.494399999996</v>
      </c>
      <c r="G45" s="8">
        <f>VLOOKUP(A45,Sheet1!$A$2:$G$64,5,FALSE)</f>
        <v>5138.849705816694</v>
      </c>
      <c r="H45" s="8">
        <f t="shared" si="0"/>
        <v>55386.644694183298</v>
      </c>
      <c r="I45" s="34">
        <f t="shared" si="1"/>
        <v>10.778023850647127</v>
      </c>
      <c r="J45" s="8">
        <f t="shared" si="2"/>
        <v>-12154.522890899549</v>
      </c>
      <c r="K45" s="30">
        <f t="shared" si="3"/>
        <v>-0.20081658169651481</v>
      </c>
      <c r="L45" s="7">
        <f t="shared" si="4"/>
        <v>3.6024791717917988</v>
      </c>
      <c r="M45" t="str">
        <f t="shared" si="5"/>
        <v>overpaid</v>
      </c>
      <c r="N45" t="str">
        <f t="shared" si="6"/>
        <v>in loss</v>
      </c>
    </row>
    <row r="46" spans="1:14" x14ac:dyDescent="0.3">
      <c r="A46" t="s">
        <v>9</v>
      </c>
      <c r="B46" t="str">
        <f>VLOOKUP(A46,payouts_table_AMD!$B$2:$C$52,2,FALSE)</f>
        <v>Vapi</v>
      </c>
      <c r="C46">
        <v>87231.715721389963</v>
      </c>
      <c r="D46" s="7">
        <f>VLOOKUP(A46,payouts_table_AMD!$B$2:$E$52,3,FALSE)</f>
        <v>5</v>
      </c>
      <c r="E46" s="29">
        <f>VLOOKUP(A46,payouts_table_AMD!$B$2:$E$52,4,FALSE)</f>
        <v>12176.6</v>
      </c>
      <c r="F46" s="8">
        <f>VLOOKUP(A46,Sheet1!$A$2:$G$64,4,FALSE)</f>
        <v>60882.838983999995</v>
      </c>
      <c r="G46" s="8">
        <f>VLOOKUP(A46,Sheet1!$A$2:$G$64,5,FALSE)</f>
        <v>60573.277525875877</v>
      </c>
      <c r="H46" s="8">
        <f t="shared" si="0"/>
        <v>309.56145812411705</v>
      </c>
      <c r="I46" s="34">
        <f t="shared" si="1"/>
        <v>5.1105284503034799E-3</v>
      </c>
      <c r="J46" s="8">
        <f t="shared" si="2"/>
        <v>-26348.876737389968</v>
      </c>
      <c r="K46" s="30">
        <f t="shared" si="3"/>
        <v>-0.43278002762509893</v>
      </c>
      <c r="L46" s="7">
        <f t="shared" si="4"/>
        <v>7.1638811919082466</v>
      </c>
      <c r="M46" t="str">
        <f t="shared" si="5"/>
        <v>overpaid</v>
      </c>
      <c r="N46" t="str">
        <f t="shared" si="6"/>
        <v>in loss</v>
      </c>
    </row>
    <row r="47" spans="1:14" x14ac:dyDescent="0.3">
      <c r="A47" t="s">
        <v>8</v>
      </c>
      <c r="B47" t="str">
        <f>VLOOKUP(A47,payouts_table_AMD!$B$2:$C$52,2,FALSE)</f>
        <v>Sanand</v>
      </c>
      <c r="C47">
        <v>72160.878580535107</v>
      </c>
      <c r="D47" s="7">
        <f>VLOOKUP(A47,payouts_table_AMD!$B$2:$E$52,3,FALSE)</f>
        <v>5</v>
      </c>
      <c r="E47" s="29">
        <f>VLOOKUP(A47,payouts_table_AMD!$B$2:$E$52,4,FALSE)</f>
        <v>5479.6</v>
      </c>
      <c r="F47" s="8">
        <f>VLOOKUP(A47,Sheet1!$A$2:$G$64,4,FALSE)</f>
        <v>27397.922015999997</v>
      </c>
      <c r="G47" s="8">
        <f>VLOOKUP(A47,Sheet1!$A$2:$G$64,5,FALSE)</f>
        <v>9412.3100994900014</v>
      </c>
      <c r="H47" s="8">
        <f t="shared" si="0"/>
        <v>17985.611916509995</v>
      </c>
      <c r="I47" s="34">
        <f t="shared" si="1"/>
        <v>1.9108605354475658</v>
      </c>
      <c r="J47" s="8">
        <f t="shared" si="2"/>
        <v>-44762.95656453511</v>
      </c>
      <c r="K47" s="30">
        <f t="shared" si="3"/>
        <v>-1.6338084522758398</v>
      </c>
      <c r="L47" s="7">
        <f t="shared" si="4"/>
        <v>13.169004777818655</v>
      </c>
      <c r="M47" t="str">
        <f t="shared" si="5"/>
        <v>overpaid</v>
      </c>
      <c r="N47" t="str">
        <f t="shared" si="6"/>
        <v>in loss</v>
      </c>
    </row>
    <row r="48" spans="1:14" x14ac:dyDescent="0.3">
      <c r="A48" t="s">
        <v>14</v>
      </c>
      <c r="B48" t="str">
        <f>VLOOKUP(A48,payouts_table_AMD!$B$2:$C$52,2,FALSE)</f>
        <v>Sanand</v>
      </c>
      <c r="C48">
        <v>72160.878580535107</v>
      </c>
      <c r="D48" s="7">
        <f>VLOOKUP(A48,payouts_table_AMD!$B$2:$E$52,3,FALSE)</f>
        <v>5</v>
      </c>
      <c r="E48" s="29">
        <f>VLOOKUP(A48,payouts_table_AMD!$B$2:$E$52,4,FALSE)</f>
        <v>5290.4</v>
      </c>
      <c r="F48" s="8">
        <f>VLOOKUP(A48,Sheet1!$A$2:$G$64,4,FALSE)</f>
        <v>26452</v>
      </c>
      <c r="G48" s="8">
        <f>VLOOKUP(A48,Sheet1!$A$2:$G$64,5,FALSE)</f>
        <v>10107.177123675472</v>
      </c>
      <c r="H48" s="8">
        <f t="shared" si="0"/>
        <v>16344.822876324528</v>
      </c>
      <c r="I48" s="34">
        <f t="shared" si="1"/>
        <v>1.6171501376024899</v>
      </c>
      <c r="J48" s="8">
        <f t="shared" si="2"/>
        <v>-45708.878580535107</v>
      </c>
      <c r="K48" s="30">
        <f t="shared" si="3"/>
        <v>-1.7279932927769208</v>
      </c>
      <c r="L48" s="7">
        <f t="shared" si="4"/>
        <v>13.639966463884605</v>
      </c>
      <c r="M48" t="str">
        <f t="shared" si="5"/>
        <v>overpaid</v>
      </c>
      <c r="N48" t="str">
        <f t="shared" si="6"/>
        <v>in loss</v>
      </c>
    </row>
    <row r="49" spans="1:14" x14ac:dyDescent="0.3">
      <c r="A49" t="s">
        <v>13</v>
      </c>
      <c r="B49" t="str">
        <f>VLOOKUP(A49,payouts_table_AMD!$B$2:$C$52,2,FALSE)</f>
        <v>Vadodara</v>
      </c>
      <c r="C49">
        <v>81241.319240486366</v>
      </c>
      <c r="D49" s="7">
        <f>VLOOKUP(A49,payouts_table_AMD!$B$2:$E$52,3,FALSE)</f>
        <v>5</v>
      </c>
      <c r="E49" s="29">
        <f>VLOOKUP(A49,payouts_table_AMD!$B$2:$E$52,4,FALSE)</f>
        <v>7018.8</v>
      </c>
      <c r="F49" s="8">
        <f>VLOOKUP(A49,Sheet1!$A$2:$G$64,4,FALSE)</f>
        <v>35094</v>
      </c>
      <c r="G49" s="8">
        <f>VLOOKUP(A49,Sheet1!$A$2:$G$64,5,FALSE)</f>
        <v>5041.5172774335551</v>
      </c>
      <c r="H49" s="8">
        <f t="shared" si="0"/>
        <v>30052.482722566445</v>
      </c>
      <c r="I49" s="34">
        <f t="shared" si="1"/>
        <v>5.9609996492692812</v>
      </c>
      <c r="J49" s="8">
        <f t="shared" si="2"/>
        <v>-46147.319240486366</v>
      </c>
      <c r="K49" s="30">
        <f t="shared" si="3"/>
        <v>-1.3149632199374925</v>
      </c>
      <c r="L49" s="7">
        <f t="shared" si="4"/>
        <v>11.574816099687462</v>
      </c>
      <c r="M49" t="str">
        <f t="shared" si="5"/>
        <v>overpaid</v>
      </c>
      <c r="N49" t="str">
        <f t="shared" si="6"/>
        <v>in loss</v>
      </c>
    </row>
  </sheetData>
  <sortState xmlns:xlrd2="http://schemas.microsoft.com/office/spreadsheetml/2017/richdata2" ref="A2:N49">
    <sortCondition ref="A2:A49"/>
  </sortState>
  <pageMargins left="0.7" right="0.7" top="0.75" bottom="0.75" header="0" footer="0"/>
  <pageSetup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63668-F8F7-4886-8203-62C35E338142}">
  <dimension ref="A1:U65"/>
  <sheetViews>
    <sheetView workbookViewId="0">
      <selection activeCell="E9" sqref="E9"/>
    </sheetView>
  </sheetViews>
  <sheetFormatPr defaultRowHeight="14.4" x14ac:dyDescent="0.3"/>
  <cols>
    <col min="1" max="1" width="7.5546875" customWidth="1"/>
    <col min="2" max="2" width="18.44140625" bestFit="1" customWidth="1"/>
    <col min="3" max="3" width="10.33203125" customWidth="1"/>
    <col min="4" max="4" width="32.5546875" bestFit="1" customWidth="1"/>
    <col min="5" max="5" width="9.5546875" bestFit="1" customWidth="1"/>
    <col min="6" max="6" width="11.88671875" customWidth="1"/>
    <col min="7" max="7" width="14.6640625" customWidth="1"/>
    <col min="8" max="8" width="14.21875" customWidth="1"/>
    <col min="9" max="9" width="9.5546875" customWidth="1"/>
    <col min="10" max="10" width="16.6640625" style="36" customWidth="1"/>
    <col min="11" max="11" width="13.5546875" customWidth="1"/>
    <col min="12" max="12" width="16.5546875" hidden="1" customWidth="1"/>
    <col min="13" max="13" width="32.77734375" style="47" customWidth="1"/>
    <col min="14" max="14" width="14.88671875" hidden="1" customWidth="1"/>
    <col min="15" max="15" width="20.21875" hidden="1" customWidth="1"/>
    <col min="16" max="16" width="8" hidden="1" customWidth="1"/>
    <col min="17" max="17" width="12.109375" style="45" bestFit="1" customWidth="1"/>
    <col min="18" max="18" width="11" style="45" customWidth="1"/>
    <col min="19" max="19" width="13.21875" style="45" customWidth="1"/>
    <col min="20" max="20" width="11.6640625" style="45" customWidth="1"/>
    <col min="21" max="21" width="12.88671875" style="45" bestFit="1" customWidth="1"/>
  </cols>
  <sheetData>
    <row r="1" spans="1:21" x14ac:dyDescent="0.3">
      <c r="A1" s="41" t="s">
        <v>60</v>
      </c>
      <c r="B1" s="41" t="s">
        <v>49</v>
      </c>
      <c r="C1" s="41" t="s">
        <v>61</v>
      </c>
      <c r="D1" s="41" t="s">
        <v>0</v>
      </c>
      <c r="E1" s="41" t="s">
        <v>62</v>
      </c>
      <c r="F1" s="41" t="s">
        <v>63</v>
      </c>
      <c r="G1" s="41" t="s">
        <v>64</v>
      </c>
      <c r="H1" s="41" t="s">
        <v>65</v>
      </c>
      <c r="I1" s="41" t="s">
        <v>66</v>
      </c>
      <c r="J1" s="43" t="s">
        <v>67</v>
      </c>
      <c r="K1" s="41" t="s">
        <v>68</v>
      </c>
      <c r="L1" s="9" t="s">
        <v>166</v>
      </c>
      <c r="M1" s="46" t="s">
        <v>167</v>
      </c>
      <c r="N1" t="s">
        <v>168</v>
      </c>
      <c r="O1" t="s">
        <v>169</v>
      </c>
      <c r="P1" t="s">
        <v>170</v>
      </c>
      <c r="Q1" s="44" t="s">
        <v>171</v>
      </c>
      <c r="R1" s="44" t="s">
        <v>172</v>
      </c>
      <c r="S1" s="44" t="s">
        <v>173</v>
      </c>
      <c r="T1" s="44" t="s">
        <v>174</v>
      </c>
      <c r="U1" s="44" t="s">
        <v>175</v>
      </c>
    </row>
    <row r="2" spans="1:21" x14ac:dyDescent="0.3">
      <c r="B2" t="s">
        <v>70</v>
      </c>
      <c r="C2" t="s">
        <v>148</v>
      </c>
      <c r="D2" t="s">
        <v>36</v>
      </c>
      <c r="E2" t="s">
        <v>149</v>
      </c>
      <c r="F2" t="s">
        <v>69</v>
      </c>
      <c r="G2">
        <v>2018</v>
      </c>
      <c r="H2" t="s">
        <v>161</v>
      </c>
      <c r="I2">
        <v>9</v>
      </c>
      <c r="J2" s="36">
        <v>2.5</v>
      </c>
      <c r="K2">
        <v>1600</v>
      </c>
      <c r="L2">
        <v>92.3</v>
      </c>
      <c r="M2" s="47">
        <v>9580</v>
      </c>
      <c r="N2">
        <v>750000</v>
      </c>
      <c r="O2">
        <v>150000</v>
      </c>
      <c r="P2">
        <v>600000</v>
      </c>
      <c r="Q2" s="45">
        <v>11432.7437185483</v>
      </c>
      <c r="R2" s="45">
        <f>L2*K2/J2</f>
        <v>59072</v>
      </c>
      <c r="S2" s="45">
        <f>M2+Q2+R2</f>
        <v>80084.7437185483</v>
      </c>
      <c r="T2" s="45">
        <v>36000</v>
      </c>
      <c r="U2" s="45">
        <f>S2+T2</f>
        <v>116084.7437185483</v>
      </c>
    </row>
    <row r="3" spans="1:21" x14ac:dyDescent="0.3">
      <c r="B3" t="s">
        <v>70</v>
      </c>
      <c r="C3" t="s">
        <v>148</v>
      </c>
      <c r="D3" t="s">
        <v>36</v>
      </c>
      <c r="E3" t="s">
        <v>150</v>
      </c>
      <c r="F3" t="s">
        <v>69</v>
      </c>
      <c r="G3">
        <v>2017</v>
      </c>
      <c r="H3" t="s">
        <v>150</v>
      </c>
      <c r="I3">
        <v>14</v>
      </c>
      <c r="J3" s="36">
        <v>0.75</v>
      </c>
      <c r="K3">
        <v>1600</v>
      </c>
      <c r="L3">
        <v>92.3</v>
      </c>
      <c r="M3" s="47">
        <v>5880</v>
      </c>
      <c r="N3">
        <v>400000</v>
      </c>
      <c r="O3">
        <v>80000</v>
      </c>
      <c r="P3">
        <v>320000</v>
      </c>
      <c r="Q3" s="45">
        <v>6097.4633165590803</v>
      </c>
      <c r="R3" s="45">
        <f t="shared" ref="R3:R64" si="0">L3*K3/J3</f>
        <v>196906.66666666666</v>
      </c>
      <c r="S3" s="45">
        <f t="shared" ref="S3:S64" si="1">M3+Q3+R3</f>
        <v>208884.12998322575</v>
      </c>
      <c r="T3" s="45">
        <v>36000</v>
      </c>
      <c r="U3" s="45">
        <f t="shared" ref="U3:U64" si="2">S3+T3</f>
        <v>244884.12998322575</v>
      </c>
    </row>
    <row r="4" spans="1:21" x14ac:dyDescent="0.3">
      <c r="B4" t="s">
        <v>70</v>
      </c>
      <c r="C4" t="s">
        <v>148</v>
      </c>
      <c r="D4" t="s">
        <v>6</v>
      </c>
      <c r="E4" t="s">
        <v>149</v>
      </c>
      <c r="F4" t="s">
        <v>151</v>
      </c>
      <c r="G4" t="s">
        <v>162</v>
      </c>
      <c r="H4" t="s">
        <v>161</v>
      </c>
      <c r="I4">
        <v>9</v>
      </c>
      <c r="J4" s="36">
        <v>2.5</v>
      </c>
      <c r="K4">
        <v>1600</v>
      </c>
      <c r="L4">
        <v>92.3</v>
      </c>
      <c r="M4" s="47">
        <v>9580</v>
      </c>
      <c r="N4">
        <v>750000</v>
      </c>
      <c r="O4">
        <v>150000</v>
      </c>
      <c r="P4">
        <v>600000</v>
      </c>
      <c r="Q4" s="45">
        <v>11432.7437185483</v>
      </c>
      <c r="R4" s="45">
        <f t="shared" si="0"/>
        <v>59072</v>
      </c>
      <c r="S4" s="45">
        <f t="shared" si="1"/>
        <v>80084.7437185483</v>
      </c>
      <c r="T4" s="45">
        <v>36000</v>
      </c>
      <c r="U4" s="45">
        <f t="shared" si="2"/>
        <v>116084.7437185483</v>
      </c>
    </row>
    <row r="5" spans="1:21" x14ac:dyDescent="0.3">
      <c r="B5" t="s">
        <v>71</v>
      </c>
      <c r="C5" t="s">
        <v>127</v>
      </c>
      <c r="D5" t="s">
        <v>5</v>
      </c>
      <c r="E5" t="s">
        <v>152</v>
      </c>
      <c r="F5" t="s">
        <v>69</v>
      </c>
      <c r="G5">
        <v>2014</v>
      </c>
      <c r="H5" t="s">
        <v>163</v>
      </c>
      <c r="I5">
        <v>6.5525461364709203</v>
      </c>
      <c r="J5" s="36">
        <v>6.5900268382448797</v>
      </c>
      <c r="K5">
        <v>2900</v>
      </c>
      <c r="L5">
        <v>100.490621572495</v>
      </c>
      <c r="M5" s="47">
        <v>12500</v>
      </c>
      <c r="N5">
        <v>1150000</v>
      </c>
      <c r="O5">
        <v>230000</v>
      </c>
      <c r="P5">
        <v>920000</v>
      </c>
      <c r="Q5" s="45">
        <v>17530.207035107302</v>
      </c>
      <c r="R5" s="45">
        <f t="shared" si="0"/>
        <v>44221.792977985817</v>
      </c>
      <c r="S5" s="45">
        <f t="shared" si="1"/>
        <v>74252.000013093115</v>
      </c>
      <c r="T5" s="45">
        <v>36000</v>
      </c>
      <c r="U5" s="45">
        <f t="shared" si="2"/>
        <v>110252.00001309311</v>
      </c>
    </row>
    <row r="6" spans="1:21" x14ac:dyDescent="0.3">
      <c r="B6" t="s">
        <v>72</v>
      </c>
      <c r="C6" t="s">
        <v>135</v>
      </c>
      <c r="D6" t="s">
        <v>45</v>
      </c>
      <c r="E6" t="s">
        <v>153</v>
      </c>
      <c r="F6" t="s">
        <v>69</v>
      </c>
      <c r="G6">
        <v>2019</v>
      </c>
      <c r="H6" t="s">
        <v>153</v>
      </c>
      <c r="I6">
        <v>16.829787347508599</v>
      </c>
      <c r="J6" s="36">
        <v>1.3894248629665999</v>
      </c>
      <c r="K6">
        <v>2700</v>
      </c>
      <c r="L6">
        <v>113.411129978113</v>
      </c>
      <c r="M6" s="47">
        <v>8200</v>
      </c>
      <c r="N6">
        <v>750000</v>
      </c>
      <c r="O6">
        <v>150000</v>
      </c>
      <c r="P6">
        <v>600000</v>
      </c>
      <c r="Q6" s="45">
        <v>11432.7437185483</v>
      </c>
      <c r="R6" s="45">
        <f t="shared" si="0"/>
        <v>220386.18935255517</v>
      </c>
      <c r="S6" s="45">
        <f t="shared" si="1"/>
        <v>240018.93307110347</v>
      </c>
      <c r="T6" s="45">
        <v>36000</v>
      </c>
      <c r="U6" s="45">
        <f t="shared" si="2"/>
        <v>276018.93307110347</v>
      </c>
    </row>
    <row r="7" spans="1:21" x14ac:dyDescent="0.3">
      <c r="B7" t="s">
        <v>73</v>
      </c>
      <c r="C7" t="s">
        <v>124</v>
      </c>
      <c r="D7" t="s">
        <v>24</v>
      </c>
      <c r="E7" t="s">
        <v>154</v>
      </c>
      <c r="F7" t="s">
        <v>69</v>
      </c>
      <c r="G7">
        <v>2016</v>
      </c>
      <c r="H7" t="s">
        <v>154</v>
      </c>
      <c r="I7">
        <v>15.340744990271</v>
      </c>
      <c r="J7" s="36">
        <v>1.5806763812306599</v>
      </c>
      <c r="K7">
        <v>2600</v>
      </c>
      <c r="L7">
        <v>80.841831220499003</v>
      </c>
      <c r="M7" s="47">
        <v>11400</v>
      </c>
      <c r="N7">
        <v>500000</v>
      </c>
      <c r="O7">
        <v>100000</v>
      </c>
      <c r="P7">
        <v>400000</v>
      </c>
      <c r="Q7" s="45">
        <v>7621.82914569885</v>
      </c>
      <c r="R7" s="45">
        <f t="shared" si="0"/>
        <v>132973.93677107501</v>
      </c>
      <c r="S7" s="45">
        <f t="shared" si="1"/>
        <v>151995.76591677387</v>
      </c>
      <c r="T7" s="45">
        <v>36000</v>
      </c>
      <c r="U7" s="45">
        <f t="shared" si="2"/>
        <v>187995.76591677387</v>
      </c>
    </row>
    <row r="8" spans="1:21" x14ac:dyDescent="0.3">
      <c r="B8" t="s">
        <v>73</v>
      </c>
      <c r="C8" t="s">
        <v>124</v>
      </c>
      <c r="D8" t="s">
        <v>31</v>
      </c>
      <c r="E8" t="s">
        <v>150</v>
      </c>
      <c r="F8" t="s">
        <v>69</v>
      </c>
      <c r="G8">
        <v>2012</v>
      </c>
      <c r="H8" t="s">
        <v>150</v>
      </c>
      <c r="I8">
        <v>7.7853868200690899</v>
      </c>
      <c r="J8" s="36">
        <v>0.75264980525332104</v>
      </c>
      <c r="K8">
        <v>2600</v>
      </c>
      <c r="L8">
        <v>80.841831220499003</v>
      </c>
      <c r="M8" s="47">
        <v>6900</v>
      </c>
      <c r="N8">
        <v>400000</v>
      </c>
      <c r="O8">
        <v>80000</v>
      </c>
      <c r="P8">
        <v>320000</v>
      </c>
      <c r="Q8" s="45">
        <v>6097.4633165590803</v>
      </c>
      <c r="R8" s="45">
        <f t="shared" si="0"/>
        <v>279265.01768316235</v>
      </c>
      <c r="S8" s="45">
        <f t="shared" si="1"/>
        <v>292262.48099972145</v>
      </c>
      <c r="T8" s="45">
        <v>36000</v>
      </c>
      <c r="U8" s="45">
        <f t="shared" si="2"/>
        <v>328262.48099972145</v>
      </c>
    </row>
    <row r="9" spans="1:21" x14ac:dyDescent="0.3">
      <c r="B9" t="s">
        <v>74</v>
      </c>
      <c r="C9" t="s">
        <v>138</v>
      </c>
      <c r="D9" t="s">
        <v>39</v>
      </c>
      <c r="E9" t="s">
        <v>150</v>
      </c>
      <c r="F9" t="s">
        <v>69</v>
      </c>
      <c r="G9">
        <v>2019</v>
      </c>
      <c r="H9" t="s">
        <v>150</v>
      </c>
      <c r="I9">
        <v>17.527489465013002</v>
      </c>
      <c r="J9" s="36">
        <v>0.78423707313208701</v>
      </c>
      <c r="K9">
        <v>1900</v>
      </c>
      <c r="L9">
        <v>100.23638952450899</v>
      </c>
      <c r="M9" s="47">
        <v>10700</v>
      </c>
      <c r="N9">
        <v>400000</v>
      </c>
      <c r="O9">
        <v>80000</v>
      </c>
      <c r="P9">
        <v>320000</v>
      </c>
      <c r="Q9" s="45">
        <v>6097.4633165590803</v>
      </c>
      <c r="R9" s="45">
        <f t="shared" si="0"/>
        <v>242846.38742714759</v>
      </c>
      <c r="S9" s="45">
        <f t="shared" si="1"/>
        <v>259643.85074370669</v>
      </c>
      <c r="T9" s="45">
        <v>36000</v>
      </c>
      <c r="U9" s="45">
        <f t="shared" si="2"/>
        <v>295643.85074370669</v>
      </c>
    </row>
    <row r="10" spans="1:21" x14ac:dyDescent="0.3">
      <c r="B10" t="s">
        <v>75</v>
      </c>
      <c r="C10" t="s">
        <v>146</v>
      </c>
      <c r="D10" t="s">
        <v>10</v>
      </c>
      <c r="E10" t="s">
        <v>149</v>
      </c>
      <c r="F10" t="s">
        <v>69</v>
      </c>
      <c r="G10">
        <v>2016</v>
      </c>
      <c r="H10" t="s">
        <v>161</v>
      </c>
      <c r="I10">
        <v>13.0446429845825</v>
      </c>
      <c r="J10" s="36">
        <v>2.0421365530816198</v>
      </c>
      <c r="K10">
        <v>2900</v>
      </c>
      <c r="L10">
        <v>99.413389578885401</v>
      </c>
      <c r="M10" s="47">
        <v>18700</v>
      </c>
      <c r="N10">
        <v>750000</v>
      </c>
      <c r="O10">
        <v>150000</v>
      </c>
      <c r="P10">
        <v>600000</v>
      </c>
      <c r="Q10" s="45">
        <v>11432.7437185483</v>
      </c>
      <c r="R10" s="45">
        <f t="shared" si="0"/>
        <v>141175.09886580292</v>
      </c>
      <c r="S10" s="45">
        <f t="shared" si="1"/>
        <v>171307.84258435122</v>
      </c>
      <c r="T10" s="45">
        <v>36000</v>
      </c>
      <c r="U10" s="45">
        <f t="shared" si="2"/>
        <v>207307.84258435122</v>
      </c>
    </row>
    <row r="11" spans="1:21" x14ac:dyDescent="0.3">
      <c r="B11" t="s">
        <v>75</v>
      </c>
      <c r="C11" t="s">
        <v>146</v>
      </c>
      <c r="D11" t="s">
        <v>10</v>
      </c>
      <c r="E11" t="s">
        <v>152</v>
      </c>
      <c r="F11" t="s">
        <v>69</v>
      </c>
      <c r="G11">
        <v>2017</v>
      </c>
      <c r="H11" t="s">
        <v>163</v>
      </c>
      <c r="I11">
        <v>7.7766332599738801</v>
      </c>
      <c r="J11" s="36">
        <v>5.1635046388777397</v>
      </c>
      <c r="K11">
        <v>2900</v>
      </c>
      <c r="L11">
        <v>99.413389578885401</v>
      </c>
      <c r="M11" s="47">
        <v>15600</v>
      </c>
      <c r="N11">
        <v>1150000</v>
      </c>
      <c r="O11">
        <v>230000</v>
      </c>
      <c r="P11">
        <v>920000</v>
      </c>
      <c r="Q11" s="45">
        <v>17530.207035107302</v>
      </c>
      <c r="R11" s="45">
        <f t="shared" si="0"/>
        <v>55833.944179708895</v>
      </c>
      <c r="S11" s="45">
        <f t="shared" si="1"/>
        <v>88964.1512148162</v>
      </c>
      <c r="T11" s="45">
        <v>36000</v>
      </c>
      <c r="U11" s="45">
        <f t="shared" si="2"/>
        <v>124964.1512148162</v>
      </c>
    </row>
    <row r="12" spans="1:21" x14ac:dyDescent="0.3">
      <c r="B12" t="s">
        <v>75</v>
      </c>
      <c r="C12" t="s">
        <v>146</v>
      </c>
      <c r="D12" t="s">
        <v>10</v>
      </c>
      <c r="E12" t="s">
        <v>155</v>
      </c>
      <c r="F12" t="s">
        <v>151</v>
      </c>
      <c r="G12" t="s">
        <v>162</v>
      </c>
      <c r="H12" t="s">
        <v>155</v>
      </c>
      <c r="I12">
        <v>6.6537492905151003</v>
      </c>
      <c r="J12" s="36">
        <v>8.2407106661901004</v>
      </c>
      <c r="K12">
        <v>2900</v>
      </c>
      <c r="L12">
        <v>99.413389578885401</v>
      </c>
      <c r="M12" s="47">
        <v>22100</v>
      </c>
      <c r="N12">
        <v>1400000</v>
      </c>
      <c r="O12">
        <v>280000</v>
      </c>
      <c r="P12">
        <v>1120000</v>
      </c>
      <c r="Q12" s="45">
        <v>21341.1216079568</v>
      </c>
      <c r="R12" s="45">
        <f t="shared" si="0"/>
        <v>34984.704773290614</v>
      </c>
      <c r="S12" s="45">
        <f t="shared" si="1"/>
        <v>78425.826381247403</v>
      </c>
      <c r="T12" s="45">
        <v>36000</v>
      </c>
      <c r="U12" s="45">
        <f t="shared" si="2"/>
        <v>114425.8263812474</v>
      </c>
    </row>
    <row r="13" spans="1:21" x14ac:dyDescent="0.3">
      <c r="B13" t="s">
        <v>76</v>
      </c>
      <c r="C13" t="s">
        <v>130</v>
      </c>
      <c r="D13" t="s">
        <v>29</v>
      </c>
      <c r="E13" t="s">
        <v>150</v>
      </c>
      <c r="F13" t="s">
        <v>156</v>
      </c>
      <c r="G13">
        <v>2016</v>
      </c>
      <c r="H13" t="s">
        <v>150</v>
      </c>
      <c r="I13">
        <v>18.889971546597501</v>
      </c>
      <c r="J13" s="36">
        <v>0.790223820322278</v>
      </c>
      <c r="K13">
        <v>3000</v>
      </c>
      <c r="L13">
        <v>78.562830363879897</v>
      </c>
      <c r="M13" s="47">
        <v>10700</v>
      </c>
      <c r="N13">
        <v>400000</v>
      </c>
      <c r="O13">
        <v>80000</v>
      </c>
      <c r="P13">
        <v>320000</v>
      </c>
      <c r="Q13" s="45">
        <v>6097.4633165590803</v>
      </c>
      <c r="R13" s="45">
        <f t="shared" si="0"/>
        <v>298255.36136776861</v>
      </c>
      <c r="S13" s="45">
        <f t="shared" si="1"/>
        <v>315052.8246843277</v>
      </c>
      <c r="T13" s="45">
        <v>36000</v>
      </c>
      <c r="U13" s="45">
        <f t="shared" si="2"/>
        <v>351052.8246843277</v>
      </c>
    </row>
    <row r="14" spans="1:21" x14ac:dyDescent="0.3">
      <c r="B14" t="s">
        <v>77</v>
      </c>
      <c r="C14" t="s">
        <v>123</v>
      </c>
      <c r="D14" t="s">
        <v>4</v>
      </c>
      <c r="E14" t="s">
        <v>149</v>
      </c>
      <c r="F14" t="s">
        <v>69</v>
      </c>
      <c r="G14">
        <v>2013</v>
      </c>
      <c r="H14" t="s">
        <v>161</v>
      </c>
      <c r="I14">
        <v>9.0950127369830103</v>
      </c>
      <c r="J14" s="36">
        <v>2.4855141620694901</v>
      </c>
      <c r="K14">
        <v>1800</v>
      </c>
      <c r="L14">
        <v>94.581378550804004</v>
      </c>
      <c r="M14" s="47">
        <v>12000</v>
      </c>
      <c r="N14">
        <v>750000</v>
      </c>
      <c r="O14">
        <v>150000</v>
      </c>
      <c r="P14">
        <v>600000</v>
      </c>
      <c r="Q14" s="45">
        <v>11432.7437185483</v>
      </c>
      <c r="R14" s="45">
        <f t="shared" si="0"/>
        <v>68495.478315720597</v>
      </c>
      <c r="S14" s="45">
        <f t="shared" si="1"/>
        <v>91928.222034268896</v>
      </c>
      <c r="T14" s="45">
        <v>36000</v>
      </c>
      <c r="U14" s="45">
        <f t="shared" si="2"/>
        <v>127928.2220342689</v>
      </c>
    </row>
    <row r="15" spans="1:21" x14ac:dyDescent="0.3">
      <c r="B15" t="s">
        <v>77</v>
      </c>
      <c r="C15" t="s">
        <v>123</v>
      </c>
      <c r="D15" t="s">
        <v>4</v>
      </c>
      <c r="E15" t="s">
        <v>157</v>
      </c>
      <c r="F15" t="s">
        <v>151</v>
      </c>
      <c r="G15" t="s">
        <v>162</v>
      </c>
      <c r="H15" t="s">
        <v>164</v>
      </c>
      <c r="I15">
        <v>3.5462174548919299</v>
      </c>
      <c r="J15" s="36">
        <v>8.6536756158497194</v>
      </c>
      <c r="K15">
        <v>1800</v>
      </c>
      <c r="L15">
        <v>94.581378550804004</v>
      </c>
      <c r="M15" s="47">
        <v>19000</v>
      </c>
      <c r="N15">
        <v>1150000</v>
      </c>
      <c r="O15">
        <v>230000</v>
      </c>
      <c r="P15">
        <v>920000</v>
      </c>
      <c r="Q15" s="45">
        <v>17530.207035107302</v>
      </c>
      <c r="R15" s="45">
        <f t="shared" si="0"/>
        <v>19673.314432959643</v>
      </c>
      <c r="S15" s="45">
        <f t="shared" si="1"/>
        <v>56203.521468066945</v>
      </c>
      <c r="T15" s="45">
        <v>36000</v>
      </c>
      <c r="U15" s="45">
        <f t="shared" si="2"/>
        <v>92203.521468066945</v>
      </c>
    </row>
    <row r="16" spans="1:21" x14ac:dyDescent="0.3">
      <c r="B16" t="s">
        <v>78</v>
      </c>
      <c r="C16" t="s">
        <v>122</v>
      </c>
      <c r="D16" t="s">
        <v>22</v>
      </c>
      <c r="E16" t="s">
        <v>150</v>
      </c>
      <c r="F16" t="s">
        <v>69</v>
      </c>
      <c r="G16">
        <v>2020</v>
      </c>
      <c r="H16" t="s">
        <v>150</v>
      </c>
      <c r="I16">
        <v>17.157710528177699</v>
      </c>
      <c r="J16" s="36">
        <v>1.04263505610357</v>
      </c>
      <c r="K16">
        <v>3100</v>
      </c>
      <c r="L16">
        <v>93.069310566121402</v>
      </c>
      <c r="M16" s="47">
        <v>11800</v>
      </c>
      <c r="N16">
        <v>400000</v>
      </c>
      <c r="O16">
        <v>80000</v>
      </c>
      <c r="P16">
        <v>320000</v>
      </c>
      <c r="Q16" s="45">
        <v>6097.4633165590803</v>
      </c>
      <c r="R16" s="45">
        <f t="shared" si="0"/>
        <v>276717.01720176649</v>
      </c>
      <c r="S16" s="45">
        <f t="shared" si="1"/>
        <v>294614.48051832558</v>
      </c>
      <c r="T16" s="45">
        <v>36000</v>
      </c>
      <c r="U16" s="45">
        <f t="shared" si="2"/>
        <v>330614.48051832558</v>
      </c>
    </row>
    <row r="17" spans="2:21" x14ac:dyDescent="0.3">
      <c r="B17" t="s">
        <v>70</v>
      </c>
      <c r="C17" t="s">
        <v>148</v>
      </c>
      <c r="D17" t="s">
        <v>41</v>
      </c>
      <c r="E17" t="s">
        <v>150</v>
      </c>
      <c r="F17" t="s">
        <v>69</v>
      </c>
      <c r="G17">
        <v>2010</v>
      </c>
      <c r="H17" t="s">
        <v>150</v>
      </c>
      <c r="I17">
        <v>14</v>
      </c>
      <c r="J17" s="36">
        <v>0.75</v>
      </c>
      <c r="K17">
        <v>1600</v>
      </c>
      <c r="L17">
        <v>92.3</v>
      </c>
      <c r="M17" s="47">
        <v>5880</v>
      </c>
      <c r="N17">
        <v>400000</v>
      </c>
      <c r="O17">
        <v>80000</v>
      </c>
      <c r="P17">
        <v>320000</v>
      </c>
      <c r="Q17" s="45">
        <v>6097.4633165590803</v>
      </c>
      <c r="R17" s="45">
        <f t="shared" si="0"/>
        <v>196906.66666666666</v>
      </c>
      <c r="S17" s="45">
        <f t="shared" si="1"/>
        <v>208884.12998322575</v>
      </c>
      <c r="T17" s="45">
        <v>36000</v>
      </c>
      <c r="U17" s="45">
        <f t="shared" si="2"/>
        <v>244884.12998322575</v>
      </c>
    </row>
    <row r="18" spans="2:21" x14ac:dyDescent="0.3">
      <c r="B18" t="s">
        <v>79</v>
      </c>
      <c r="C18" t="s">
        <v>143</v>
      </c>
      <c r="D18" t="s">
        <v>37</v>
      </c>
      <c r="E18" t="s">
        <v>158</v>
      </c>
      <c r="F18" t="s">
        <v>156</v>
      </c>
      <c r="G18">
        <v>2019</v>
      </c>
      <c r="H18" t="s">
        <v>158</v>
      </c>
      <c r="I18">
        <v>17.582051377298001</v>
      </c>
      <c r="J18" s="36">
        <v>1.1466290648202699</v>
      </c>
      <c r="K18">
        <v>1800</v>
      </c>
      <c r="L18">
        <v>90.694100434826595</v>
      </c>
      <c r="M18" s="47">
        <v>9900</v>
      </c>
      <c r="N18">
        <v>550000</v>
      </c>
      <c r="O18">
        <v>110000</v>
      </c>
      <c r="P18">
        <v>440000</v>
      </c>
      <c r="Q18" s="45">
        <v>8384.0120602687293</v>
      </c>
      <c r="R18" s="45">
        <f t="shared" si="0"/>
        <v>142373.31478098946</v>
      </c>
      <c r="S18" s="45">
        <f t="shared" si="1"/>
        <v>160657.32684125818</v>
      </c>
      <c r="T18" s="45">
        <v>36000</v>
      </c>
      <c r="U18" s="45">
        <f t="shared" si="2"/>
        <v>196657.32684125818</v>
      </c>
    </row>
    <row r="19" spans="2:21" x14ac:dyDescent="0.3">
      <c r="B19" t="s">
        <v>72</v>
      </c>
      <c r="C19" t="s">
        <v>135</v>
      </c>
      <c r="D19" t="s">
        <v>48</v>
      </c>
      <c r="E19" t="s">
        <v>153</v>
      </c>
      <c r="F19" t="s">
        <v>69</v>
      </c>
      <c r="G19">
        <v>2019</v>
      </c>
      <c r="H19" t="s">
        <v>153</v>
      </c>
      <c r="I19">
        <v>16.829787347508599</v>
      </c>
      <c r="J19" s="36">
        <v>1.3894248629665999</v>
      </c>
      <c r="K19">
        <v>2700</v>
      </c>
      <c r="L19">
        <v>113.411129978113</v>
      </c>
      <c r="M19" s="47">
        <v>8200</v>
      </c>
      <c r="N19">
        <v>750000</v>
      </c>
      <c r="O19">
        <v>150000</v>
      </c>
      <c r="P19">
        <v>600000</v>
      </c>
      <c r="Q19" s="45">
        <v>11432.7437185483</v>
      </c>
      <c r="R19" s="45">
        <f t="shared" si="0"/>
        <v>220386.18935255517</v>
      </c>
      <c r="S19" s="45">
        <f t="shared" si="1"/>
        <v>240018.93307110347</v>
      </c>
      <c r="T19" s="45">
        <v>36000</v>
      </c>
      <c r="U19" s="45">
        <f t="shared" si="2"/>
        <v>276018.93307110347</v>
      </c>
    </row>
    <row r="20" spans="2:21" x14ac:dyDescent="0.3">
      <c r="B20" t="s">
        <v>80</v>
      </c>
      <c r="C20" t="s">
        <v>134</v>
      </c>
      <c r="D20" t="s">
        <v>15</v>
      </c>
      <c r="E20" t="s">
        <v>153</v>
      </c>
      <c r="F20" t="s">
        <v>156</v>
      </c>
      <c r="G20">
        <v>2020</v>
      </c>
      <c r="H20" t="s">
        <v>153</v>
      </c>
      <c r="I20">
        <v>9.8332980589745809</v>
      </c>
      <c r="J20" s="36">
        <v>2.1170956821339399</v>
      </c>
      <c r="K20">
        <v>2500</v>
      </c>
      <c r="L20">
        <v>96.102793427526507</v>
      </c>
      <c r="M20" s="47">
        <v>10200</v>
      </c>
      <c r="N20">
        <v>750000</v>
      </c>
      <c r="O20">
        <v>150000</v>
      </c>
      <c r="P20">
        <v>600000</v>
      </c>
      <c r="Q20" s="45">
        <v>11432.7437185483</v>
      </c>
      <c r="R20" s="45">
        <f t="shared" si="0"/>
        <v>113484.2348394229</v>
      </c>
      <c r="S20" s="45">
        <f t="shared" si="1"/>
        <v>135116.97855797119</v>
      </c>
      <c r="T20" s="45">
        <v>36000</v>
      </c>
      <c r="U20" s="45">
        <f t="shared" si="2"/>
        <v>171116.97855797119</v>
      </c>
    </row>
    <row r="21" spans="2:21" x14ac:dyDescent="0.3">
      <c r="B21" t="s">
        <v>71</v>
      </c>
      <c r="C21" t="s">
        <v>127</v>
      </c>
      <c r="D21" t="s">
        <v>11</v>
      </c>
      <c r="E21" t="s">
        <v>152</v>
      </c>
      <c r="F21" t="s">
        <v>156</v>
      </c>
      <c r="G21">
        <v>2012</v>
      </c>
      <c r="H21" t="s">
        <v>163</v>
      </c>
      <c r="I21">
        <v>6.5525461364709203</v>
      </c>
      <c r="J21" s="36">
        <v>6.5900268382448797</v>
      </c>
      <c r="K21">
        <v>2900</v>
      </c>
      <c r="L21">
        <v>100.490621572495</v>
      </c>
      <c r="M21" s="47">
        <v>12500</v>
      </c>
      <c r="N21">
        <v>1150000</v>
      </c>
      <c r="O21">
        <v>230000</v>
      </c>
      <c r="P21">
        <v>920000</v>
      </c>
      <c r="Q21" s="45">
        <v>17530.207035107302</v>
      </c>
      <c r="R21" s="45">
        <f t="shared" si="0"/>
        <v>44221.792977985817</v>
      </c>
      <c r="S21" s="45">
        <f t="shared" si="1"/>
        <v>74252.000013093115</v>
      </c>
      <c r="T21" s="45">
        <v>36000</v>
      </c>
      <c r="U21" s="45">
        <f t="shared" si="2"/>
        <v>110252.00001309311</v>
      </c>
    </row>
    <row r="22" spans="2:21" x14ac:dyDescent="0.3">
      <c r="B22" t="s">
        <v>71</v>
      </c>
      <c r="C22" t="s">
        <v>127</v>
      </c>
      <c r="D22" t="s">
        <v>21</v>
      </c>
      <c r="E22" t="s">
        <v>157</v>
      </c>
      <c r="F22" t="s">
        <v>151</v>
      </c>
      <c r="G22" t="s">
        <v>162</v>
      </c>
      <c r="H22" t="s">
        <v>164</v>
      </c>
      <c r="I22">
        <v>6.9433969910850397</v>
      </c>
      <c r="J22" s="36">
        <v>6.3444422201305501</v>
      </c>
      <c r="K22">
        <v>2900</v>
      </c>
      <c r="L22">
        <v>100.490621572495</v>
      </c>
      <c r="M22" s="47">
        <v>11400</v>
      </c>
      <c r="N22">
        <v>1150000</v>
      </c>
      <c r="O22">
        <v>230000</v>
      </c>
      <c r="P22">
        <v>920000</v>
      </c>
      <c r="Q22" s="45">
        <v>17530.207035107302</v>
      </c>
      <c r="R22" s="45">
        <f t="shared" si="0"/>
        <v>45933.557663362066</v>
      </c>
      <c r="S22" s="45">
        <f t="shared" si="1"/>
        <v>74863.764698469371</v>
      </c>
      <c r="T22" s="45">
        <v>36000</v>
      </c>
      <c r="U22" s="45">
        <f t="shared" si="2"/>
        <v>110863.76469846937</v>
      </c>
    </row>
    <row r="23" spans="2:21" x14ac:dyDescent="0.3">
      <c r="B23" t="s">
        <v>74</v>
      </c>
      <c r="C23" t="s">
        <v>138</v>
      </c>
      <c r="D23" t="s">
        <v>1</v>
      </c>
      <c r="E23" t="s">
        <v>149</v>
      </c>
      <c r="F23" t="s">
        <v>69</v>
      </c>
      <c r="G23">
        <v>2020</v>
      </c>
      <c r="H23" t="s">
        <v>161</v>
      </c>
      <c r="I23">
        <v>8.5572888357740506</v>
      </c>
      <c r="J23" s="36">
        <v>3.0291773948414198</v>
      </c>
      <c r="K23">
        <v>1900</v>
      </c>
      <c r="L23">
        <v>100.23638952450899</v>
      </c>
      <c r="M23" s="47">
        <v>11900</v>
      </c>
      <c r="N23">
        <v>750000</v>
      </c>
      <c r="O23">
        <v>150000</v>
      </c>
      <c r="P23">
        <v>600000</v>
      </c>
      <c r="Q23" s="45">
        <v>11432.7437185483</v>
      </c>
      <c r="R23" s="45">
        <f t="shared" si="0"/>
        <v>62871.57048672525</v>
      </c>
      <c r="S23" s="45">
        <f t="shared" si="1"/>
        <v>86204.314205273549</v>
      </c>
      <c r="T23" s="45">
        <v>36000</v>
      </c>
      <c r="U23" s="45">
        <f t="shared" si="2"/>
        <v>122204.31420527355</v>
      </c>
    </row>
    <row r="24" spans="2:21" x14ac:dyDescent="0.3">
      <c r="B24" t="s">
        <v>74</v>
      </c>
      <c r="C24" t="s">
        <v>138</v>
      </c>
      <c r="D24" t="s">
        <v>1</v>
      </c>
      <c r="E24" t="s">
        <v>150</v>
      </c>
      <c r="F24" t="s">
        <v>156</v>
      </c>
      <c r="G24">
        <v>2018</v>
      </c>
      <c r="H24" t="s">
        <v>150</v>
      </c>
      <c r="I24">
        <v>17.527489465013002</v>
      </c>
      <c r="J24" s="36">
        <v>0.78423707313208701</v>
      </c>
      <c r="K24">
        <v>1900</v>
      </c>
      <c r="L24">
        <v>100.23638952450899</v>
      </c>
      <c r="M24" s="47">
        <v>10700</v>
      </c>
      <c r="N24">
        <v>400000</v>
      </c>
      <c r="O24">
        <v>80000</v>
      </c>
      <c r="P24">
        <v>320000</v>
      </c>
      <c r="Q24" s="45">
        <v>6097.4633165590803</v>
      </c>
      <c r="R24" s="45">
        <f t="shared" si="0"/>
        <v>242846.38742714759</v>
      </c>
      <c r="S24" s="45">
        <f t="shared" si="1"/>
        <v>259643.85074370669</v>
      </c>
      <c r="T24" s="45">
        <v>36000</v>
      </c>
      <c r="U24" s="45">
        <f t="shared" si="2"/>
        <v>295643.85074370669</v>
      </c>
    </row>
    <row r="25" spans="2:21" x14ac:dyDescent="0.3">
      <c r="B25" t="s">
        <v>79</v>
      </c>
      <c r="C25" t="s">
        <v>143</v>
      </c>
      <c r="D25" t="s">
        <v>16</v>
      </c>
      <c r="E25" t="s">
        <v>153</v>
      </c>
      <c r="F25" t="s">
        <v>156</v>
      </c>
      <c r="G25">
        <v>2013</v>
      </c>
      <c r="H25" t="s">
        <v>153</v>
      </c>
      <c r="I25">
        <v>9.8850325042295193</v>
      </c>
      <c r="J25" s="36">
        <v>1.3434882381767399</v>
      </c>
      <c r="K25">
        <v>1800</v>
      </c>
      <c r="L25">
        <v>90.694100434826595</v>
      </c>
      <c r="M25" s="47">
        <v>8600</v>
      </c>
      <c r="N25">
        <v>750000</v>
      </c>
      <c r="O25">
        <v>150000</v>
      </c>
      <c r="P25">
        <v>600000</v>
      </c>
      <c r="Q25" s="45">
        <v>11432.7437185483</v>
      </c>
      <c r="R25" s="45">
        <f t="shared" si="0"/>
        <v>121511.58167505439</v>
      </c>
      <c r="S25" s="45">
        <f t="shared" si="1"/>
        <v>141544.32539360269</v>
      </c>
      <c r="T25" s="45">
        <v>36000</v>
      </c>
      <c r="U25" s="45">
        <f t="shared" si="2"/>
        <v>177544.32539360269</v>
      </c>
    </row>
    <row r="26" spans="2:21" x14ac:dyDescent="0.3">
      <c r="B26" t="s">
        <v>76</v>
      </c>
      <c r="C26" t="s">
        <v>130</v>
      </c>
      <c r="D26" t="s">
        <v>17</v>
      </c>
      <c r="E26" t="s">
        <v>149</v>
      </c>
      <c r="F26" t="s">
        <v>151</v>
      </c>
      <c r="G26" t="s">
        <v>162</v>
      </c>
      <c r="H26" t="s">
        <v>161</v>
      </c>
      <c r="I26">
        <v>12.59788543576</v>
      </c>
      <c r="J26" s="36">
        <v>2.7317924077831099</v>
      </c>
      <c r="K26">
        <v>3000</v>
      </c>
      <c r="L26">
        <v>78.562830363879897</v>
      </c>
      <c r="M26" s="47">
        <v>15100</v>
      </c>
      <c r="N26">
        <v>750000</v>
      </c>
      <c r="O26">
        <v>150000</v>
      </c>
      <c r="P26">
        <v>600000</v>
      </c>
      <c r="Q26" s="45">
        <v>11432.7437185483</v>
      </c>
      <c r="R26" s="45">
        <f t="shared" si="0"/>
        <v>86276.135192463029</v>
      </c>
      <c r="S26" s="45">
        <f t="shared" si="1"/>
        <v>112808.87891101133</v>
      </c>
      <c r="T26" s="45">
        <v>36000</v>
      </c>
      <c r="U26" s="45">
        <f t="shared" si="2"/>
        <v>148808.87891101133</v>
      </c>
    </row>
    <row r="27" spans="2:21" x14ac:dyDescent="0.3">
      <c r="B27" t="s">
        <v>76</v>
      </c>
      <c r="C27" t="s">
        <v>130</v>
      </c>
      <c r="D27" t="s">
        <v>17</v>
      </c>
      <c r="E27" t="s">
        <v>154</v>
      </c>
      <c r="F27" t="s">
        <v>69</v>
      </c>
      <c r="G27">
        <v>2019</v>
      </c>
      <c r="H27" t="s">
        <v>154</v>
      </c>
      <c r="I27">
        <v>16.206961290646301</v>
      </c>
      <c r="J27" s="36">
        <v>0.97146367060579697</v>
      </c>
      <c r="K27">
        <v>3000</v>
      </c>
      <c r="L27">
        <v>78.562830363879897</v>
      </c>
      <c r="M27" s="47">
        <v>10200</v>
      </c>
      <c r="N27">
        <v>500000</v>
      </c>
      <c r="O27">
        <v>100000</v>
      </c>
      <c r="P27">
        <v>400000</v>
      </c>
      <c r="Q27" s="45">
        <v>7621.82914569885</v>
      </c>
      <c r="R27" s="45">
        <f t="shared" si="0"/>
        <v>242611.73960799401</v>
      </c>
      <c r="S27" s="45">
        <f t="shared" si="1"/>
        <v>260433.56875369285</v>
      </c>
      <c r="T27" s="45">
        <v>36000</v>
      </c>
      <c r="U27" s="45">
        <f t="shared" si="2"/>
        <v>296433.56875369285</v>
      </c>
    </row>
    <row r="28" spans="2:21" x14ac:dyDescent="0.3">
      <c r="B28" t="s">
        <v>76</v>
      </c>
      <c r="C28" t="s">
        <v>130</v>
      </c>
      <c r="D28" t="s">
        <v>17</v>
      </c>
      <c r="E28" t="s">
        <v>158</v>
      </c>
      <c r="F28" t="s">
        <v>69</v>
      </c>
      <c r="G28">
        <v>2018</v>
      </c>
      <c r="H28" t="s">
        <v>158</v>
      </c>
      <c r="I28">
        <v>9.9226528824228808</v>
      </c>
      <c r="J28" s="36">
        <v>1.6651510049498299</v>
      </c>
      <c r="K28">
        <v>3000</v>
      </c>
      <c r="L28">
        <v>78.562830363879897</v>
      </c>
      <c r="M28" s="47">
        <v>10500</v>
      </c>
      <c r="N28">
        <v>550000</v>
      </c>
      <c r="O28">
        <v>110000</v>
      </c>
      <c r="P28">
        <v>440000</v>
      </c>
      <c r="Q28" s="45">
        <v>8384.0120602687293</v>
      </c>
      <c r="R28" s="45">
        <f t="shared" si="0"/>
        <v>141541.81235877814</v>
      </c>
      <c r="S28" s="45">
        <f t="shared" si="1"/>
        <v>160425.82441904687</v>
      </c>
      <c r="T28" s="45">
        <v>36000</v>
      </c>
      <c r="U28" s="45">
        <f t="shared" si="2"/>
        <v>196425.82441904687</v>
      </c>
    </row>
    <row r="29" spans="2:21" x14ac:dyDescent="0.3">
      <c r="B29" t="s">
        <v>76</v>
      </c>
      <c r="C29" t="s">
        <v>130</v>
      </c>
      <c r="D29" t="s">
        <v>7</v>
      </c>
      <c r="E29" t="s">
        <v>150</v>
      </c>
      <c r="F29" t="s">
        <v>69</v>
      </c>
      <c r="G29">
        <v>2013</v>
      </c>
      <c r="H29" t="s">
        <v>150</v>
      </c>
      <c r="I29">
        <v>18.889971546597501</v>
      </c>
      <c r="J29" s="36">
        <v>0.790223820322278</v>
      </c>
      <c r="K29">
        <v>3000</v>
      </c>
      <c r="L29">
        <v>78.562830363879897</v>
      </c>
      <c r="M29" s="47">
        <v>10700</v>
      </c>
      <c r="N29">
        <v>400000</v>
      </c>
      <c r="O29">
        <v>80000</v>
      </c>
      <c r="P29">
        <v>320000</v>
      </c>
      <c r="Q29" s="45">
        <v>6097.4633165590803</v>
      </c>
      <c r="R29" s="45">
        <f t="shared" si="0"/>
        <v>298255.36136776861</v>
      </c>
      <c r="S29" s="45">
        <f t="shared" si="1"/>
        <v>315052.8246843277</v>
      </c>
      <c r="T29" s="45">
        <v>36000</v>
      </c>
      <c r="U29" s="45">
        <f t="shared" si="2"/>
        <v>351052.8246843277</v>
      </c>
    </row>
    <row r="30" spans="2:21" x14ac:dyDescent="0.3">
      <c r="B30" t="s">
        <v>76</v>
      </c>
      <c r="C30" t="s">
        <v>130</v>
      </c>
      <c r="D30" t="s">
        <v>7</v>
      </c>
      <c r="E30" t="s">
        <v>158</v>
      </c>
      <c r="F30" t="s">
        <v>156</v>
      </c>
      <c r="G30">
        <v>2015</v>
      </c>
      <c r="H30" t="s">
        <v>158</v>
      </c>
      <c r="I30">
        <v>9.9226528824228808</v>
      </c>
      <c r="J30" s="36">
        <v>1.6651510049498299</v>
      </c>
      <c r="K30">
        <v>3000</v>
      </c>
      <c r="L30">
        <v>78.562830363879897</v>
      </c>
      <c r="M30" s="47">
        <v>10500</v>
      </c>
      <c r="N30">
        <v>550000</v>
      </c>
      <c r="O30">
        <v>110000</v>
      </c>
      <c r="P30">
        <v>440000</v>
      </c>
      <c r="Q30" s="45">
        <v>8384.0120602687293</v>
      </c>
      <c r="R30" s="45">
        <f t="shared" si="0"/>
        <v>141541.81235877814</v>
      </c>
      <c r="S30" s="45">
        <f t="shared" si="1"/>
        <v>160425.82441904687</v>
      </c>
      <c r="T30" s="45">
        <v>36000</v>
      </c>
      <c r="U30" s="45">
        <f t="shared" si="2"/>
        <v>196425.82441904687</v>
      </c>
    </row>
    <row r="31" spans="2:21" x14ac:dyDescent="0.3">
      <c r="B31" t="s">
        <v>71</v>
      </c>
      <c r="C31" t="s">
        <v>127</v>
      </c>
      <c r="D31" t="s">
        <v>30</v>
      </c>
      <c r="E31" t="s">
        <v>154</v>
      </c>
      <c r="F31" t="s">
        <v>69</v>
      </c>
      <c r="G31">
        <v>2013</v>
      </c>
      <c r="H31" t="s">
        <v>154</v>
      </c>
      <c r="I31">
        <v>13.451738176403</v>
      </c>
      <c r="J31" s="36">
        <v>1.4794834103460099</v>
      </c>
      <c r="K31">
        <v>2900</v>
      </c>
      <c r="L31">
        <v>100.490621572495</v>
      </c>
      <c r="M31" s="47">
        <v>7600</v>
      </c>
      <c r="N31">
        <v>500000</v>
      </c>
      <c r="O31">
        <v>100000</v>
      </c>
      <c r="P31">
        <v>400000</v>
      </c>
      <c r="Q31" s="45">
        <v>7621.82914569885</v>
      </c>
      <c r="R31" s="45">
        <f t="shared" si="0"/>
        <v>196976.05294004604</v>
      </c>
      <c r="S31" s="45">
        <f t="shared" si="1"/>
        <v>212197.88208574487</v>
      </c>
      <c r="T31" s="45">
        <v>36000</v>
      </c>
      <c r="U31" s="45">
        <f t="shared" si="2"/>
        <v>248197.88208574487</v>
      </c>
    </row>
    <row r="32" spans="2:21" x14ac:dyDescent="0.3">
      <c r="B32" t="s">
        <v>81</v>
      </c>
      <c r="C32" t="s">
        <v>120</v>
      </c>
      <c r="D32" t="s">
        <v>25</v>
      </c>
      <c r="E32" t="s">
        <v>154</v>
      </c>
      <c r="F32" t="s">
        <v>156</v>
      </c>
      <c r="G32">
        <v>2011</v>
      </c>
      <c r="H32" t="s">
        <v>154</v>
      </c>
      <c r="I32">
        <v>12.3422611593508</v>
      </c>
      <c r="J32" s="36">
        <v>1.4205369964896499</v>
      </c>
      <c r="K32">
        <v>2400</v>
      </c>
      <c r="L32">
        <v>98.228263631632004</v>
      </c>
      <c r="M32" s="47">
        <v>6500</v>
      </c>
      <c r="N32">
        <v>500000</v>
      </c>
      <c r="O32">
        <v>100000</v>
      </c>
      <c r="P32">
        <v>400000</v>
      </c>
      <c r="Q32" s="45">
        <v>7621.82914569885</v>
      </c>
      <c r="R32" s="45">
        <f t="shared" si="0"/>
        <v>165956.84117941553</v>
      </c>
      <c r="S32" s="45">
        <f t="shared" si="1"/>
        <v>180078.67032511436</v>
      </c>
      <c r="T32" s="45">
        <v>36000</v>
      </c>
      <c r="U32" s="45">
        <f t="shared" si="2"/>
        <v>216078.67032511436</v>
      </c>
    </row>
    <row r="33" spans="2:21" x14ac:dyDescent="0.3">
      <c r="B33" t="s">
        <v>75</v>
      </c>
      <c r="C33" t="s">
        <v>146</v>
      </c>
      <c r="D33" t="s">
        <v>12</v>
      </c>
      <c r="E33" t="s">
        <v>149</v>
      </c>
      <c r="F33" t="s">
        <v>151</v>
      </c>
      <c r="G33" t="s">
        <v>162</v>
      </c>
      <c r="H33" t="s">
        <v>161</v>
      </c>
      <c r="I33">
        <v>13.0446429845825</v>
      </c>
      <c r="J33" s="36">
        <v>2.0421365530816198</v>
      </c>
      <c r="K33">
        <v>2900</v>
      </c>
      <c r="L33">
        <v>99.413389578885401</v>
      </c>
      <c r="M33" s="47">
        <v>18700</v>
      </c>
      <c r="N33">
        <v>750000</v>
      </c>
      <c r="O33">
        <v>150000</v>
      </c>
      <c r="P33">
        <v>600000</v>
      </c>
      <c r="Q33" s="45">
        <v>11432.7437185483</v>
      </c>
      <c r="R33" s="45">
        <f t="shared" si="0"/>
        <v>141175.09886580292</v>
      </c>
      <c r="S33" s="45">
        <f t="shared" si="1"/>
        <v>171307.84258435122</v>
      </c>
      <c r="T33" s="45">
        <v>36000</v>
      </c>
      <c r="U33" s="45">
        <f t="shared" si="2"/>
        <v>207307.84258435122</v>
      </c>
    </row>
    <row r="34" spans="2:21" x14ac:dyDescent="0.3">
      <c r="B34" t="s">
        <v>75</v>
      </c>
      <c r="C34" t="s">
        <v>146</v>
      </c>
      <c r="D34" t="s">
        <v>12</v>
      </c>
      <c r="E34" t="s">
        <v>150</v>
      </c>
      <c r="F34" t="s">
        <v>156</v>
      </c>
      <c r="G34">
        <v>2013</v>
      </c>
      <c r="H34" t="s">
        <v>150</v>
      </c>
      <c r="I34">
        <v>17.2946479387608</v>
      </c>
      <c r="J34" s="36">
        <v>1.0764283836997799</v>
      </c>
      <c r="K34">
        <v>2900</v>
      </c>
      <c r="L34">
        <v>99.413389578885401</v>
      </c>
      <c r="M34" s="47">
        <v>11500</v>
      </c>
      <c r="N34">
        <v>400000</v>
      </c>
      <c r="O34">
        <v>80000</v>
      </c>
      <c r="P34">
        <v>320000</v>
      </c>
      <c r="Q34" s="45">
        <v>6097.4633165590803</v>
      </c>
      <c r="R34" s="45">
        <f t="shared" si="0"/>
        <v>267829.08565441112</v>
      </c>
      <c r="S34" s="45">
        <f t="shared" si="1"/>
        <v>285426.54897097021</v>
      </c>
      <c r="T34" s="45">
        <v>36000</v>
      </c>
      <c r="U34" s="45">
        <f t="shared" si="2"/>
        <v>321426.54897097021</v>
      </c>
    </row>
    <row r="35" spans="2:21" x14ac:dyDescent="0.3">
      <c r="B35" t="s">
        <v>76</v>
      </c>
      <c r="C35" t="s">
        <v>130</v>
      </c>
      <c r="D35" t="s">
        <v>42</v>
      </c>
      <c r="E35" t="s">
        <v>154</v>
      </c>
      <c r="F35" t="s">
        <v>156</v>
      </c>
      <c r="G35">
        <v>2015</v>
      </c>
      <c r="H35" t="s">
        <v>154</v>
      </c>
      <c r="I35">
        <v>16.206961290646301</v>
      </c>
      <c r="J35" s="36">
        <v>0.97146367060579697</v>
      </c>
      <c r="K35">
        <v>3000</v>
      </c>
      <c r="L35">
        <v>78.562830363879897</v>
      </c>
      <c r="M35" s="47">
        <v>10200</v>
      </c>
      <c r="N35">
        <v>500000</v>
      </c>
      <c r="O35">
        <v>100000</v>
      </c>
      <c r="P35">
        <v>400000</v>
      </c>
      <c r="Q35" s="45">
        <v>7621.82914569885</v>
      </c>
      <c r="R35" s="45">
        <f t="shared" si="0"/>
        <v>242611.73960799401</v>
      </c>
      <c r="S35" s="45">
        <f t="shared" si="1"/>
        <v>260433.56875369285</v>
      </c>
      <c r="T35" s="45">
        <v>36000</v>
      </c>
      <c r="U35" s="45">
        <f t="shared" si="2"/>
        <v>296433.56875369285</v>
      </c>
    </row>
    <row r="36" spans="2:21" x14ac:dyDescent="0.3">
      <c r="B36" t="s">
        <v>75</v>
      </c>
      <c r="C36" t="s">
        <v>146</v>
      </c>
      <c r="D36" t="s">
        <v>28</v>
      </c>
      <c r="E36" t="s">
        <v>154</v>
      </c>
      <c r="F36" t="s">
        <v>156</v>
      </c>
      <c r="G36">
        <v>2014</v>
      </c>
      <c r="H36" t="s">
        <v>154</v>
      </c>
      <c r="I36">
        <v>6.5028597954101199</v>
      </c>
      <c r="J36" s="36">
        <v>1.2307641755925001</v>
      </c>
      <c r="K36">
        <v>2900</v>
      </c>
      <c r="L36">
        <v>99.413389578885401</v>
      </c>
      <c r="M36" s="47">
        <v>11200</v>
      </c>
      <c r="N36">
        <v>500000</v>
      </c>
      <c r="O36">
        <v>100000</v>
      </c>
      <c r="P36">
        <v>400000</v>
      </c>
      <c r="Q36" s="45">
        <v>7621.82914569885</v>
      </c>
      <c r="R36" s="45">
        <f t="shared" si="0"/>
        <v>234243.76131193305</v>
      </c>
      <c r="S36" s="45">
        <f t="shared" si="1"/>
        <v>253065.59045763192</v>
      </c>
      <c r="T36" s="45">
        <v>36000</v>
      </c>
      <c r="U36" s="45">
        <f t="shared" si="2"/>
        <v>289065.59045763192</v>
      </c>
    </row>
    <row r="37" spans="2:21" x14ac:dyDescent="0.3">
      <c r="B37" t="s">
        <v>72</v>
      </c>
      <c r="C37" t="s">
        <v>135</v>
      </c>
      <c r="D37" t="s">
        <v>46</v>
      </c>
      <c r="E37" t="s">
        <v>150</v>
      </c>
      <c r="F37" t="s">
        <v>69</v>
      </c>
      <c r="G37">
        <v>2012</v>
      </c>
      <c r="H37" t="s">
        <v>150</v>
      </c>
      <c r="I37">
        <v>9.3641429387747799</v>
      </c>
      <c r="J37" s="36">
        <v>0.94298481523669997</v>
      </c>
      <c r="K37">
        <v>2700</v>
      </c>
      <c r="L37">
        <v>113.411129978113</v>
      </c>
      <c r="M37" s="47">
        <v>7800</v>
      </c>
      <c r="N37">
        <v>400000</v>
      </c>
      <c r="O37">
        <v>80000</v>
      </c>
      <c r="P37">
        <v>320000</v>
      </c>
      <c r="Q37" s="45">
        <v>6097.4633165590803</v>
      </c>
      <c r="R37" s="45">
        <f t="shared" si="0"/>
        <v>324724.2649013843</v>
      </c>
      <c r="S37" s="45">
        <f t="shared" si="1"/>
        <v>338621.7282179434</v>
      </c>
      <c r="T37" s="45">
        <v>36000</v>
      </c>
      <c r="U37" s="45">
        <f t="shared" si="2"/>
        <v>374621.7282179434</v>
      </c>
    </row>
    <row r="38" spans="2:21" x14ac:dyDescent="0.3">
      <c r="B38" t="s">
        <v>73</v>
      </c>
      <c r="C38" t="s">
        <v>124</v>
      </c>
      <c r="D38" t="s">
        <v>38</v>
      </c>
      <c r="E38" t="s">
        <v>153</v>
      </c>
      <c r="F38" t="s">
        <v>69</v>
      </c>
      <c r="G38" t="s">
        <v>162</v>
      </c>
      <c r="H38" t="s">
        <v>153</v>
      </c>
      <c r="I38">
        <v>11.216814907083901</v>
      </c>
      <c r="J38" s="36">
        <v>1.4849540362195399</v>
      </c>
      <c r="K38">
        <v>2600</v>
      </c>
      <c r="L38">
        <v>80.841831220499003</v>
      </c>
      <c r="M38" s="47">
        <v>11200</v>
      </c>
      <c r="N38">
        <v>750000</v>
      </c>
      <c r="O38">
        <v>150000</v>
      </c>
      <c r="P38">
        <v>600000</v>
      </c>
      <c r="Q38" s="45">
        <v>11432.7437185483</v>
      </c>
      <c r="R38" s="45">
        <f t="shared" si="0"/>
        <v>141545.63444159192</v>
      </c>
      <c r="S38" s="45">
        <f t="shared" si="1"/>
        <v>164178.37816014022</v>
      </c>
      <c r="T38" s="45">
        <v>36000</v>
      </c>
      <c r="U38" s="45">
        <f t="shared" si="2"/>
        <v>200178.37816014022</v>
      </c>
    </row>
    <row r="39" spans="2:21" x14ac:dyDescent="0.3">
      <c r="B39" t="s">
        <v>71</v>
      </c>
      <c r="C39" t="s">
        <v>127</v>
      </c>
      <c r="D39" t="s">
        <v>23</v>
      </c>
      <c r="E39" t="s">
        <v>152</v>
      </c>
      <c r="F39" t="s">
        <v>151</v>
      </c>
      <c r="G39" t="s">
        <v>162</v>
      </c>
      <c r="H39" t="s">
        <v>163</v>
      </c>
      <c r="I39">
        <v>6.5525461364709203</v>
      </c>
      <c r="J39" s="36">
        <v>6.5900268382448797</v>
      </c>
      <c r="K39">
        <v>2900</v>
      </c>
      <c r="L39">
        <v>100.490621572495</v>
      </c>
      <c r="M39" s="47">
        <v>12500</v>
      </c>
      <c r="N39">
        <v>1150000</v>
      </c>
      <c r="O39">
        <v>230000</v>
      </c>
      <c r="P39">
        <v>920000</v>
      </c>
      <c r="Q39" s="45">
        <v>17530.207035107302</v>
      </c>
      <c r="R39" s="45">
        <f t="shared" si="0"/>
        <v>44221.792977985817</v>
      </c>
      <c r="S39" s="45">
        <f t="shared" si="1"/>
        <v>74252.000013093115</v>
      </c>
      <c r="T39" s="45">
        <v>36000</v>
      </c>
      <c r="U39" s="45">
        <f t="shared" si="2"/>
        <v>110252.00001309311</v>
      </c>
    </row>
    <row r="40" spans="2:21" x14ac:dyDescent="0.3">
      <c r="B40" t="s">
        <v>76</v>
      </c>
      <c r="C40" t="s">
        <v>130</v>
      </c>
      <c r="D40" t="s">
        <v>32</v>
      </c>
      <c r="E40" t="s">
        <v>154</v>
      </c>
      <c r="F40" t="s">
        <v>156</v>
      </c>
      <c r="G40">
        <v>2014</v>
      </c>
      <c r="H40" t="s">
        <v>154</v>
      </c>
      <c r="I40">
        <v>16.206961290646301</v>
      </c>
      <c r="J40" s="36">
        <v>0.97146367060579697</v>
      </c>
      <c r="K40">
        <v>3000</v>
      </c>
      <c r="L40">
        <v>78.562830363879897</v>
      </c>
      <c r="M40" s="47">
        <v>10200</v>
      </c>
      <c r="N40">
        <v>500000</v>
      </c>
      <c r="O40">
        <v>100000</v>
      </c>
      <c r="P40">
        <v>400000</v>
      </c>
      <c r="Q40" s="45">
        <v>7621.82914569885</v>
      </c>
      <c r="R40" s="45">
        <f t="shared" si="0"/>
        <v>242611.73960799401</v>
      </c>
      <c r="S40" s="45">
        <f t="shared" si="1"/>
        <v>260433.56875369285</v>
      </c>
      <c r="T40" s="45">
        <v>36000</v>
      </c>
      <c r="U40" s="45">
        <f t="shared" si="2"/>
        <v>296433.56875369285</v>
      </c>
    </row>
    <row r="41" spans="2:21" x14ac:dyDescent="0.3">
      <c r="B41" t="s">
        <v>79</v>
      </c>
      <c r="C41" t="s">
        <v>143</v>
      </c>
      <c r="D41" t="s">
        <v>3</v>
      </c>
      <c r="E41" t="s">
        <v>159</v>
      </c>
      <c r="F41" t="s">
        <v>156</v>
      </c>
      <c r="G41">
        <v>2014</v>
      </c>
      <c r="H41" t="s">
        <v>159</v>
      </c>
      <c r="I41">
        <v>13.840671454814601</v>
      </c>
      <c r="J41" s="36">
        <v>1.6537934308679101</v>
      </c>
      <c r="K41">
        <v>1800</v>
      </c>
      <c r="L41">
        <v>90.694100434826595</v>
      </c>
      <c r="M41" s="47">
        <v>9300</v>
      </c>
      <c r="N41">
        <v>650000</v>
      </c>
      <c r="O41">
        <v>130000</v>
      </c>
      <c r="P41">
        <v>520000</v>
      </c>
      <c r="Q41" s="45">
        <v>9908.3778894085008</v>
      </c>
      <c r="R41" s="45">
        <f t="shared" si="0"/>
        <v>98712.074758341885</v>
      </c>
      <c r="S41" s="45">
        <f t="shared" si="1"/>
        <v>117920.45264775038</v>
      </c>
      <c r="T41" s="45">
        <v>36000</v>
      </c>
      <c r="U41" s="45">
        <f t="shared" si="2"/>
        <v>153920.45264775038</v>
      </c>
    </row>
    <row r="42" spans="2:21" x14ac:dyDescent="0.3">
      <c r="B42" t="s">
        <v>79</v>
      </c>
      <c r="C42" t="s">
        <v>143</v>
      </c>
      <c r="D42" t="s">
        <v>3</v>
      </c>
      <c r="E42" t="s">
        <v>150</v>
      </c>
      <c r="F42" t="s">
        <v>156</v>
      </c>
      <c r="G42">
        <v>2020</v>
      </c>
      <c r="H42" t="s">
        <v>150</v>
      </c>
      <c r="I42">
        <v>15.2521323624355</v>
      </c>
      <c r="J42" s="36">
        <v>0.44282249549748898</v>
      </c>
      <c r="K42">
        <v>1800</v>
      </c>
      <c r="L42">
        <v>90.694100434826595</v>
      </c>
      <c r="M42" s="47">
        <v>6200</v>
      </c>
      <c r="N42">
        <v>400000</v>
      </c>
      <c r="O42">
        <v>80000</v>
      </c>
      <c r="P42">
        <v>320000</v>
      </c>
      <c r="Q42" s="45">
        <v>6097.4633165590803</v>
      </c>
      <c r="R42" s="45">
        <f t="shared" si="0"/>
        <v>368656.4762236962</v>
      </c>
      <c r="S42" s="45">
        <f t="shared" si="1"/>
        <v>380953.93954025529</v>
      </c>
      <c r="T42" s="45">
        <v>36000</v>
      </c>
      <c r="U42" s="45">
        <f t="shared" si="2"/>
        <v>416953.93954025529</v>
      </c>
    </row>
    <row r="43" spans="2:21" x14ac:dyDescent="0.3">
      <c r="B43" t="s">
        <v>73</v>
      </c>
      <c r="C43" t="s">
        <v>124</v>
      </c>
      <c r="D43" t="s">
        <v>27</v>
      </c>
      <c r="E43" t="s">
        <v>150</v>
      </c>
      <c r="F43" t="s">
        <v>69</v>
      </c>
      <c r="G43">
        <v>2012</v>
      </c>
      <c r="H43" t="s">
        <v>150</v>
      </c>
      <c r="I43">
        <v>7.7853868200690899</v>
      </c>
      <c r="J43" s="36">
        <v>0.75264980525332104</v>
      </c>
      <c r="K43">
        <v>2600</v>
      </c>
      <c r="L43">
        <v>80.841831220499003</v>
      </c>
      <c r="M43" s="47">
        <v>6900</v>
      </c>
      <c r="N43">
        <v>400000</v>
      </c>
      <c r="O43">
        <v>80000</v>
      </c>
      <c r="P43">
        <v>320000</v>
      </c>
      <c r="Q43" s="45">
        <v>6097.4633165590803</v>
      </c>
      <c r="R43" s="45">
        <f t="shared" si="0"/>
        <v>279265.01768316235</v>
      </c>
      <c r="S43" s="45">
        <f t="shared" si="1"/>
        <v>292262.48099972145</v>
      </c>
      <c r="T43" s="45">
        <v>36000</v>
      </c>
      <c r="U43" s="45">
        <f t="shared" si="2"/>
        <v>328262.48099972145</v>
      </c>
    </row>
    <row r="44" spans="2:21" x14ac:dyDescent="0.3">
      <c r="B44" t="s">
        <v>75</v>
      </c>
      <c r="C44" t="s">
        <v>146</v>
      </c>
      <c r="D44" t="s">
        <v>18</v>
      </c>
      <c r="E44" t="s">
        <v>150</v>
      </c>
      <c r="F44" t="s">
        <v>156</v>
      </c>
      <c r="G44">
        <v>2019</v>
      </c>
      <c r="H44" t="s">
        <v>150</v>
      </c>
      <c r="I44">
        <v>17.2946479387608</v>
      </c>
      <c r="J44" s="36">
        <v>1.0764283836997799</v>
      </c>
      <c r="K44">
        <v>2900</v>
      </c>
      <c r="L44">
        <v>99.413389578885401</v>
      </c>
      <c r="M44" s="47">
        <v>11500</v>
      </c>
      <c r="N44">
        <v>400000</v>
      </c>
      <c r="O44">
        <v>80000</v>
      </c>
      <c r="P44">
        <v>320000</v>
      </c>
      <c r="Q44" s="45">
        <v>6097.4633165590803</v>
      </c>
      <c r="R44" s="45">
        <f t="shared" si="0"/>
        <v>267829.08565441112</v>
      </c>
      <c r="S44" s="45">
        <f t="shared" si="1"/>
        <v>285426.54897097021</v>
      </c>
      <c r="T44" s="45">
        <v>36000</v>
      </c>
      <c r="U44" s="45">
        <f t="shared" si="2"/>
        <v>321426.54897097021</v>
      </c>
    </row>
    <row r="45" spans="2:21" x14ac:dyDescent="0.3">
      <c r="B45" t="s">
        <v>71</v>
      </c>
      <c r="C45" t="s">
        <v>127</v>
      </c>
      <c r="D45" t="s">
        <v>2</v>
      </c>
      <c r="E45" t="s">
        <v>152</v>
      </c>
      <c r="F45" t="s">
        <v>151</v>
      </c>
      <c r="G45" t="s">
        <v>162</v>
      </c>
      <c r="H45" t="s">
        <v>163</v>
      </c>
      <c r="I45">
        <v>6.5525461364709203</v>
      </c>
      <c r="J45" s="36">
        <v>6.5900268382448797</v>
      </c>
      <c r="K45">
        <v>2900</v>
      </c>
      <c r="L45">
        <v>100.490621572495</v>
      </c>
      <c r="M45" s="47">
        <v>12500</v>
      </c>
      <c r="N45">
        <v>1150000</v>
      </c>
      <c r="O45">
        <v>230000</v>
      </c>
      <c r="P45">
        <v>920000</v>
      </c>
      <c r="Q45" s="45">
        <v>17530.207035107302</v>
      </c>
      <c r="R45" s="45">
        <f t="shared" si="0"/>
        <v>44221.792977985817</v>
      </c>
      <c r="S45" s="45">
        <f t="shared" si="1"/>
        <v>74252.000013093115</v>
      </c>
      <c r="T45" s="45">
        <v>36000</v>
      </c>
      <c r="U45" s="45">
        <f t="shared" si="2"/>
        <v>110252.00001309311</v>
      </c>
    </row>
    <row r="46" spans="2:21" x14ac:dyDescent="0.3">
      <c r="B46" t="s">
        <v>72</v>
      </c>
      <c r="C46" t="s">
        <v>135</v>
      </c>
      <c r="D46" t="s">
        <v>44</v>
      </c>
      <c r="E46" t="s">
        <v>150</v>
      </c>
      <c r="F46" t="s">
        <v>156</v>
      </c>
      <c r="G46">
        <v>2020</v>
      </c>
      <c r="H46" t="s">
        <v>150</v>
      </c>
      <c r="I46">
        <v>9.3641429387747799</v>
      </c>
      <c r="J46" s="36">
        <v>0.94298481523669997</v>
      </c>
      <c r="K46">
        <v>2700</v>
      </c>
      <c r="L46">
        <v>113.411129978113</v>
      </c>
      <c r="M46" s="47">
        <v>7800</v>
      </c>
      <c r="N46">
        <v>400000</v>
      </c>
      <c r="O46">
        <v>80000</v>
      </c>
      <c r="P46">
        <v>320000</v>
      </c>
      <c r="Q46" s="45">
        <v>6097.4633165590803</v>
      </c>
      <c r="R46" s="45">
        <f t="shared" si="0"/>
        <v>324724.2649013843</v>
      </c>
      <c r="S46" s="45">
        <f t="shared" si="1"/>
        <v>338621.7282179434</v>
      </c>
      <c r="T46" s="45">
        <v>36000</v>
      </c>
      <c r="U46" s="45">
        <f t="shared" si="2"/>
        <v>374621.7282179434</v>
      </c>
    </row>
    <row r="47" spans="2:21" x14ac:dyDescent="0.3">
      <c r="B47" t="s">
        <v>76</v>
      </c>
      <c r="C47" t="s">
        <v>130</v>
      </c>
      <c r="D47" t="s">
        <v>33</v>
      </c>
      <c r="E47" t="s">
        <v>158</v>
      </c>
      <c r="F47" t="s">
        <v>156</v>
      </c>
      <c r="G47">
        <v>2014</v>
      </c>
      <c r="H47" t="s">
        <v>158</v>
      </c>
      <c r="I47">
        <v>9.9226528824228808</v>
      </c>
      <c r="J47" s="36">
        <v>1.6651510049498299</v>
      </c>
      <c r="K47">
        <v>3000</v>
      </c>
      <c r="L47">
        <v>78.562830363879897</v>
      </c>
      <c r="M47" s="47">
        <v>10500</v>
      </c>
      <c r="N47">
        <v>550000</v>
      </c>
      <c r="O47">
        <v>110000</v>
      </c>
      <c r="P47">
        <v>440000</v>
      </c>
      <c r="Q47" s="45">
        <v>8384.0120602687293</v>
      </c>
      <c r="R47" s="45">
        <f t="shared" si="0"/>
        <v>141541.81235877814</v>
      </c>
      <c r="S47" s="45">
        <f t="shared" si="1"/>
        <v>160425.82441904687</v>
      </c>
      <c r="T47" s="45">
        <v>36000</v>
      </c>
      <c r="U47" s="45">
        <f t="shared" si="2"/>
        <v>196425.82441904687</v>
      </c>
    </row>
    <row r="48" spans="2:21" x14ac:dyDescent="0.3">
      <c r="B48" t="s">
        <v>76</v>
      </c>
      <c r="C48" t="s">
        <v>130</v>
      </c>
      <c r="D48" t="s">
        <v>33</v>
      </c>
      <c r="E48" t="s">
        <v>154</v>
      </c>
      <c r="F48" t="s">
        <v>156</v>
      </c>
      <c r="G48">
        <v>2018</v>
      </c>
      <c r="H48" t="s">
        <v>154</v>
      </c>
      <c r="I48">
        <v>16.206961290646301</v>
      </c>
      <c r="J48" s="36">
        <v>0.97146367060579697</v>
      </c>
      <c r="K48">
        <v>3000</v>
      </c>
      <c r="L48">
        <v>78.562830363879897</v>
      </c>
      <c r="M48" s="47">
        <v>10200</v>
      </c>
      <c r="N48">
        <v>500000</v>
      </c>
      <c r="O48">
        <v>100000</v>
      </c>
      <c r="P48">
        <v>400000</v>
      </c>
      <c r="Q48" s="45">
        <v>7621.82914569885</v>
      </c>
      <c r="R48" s="45">
        <f t="shared" si="0"/>
        <v>242611.73960799401</v>
      </c>
      <c r="S48" s="45">
        <f t="shared" si="1"/>
        <v>260433.56875369285</v>
      </c>
      <c r="T48" s="45">
        <v>36000</v>
      </c>
      <c r="U48" s="45">
        <f t="shared" si="2"/>
        <v>296433.56875369285</v>
      </c>
    </row>
    <row r="49" spans="2:21" x14ac:dyDescent="0.3">
      <c r="B49" t="s">
        <v>82</v>
      </c>
      <c r="C49" t="s">
        <v>139</v>
      </c>
      <c r="D49" t="s">
        <v>43</v>
      </c>
      <c r="E49" t="s">
        <v>150</v>
      </c>
      <c r="F49" t="s">
        <v>156</v>
      </c>
      <c r="G49">
        <v>2015</v>
      </c>
      <c r="H49" t="s">
        <v>150</v>
      </c>
      <c r="I49">
        <v>10.1734100421736</v>
      </c>
      <c r="J49" s="36">
        <v>1.0209760975304201</v>
      </c>
      <c r="K49">
        <v>1800</v>
      </c>
      <c r="L49">
        <v>81.927096694379998</v>
      </c>
      <c r="M49" s="47">
        <v>9700</v>
      </c>
      <c r="N49">
        <v>400000</v>
      </c>
      <c r="O49">
        <v>80000</v>
      </c>
      <c r="P49">
        <v>320000</v>
      </c>
      <c r="Q49" s="45">
        <v>6097.4633165590803</v>
      </c>
      <c r="R49" s="45">
        <f t="shared" si="0"/>
        <v>144439.00734462606</v>
      </c>
      <c r="S49" s="45">
        <f t="shared" si="1"/>
        <v>160236.47066118516</v>
      </c>
      <c r="T49" s="45">
        <v>36000</v>
      </c>
      <c r="U49" s="45">
        <f t="shared" si="2"/>
        <v>196236.47066118516</v>
      </c>
    </row>
    <row r="50" spans="2:21" x14ac:dyDescent="0.3">
      <c r="B50" t="s">
        <v>83</v>
      </c>
      <c r="C50" t="s">
        <v>141</v>
      </c>
      <c r="D50" t="s">
        <v>20</v>
      </c>
      <c r="E50" t="s">
        <v>153</v>
      </c>
      <c r="F50" t="s">
        <v>69</v>
      </c>
      <c r="G50">
        <v>2019</v>
      </c>
      <c r="H50" t="s">
        <v>153</v>
      </c>
      <c r="I50">
        <v>8.6217992604575695</v>
      </c>
      <c r="J50" s="36">
        <v>1.79032124444922</v>
      </c>
      <c r="K50">
        <v>2000</v>
      </c>
      <c r="L50">
        <v>99.377580279295699</v>
      </c>
      <c r="M50" s="47">
        <v>10200</v>
      </c>
      <c r="N50">
        <v>750000</v>
      </c>
      <c r="O50">
        <v>150000</v>
      </c>
      <c r="P50">
        <v>600000</v>
      </c>
      <c r="Q50" s="45">
        <v>11432.7437185483</v>
      </c>
      <c r="R50" s="45">
        <f t="shared" si="0"/>
        <v>111016.47884412891</v>
      </c>
      <c r="S50" s="45">
        <f t="shared" si="1"/>
        <v>132649.22256267723</v>
      </c>
      <c r="T50" s="45">
        <v>36000</v>
      </c>
      <c r="U50" s="45">
        <f t="shared" si="2"/>
        <v>168649.22256267723</v>
      </c>
    </row>
    <row r="51" spans="2:21" x14ac:dyDescent="0.3">
      <c r="B51" t="s">
        <v>83</v>
      </c>
      <c r="C51" t="s">
        <v>141</v>
      </c>
      <c r="D51" t="s">
        <v>20</v>
      </c>
      <c r="E51" t="s">
        <v>153</v>
      </c>
      <c r="F51" t="s">
        <v>156</v>
      </c>
      <c r="G51">
        <v>2018</v>
      </c>
      <c r="H51" t="s">
        <v>153</v>
      </c>
      <c r="I51">
        <v>8.6217992604575695</v>
      </c>
      <c r="J51" s="36">
        <v>1.79032124444922</v>
      </c>
      <c r="K51">
        <v>2000</v>
      </c>
      <c r="L51">
        <v>99.377580279295699</v>
      </c>
      <c r="M51" s="47">
        <v>10200</v>
      </c>
      <c r="N51">
        <v>750000</v>
      </c>
      <c r="O51">
        <v>150000</v>
      </c>
      <c r="P51">
        <v>600000</v>
      </c>
      <c r="Q51" s="45">
        <v>11432.7437185483</v>
      </c>
      <c r="R51" s="45">
        <f t="shared" si="0"/>
        <v>111016.47884412891</v>
      </c>
      <c r="S51" s="45">
        <f t="shared" si="1"/>
        <v>132649.22256267723</v>
      </c>
      <c r="T51" s="45">
        <v>36000</v>
      </c>
      <c r="U51" s="45">
        <f t="shared" si="2"/>
        <v>168649.22256267723</v>
      </c>
    </row>
    <row r="52" spans="2:21" x14ac:dyDescent="0.3">
      <c r="B52" t="s">
        <v>71</v>
      </c>
      <c r="C52" t="s">
        <v>127</v>
      </c>
      <c r="D52" t="s">
        <v>19</v>
      </c>
      <c r="E52" t="s">
        <v>152</v>
      </c>
      <c r="F52" t="s">
        <v>151</v>
      </c>
      <c r="G52" t="s">
        <v>162</v>
      </c>
      <c r="H52" t="s">
        <v>163</v>
      </c>
      <c r="I52">
        <v>6.5525461364709203</v>
      </c>
      <c r="J52" s="36">
        <v>6.5900268382448797</v>
      </c>
      <c r="K52">
        <v>2900</v>
      </c>
      <c r="L52">
        <v>100.490621572495</v>
      </c>
      <c r="M52" s="47">
        <v>12500</v>
      </c>
      <c r="N52">
        <v>1150000</v>
      </c>
      <c r="O52">
        <v>230000</v>
      </c>
      <c r="P52">
        <v>920000</v>
      </c>
      <c r="Q52" s="45">
        <v>17530.207035107302</v>
      </c>
      <c r="R52" s="45">
        <f t="shared" si="0"/>
        <v>44221.792977985817</v>
      </c>
      <c r="S52" s="45">
        <f t="shared" si="1"/>
        <v>74252.000013093115</v>
      </c>
      <c r="T52" s="45">
        <v>36000</v>
      </c>
      <c r="U52" s="45">
        <f t="shared" si="2"/>
        <v>110252.00001309311</v>
      </c>
    </row>
    <row r="53" spans="2:21" x14ac:dyDescent="0.3">
      <c r="B53" t="s">
        <v>73</v>
      </c>
      <c r="C53" t="s">
        <v>124</v>
      </c>
      <c r="D53" t="s">
        <v>40</v>
      </c>
      <c r="E53" t="s">
        <v>153</v>
      </c>
      <c r="F53" t="s">
        <v>69</v>
      </c>
      <c r="G53">
        <v>2011</v>
      </c>
      <c r="H53" t="s">
        <v>153</v>
      </c>
      <c r="I53">
        <v>11.216814907083901</v>
      </c>
      <c r="J53" s="36">
        <v>1.4849540362195399</v>
      </c>
      <c r="K53">
        <v>2600</v>
      </c>
      <c r="L53">
        <v>80.841831220499003</v>
      </c>
      <c r="M53" s="47">
        <v>11200</v>
      </c>
      <c r="N53">
        <v>750000</v>
      </c>
      <c r="O53">
        <v>150000</v>
      </c>
      <c r="P53">
        <v>600000</v>
      </c>
      <c r="Q53" s="45">
        <v>11432.7437185483</v>
      </c>
      <c r="R53" s="45">
        <f t="shared" si="0"/>
        <v>141545.63444159192</v>
      </c>
      <c r="S53" s="45">
        <f t="shared" si="1"/>
        <v>164178.37816014022</v>
      </c>
      <c r="T53" s="45">
        <v>36000</v>
      </c>
      <c r="U53" s="45">
        <f t="shared" si="2"/>
        <v>200178.37816014022</v>
      </c>
    </row>
    <row r="54" spans="2:21" x14ac:dyDescent="0.3">
      <c r="B54" t="s">
        <v>76</v>
      </c>
      <c r="C54" t="s">
        <v>130</v>
      </c>
      <c r="D54" t="s">
        <v>47</v>
      </c>
      <c r="E54" t="s">
        <v>154</v>
      </c>
      <c r="F54" t="s">
        <v>156</v>
      </c>
      <c r="G54">
        <v>2015</v>
      </c>
      <c r="H54" t="s">
        <v>154</v>
      </c>
      <c r="I54">
        <v>16.206961290646301</v>
      </c>
      <c r="J54" s="36">
        <v>0.97146367060579697</v>
      </c>
      <c r="K54">
        <v>3000</v>
      </c>
      <c r="L54">
        <v>78.562830363879897</v>
      </c>
      <c r="M54" s="47">
        <v>10200</v>
      </c>
      <c r="N54">
        <v>500000</v>
      </c>
      <c r="O54">
        <v>100000</v>
      </c>
      <c r="P54">
        <v>400000</v>
      </c>
      <c r="Q54" s="45">
        <v>7621.82914569885</v>
      </c>
      <c r="R54" s="45">
        <f t="shared" si="0"/>
        <v>242611.73960799401</v>
      </c>
      <c r="S54" s="45">
        <f t="shared" si="1"/>
        <v>260433.56875369285</v>
      </c>
      <c r="T54" s="45">
        <v>36000</v>
      </c>
      <c r="U54" s="45">
        <f t="shared" si="2"/>
        <v>296433.56875369285</v>
      </c>
    </row>
    <row r="55" spans="2:21" x14ac:dyDescent="0.3">
      <c r="B55" t="s">
        <v>75</v>
      </c>
      <c r="C55" t="s">
        <v>146</v>
      </c>
      <c r="D55" t="s">
        <v>26</v>
      </c>
      <c r="E55" t="s">
        <v>150</v>
      </c>
      <c r="F55" t="s">
        <v>156</v>
      </c>
      <c r="G55">
        <v>2019</v>
      </c>
      <c r="H55" t="s">
        <v>150</v>
      </c>
      <c r="I55">
        <v>17.2946479387608</v>
      </c>
      <c r="J55" s="36">
        <v>1.0764283836997799</v>
      </c>
      <c r="K55">
        <v>2900</v>
      </c>
      <c r="L55">
        <v>99.413389578885401</v>
      </c>
      <c r="M55" s="47">
        <v>11500</v>
      </c>
      <c r="N55">
        <v>400000</v>
      </c>
      <c r="O55">
        <v>80000</v>
      </c>
      <c r="P55">
        <v>320000</v>
      </c>
      <c r="Q55" s="45">
        <v>6097.4633165590803</v>
      </c>
      <c r="R55" s="45">
        <f t="shared" si="0"/>
        <v>267829.08565441112</v>
      </c>
      <c r="S55" s="45">
        <f t="shared" si="1"/>
        <v>285426.54897097021</v>
      </c>
      <c r="T55" s="45">
        <v>36000</v>
      </c>
      <c r="U55" s="45">
        <f t="shared" si="2"/>
        <v>321426.54897097021</v>
      </c>
    </row>
    <row r="56" spans="2:21" x14ac:dyDescent="0.3">
      <c r="B56" t="s">
        <v>73</v>
      </c>
      <c r="C56" t="s">
        <v>124</v>
      </c>
      <c r="D56" t="s">
        <v>34</v>
      </c>
      <c r="E56" t="s">
        <v>152</v>
      </c>
      <c r="F56" t="s">
        <v>151</v>
      </c>
      <c r="G56" t="s">
        <v>162</v>
      </c>
      <c r="H56" t="s">
        <v>163</v>
      </c>
      <c r="I56">
        <v>4.6995094079618696</v>
      </c>
      <c r="J56" s="36">
        <v>2.6680743558814202</v>
      </c>
      <c r="K56">
        <v>2600</v>
      </c>
      <c r="L56">
        <v>80.841831220499003</v>
      </c>
      <c r="M56" s="47">
        <v>11200</v>
      </c>
      <c r="N56">
        <v>1150000</v>
      </c>
      <c r="O56">
        <v>230000</v>
      </c>
      <c r="P56">
        <v>920000</v>
      </c>
      <c r="Q56" s="45">
        <v>17530.207035107302</v>
      </c>
      <c r="R56" s="45">
        <f t="shared" si="0"/>
        <v>78779.199204086588</v>
      </c>
      <c r="S56" s="45">
        <f t="shared" si="1"/>
        <v>107509.40623919389</v>
      </c>
      <c r="T56" s="45">
        <v>36000</v>
      </c>
      <c r="U56" s="45">
        <f t="shared" si="2"/>
        <v>143509.40623919389</v>
      </c>
    </row>
    <row r="57" spans="2:21" x14ac:dyDescent="0.3">
      <c r="B57" t="s">
        <v>73</v>
      </c>
      <c r="C57" t="s">
        <v>124</v>
      </c>
      <c r="D57" t="s">
        <v>34</v>
      </c>
      <c r="E57" t="s">
        <v>153</v>
      </c>
      <c r="F57" t="s">
        <v>69</v>
      </c>
      <c r="G57">
        <v>2018</v>
      </c>
      <c r="H57" t="s">
        <v>153</v>
      </c>
      <c r="I57">
        <v>11.216814907083901</v>
      </c>
      <c r="J57" s="36">
        <v>1.4849540362195399</v>
      </c>
      <c r="K57">
        <v>2600</v>
      </c>
      <c r="L57">
        <v>80.841831220499003</v>
      </c>
      <c r="M57" s="47">
        <v>11200</v>
      </c>
      <c r="N57">
        <v>750000</v>
      </c>
      <c r="O57">
        <v>150000</v>
      </c>
      <c r="P57">
        <v>600000</v>
      </c>
      <c r="Q57" s="45">
        <v>11432.7437185483</v>
      </c>
      <c r="R57" s="45">
        <f t="shared" si="0"/>
        <v>141545.63444159192</v>
      </c>
      <c r="S57" s="45">
        <f t="shared" si="1"/>
        <v>164178.37816014022</v>
      </c>
      <c r="T57" s="45">
        <v>36000</v>
      </c>
      <c r="U57" s="45">
        <f t="shared" si="2"/>
        <v>200178.37816014022</v>
      </c>
    </row>
    <row r="58" spans="2:21" x14ac:dyDescent="0.3">
      <c r="B58" t="s">
        <v>73</v>
      </c>
      <c r="C58" t="s">
        <v>124</v>
      </c>
      <c r="D58" t="s">
        <v>34</v>
      </c>
      <c r="E58" t="s">
        <v>159</v>
      </c>
      <c r="F58" t="s">
        <v>69</v>
      </c>
      <c r="G58">
        <v>2018</v>
      </c>
      <c r="H58" t="s">
        <v>159</v>
      </c>
      <c r="I58">
        <v>8.0856008470429597</v>
      </c>
      <c r="J58" s="36">
        <v>1.20079363304168</v>
      </c>
      <c r="K58">
        <v>2600</v>
      </c>
      <c r="L58">
        <v>80.841831220499003</v>
      </c>
      <c r="M58" s="47">
        <v>9800</v>
      </c>
      <c r="N58">
        <v>650000</v>
      </c>
      <c r="O58">
        <v>130000</v>
      </c>
      <c r="P58">
        <v>520000</v>
      </c>
      <c r="Q58" s="45">
        <v>9908.3778894085008</v>
      </c>
      <c r="R58" s="45">
        <f t="shared" si="0"/>
        <v>175041.5353559771</v>
      </c>
      <c r="S58" s="45">
        <f t="shared" si="1"/>
        <v>194749.9132453856</v>
      </c>
      <c r="T58" s="45">
        <v>36000</v>
      </c>
      <c r="U58" s="45">
        <f t="shared" si="2"/>
        <v>230749.9132453856</v>
      </c>
    </row>
    <row r="59" spans="2:21" x14ac:dyDescent="0.3">
      <c r="B59" t="s">
        <v>73</v>
      </c>
      <c r="C59" t="s">
        <v>124</v>
      </c>
      <c r="D59" t="s">
        <v>34</v>
      </c>
      <c r="E59" t="s">
        <v>150</v>
      </c>
      <c r="F59" t="s">
        <v>69</v>
      </c>
      <c r="G59">
        <v>2014</v>
      </c>
      <c r="H59" t="s">
        <v>150</v>
      </c>
      <c r="I59">
        <v>7.7853868200690899</v>
      </c>
      <c r="J59" s="36">
        <v>0.75264980525332104</v>
      </c>
      <c r="K59">
        <v>2600</v>
      </c>
      <c r="L59">
        <v>80.841831220499003</v>
      </c>
      <c r="M59" s="47">
        <v>6900</v>
      </c>
      <c r="N59">
        <v>400000</v>
      </c>
      <c r="O59">
        <v>80000</v>
      </c>
      <c r="P59">
        <v>320000</v>
      </c>
      <c r="Q59" s="45">
        <v>6097.4633165590803</v>
      </c>
      <c r="R59" s="45">
        <f t="shared" si="0"/>
        <v>279265.01768316235</v>
      </c>
      <c r="S59" s="45">
        <f t="shared" si="1"/>
        <v>292262.48099972145</v>
      </c>
      <c r="T59" s="45">
        <v>36000</v>
      </c>
      <c r="U59" s="45">
        <f t="shared" si="2"/>
        <v>328262.48099972145</v>
      </c>
    </row>
    <row r="60" spans="2:21" x14ac:dyDescent="0.3">
      <c r="B60" t="s">
        <v>77</v>
      </c>
      <c r="C60" t="s">
        <v>123</v>
      </c>
      <c r="D60" t="s">
        <v>35</v>
      </c>
      <c r="E60" t="s">
        <v>153</v>
      </c>
      <c r="F60" t="s">
        <v>69</v>
      </c>
      <c r="G60">
        <v>2019</v>
      </c>
      <c r="H60" t="s">
        <v>153</v>
      </c>
      <c r="I60">
        <v>12.660297306770699</v>
      </c>
      <c r="J60" s="36">
        <v>0.76558845019723099</v>
      </c>
      <c r="K60">
        <v>1800</v>
      </c>
      <c r="L60">
        <v>94.581378550804004</v>
      </c>
      <c r="M60" s="47">
        <v>11800</v>
      </c>
      <c r="N60">
        <v>750000</v>
      </c>
      <c r="O60">
        <v>150000</v>
      </c>
      <c r="P60">
        <v>600000</v>
      </c>
      <c r="Q60" s="45">
        <v>11432.7437185483</v>
      </c>
      <c r="R60" s="45">
        <f t="shared" si="0"/>
        <v>222373.36698011614</v>
      </c>
      <c r="S60" s="45">
        <f t="shared" si="1"/>
        <v>245606.11069866444</v>
      </c>
      <c r="T60" s="45">
        <v>36000</v>
      </c>
      <c r="U60" s="45">
        <f t="shared" si="2"/>
        <v>281606.11069866444</v>
      </c>
    </row>
    <row r="61" spans="2:21" x14ac:dyDescent="0.3">
      <c r="B61" t="s">
        <v>70</v>
      </c>
      <c r="C61" t="s">
        <v>148</v>
      </c>
      <c r="D61" t="s">
        <v>9</v>
      </c>
      <c r="E61" t="s">
        <v>160</v>
      </c>
      <c r="F61" t="s">
        <v>151</v>
      </c>
      <c r="G61" t="s">
        <v>162</v>
      </c>
      <c r="H61" t="s">
        <v>165</v>
      </c>
      <c r="I61">
        <v>7</v>
      </c>
      <c r="J61" s="36">
        <v>6.5</v>
      </c>
      <c r="K61">
        <v>1600</v>
      </c>
      <c r="L61">
        <v>92.3</v>
      </c>
      <c r="M61" s="47">
        <v>11080</v>
      </c>
      <c r="N61">
        <v>1250000</v>
      </c>
      <c r="O61">
        <v>250000</v>
      </c>
      <c r="P61">
        <v>1000000</v>
      </c>
      <c r="Q61" s="45">
        <v>19054.5728642471</v>
      </c>
      <c r="R61" s="45">
        <f t="shared" si="0"/>
        <v>22720</v>
      </c>
      <c r="S61" s="45">
        <f t="shared" si="1"/>
        <v>52854.5728642471</v>
      </c>
      <c r="T61" s="45">
        <v>36000</v>
      </c>
      <c r="U61" s="45">
        <f t="shared" si="2"/>
        <v>88854.572864247108</v>
      </c>
    </row>
    <row r="62" spans="2:21" x14ac:dyDescent="0.3">
      <c r="B62" t="s">
        <v>78</v>
      </c>
      <c r="C62" t="s">
        <v>122</v>
      </c>
      <c r="D62" t="s">
        <v>8</v>
      </c>
      <c r="E62" t="s">
        <v>154</v>
      </c>
      <c r="F62" t="s">
        <v>69</v>
      </c>
      <c r="G62">
        <v>2010</v>
      </c>
      <c r="H62" t="s">
        <v>154</v>
      </c>
      <c r="I62">
        <v>17.133678707427698</v>
      </c>
      <c r="J62" s="36">
        <v>1.8308787786446801</v>
      </c>
      <c r="K62">
        <v>3100</v>
      </c>
      <c r="L62">
        <v>93.069310566121402</v>
      </c>
      <c r="M62" s="47">
        <v>11700</v>
      </c>
      <c r="N62">
        <v>500000</v>
      </c>
      <c r="O62">
        <v>100000</v>
      </c>
      <c r="P62">
        <v>400000</v>
      </c>
      <c r="Q62" s="45">
        <v>7621.82914569885</v>
      </c>
      <c r="R62" s="45">
        <f t="shared" si="0"/>
        <v>157582.72263582153</v>
      </c>
      <c r="S62" s="45">
        <f t="shared" si="1"/>
        <v>176904.55178152036</v>
      </c>
      <c r="T62" s="45">
        <v>36000</v>
      </c>
      <c r="U62" s="45">
        <f t="shared" si="2"/>
        <v>212904.55178152036</v>
      </c>
    </row>
    <row r="63" spans="2:21" x14ac:dyDescent="0.3">
      <c r="B63" t="s">
        <v>78</v>
      </c>
      <c r="C63" t="s">
        <v>122</v>
      </c>
      <c r="D63" t="s">
        <v>14</v>
      </c>
      <c r="E63" t="s">
        <v>154</v>
      </c>
      <c r="F63" t="s">
        <v>69</v>
      </c>
      <c r="G63">
        <v>2015</v>
      </c>
      <c r="H63" t="s">
        <v>154</v>
      </c>
      <c r="I63">
        <v>17.133678707427698</v>
      </c>
      <c r="J63" s="36">
        <v>1.8308787786446801</v>
      </c>
      <c r="K63">
        <v>3100</v>
      </c>
      <c r="L63">
        <v>93.069310566121402</v>
      </c>
      <c r="M63" s="47">
        <v>11700</v>
      </c>
      <c r="N63">
        <v>500000</v>
      </c>
      <c r="O63">
        <v>100000</v>
      </c>
      <c r="P63">
        <v>400000</v>
      </c>
      <c r="Q63" s="45">
        <v>7621.82914569885</v>
      </c>
      <c r="R63" s="45">
        <f t="shared" si="0"/>
        <v>157582.72263582153</v>
      </c>
      <c r="S63" s="45">
        <f t="shared" si="1"/>
        <v>176904.55178152036</v>
      </c>
      <c r="T63" s="45">
        <v>36000</v>
      </c>
      <c r="U63" s="45">
        <f t="shared" si="2"/>
        <v>212904.55178152036</v>
      </c>
    </row>
    <row r="64" spans="2:21" x14ac:dyDescent="0.3">
      <c r="B64" t="s">
        <v>76</v>
      </c>
      <c r="C64" t="s">
        <v>130</v>
      </c>
      <c r="D64" t="s">
        <v>13</v>
      </c>
      <c r="E64" t="s">
        <v>149</v>
      </c>
      <c r="F64" t="s">
        <v>69</v>
      </c>
      <c r="G64">
        <v>2015</v>
      </c>
      <c r="H64" t="s">
        <v>161</v>
      </c>
      <c r="I64">
        <v>12.59788543576</v>
      </c>
      <c r="J64" s="36">
        <v>2.7317924077831099</v>
      </c>
      <c r="K64">
        <v>3000</v>
      </c>
      <c r="L64">
        <v>78.562830363879897</v>
      </c>
      <c r="M64" s="47">
        <v>15100</v>
      </c>
      <c r="N64">
        <v>750000</v>
      </c>
      <c r="O64">
        <v>150000</v>
      </c>
      <c r="P64">
        <v>600000</v>
      </c>
      <c r="Q64" s="45">
        <v>11432.7437185483</v>
      </c>
      <c r="R64" s="45">
        <f t="shared" si="0"/>
        <v>86276.135192463029</v>
      </c>
      <c r="S64" s="45">
        <f t="shared" si="1"/>
        <v>112808.87891101133</v>
      </c>
      <c r="T64" s="45">
        <v>36000</v>
      </c>
      <c r="U64" s="45">
        <f t="shared" si="2"/>
        <v>148808.87891101133</v>
      </c>
    </row>
    <row r="65" spans="21:21" x14ac:dyDescent="0.3">
      <c r="U65" s="45">
        <f>SUM(U2:U64)</f>
        <v>13985952.639995644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B6FA4-9508-439A-87AD-BA8982CD889B}">
  <sheetPr>
    <outlinePr summaryBelow="0" summaryRight="0"/>
  </sheetPr>
  <dimension ref="A1:AM69"/>
  <sheetViews>
    <sheetView topLeftCell="A40" zoomScaleNormal="100" workbookViewId="0">
      <selection activeCell="C2" sqref="C2"/>
    </sheetView>
  </sheetViews>
  <sheetFormatPr defaultColWidth="12.5546875" defaultRowHeight="15.75" customHeight="1" x14ac:dyDescent="0.3"/>
  <cols>
    <col min="1" max="1" width="7.6640625" style="5" customWidth="1"/>
    <col min="2" max="2" width="32.88671875" style="5" bestFit="1" customWidth="1"/>
    <col min="3" max="3" width="17.33203125" style="5" bestFit="1" customWidth="1"/>
    <col min="4" max="4" width="13" style="5" customWidth="1"/>
    <col min="5" max="5" width="15.109375" style="5" customWidth="1"/>
    <col min="6" max="6" width="12" style="5" customWidth="1"/>
    <col min="7" max="8" width="11.109375" style="5" customWidth="1"/>
    <col min="9" max="9" width="0" style="5" hidden="1" customWidth="1"/>
    <col min="10" max="10" width="11.33203125" style="5" hidden="1" customWidth="1"/>
    <col min="11" max="11" width="15" style="5" hidden="1" customWidth="1"/>
    <col min="12" max="12" width="18" style="5" hidden="1" customWidth="1"/>
    <col min="13" max="13" width="11.109375" style="5" hidden="1" customWidth="1"/>
    <col min="14" max="14" width="17.5546875" style="5" hidden="1" customWidth="1"/>
    <col min="15" max="15" width="15" style="5" hidden="1" customWidth="1"/>
    <col min="16" max="19" width="0" style="5" hidden="1" customWidth="1"/>
    <col min="20" max="20" width="6.109375" style="5" hidden="1" customWidth="1"/>
    <col min="21" max="21" width="10.44140625" style="5" customWidth="1"/>
    <col min="22" max="22" width="8.5546875" style="5" customWidth="1"/>
    <col min="23" max="23" width="6.88671875" style="5" customWidth="1"/>
    <col min="24" max="24" width="10.88671875" style="5" customWidth="1"/>
    <col min="25" max="25" width="10.5546875" style="5" customWidth="1"/>
    <col min="26" max="26" width="12.6640625" style="5" customWidth="1"/>
    <col min="27" max="27" width="13" style="5" customWidth="1"/>
    <col min="28" max="31" width="17.5546875" style="5" customWidth="1"/>
    <col min="32" max="32" width="14.88671875" style="5" customWidth="1"/>
    <col min="33" max="33" width="19.5546875" style="5" customWidth="1"/>
    <col min="34" max="34" width="22.6640625" style="5" customWidth="1"/>
    <col min="35" max="35" width="11.33203125" style="5" customWidth="1"/>
    <col min="36" max="36" width="14.5546875" style="5" customWidth="1"/>
    <col min="37" max="37" width="12.5546875" style="5"/>
    <col min="38" max="38" width="12.6640625" style="5" customWidth="1"/>
    <col min="39" max="16384" width="12.5546875" style="5"/>
  </cols>
  <sheetData>
    <row r="1" spans="1:39" ht="15.75" customHeight="1" x14ac:dyDescent="0.3">
      <c r="A1" s="48" t="s">
        <v>84</v>
      </c>
      <c r="B1" s="48" t="s">
        <v>85</v>
      </c>
      <c r="C1" s="48" t="s">
        <v>86</v>
      </c>
      <c r="D1" s="48" t="s">
        <v>87</v>
      </c>
      <c r="E1" s="48" t="s">
        <v>88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AF1" s="12"/>
      <c r="AG1" s="11"/>
      <c r="AH1" s="11"/>
      <c r="AJ1" s="13"/>
      <c r="AM1" s="14"/>
    </row>
    <row r="2" spans="1:39" ht="15.75" customHeight="1" x14ac:dyDescent="0.3">
      <c r="A2" s="11">
        <v>1022</v>
      </c>
      <c r="B2" s="11" t="s">
        <v>1</v>
      </c>
      <c r="C2" s="11" t="s">
        <v>74</v>
      </c>
      <c r="D2" s="14">
        <v>4</v>
      </c>
      <c r="E2" s="14">
        <v>66343</v>
      </c>
      <c r="F2" s="15"/>
      <c r="G2" s="15"/>
      <c r="H2" s="15"/>
      <c r="I2" s="16"/>
      <c r="M2" s="16"/>
      <c r="O2" s="17"/>
      <c r="T2" s="14"/>
      <c r="U2" s="14"/>
      <c r="V2" s="14"/>
      <c r="W2" s="14"/>
      <c r="X2" s="14"/>
      <c r="AF2" s="12"/>
      <c r="AG2" s="11"/>
      <c r="AH2" s="11"/>
      <c r="AJ2" s="13"/>
      <c r="AM2" s="14"/>
    </row>
    <row r="3" spans="1:39" ht="15.75" customHeight="1" x14ac:dyDescent="0.3">
      <c r="A3" s="11">
        <v>1057</v>
      </c>
      <c r="B3" s="11" t="s">
        <v>4</v>
      </c>
      <c r="C3" s="11" t="s">
        <v>77</v>
      </c>
      <c r="D3" s="14">
        <v>3</v>
      </c>
      <c r="E3" s="14">
        <v>34688.666666666664</v>
      </c>
      <c r="F3" s="15"/>
      <c r="G3" s="15"/>
      <c r="H3" s="15"/>
      <c r="I3" s="16"/>
      <c r="M3" s="16"/>
      <c r="O3" s="17"/>
      <c r="S3" s="18"/>
      <c r="T3" s="14"/>
      <c r="U3" s="14"/>
      <c r="V3" s="14"/>
      <c r="W3" s="14"/>
      <c r="X3" s="14"/>
      <c r="AF3" s="12"/>
      <c r="AG3" s="11"/>
      <c r="AH3" s="11"/>
      <c r="AJ3" s="13"/>
      <c r="AM3" s="14"/>
    </row>
    <row r="4" spans="1:39" ht="15.75" customHeight="1" x14ac:dyDescent="0.3">
      <c r="A4" s="11">
        <v>1061</v>
      </c>
      <c r="B4" s="11" t="s">
        <v>89</v>
      </c>
      <c r="C4" s="11" t="s">
        <v>71</v>
      </c>
      <c r="D4" s="14">
        <v>5</v>
      </c>
      <c r="E4" s="14">
        <v>29269</v>
      </c>
      <c r="F4" s="15"/>
      <c r="G4" s="15"/>
      <c r="H4" s="15"/>
      <c r="I4" s="16"/>
      <c r="M4" s="16"/>
      <c r="O4" s="17"/>
      <c r="T4" s="14"/>
      <c r="U4" s="14"/>
      <c r="V4" s="14"/>
      <c r="W4" s="14"/>
      <c r="X4" s="14"/>
      <c r="AF4" s="12"/>
      <c r="AG4" s="11"/>
      <c r="AH4" s="11"/>
      <c r="AJ4" s="13"/>
      <c r="AM4" s="14"/>
    </row>
    <row r="5" spans="1:39" ht="15.75" customHeight="1" thickBot="1" x14ac:dyDescent="0.35">
      <c r="A5" s="11">
        <v>1070</v>
      </c>
      <c r="B5" s="11" t="s">
        <v>6</v>
      </c>
      <c r="C5" s="11" t="s">
        <v>70</v>
      </c>
      <c r="D5" s="14">
        <v>5</v>
      </c>
      <c r="E5" s="14">
        <v>36413.599999999999</v>
      </c>
      <c r="F5" s="15"/>
      <c r="G5" s="15"/>
      <c r="H5" s="15"/>
      <c r="I5" s="16"/>
      <c r="M5" s="16"/>
      <c r="O5" s="17"/>
      <c r="T5" s="14"/>
      <c r="U5" s="14"/>
      <c r="V5" s="14"/>
      <c r="W5" s="14"/>
      <c r="X5" s="14"/>
      <c r="AF5" s="12"/>
      <c r="AG5" s="11"/>
      <c r="AH5" s="11"/>
      <c r="AJ5" s="13"/>
      <c r="AM5" s="14"/>
    </row>
    <row r="6" spans="1:39" ht="15.75" customHeight="1" x14ac:dyDescent="0.3">
      <c r="A6" s="11">
        <v>1107</v>
      </c>
      <c r="B6" s="11" t="s">
        <v>10</v>
      </c>
      <c r="C6" s="11" t="s">
        <v>75</v>
      </c>
      <c r="D6" s="14">
        <v>5</v>
      </c>
      <c r="E6" s="14">
        <v>14851.2</v>
      </c>
      <c r="F6" s="15"/>
      <c r="G6" s="15"/>
      <c r="H6" s="15"/>
      <c r="I6" s="16"/>
      <c r="J6" s="52" t="s">
        <v>90</v>
      </c>
      <c r="K6" s="53"/>
      <c r="L6" s="53"/>
      <c r="M6" s="53"/>
      <c r="N6" s="53"/>
      <c r="O6" s="54"/>
      <c r="S6" s="22"/>
      <c r="T6" s="14"/>
      <c r="U6" s="14"/>
      <c r="V6" s="14"/>
      <c r="W6" s="14"/>
      <c r="X6" s="14"/>
      <c r="AF6" s="12"/>
      <c r="AG6" s="11"/>
      <c r="AH6" s="11"/>
      <c r="AJ6" s="13"/>
      <c r="AM6" s="14"/>
    </row>
    <row r="7" spans="1:39" ht="15.75" customHeight="1" x14ac:dyDescent="0.3">
      <c r="A7" s="11">
        <v>1104</v>
      </c>
      <c r="B7" s="11" t="s">
        <v>8</v>
      </c>
      <c r="C7" s="11" t="s">
        <v>78</v>
      </c>
      <c r="D7" s="14">
        <v>5</v>
      </c>
      <c r="E7" s="14">
        <v>5479.6</v>
      </c>
      <c r="F7" s="15"/>
      <c r="G7" s="15"/>
      <c r="H7" s="15"/>
      <c r="I7" s="16"/>
      <c r="J7" s="55"/>
      <c r="K7" s="56"/>
      <c r="L7" s="56"/>
      <c r="M7" s="56"/>
      <c r="N7" s="56"/>
      <c r="O7" s="57"/>
      <c r="T7" s="14"/>
      <c r="U7" s="14"/>
      <c r="V7" s="14"/>
      <c r="W7" s="14"/>
      <c r="X7" s="14"/>
      <c r="AF7" s="12"/>
      <c r="AG7" s="11"/>
      <c r="AH7" s="11"/>
      <c r="AJ7" s="13"/>
      <c r="AM7" s="14"/>
    </row>
    <row r="8" spans="1:39" ht="15.75" customHeight="1" x14ac:dyDescent="0.3">
      <c r="A8" s="11">
        <v>1105</v>
      </c>
      <c r="B8" s="11" t="s">
        <v>9</v>
      </c>
      <c r="C8" s="11" t="s">
        <v>70</v>
      </c>
      <c r="D8" s="14">
        <v>5</v>
      </c>
      <c r="E8" s="14">
        <v>12176.6</v>
      </c>
      <c r="F8" s="15"/>
      <c r="G8" s="15"/>
      <c r="H8" s="15"/>
      <c r="I8" s="16"/>
      <c r="J8" s="55"/>
      <c r="K8" s="56"/>
      <c r="L8" s="56"/>
      <c r="M8" s="56"/>
      <c r="N8" s="56"/>
      <c r="O8" s="57"/>
      <c r="T8" s="14"/>
      <c r="U8" s="14"/>
      <c r="V8" s="14"/>
      <c r="W8" s="14"/>
      <c r="X8" s="14"/>
      <c r="AF8" s="12"/>
      <c r="AG8" s="11"/>
      <c r="AH8" s="11"/>
      <c r="AJ8" s="13"/>
      <c r="AM8" s="14"/>
    </row>
    <row r="9" spans="1:39" ht="15.75" customHeight="1" x14ac:dyDescent="0.3">
      <c r="A9" s="11">
        <v>1143</v>
      </c>
      <c r="B9" s="11" t="s">
        <v>11</v>
      </c>
      <c r="C9" s="11" t="s">
        <v>71</v>
      </c>
      <c r="D9" s="14">
        <v>5</v>
      </c>
      <c r="E9" s="14">
        <v>30367.4</v>
      </c>
      <c r="F9" s="15"/>
      <c r="G9" s="15"/>
      <c r="H9" s="15"/>
      <c r="I9" s="16"/>
      <c r="J9" s="55"/>
      <c r="K9" s="56"/>
      <c r="L9" s="56"/>
      <c r="M9" s="56"/>
      <c r="N9" s="56"/>
      <c r="O9" s="57"/>
      <c r="T9" s="14"/>
      <c r="U9" s="14"/>
      <c r="V9" s="14"/>
      <c r="W9" s="14"/>
      <c r="X9" s="14"/>
    </row>
    <row r="10" spans="1:39" ht="15.75" customHeight="1" x14ac:dyDescent="0.3">
      <c r="A10" s="11">
        <v>1146</v>
      </c>
      <c r="B10" s="11" t="s">
        <v>12</v>
      </c>
      <c r="C10" s="11" t="s">
        <v>75</v>
      </c>
      <c r="D10" s="14">
        <v>5</v>
      </c>
      <c r="E10" s="14">
        <v>15057.4</v>
      </c>
      <c r="F10" s="15"/>
      <c r="G10" s="15"/>
      <c r="H10" s="15"/>
      <c r="I10" s="16"/>
      <c r="J10" s="55"/>
      <c r="K10" s="56"/>
      <c r="L10" s="56"/>
      <c r="M10" s="56"/>
      <c r="N10" s="56"/>
      <c r="O10" s="57"/>
      <c r="T10" s="14"/>
      <c r="U10" s="14"/>
      <c r="V10" s="14"/>
      <c r="W10" s="14"/>
      <c r="X10" s="14"/>
    </row>
    <row r="11" spans="1:39" ht="15.75" customHeight="1" x14ac:dyDescent="0.3">
      <c r="A11" s="11">
        <v>1203</v>
      </c>
      <c r="B11" s="11" t="s">
        <v>91</v>
      </c>
      <c r="C11" s="11" t="s">
        <v>76</v>
      </c>
      <c r="D11" s="14">
        <v>5</v>
      </c>
      <c r="E11" s="14">
        <v>7678</v>
      </c>
      <c r="F11" s="15"/>
      <c r="G11" s="15"/>
      <c r="H11" s="15"/>
      <c r="I11" s="16"/>
      <c r="J11" s="55"/>
      <c r="K11" s="56"/>
      <c r="L11" s="56"/>
      <c r="M11" s="56"/>
      <c r="N11" s="56"/>
      <c r="O11" s="57"/>
      <c r="T11" s="14"/>
      <c r="U11" s="14"/>
      <c r="V11" s="14"/>
      <c r="W11" s="14"/>
      <c r="X11" s="14"/>
      <c r="AK11" s="11"/>
    </row>
    <row r="12" spans="1:39" ht="15.75" customHeight="1" x14ac:dyDescent="0.3">
      <c r="A12" s="11">
        <v>1229</v>
      </c>
      <c r="B12" s="11" t="s">
        <v>18</v>
      </c>
      <c r="C12" s="11" t="s">
        <v>75</v>
      </c>
      <c r="D12" s="14">
        <v>14</v>
      </c>
      <c r="E12" s="14">
        <v>17967.571428571428</v>
      </c>
      <c r="F12" s="15"/>
      <c r="G12" s="15"/>
      <c r="H12" s="15"/>
      <c r="I12" s="16"/>
      <c r="J12" s="55"/>
      <c r="K12" s="56"/>
      <c r="L12" s="56"/>
      <c r="M12" s="56"/>
      <c r="N12" s="56"/>
      <c r="O12" s="57"/>
      <c r="T12" s="14"/>
      <c r="U12" s="14"/>
      <c r="V12" s="14"/>
      <c r="W12" s="14"/>
      <c r="X12" s="14"/>
      <c r="AK12" s="11"/>
    </row>
    <row r="13" spans="1:39" ht="15.75" customHeight="1" thickBot="1" x14ac:dyDescent="0.35">
      <c r="A13" s="11">
        <v>1217</v>
      </c>
      <c r="B13" s="11" t="s">
        <v>16</v>
      </c>
      <c r="C13" s="11" t="s">
        <v>79</v>
      </c>
      <c r="D13" s="14">
        <v>7</v>
      </c>
      <c r="E13" s="14">
        <v>11221.857142857143</v>
      </c>
      <c r="F13" s="15"/>
      <c r="G13" s="15"/>
      <c r="H13" s="15"/>
      <c r="I13" s="16"/>
      <c r="J13" s="58"/>
      <c r="K13" s="59"/>
      <c r="L13" s="59"/>
      <c r="M13" s="59"/>
      <c r="N13" s="59"/>
      <c r="O13" s="60"/>
      <c r="T13" s="14"/>
      <c r="U13" s="14"/>
      <c r="V13" s="14"/>
      <c r="W13" s="14"/>
      <c r="X13" s="14"/>
      <c r="AK13" s="11"/>
    </row>
    <row r="14" spans="1:39" ht="15.75" customHeight="1" x14ac:dyDescent="0.3">
      <c r="A14" s="11">
        <v>1223</v>
      </c>
      <c r="B14" s="11" t="s">
        <v>17</v>
      </c>
      <c r="C14" s="11" t="s">
        <v>76</v>
      </c>
      <c r="D14" s="14">
        <v>5</v>
      </c>
      <c r="E14" s="14">
        <v>37402.800000000003</v>
      </c>
      <c r="F14" s="15"/>
      <c r="G14" s="15"/>
      <c r="H14" s="15"/>
      <c r="I14" s="16"/>
      <c r="M14" s="16"/>
      <c r="O14" s="17"/>
      <c r="T14" s="14"/>
      <c r="U14" s="14"/>
      <c r="V14" s="14"/>
      <c r="W14" s="14"/>
      <c r="X14" s="14"/>
      <c r="AK14" s="11"/>
    </row>
    <row r="15" spans="1:39" ht="15.75" customHeight="1" thickBot="1" x14ac:dyDescent="0.35">
      <c r="A15" s="11">
        <v>1209</v>
      </c>
      <c r="B15" s="11" t="s">
        <v>15</v>
      </c>
      <c r="C15" s="11" t="s">
        <v>80</v>
      </c>
      <c r="D15" s="14">
        <v>7</v>
      </c>
      <c r="E15" s="14">
        <v>2739.4285714285716</v>
      </c>
      <c r="F15" s="15"/>
      <c r="G15" s="15"/>
      <c r="H15" s="15"/>
      <c r="I15" s="16"/>
      <c r="M15" s="16"/>
      <c r="O15" s="17"/>
      <c r="T15" s="14"/>
      <c r="U15" s="14"/>
      <c r="V15" s="14"/>
      <c r="W15" s="14"/>
      <c r="X15" s="14"/>
      <c r="AK15" s="11"/>
    </row>
    <row r="16" spans="1:39" ht="15.75" customHeight="1" x14ac:dyDescent="0.3">
      <c r="A16" s="11">
        <v>1237</v>
      </c>
      <c r="B16" s="11" t="s">
        <v>19</v>
      </c>
      <c r="C16" s="11" t="s">
        <v>71</v>
      </c>
      <c r="D16" s="14">
        <v>5</v>
      </c>
      <c r="E16" s="14">
        <v>12357.2</v>
      </c>
      <c r="F16" s="15"/>
      <c r="G16" s="15"/>
      <c r="H16" s="15"/>
      <c r="I16" s="16"/>
      <c r="J16" s="52" t="s">
        <v>92</v>
      </c>
      <c r="K16" s="53"/>
      <c r="L16" s="53"/>
      <c r="M16" s="53"/>
      <c r="N16" s="53"/>
      <c r="O16" s="54"/>
      <c r="T16" s="14"/>
      <c r="U16" s="14"/>
      <c r="V16" s="14"/>
      <c r="W16" s="14"/>
      <c r="X16" s="14"/>
      <c r="AK16" s="11"/>
    </row>
    <row r="17" spans="1:37" ht="15.75" customHeight="1" x14ac:dyDescent="0.3">
      <c r="A17" s="11">
        <v>1240</v>
      </c>
      <c r="B17" s="11" t="s">
        <v>20</v>
      </c>
      <c r="C17" s="11" t="s">
        <v>83</v>
      </c>
      <c r="D17" s="14">
        <v>7</v>
      </c>
      <c r="E17" s="14">
        <v>1583.1428571428571</v>
      </c>
      <c r="F17" s="15"/>
      <c r="G17" s="15"/>
      <c r="H17" s="15"/>
      <c r="I17" s="16"/>
      <c r="J17" s="55"/>
      <c r="K17" s="56"/>
      <c r="L17" s="56"/>
      <c r="M17" s="56"/>
      <c r="N17" s="56"/>
      <c r="O17" s="57"/>
      <c r="T17" s="14"/>
      <c r="U17" s="14"/>
      <c r="V17" s="14"/>
      <c r="W17" s="14"/>
      <c r="X17" s="14"/>
      <c r="AK17" s="11"/>
    </row>
    <row r="18" spans="1:37" ht="15.75" customHeight="1" x14ac:dyDescent="0.3">
      <c r="A18" s="11">
        <v>1259</v>
      </c>
      <c r="B18" s="11" t="s">
        <v>21</v>
      </c>
      <c r="C18" s="11" t="s">
        <v>71</v>
      </c>
      <c r="D18" s="14">
        <v>5</v>
      </c>
      <c r="E18" s="14">
        <v>8948.2000000000007</v>
      </c>
      <c r="F18" s="15"/>
      <c r="G18" s="15"/>
      <c r="H18" s="15"/>
      <c r="I18" s="16"/>
      <c r="J18" s="55"/>
      <c r="K18" s="56"/>
      <c r="L18" s="56"/>
      <c r="M18" s="56"/>
      <c r="N18" s="56"/>
      <c r="O18" s="57"/>
      <c r="T18" s="14"/>
      <c r="U18" s="14"/>
      <c r="V18" s="14"/>
      <c r="W18" s="14"/>
      <c r="X18" s="14"/>
      <c r="AK18" s="11"/>
    </row>
    <row r="19" spans="1:37" ht="15.75" customHeight="1" x14ac:dyDescent="0.3">
      <c r="A19" s="11">
        <v>1275</v>
      </c>
      <c r="B19" s="11" t="s">
        <v>22</v>
      </c>
      <c r="C19" s="11" t="s">
        <v>78</v>
      </c>
      <c r="D19" s="14">
        <v>5</v>
      </c>
      <c r="E19" s="14">
        <v>162.47999999999999</v>
      </c>
      <c r="F19" s="26"/>
      <c r="G19" s="15"/>
      <c r="H19" s="15"/>
      <c r="I19" s="16"/>
      <c r="J19" s="55"/>
      <c r="K19" s="56"/>
      <c r="L19" s="56"/>
      <c r="M19" s="56"/>
      <c r="N19" s="56"/>
      <c r="O19" s="57"/>
      <c r="T19" s="14"/>
      <c r="U19" s="14"/>
      <c r="V19" s="14"/>
      <c r="W19" s="14"/>
      <c r="X19" s="14"/>
      <c r="AK19" s="11"/>
    </row>
    <row r="20" spans="1:37" ht="15.75" customHeight="1" thickBot="1" x14ac:dyDescent="0.35">
      <c r="A20" s="11">
        <v>1289</v>
      </c>
      <c r="B20" s="11" t="s">
        <v>23</v>
      </c>
      <c r="C20" s="11" t="s">
        <v>71</v>
      </c>
      <c r="D20" s="14">
        <v>5</v>
      </c>
      <c r="E20" s="14">
        <v>25992</v>
      </c>
      <c r="F20" s="15"/>
      <c r="G20" s="15"/>
      <c r="H20" s="15"/>
      <c r="I20" s="16"/>
      <c r="J20" s="58"/>
      <c r="K20" s="59"/>
      <c r="L20" s="59"/>
      <c r="M20" s="59"/>
      <c r="N20" s="59"/>
      <c r="O20" s="60"/>
      <c r="T20" s="14"/>
      <c r="U20" s="14"/>
      <c r="V20" s="14"/>
      <c r="W20" s="14"/>
      <c r="X20" s="14"/>
    </row>
    <row r="21" spans="1:37" ht="15.75" customHeight="1" x14ac:dyDescent="0.3">
      <c r="A21" s="11">
        <v>1299</v>
      </c>
      <c r="B21" s="11" t="s">
        <v>26</v>
      </c>
      <c r="C21" s="11" t="s">
        <v>75</v>
      </c>
      <c r="D21" s="14">
        <v>5</v>
      </c>
      <c r="E21" s="14">
        <v>9403.6</v>
      </c>
      <c r="F21" s="15"/>
      <c r="G21" s="15"/>
      <c r="H21" s="15"/>
      <c r="I21" s="16"/>
      <c r="J21" s="27"/>
      <c r="K21" s="27"/>
      <c r="L21" s="27"/>
      <c r="M21" s="27"/>
      <c r="N21" s="27"/>
      <c r="O21" s="27"/>
      <c r="T21" s="14"/>
      <c r="U21" s="14"/>
      <c r="V21" s="14"/>
      <c r="W21" s="14"/>
      <c r="X21" s="14"/>
    </row>
    <row r="22" spans="1:37" ht="15.75" customHeight="1" x14ac:dyDescent="0.3">
      <c r="A22" s="11">
        <v>1302</v>
      </c>
      <c r="B22" s="11" t="s">
        <v>27</v>
      </c>
      <c r="C22" s="11" t="s">
        <v>73</v>
      </c>
      <c r="D22" s="14">
        <v>9</v>
      </c>
      <c r="E22" s="14">
        <v>7681.4444444444443</v>
      </c>
      <c r="F22" s="15"/>
      <c r="G22" s="15"/>
      <c r="H22" s="15"/>
      <c r="I22" s="16"/>
      <c r="N22" s="14"/>
      <c r="O22" s="14"/>
      <c r="P22" s="14"/>
      <c r="Q22" s="14"/>
      <c r="R22" s="14"/>
    </row>
    <row r="23" spans="1:37" ht="15.75" customHeight="1" x14ac:dyDescent="0.3">
      <c r="A23" s="11">
        <v>1296</v>
      </c>
      <c r="B23" s="11" t="s">
        <v>24</v>
      </c>
      <c r="C23" s="11" t="s">
        <v>73</v>
      </c>
      <c r="D23" s="14">
        <v>9</v>
      </c>
      <c r="E23" s="14">
        <v>2553.3333333333335</v>
      </c>
      <c r="F23" s="15"/>
      <c r="G23" s="15"/>
      <c r="H23" s="15"/>
      <c r="I23" s="16"/>
      <c r="N23" s="14"/>
      <c r="O23" s="14"/>
      <c r="P23" s="14"/>
      <c r="Q23" s="14"/>
      <c r="R23" s="14"/>
    </row>
    <row r="24" spans="1:37" ht="15.75" customHeight="1" x14ac:dyDescent="0.3">
      <c r="A24" s="11">
        <v>1298</v>
      </c>
      <c r="B24" s="11" t="s">
        <v>25</v>
      </c>
      <c r="C24" s="11" t="s">
        <v>81</v>
      </c>
      <c r="D24" s="14">
        <v>4</v>
      </c>
      <c r="E24" s="14">
        <v>15837.5</v>
      </c>
      <c r="F24" s="15"/>
      <c r="G24" s="15"/>
      <c r="H24" s="15"/>
      <c r="I24" s="16"/>
      <c r="M24" s="16"/>
      <c r="O24" s="17"/>
      <c r="T24" s="14"/>
      <c r="U24" s="14"/>
      <c r="V24" s="14"/>
      <c r="W24" s="14"/>
      <c r="X24" s="14"/>
    </row>
    <row r="25" spans="1:37" ht="15.75" customHeight="1" thickBot="1" x14ac:dyDescent="0.35">
      <c r="A25" s="11">
        <v>1324</v>
      </c>
      <c r="B25" s="11" t="s">
        <v>31</v>
      </c>
      <c r="C25" s="11" t="s">
        <v>73</v>
      </c>
      <c r="D25" s="14">
        <v>9</v>
      </c>
      <c r="E25" s="14">
        <v>4069</v>
      </c>
      <c r="F25" s="15"/>
      <c r="G25" s="15"/>
      <c r="H25" s="15"/>
      <c r="I25" s="16"/>
      <c r="M25" s="16"/>
      <c r="O25" s="17"/>
      <c r="T25" s="14"/>
      <c r="U25" s="14"/>
      <c r="V25" s="14"/>
      <c r="W25" s="14"/>
      <c r="X25" s="14"/>
    </row>
    <row r="26" spans="1:37" ht="15.75" customHeight="1" x14ac:dyDescent="0.3">
      <c r="A26" s="11">
        <v>1331</v>
      </c>
      <c r="B26" s="11" t="s">
        <v>35</v>
      </c>
      <c r="C26" s="11" t="s">
        <v>77</v>
      </c>
      <c r="D26" s="14">
        <v>3</v>
      </c>
      <c r="E26" s="14">
        <v>20175</v>
      </c>
      <c r="F26" s="15"/>
      <c r="G26" s="15"/>
      <c r="H26" s="15"/>
      <c r="I26" s="16"/>
      <c r="J26" s="52" t="s">
        <v>93</v>
      </c>
      <c r="K26" s="53"/>
      <c r="L26" s="53"/>
      <c r="M26" s="53"/>
      <c r="N26" s="53"/>
      <c r="O26" s="54"/>
      <c r="Q26" s="61" t="s">
        <v>94</v>
      </c>
      <c r="S26" s="63" t="s">
        <v>95</v>
      </c>
      <c r="T26" s="14"/>
      <c r="U26" s="14"/>
      <c r="V26" s="14"/>
      <c r="W26" s="14"/>
      <c r="X26" s="14"/>
    </row>
    <row r="27" spans="1:37" ht="15.75" customHeight="1" thickBot="1" x14ac:dyDescent="0.35">
      <c r="A27" s="11">
        <v>1330</v>
      </c>
      <c r="B27" s="11" t="s">
        <v>34</v>
      </c>
      <c r="C27" s="11" t="s">
        <v>73</v>
      </c>
      <c r="D27" s="14">
        <v>9</v>
      </c>
      <c r="E27" s="14">
        <v>11325</v>
      </c>
      <c r="F27" s="15"/>
      <c r="G27" s="15"/>
      <c r="H27" s="15"/>
      <c r="I27" s="16"/>
      <c r="J27" s="58"/>
      <c r="K27" s="59"/>
      <c r="L27" s="59"/>
      <c r="M27" s="59"/>
      <c r="N27" s="59"/>
      <c r="O27" s="60"/>
      <c r="Q27" s="62"/>
      <c r="S27" s="64"/>
      <c r="T27" s="14"/>
      <c r="U27" s="14"/>
      <c r="V27" s="14"/>
      <c r="W27" s="14"/>
      <c r="X27" s="14"/>
    </row>
    <row r="28" spans="1:37" ht="15.75" customHeight="1" thickBot="1" x14ac:dyDescent="0.35">
      <c r="A28" s="11">
        <v>1332</v>
      </c>
      <c r="B28" s="11" t="s">
        <v>36</v>
      </c>
      <c r="C28" s="11" t="s">
        <v>70</v>
      </c>
      <c r="D28" s="14">
        <v>5</v>
      </c>
      <c r="E28" s="14">
        <v>16347.6</v>
      </c>
      <c r="F28" s="15"/>
      <c r="G28" s="15"/>
      <c r="H28" s="15"/>
      <c r="I28" s="16"/>
      <c r="J28" s="27"/>
      <c r="K28" s="27"/>
      <c r="L28" s="27"/>
      <c r="M28" s="27"/>
      <c r="N28" s="27"/>
      <c r="O28" s="27"/>
      <c r="T28" s="14"/>
      <c r="U28" s="14"/>
      <c r="V28" s="14"/>
      <c r="W28" s="14"/>
      <c r="X28" s="14"/>
    </row>
    <row r="29" spans="1:37" ht="15.75" customHeight="1" thickBot="1" x14ac:dyDescent="0.35">
      <c r="A29" s="11">
        <v>1335</v>
      </c>
      <c r="B29" s="11" t="s">
        <v>38</v>
      </c>
      <c r="C29" s="11" t="s">
        <v>73</v>
      </c>
      <c r="D29" s="14">
        <v>9</v>
      </c>
      <c r="E29" s="14">
        <v>9502.6666666666661</v>
      </c>
      <c r="F29" s="15"/>
      <c r="G29" s="15"/>
      <c r="H29" s="15"/>
      <c r="I29" s="16"/>
      <c r="J29" s="16"/>
      <c r="K29" s="65" t="s">
        <v>96</v>
      </c>
      <c r="L29" s="66"/>
      <c r="M29" s="66"/>
      <c r="N29" s="66"/>
      <c r="O29" s="67"/>
      <c r="T29" s="14"/>
      <c r="U29" s="14"/>
      <c r="V29" s="14"/>
      <c r="W29" s="14"/>
      <c r="X29" s="14"/>
    </row>
    <row r="30" spans="1:37" ht="15.75" customHeight="1" thickBot="1" x14ac:dyDescent="0.35">
      <c r="A30" s="11">
        <v>1339</v>
      </c>
      <c r="B30" s="11" t="s">
        <v>41</v>
      </c>
      <c r="C30" s="11" t="s">
        <v>70</v>
      </c>
      <c r="D30" s="14">
        <v>5</v>
      </c>
      <c r="E30" s="14">
        <v>6016.6</v>
      </c>
      <c r="F30" s="15"/>
      <c r="G30" s="15"/>
      <c r="H30" s="15"/>
      <c r="I30" s="16"/>
      <c r="T30" s="14"/>
      <c r="U30" s="14"/>
      <c r="V30" s="14"/>
      <c r="W30" s="14"/>
      <c r="X30" s="14"/>
    </row>
    <row r="31" spans="1:37" ht="15.75" customHeight="1" thickBot="1" x14ac:dyDescent="0.35">
      <c r="A31" s="11">
        <v>1338</v>
      </c>
      <c r="B31" s="11" t="s">
        <v>40</v>
      </c>
      <c r="C31" s="11" t="s">
        <v>73</v>
      </c>
      <c r="D31" s="14">
        <v>9</v>
      </c>
      <c r="E31" s="14">
        <v>4789</v>
      </c>
      <c r="F31" s="15"/>
      <c r="G31" s="15"/>
      <c r="H31" s="15"/>
      <c r="I31" s="16"/>
      <c r="J31" s="16"/>
      <c r="K31" s="65" t="s">
        <v>97</v>
      </c>
      <c r="L31" s="66"/>
      <c r="M31" s="66"/>
      <c r="N31" s="66"/>
      <c r="O31" s="67"/>
      <c r="T31" s="14"/>
      <c r="U31" s="14"/>
      <c r="V31" s="14"/>
      <c r="W31" s="14"/>
      <c r="X31" s="14"/>
    </row>
    <row r="32" spans="1:37" ht="15.75" customHeight="1" thickBot="1" x14ac:dyDescent="0.35">
      <c r="A32" s="11">
        <v>1344</v>
      </c>
      <c r="B32" s="11" t="s">
        <v>43</v>
      </c>
      <c r="C32" s="11" t="s">
        <v>82</v>
      </c>
      <c r="D32" s="14">
        <v>6</v>
      </c>
      <c r="E32" s="14">
        <v>3031.3333333333335</v>
      </c>
      <c r="F32" s="15"/>
      <c r="G32" s="15"/>
      <c r="H32" s="15"/>
      <c r="I32" s="16"/>
      <c r="J32" s="27"/>
      <c r="K32" s="27"/>
      <c r="L32" s="27"/>
      <c r="M32" s="27"/>
      <c r="N32" s="27"/>
      <c r="O32" s="27"/>
      <c r="T32" s="14"/>
      <c r="U32" s="14"/>
      <c r="V32" s="14"/>
      <c r="W32" s="14"/>
      <c r="X32" s="14"/>
    </row>
    <row r="33" spans="1:24" ht="15.75" customHeight="1" thickBot="1" x14ac:dyDescent="0.35">
      <c r="A33" s="11">
        <v>1357</v>
      </c>
      <c r="B33" s="11" t="s">
        <v>44</v>
      </c>
      <c r="C33" s="11" t="s">
        <v>72</v>
      </c>
      <c r="D33" s="14">
        <v>19</v>
      </c>
      <c r="E33" s="14">
        <v>1308.8421052631579</v>
      </c>
      <c r="F33" s="15"/>
      <c r="G33" s="15"/>
      <c r="H33" s="15"/>
      <c r="I33" s="16"/>
      <c r="J33" s="27"/>
      <c r="K33" s="68" t="s">
        <v>98</v>
      </c>
      <c r="L33" s="69"/>
      <c r="M33" s="69"/>
      <c r="N33" s="69"/>
      <c r="O33" s="70"/>
      <c r="T33" s="14"/>
      <c r="U33" s="14"/>
      <c r="V33" s="14"/>
      <c r="W33" s="14"/>
      <c r="X33" s="14"/>
    </row>
    <row r="34" spans="1:24" ht="15.75" customHeight="1" thickBot="1" x14ac:dyDescent="0.35">
      <c r="A34" s="11">
        <v>1377</v>
      </c>
      <c r="B34" s="11" t="s">
        <v>48</v>
      </c>
      <c r="C34" s="11" t="s">
        <v>72</v>
      </c>
      <c r="D34" s="14">
        <v>19</v>
      </c>
      <c r="E34" s="14">
        <v>3100</v>
      </c>
      <c r="F34" s="15"/>
      <c r="G34" s="15"/>
      <c r="H34" s="15"/>
      <c r="I34" s="16"/>
      <c r="J34" s="27"/>
      <c r="K34" s="27"/>
      <c r="L34" s="27"/>
      <c r="M34" s="27"/>
      <c r="N34" s="27"/>
      <c r="O34" s="27"/>
      <c r="T34" s="14"/>
      <c r="U34" s="14"/>
      <c r="V34" s="14"/>
      <c r="W34" s="14"/>
      <c r="X34" s="14"/>
    </row>
    <row r="35" spans="1:24" ht="15.75" customHeight="1" thickBot="1" x14ac:dyDescent="0.35">
      <c r="A35" s="11">
        <v>1334</v>
      </c>
      <c r="B35" s="11" t="s">
        <v>37</v>
      </c>
      <c r="C35" s="11" t="s">
        <v>79</v>
      </c>
      <c r="D35" s="14">
        <v>7</v>
      </c>
      <c r="E35" s="14">
        <v>4040.4285714285716</v>
      </c>
      <c r="F35" s="15"/>
      <c r="G35" s="15"/>
      <c r="H35" s="15"/>
      <c r="I35" s="16"/>
      <c r="J35" s="27"/>
      <c r="K35" s="68" t="s">
        <v>99</v>
      </c>
      <c r="L35" s="69"/>
      <c r="M35" s="69"/>
      <c r="N35" s="69"/>
      <c r="O35" s="70"/>
      <c r="T35" s="14"/>
      <c r="U35" s="14"/>
      <c r="V35" s="14"/>
      <c r="W35" s="14"/>
      <c r="X35" s="14"/>
    </row>
    <row r="36" spans="1:24" ht="15" thickBot="1" x14ac:dyDescent="0.35">
      <c r="A36" s="11">
        <v>1363</v>
      </c>
      <c r="B36" s="11" t="s">
        <v>45</v>
      </c>
      <c r="C36" s="11" t="s">
        <v>72</v>
      </c>
      <c r="D36" s="14">
        <v>19</v>
      </c>
      <c r="E36" s="14">
        <v>6740.5789473684208</v>
      </c>
      <c r="F36" s="15"/>
      <c r="G36" s="15"/>
      <c r="H36" s="15"/>
      <c r="I36" s="16"/>
      <c r="J36" s="16"/>
      <c r="K36" s="16"/>
      <c r="L36" s="16"/>
      <c r="M36" s="16"/>
      <c r="N36" s="16"/>
      <c r="O36" s="16"/>
      <c r="T36" s="14"/>
      <c r="U36" s="14"/>
      <c r="V36" s="14"/>
      <c r="W36" s="14"/>
      <c r="X36" s="14"/>
    </row>
    <row r="37" spans="1:24" ht="15" thickBot="1" x14ac:dyDescent="0.35">
      <c r="A37" s="11">
        <v>1336</v>
      </c>
      <c r="B37" s="11" t="s">
        <v>39</v>
      </c>
      <c r="C37" s="11" t="s">
        <v>74</v>
      </c>
      <c r="D37" s="14">
        <v>8.5</v>
      </c>
      <c r="E37" s="14">
        <v>14256.470588235294</v>
      </c>
      <c r="F37" s="15"/>
      <c r="G37" s="15"/>
      <c r="H37" s="15"/>
      <c r="I37" s="16"/>
      <c r="K37" s="68" t="s">
        <v>100</v>
      </c>
      <c r="L37" s="69"/>
      <c r="M37" s="69"/>
      <c r="N37" s="69"/>
      <c r="O37" s="70"/>
      <c r="T37" s="14"/>
      <c r="U37" s="14"/>
      <c r="V37" s="14"/>
      <c r="W37" s="14"/>
      <c r="X37" s="14"/>
    </row>
    <row r="38" spans="1:24" ht="15" thickBot="1" x14ac:dyDescent="0.35">
      <c r="A38" s="11">
        <v>1318</v>
      </c>
      <c r="B38" s="11" t="s">
        <v>29</v>
      </c>
      <c r="C38" s="11" t="s">
        <v>76</v>
      </c>
      <c r="D38" s="14">
        <v>10</v>
      </c>
      <c r="E38" s="14">
        <v>13628.4</v>
      </c>
      <c r="F38" s="15"/>
      <c r="G38" s="15"/>
      <c r="H38" s="15"/>
      <c r="I38" s="16"/>
      <c r="T38" s="14"/>
      <c r="U38" s="14"/>
      <c r="V38" s="14"/>
      <c r="W38" s="14"/>
      <c r="X38" s="14"/>
    </row>
    <row r="39" spans="1:24" ht="14.4" x14ac:dyDescent="0.3">
      <c r="A39" s="11">
        <v>1075</v>
      </c>
      <c r="B39" s="11" t="s">
        <v>7</v>
      </c>
      <c r="C39" s="11" t="s">
        <v>76</v>
      </c>
      <c r="D39" s="14">
        <v>10</v>
      </c>
      <c r="E39" s="14">
        <v>17853.400000000001</v>
      </c>
      <c r="F39" s="15"/>
      <c r="G39" s="15"/>
      <c r="H39" s="15"/>
      <c r="I39" s="16"/>
      <c r="J39" s="52" t="s">
        <v>101</v>
      </c>
      <c r="K39" s="53"/>
      <c r="L39" s="53"/>
      <c r="M39" s="53"/>
      <c r="N39" s="53"/>
      <c r="O39" s="54"/>
      <c r="T39" s="14"/>
      <c r="U39" s="14"/>
      <c r="V39" s="14"/>
      <c r="W39" s="14"/>
      <c r="X39" s="14"/>
    </row>
    <row r="40" spans="1:24" ht="18.600000000000001" customHeight="1" x14ac:dyDescent="0.3">
      <c r="A40" s="11">
        <v>1074</v>
      </c>
      <c r="B40" s="11" t="s">
        <v>102</v>
      </c>
      <c r="C40" s="11" t="s">
        <v>76</v>
      </c>
      <c r="D40" s="14">
        <v>5</v>
      </c>
      <c r="E40" s="14">
        <v>24819.200000000001</v>
      </c>
      <c r="F40" s="15"/>
      <c r="G40" s="15"/>
      <c r="H40" s="15"/>
      <c r="I40" s="16"/>
      <c r="J40" s="55"/>
      <c r="K40" s="56"/>
      <c r="L40" s="56"/>
      <c r="M40" s="56"/>
      <c r="N40" s="56"/>
      <c r="O40" s="57"/>
      <c r="T40" s="14"/>
      <c r="U40" s="14"/>
      <c r="V40" s="14"/>
      <c r="W40" s="14"/>
      <c r="X40" s="14"/>
    </row>
    <row r="41" spans="1:24" ht="15" thickBot="1" x14ac:dyDescent="0.35">
      <c r="A41" s="11">
        <v>1319</v>
      </c>
      <c r="B41" s="11" t="s">
        <v>30</v>
      </c>
      <c r="C41" s="11" t="s">
        <v>71</v>
      </c>
      <c r="D41" s="14">
        <v>5</v>
      </c>
      <c r="E41" s="14">
        <v>30552.2</v>
      </c>
      <c r="F41" s="15"/>
      <c r="G41" s="15"/>
      <c r="H41" s="15"/>
      <c r="I41" s="16"/>
      <c r="J41" s="58"/>
      <c r="K41" s="59"/>
      <c r="L41" s="59"/>
      <c r="M41" s="59"/>
      <c r="N41" s="59"/>
      <c r="O41" s="60"/>
      <c r="T41" s="14"/>
      <c r="U41" s="14"/>
      <c r="V41" s="14"/>
      <c r="W41" s="14"/>
      <c r="X41" s="14"/>
    </row>
    <row r="42" spans="1:24" ht="20.399999999999999" customHeight="1" x14ac:dyDescent="0.3">
      <c r="A42" s="11">
        <v>1342</v>
      </c>
      <c r="B42" s="11" t="s">
        <v>42</v>
      </c>
      <c r="C42" s="11" t="s">
        <v>76</v>
      </c>
      <c r="D42" s="14">
        <v>5</v>
      </c>
      <c r="E42" s="14">
        <v>5699.6</v>
      </c>
      <c r="F42" s="15"/>
      <c r="G42" s="15"/>
      <c r="H42" s="15"/>
      <c r="I42" s="16"/>
      <c r="T42" s="14"/>
      <c r="U42" s="14"/>
      <c r="V42" s="14"/>
      <c r="W42" s="14"/>
      <c r="X42" s="14"/>
    </row>
    <row r="43" spans="1:24" ht="14.4" x14ac:dyDescent="0.3">
      <c r="A43" s="11">
        <v>1317</v>
      </c>
      <c r="B43" s="11" t="s">
        <v>28</v>
      </c>
      <c r="C43" s="11" t="s">
        <v>75</v>
      </c>
      <c r="D43" s="14">
        <v>5</v>
      </c>
      <c r="E43" s="14">
        <v>4544.8</v>
      </c>
      <c r="F43" s="15"/>
      <c r="G43" s="15"/>
      <c r="H43" s="15"/>
      <c r="I43" s="16"/>
      <c r="T43" s="14"/>
      <c r="U43" s="14"/>
      <c r="V43" s="14"/>
      <c r="W43" s="14"/>
      <c r="X43" s="14"/>
    </row>
    <row r="44" spans="1:24" ht="14.4" x14ac:dyDescent="0.3">
      <c r="A44" s="11">
        <v>1364</v>
      </c>
      <c r="B44" s="11" t="s">
        <v>46</v>
      </c>
      <c r="C44" s="11" t="s">
        <v>72</v>
      </c>
      <c r="D44" s="14">
        <v>19</v>
      </c>
      <c r="E44" s="14">
        <v>1351.2631578947369</v>
      </c>
      <c r="F44" s="15"/>
      <c r="G44" s="15"/>
      <c r="H44" s="15"/>
      <c r="I44" s="16"/>
      <c r="T44" s="14"/>
      <c r="U44" s="14"/>
      <c r="V44" s="14"/>
      <c r="W44" s="14"/>
      <c r="X44" s="14"/>
    </row>
    <row r="45" spans="1:24" ht="15" thickBot="1" x14ac:dyDescent="0.35">
      <c r="A45" s="11">
        <v>1327</v>
      </c>
      <c r="B45" s="11" t="s">
        <v>32</v>
      </c>
      <c r="C45" s="11" t="s">
        <v>76</v>
      </c>
      <c r="D45" s="14">
        <v>5</v>
      </c>
      <c r="E45" s="14">
        <v>4279.8</v>
      </c>
      <c r="F45" s="15"/>
      <c r="G45" s="15"/>
      <c r="H45" s="15"/>
      <c r="I45" s="16"/>
      <c r="T45" s="14"/>
      <c r="U45" s="14"/>
      <c r="V45" s="14"/>
      <c r="W45" s="14"/>
      <c r="X45" s="14"/>
    </row>
    <row r="46" spans="1:24" ht="14.4" x14ac:dyDescent="0.3">
      <c r="A46" s="11">
        <v>1042</v>
      </c>
      <c r="B46" s="11" t="s">
        <v>3</v>
      </c>
      <c r="C46" s="11" t="s">
        <v>79</v>
      </c>
      <c r="D46" s="14">
        <v>7</v>
      </c>
      <c r="E46" s="14">
        <v>3512.4285714285716</v>
      </c>
      <c r="F46" s="15"/>
      <c r="G46" s="15"/>
      <c r="H46" s="15"/>
      <c r="I46" s="16"/>
      <c r="J46" s="52" t="s">
        <v>103</v>
      </c>
      <c r="K46" s="53"/>
      <c r="L46" s="53"/>
      <c r="M46" s="53"/>
      <c r="N46" s="53"/>
      <c r="O46" s="54"/>
      <c r="T46" s="14"/>
      <c r="U46" s="14"/>
      <c r="V46" s="14"/>
      <c r="W46" s="14"/>
      <c r="X46" s="14"/>
    </row>
    <row r="47" spans="1:24" ht="15" thickBot="1" x14ac:dyDescent="0.35">
      <c r="A47" s="11">
        <v>1031</v>
      </c>
      <c r="B47" s="11" t="s">
        <v>2</v>
      </c>
      <c r="C47" s="11" t="s">
        <v>71</v>
      </c>
      <c r="D47" s="14">
        <v>5</v>
      </c>
      <c r="E47" s="14">
        <v>5234.2</v>
      </c>
      <c r="F47" s="15"/>
      <c r="G47" s="15"/>
      <c r="H47" s="15"/>
      <c r="I47" s="16"/>
      <c r="J47" s="58"/>
      <c r="K47" s="59"/>
      <c r="L47" s="59"/>
      <c r="M47" s="59"/>
      <c r="N47" s="59"/>
      <c r="O47" s="60"/>
      <c r="T47" s="14"/>
      <c r="U47" s="14"/>
      <c r="V47" s="14"/>
      <c r="W47" s="14"/>
      <c r="X47" s="14"/>
    </row>
    <row r="48" spans="1:24" ht="15" thickBot="1" x14ac:dyDescent="0.35">
      <c r="A48" s="11">
        <v>1328</v>
      </c>
      <c r="B48" s="11" t="s">
        <v>33</v>
      </c>
      <c r="C48" s="11" t="s">
        <v>76</v>
      </c>
      <c r="D48" s="14">
        <v>8</v>
      </c>
      <c r="E48" s="14">
        <v>19592.125</v>
      </c>
      <c r="F48" s="15"/>
      <c r="G48" s="15"/>
      <c r="H48" s="15"/>
      <c r="I48" s="16"/>
      <c r="T48" s="14"/>
      <c r="U48" s="14"/>
      <c r="V48" s="14"/>
      <c r="W48" s="14"/>
      <c r="X48" s="14"/>
    </row>
    <row r="49" spans="1:24" ht="15" thickBot="1" x14ac:dyDescent="0.35">
      <c r="A49" s="11">
        <v>1329</v>
      </c>
      <c r="B49" s="11" t="s">
        <v>104</v>
      </c>
      <c r="C49" s="11" t="s">
        <v>76</v>
      </c>
      <c r="D49" s="14">
        <v>5</v>
      </c>
      <c r="E49" s="14">
        <v>19532.2</v>
      </c>
      <c r="F49" s="15"/>
      <c r="G49" s="15"/>
      <c r="H49" s="15"/>
      <c r="I49" s="16"/>
      <c r="K49" s="65" t="s">
        <v>105</v>
      </c>
      <c r="L49" s="66"/>
      <c r="M49" s="66"/>
      <c r="N49" s="66"/>
      <c r="O49" s="67"/>
      <c r="T49" s="14"/>
      <c r="U49" s="14"/>
      <c r="V49" s="14"/>
      <c r="W49" s="14"/>
      <c r="X49" s="14"/>
    </row>
    <row r="50" spans="1:24" ht="15" thickBot="1" x14ac:dyDescent="0.35">
      <c r="A50" s="11">
        <v>1367</v>
      </c>
      <c r="B50" s="11" t="s">
        <v>47</v>
      </c>
      <c r="C50" s="11" t="s">
        <v>76</v>
      </c>
      <c r="D50" s="14">
        <v>5</v>
      </c>
      <c r="E50" s="14">
        <v>8847.4</v>
      </c>
      <c r="F50" s="15"/>
      <c r="G50" s="15"/>
      <c r="H50" s="15"/>
      <c r="I50" s="16"/>
      <c r="T50" s="14"/>
      <c r="U50" s="14"/>
      <c r="V50" s="14"/>
      <c r="W50" s="14"/>
      <c r="X50" s="14"/>
    </row>
    <row r="51" spans="1:24" ht="15" thickBot="1" x14ac:dyDescent="0.35">
      <c r="A51" s="11">
        <v>1171</v>
      </c>
      <c r="B51" s="11" t="s">
        <v>14</v>
      </c>
      <c r="C51" s="11" t="s">
        <v>78</v>
      </c>
      <c r="D51" s="14">
        <v>5</v>
      </c>
      <c r="E51" s="14">
        <v>5290.4</v>
      </c>
      <c r="F51" s="15"/>
      <c r="G51" s="15"/>
      <c r="H51" s="15"/>
      <c r="I51" s="16"/>
      <c r="K51" s="65" t="s">
        <v>106</v>
      </c>
      <c r="L51" s="66"/>
      <c r="M51" s="66"/>
      <c r="N51" s="66"/>
      <c r="O51" s="67"/>
      <c r="T51" s="14"/>
      <c r="U51" s="14"/>
      <c r="V51" s="14"/>
      <c r="W51" s="14"/>
      <c r="X51" s="14"/>
    </row>
    <row r="52" spans="1:24" ht="14.4" x14ac:dyDescent="0.3">
      <c r="A52" s="11">
        <v>1151</v>
      </c>
      <c r="B52" s="11" t="s">
        <v>13</v>
      </c>
      <c r="C52" s="11" t="s">
        <v>76</v>
      </c>
      <c r="D52" s="14">
        <v>5</v>
      </c>
      <c r="E52" s="14">
        <v>7018.8</v>
      </c>
      <c r="F52" s="15"/>
      <c r="G52" s="15"/>
      <c r="H52" s="15"/>
      <c r="I52" s="16"/>
      <c r="T52" s="14"/>
      <c r="U52" s="14"/>
      <c r="V52" s="14"/>
      <c r="W52" s="14"/>
      <c r="X52" s="14"/>
    </row>
    <row r="55" spans="1:24" ht="15" thickBot="1" x14ac:dyDescent="0.35">
      <c r="B55" s="10"/>
      <c r="C55" s="10"/>
      <c r="D55" s="10"/>
      <c r="E55" s="10"/>
      <c r="G55" s="11"/>
      <c r="H55" s="11"/>
    </row>
    <row r="56" spans="1:24" ht="14.4" x14ac:dyDescent="0.3">
      <c r="D56" s="14"/>
      <c r="E56" s="14"/>
      <c r="F56" s="16"/>
      <c r="G56" s="28"/>
      <c r="H56" s="28"/>
      <c r="J56" s="19" t="s">
        <v>107</v>
      </c>
      <c r="K56" s="20"/>
      <c r="L56" s="20"/>
      <c r="M56" s="20"/>
      <c r="N56" s="20"/>
      <c r="O56" s="21"/>
      <c r="R56" s="12"/>
    </row>
    <row r="57" spans="1:24" ht="15" thickBot="1" x14ac:dyDescent="0.35">
      <c r="D57" s="14"/>
      <c r="E57" s="14"/>
      <c r="F57" s="16"/>
      <c r="G57" s="28"/>
      <c r="H57" s="28"/>
      <c r="J57" s="23"/>
      <c r="K57" s="24"/>
      <c r="L57" s="24"/>
      <c r="M57" s="24"/>
      <c r="N57" s="24"/>
      <c r="O57" s="25"/>
      <c r="R57" s="12"/>
    </row>
    <row r="58" spans="1:24" ht="14.4" x14ac:dyDescent="0.3">
      <c r="D58" s="14"/>
      <c r="E58" s="14"/>
      <c r="F58" s="16"/>
      <c r="G58" s="28"/>
      <c r="H58" s="28"/>
      <c r="M58" s="16"/>
      <c r="O58" s="17"/>
    </row>
    <row r="59" spans="1:24" ht="15" thickBot="1" x14ac:dyDescent="0.35">
      <c r="D59" s="14"/>
      <c r="E59" s="14"/>
      <c r="F59" s="16"/>
      <c r="G59" s="28"/>
      <c r="H59" s="28"/>
    </row>
    <row r="60" spans="1:24" ht="14.4" x14ac:dyDescent="0.3">
      <c r="D60" s="14"/>
      <c r="E60" s="14"/>
      <c r="F60" s="16"/>
      <c r="G60" s="28"/>
      <c r="H60" s="28"/>
      <c r="J60" s="19" t="s">
        <v>108</v>
      </c>
      <c r="K60" s="20"/>
      <c r="L60" s="20"/>
      <c r="M60" s="20"/>
      <c r="N60" s="20"/>
      <c r="O60" s="21"/>
    </row>
    <row r="61" spans="1:24" ht="15" thickBot="1" x14ac:dyDescent="0.35">
      <c r="D61" s="14"/>
      <c r="E61" s="14"/>
      <c r="F61" s="16"/>
      <c r="G61" s="28"/>
      <c r="H61" s="28"/>
      <c r="J61" s="23"/>
      <c r="K61" s="24"/>
      <c r="L61" s="24"/>
      <c r="M61" s="24"/>
      <c r="N61" s="24"/>
      <c r="O61" s="25"/>
    </row>
    <row r="62" spans="1:24" ht="14.4" x14ac:dyDescent="0.3">
      <c r="D62" s="14"/>
      <c r="E62" s="14"/>
      <c r="F62" s="16"/>
      <c r="G62" s="28"/>
      <c r="H62" s="28"/>
      <c r="M62" s="16"/>
      <c r="O62" s="17"/>
    </row>
    <row r="63" spans="1:24" ht="15" thickBot="1" x14ac:dyDescent="0.35">
      <c r="D63" s="14"/>
      <c r="E63" s="14"/>
      <c r="F63" s="16"/>
      <c r="G63" s="28"/>
      <c r="H63" s="28"/>
    </row>
    <row r="64" spans="1:24" ht="14.4" x14ac:dyDescent="0.3">
      <c r="D64" s="14"/>
      <c r="E64" s="14"/>
      <c r="F64" s="16"/>
      <c r="G64" s="28"/>
      <c r="H64" s="28"/>
      <c r="J64" s="19" t="s">
        <v>109</v>
      </c>
      <c r="K64" s="20"/>
      <c r="L64" s="20"/>
      <c r="M64" s="20"/>
      <c r="N64" s="20"/>
      <c r="O64" s="21"/>
    </row>
    <row r="65" spans="4:15" ht="15" thickBot="1" x14ac:dyDescent="0.35">
      <c r="D65" s="14"/>
      <c r="E65" s="14"/>
      <c r="F65" s="16"/>
      <c r="G65" s="28"/>
      <c r="H65" s="28"/>
      <c r="J65" s="23"/>
      <c r="K65" s="24"/>
      <c r="L65" s="24"/>
      <c r="M65" s="24"/>
      <c r="N65" s="24"/>
      <c r="O65" s="25"/>
    </row>
    <row r="66" spans="4:15" ht="14.4" x14ac:dyDescent="0.3">
      <c r="D66" s="14"/>
      <c r="E66" s="14"/>
      <c r="F66" s="16"/>
      <c r="G66" s="28"/>
      <c r="H66" s="28"/>
      <c r="M66" s="16"/>
      <c r="O66" s="17"/>
    </row>
    <row r="67" spans="4:15" ht="15" thickBot="1" x14ac:dyDescent="0.35">
      <c r="D67" s="14"/>
      <c r="E67" s="14"/>
      <c r="F67" s="16"/>
      <c r="G67" s="28"/>
      <c r="H67" s="28"/>
      <c r="M67" s="16"/>
      <c r="O67" s="17"/>
    </row>
    <row r="68" spans="4:15" ht="14.4" x14ac:dyDescent="0.3">
      <c r="D68" s="14"/>
      <c r="E68" s="14"/>
      <c r="F68" s="16"/>
      <c r="G68" s="28"/>
      <c r="H68" s="28"/>
      <c r="J68" s="19" t="s">
        <v>110</v>
      </c>
      <c r="K68" s="20"/>
      <c r="L68" s="20"/>
      <c r="M68" s="20"/>
      <c r="N68" s="20"/>
      <c r="O68" s="21"/>
    </row>
    <row r="69" spans="4:15" ht="15" thickBot="1" x14ac:dyDescent="0.35">
      <c r="D69" s="14"/>
      <c r="E69" s="14"/>
      <c r="F69" s="16"/>
      <c r="G69" s="28"/>
      <c r="H69" s="28"/>
      <c r="J69" s="23"/>
      <c r="K69" s="24"/>
      <c r="L69" s="24"/>
      <c r="M69" s="24"/>
      <c r="N69" s="24"/>
      <c r="O69" s="25"/>
    </row>
  </sheetData>
  <mergeCells count="14">
    <mergeCell ref="K29:O29"/>
    <mergeCell ref="K49:O49"/>
    <mergeCell ref="K51:O51"/>
    <mergeCell ref="K31:O31"/>
    <mergeCell ref="K33:O33"/>
    <mergeCell ref="K35:O35"/>
    <mergeCell ref="K37:O37"/>
    <mergeCell ref="J39:O41"/>
    <mergeCell ref="J46:O47"/>
    <mergeCell ref="J6:O13"/>
    <mergeCell ref="J16:O20"/>
    <mergeCell ref="J26:O27"/>
    <mergeCell ref="Q26:Q27"/>
    <mergeCell ref="S26:S27"/>
  </mergeCells>
  <conditionalFormatting sqref="A53:E53">
    <cfRule type="expression" dxfId="0" priority="1">
      <formula>COUNTIF($B$2:$H$53,#REF!)&gt;1</formula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81525-7EE3-407E-B565-6B9532049F67}">
  <dimension ref="A1:G64"/>
  <sheetViews>
    <sheetView workbookViewId="0">
      <selection activeCell="I15" sqref="I15"/>
    </sheetView>
  </sheetViews>
  <sheetFormatPr defaultRowHeight="14.4" x14ac:dyDescent="0.3"/>
  <cols>
    <col min="1" max="1" width="23.33203125" customWidth="1"/>
    <col min="4" max="4" width="11.6640625" bestFit="1" customWidth="1"/>
    <col min="5" max="5" width="15.6640625" bestFit="1" customWidth="1"/>
    <col min="6" max="6" width="12.77734375" bestFit="1" customWidth="1"/>
    <col min="7" max="7" width="14.77734375" style="39" bestFit="1" customWidth="1"/>
  </cols>
  <sheetData>
    <row r="1" spans="1:7" x14ac:dyDescent="0.3">
      <c r="A1" s="31" t="s">
        <v>113</v>
      </c>
      <c r="B1" s="31" t="s">
        <v>114</v>
      </c>
      <c r="C1" s="31" t="s">
        <v>115</v>
      </c>
      <c r="D1" s="31" t="s">
        <v>116</v>
      </c>
      <c r="E1" s="31" t="s">
        <v>117</v>
      </c>
      <c r="F1" s="31" t="s">
        <v>118</v>
      </c>
      <c r="G1" s="40" t="s">
        <v>119</v>
      </c>
    </row>
    <row r="2" spans="1:7" x14ac:dyDescent="0.3">
      <c r="A2" s="32" t="s">
        <v>36</v>
      </c>
      <c r="B2" s="32" t="s">
        <v>148</v>
      </c>
      <c r="C2" s="32" t="s">
        <v>121</v>
      </c>
      <c r="D2" s="33">
        <v>81737.72</v>
      </c>
      <c r="E2" s="33">
        <v>67307.695444082405</v>
      </c>
      <c r="F2" s="8">
        <f t="shared" ref="F2:F33" si="0">D2-E2</f>
        <v>14430.024555917596</v>
      </c>
      <c r="G2" s="39">
        <f t="shared" ref="G2:G33" si="1">F2*100/E2</f>
        <v>21.438892626929576</v>
      </c>
    </row>
    <row r="3" spans="1:7" x14ac:dyDescent="0.3">
      <c r="A3" s="32" t="s">
        <v>6</v>
      </c>
      <c r="B3" s="32" t="s">
        <v>148</v>
      </c>
      <c r="C3" s="32" t="s">
        <v>121</v>
      </c>
      <c r="D3" s="33">
        <v>182068.2471119999</v>
      </c>
      <c r="E3" s="33">
        <v>151594.20238356592</v>
      </c>
      <c r="F3" s="8">
        <f t="shared" si="0"/>
        <v>30474.044728433975</v>
      </c>
      <c r="G3" s="39">
        <f t="shared" si="1"/>
        <v>20.10238139010626</v>
      </c>
    </row>
    <row r="4" spans="1:7" x14ac:dyDescent="0.3">
      <c r="A4" s="32" t="s">
        <v>145</v>
      </c>
      <c r="B4" s="32" t="s">
        <v>146</v>
      </c>
      <c r="C4" s="32" t="s">
        <v>121</v>
      </c>
      <c r="D4" s="33">
        <v>12390.439999999999</v>
      </c>
      <c r="E4" s="33">
        <v>2808.151979744011</v>
      </c>
      <c r="F4" s="8">
        <f t="shared" si="0"/>
        <v>9582.2880202559882</v>
      </c>
      <c r="G4" s="39">
        <f t="shared" si="1"/>
        <v>341.23110463307268</v>
      </c>
    </row>
    <row r="5" spans="1:7" x14ac:dyDescent="0.3">
      <c r="A5" s="32" t="s">
        <v>89</v>
      </c>
      <c r="B5" s="32" t="s">
        <v>127</v>
      </c>
      <c r="C5" s="32" t="s">
        <v>121</v>
      </c>
      <c r="D5" s="33">
        <v>146345.40696000005</v>
      </c>
      <c r="E5" s="33">
        <v>27180.821150192936</v>
      </c>
      <c r="F5" s="8">
        <f t="shared" si="0"/>
        <v>119164.58580980712</v>
      </c>
      <c r="G5" s="39">
        <f t="shared" si="1"/>
        <v>438.41422284978046</v>
      </c>
    </row>
    <row r="6" spans="1:7" x14ac:dyDescent="0.3">
      <c r="A6" s="32" t="s">
        <v>45</v>
      </c>
      <c r="B6" s="32" t="s">
        <v>135</v>
      </c>
      <c r="C6" s="32" t="s">
        <v>121</v>
      </c>
      <c r="D6" s="33">
        <v>128071</v>
      </c>
      <c r="E6" s="33">
        <v>23560.66190357352</v>
      </c>
      <c r="F6" s="8">
        <f t="shared" si="0"/>
        <v>104510.33809642648</v>
      </c>
      <c r="G6" s="39">
        <f t="shared" si="1"/>
        <v>443.57980486352579</v>
      </c>
    </row>
    <row r="7" spans="1:7" x14ac:dyDescent="0.3">
      <c r="A7" s="32" t="s">
        <v>142</v>
      </c>
      <c r="B7" s="32" t="s">
        <v>143</v>
      </c>
      <c r="C7" s="32" t="s">
        <v>121</v>
      </c>
      <c r="D7" s="33">
        <v>150504.42976000003</v>
      </c>
      <c r="E7" s="33">
        <v>80845.758690981223</v>
      </c>
      <c r="F7" s="8">
        <f t="shared" si="0"/>
        <v>69658.671069018805</v>
      </c>
      <c r="G7" s="39">
        <f t="shared" si="1"/>
        <v>86.162431025326754</v>
      </c>
    </row>
    <row r="8" spans="1:7" x14ac:dyDescent="0.3">
      <c r="A8" s="32" t="s">
        <v>24</v>
      </c>
      <c r="B8" s="32" t="s">
        <v>124</v>
      </c>
      <c r="C8" s="32" t="s">
        <v>121</v>
      </c>
      <c r="D8" s="33">
        <v>22979.535200000002</v>
      </c>
      <c r="E8" s="33">
        <v>14574.070793404973</v>
      </c>
      <c r="F8" s="8">
        <f t="shared" si="0"/>
        <v>8405.4644065950288</v>
      </c>
      <c r="G8" s="39">
        <f t="shared" si="1"/>
        <v>57.674101668276862</v>
      </c>
    </row>
    <row r="9" spans="1:7" x14ac:dyDescent="0.3">
      <c r="A9" s="32" t="s">
        <v>31</v>
      </c>
      <c r="B9" s="32" t="s">
        <v>124</v>
      </c>
      <c r="C9" s="32" t="s">
        <v>121</v>
      </c>
      <c r="D9" s="33">
        <v>36620.83728</v>
      </c>
      <c r="E9" s="33">
        <v>11610.612907422201</v>
      </c>
      <c r="F9" s="8">
        <f t="shared" si="0"/>
        <v>25010.224372577799</v>
      </c>
      <c r="G9" s="39">
        <f t="shared" si="1"/>
        <v>215.40830421268942</v>
      </c>
    </row>
    <row r="10" spans="1:7" x14ac:dyDescent="0.3">
      <c r="A10" s="32" t="s">
        <v>129</v>
      </c>
      <c r="B10" s="32" t="s">
        <v>130</v>
      </c>
      <c r="C10" s="32" t="s">
        <v>121</v>
      </c>
      <c r="D10" s="33">
        <v>38389.785944000003</v>
      </c>
      <c r="E10" s="33">
        <v>19840.254595257782</v>
      </c>
      <c r="F10" s="8">
        <f t="shared" si="0"/>
        <v>18549.531348742221</v>
      </c>
      <c r="G10" s="39">
        <f t="shared" si="1"/>
        <v>93.494421957548525</v>
      </c>
    </row>
    <row r="11" spans="1:7" x14ac:dyDescent="0.3">
      <c r="A11" s="32" t="s">
        <v>39</v>
      </c>
      <c r="B11" s="32" t="s">
        <v>138</v>
      </c>
      <c r="C11" s="32" t="s">
        <v>121</v>
      </c>
      <c r="D11" s="33">
        <v>121180</v>
      </c>
      <c r="E11" s="33">
        <v>73367.308383054638</v>
      </c>
      <c r="F11" s="8">
        <f t="shared" si="0"/>
        <v>47812.691616945362</v>
      </c>
      <c r="G11" s="39">
        <f t="shared" si="1"/>
        <v>65.168932417845753</v>
      </c>
    </row>
    <row r="12" spans="1:7" x14ac:dyDescent="0.3">
      <c r="A12" s="32" t="s">
        <v>10</v>
      </c>
      <c r="B12" s="32" t="s">
        <v>146</v>
      </c>
      <c r="C12" s="32" t="s">
        <v>121</v>
      </c>
      <c r="D12" s="33">
        <v>74255.524200000014</v>
      </c>
      <c r="E12" s="33">
        <v>44310.062860390266</v>
      </c>
      <c r="F12" s="8">
        <f t="shared" si="0"/>
        <v>29945.461339609748</v>
      </c>
      <c r="G12" s="39">
        <f t="shared" si="1"/>
        <v>67.581626850677864</v>
      </c>
    </row>
    <row r="13" spans="1:7" x14ac:dyDescent="0.3">
      <c r="A13" s="32" t="s">
        <v>29</v>
      </c>
      <c r="B13" s="32" t="s">
        <v>130</v>
      </c>
      <c r="C13" s="32" t="s">
        <v>121</v>
      </c>
      <c r="D13" s="33">
        <v>136284</v>
      </c>
      <c r="E13" s="33">
        <v>61680.103608114805</v>
      </c>
      <c r="F13" s="8">
        <f t="shared" si="0"/>
        <v>74603.896391885195</v>
      </c>
      <c r="G13" s="39">
        <f t="shared" si="1"/>
        <v>120.95293624323631</v>
      </c>
    </row>
    <row r="14" spans="1:7" x14ac:dyDescent="0.3">
      <c r="A14" s="32" t="s">
        <v>4</v>
      </c>
      <c r="B14" s="32" t="s">
        <v>123</v>
      </c>
      <c r="C14" s="32" t="s">
        <v>121</v>
      </c>
      <c r="D14" s="33">
        <v>104066.15040000004</v>
      </c>
      <c r="E14" s="33">
        <v>91629.307316704435</v>
      </c>
      <c r="F14" s="8">
        <f t="shared" si="0"/>
        <v>12436.843083295607</v>
      </c>
      <c r="G14" s="39">
        <f t="shared" si="1"/>
        <v>13.572996945518016</v>
      </c>
    </row>
    <row r="15" spans="1:7" x14ac:dyDescent="0.3">
      <c r="A15" s="32" t="s">
        <v>22</v>
      </c>
      <c r="B15" s="32" t="s">
        <v>122</v>
      </c>
      <c r="C15" s="32" t="s">
        <v>121</v>
      </c>
      <c r="D15" s="33">
        <v>812.4</v>
      </c>
      <c r="E15" s="33">
        <v>744.30830420710652</v>
      </c>
      <c r="F15" s="8">
        <f t="shared" si="0"/>
        <v>68.091695792893461</v>
      </c>
      <c r="G15" s="39">
        <f t="shared" si="1"/>
        <v>9.1483187018086394</v>
      </c>
    </row>
    <row r="16" spans="1:7" x14ac:dyDescent="0.3">
      <c r="A16" s="32" t="s">
        <v>41</v>
      </c>
      <c r="B16" s="32" t="s">
        <v>148</v>
      </c>
      <c r="C16" s="32" t="s">
        <v>121</v>
      </c>
      <c r="D16" s="33">
        <v>30083.262999999999</v>
      </c>
      <c r="E16" s="33">
        <v>6448.8527245637169</v>
      </c>
      <c r="F16" s="8">
        <f t="shared" si="0"/>
        <v>23634.410275436283</v>
      </c>
      <c r="G16" s="39">
        <f t="shared" si="1"/>
        <v>366.4901539061774</v>
      </c>
    </row>
    <row r="17" spans="1:7" x14ac:dyDescent="0.3">
      <c r="A17" s="32" t="s">
        <v>37</v>
      </c>
      <c r="B17" s="32" t="s">
        <v>143</v>
      </c>
      <c r="C17" s="32" t="s">
        <v>121</v>
      </c>
      <c r="D17" s="33">
        <v>28283.360000000001</v>
      </c>
      <c r="E17" s="33">
        <v>6489.8369612275828</v>
      </c>
      <c r="F17" s="8">
        <f t="shared" si="0"/>
        <v>21793.523038772419</v>
      </c>
      <c r="G17" s="39">
        <f t="shared" si="1"/>
        <v>335.8100237182241</v>
      </c>
    </row>
    <row r="18" spans="1:7" x14ac:dyDescent="0.3">
      <c r="A18" s="32" t="s">
        <v>131</v>
      </c>
      <c r="B18" s="32" t="s">
        <v>130</v>
      </c>
      <c r="C18" s="32" t="s">
        <v>121</v>
      </c>
      <c r="D18" s="33">
        <v>48446.298000000003</v>
      </c>
      <c r="E18" s="33">
        <v>24236.884972116812</v>
      </c>
      <c r="F18" s="8">
        <f t="shared" si="0"/>
        <v>24209.413027883191</v>
      </c>
      <c r="G18" s="39">
        <f t="shared" si="1"/>
        <v>99.886652330671922</v>
      </c>
    </row>
    <row r="19" spans="1:7" x14ac:dyDescent="0.3">
      <c r="A19" s="32" t="s">
        <v>48</v>
      </c>
      <c r="B19" s="32" t="s">
        <v>135</v>
      </c>
      <c r="C19" s="32" t="s">
        <v>121</v>
      </c>
      <c r="D19" s="33">
        <v>58899.704799999992</v>
      </c>
      <c r="E19" s="33">
        <v>17011.759078401352</v>
      </c>
      <c r="F19" s="8">
        <f t="shared" si="0"/>
        <v>41887.94572159864</v>
      </c>
      <c r="G19" s="39">
        <f t="shared" si="1"/>
        <v>246.22936128210782</v>
      </c>
    </row>
    <row r="20" spans="1:7" x14ac:dyDescent="0.3">
      <c r="A20" s="32" t="s">
        <v>15</v>
      </c>
      <c r="B20" s="32" t="s">
        <v>134</v>
      </c>
      <c r="C20" s="32" t="s">
        <v>121</v>
      </c>
      <c r="D20" s="33">
        <v>19176.379000000001</v>
      </c>
      <c r="E20" s="33">
        <v>5958.8762529929299</v>
      </c>
      <c r="F20" s="8">
        <f t="shared" si="0"/>
        <v>13217.502747007071</v>
      </c>
      <c r="G20" s="39">
        <f t="shared" si="1"/>
        <v>221.81200256287238</v>
      </c>
    </row>
    <row r="21" spans="1:7" x14ac:dyDescent="0.3">
      <c r="A21" s="32" t="s">
        <v>11</v>
      </c>
      <c r="B21" s="32" t="s">
        <v>127</v>
      </c>
      <c r="C21" s="32" t="s">
        <v>121</v>
      </c>
      <c r="D21" s="33">
        <v>151837.35529599997</v>
      </c>
      <c r="E21" s="33">
        <v>32793.876250880952</v>
      </c>
      <c r="F21" s="8">
        <f t="shared" si="0"/>
        <v>119043.47904511902</v>
      </c>
      <c r="G21" s="39">
        <f t="shared" si="1"/>
        <v>363.00520906527822</v>
      </c>
    </row>
    <row r="22" spans="1:7" x14ac:dyDescent="0.3">
      <c r="A22" s="32" t="s">
        <v>21</v>
      </c>
      <c r="B22" s="32" t="s">
        <v>127</v>
      </c>
      <c r="C22" s="32" t="s">
        <v>121</v>
      </c>
      <c r="D22" s="33">
        <v>44740.833599999998</v>
      </c>
      <c r="E22" s="33">
        <v>7103.2057058461787</v>
      </c>
      <c r="F22" s="8">
        <f t="shared" si="0"/>
        <v>37637.627894153818</v>
      </c>
      <c r="G22" s="39">
        <f t="shared" si="1"/>
        <v>529.86819547090943</v>
      </c>
    </row>
    <row r="23" spans="1:7" x14ac:dyDescent="0.3">
      <c r="A23" s="32" t="s">
        <v>1</v>
      </c>
      <c r="B23" s="32" t="s">
        <v>138</v>
      </c>
      <c r="C23" s="32" t="s">
        <v>121</v>
      </c>
      <c r="D23" s="33">
        <v>265372.02880000015</v>
      </c>
      <c r="E23" s="33">
        <v>171703.4978070069</v>
      </c>
      <c r="F23" s="8">
        <f t="shared" si="0"/>
        <v>93668.530992993241</v>
      </c>
      <c r="G23" s="39">
        <f t="shared" si="1"/>
        <v>54.552488556916749</v>
      </c>
    </row>
    <row r="24" spans="1:7" x14ac:dyDescent="0.3">
      <c r="A24" s="32" t="s">
        <v>16</v>
      </c>
      <c r="B24" s="32" t="s">
        <v>143</v>
      </c>
      <c r="C24" s="32" t="s">
        <v>121</v>
      </c>
      <c r="D24" s="33">
        <v>78553.013183999996</v>
      </c>
      <c r="E24" s="33">
        <v>11737.89370301184</v>
      </c>
      <c r="F24" s="8">
        <f t="shared" si="0"/>
        <v>66815.119480988156</v>
      </c>
      <c r="G24" s="39">
        <f t="shared" si="1"/>
        <v>569.22580125124148</v>
      </c>
    </row>
    <row r="25" spans="1:7" x14ac:dyDescent="0.3">
      <c r="A25" s="32" t="s">
        <v>17</v>
      </c>
      <c r="B25" s="32" t="s">
        <v>130</v>
      </c>
      <c r="C25" s="32" t="s">
        <v>121</v>
      </c>
      <c r="D25" s="33">
        <v>187014.09524600004</v>
      </c>
      <c r="E25" s="33">
        <v>92225.256194979564</v>
      </c>
      <c r="F25" s="8">
        <f t="shared" si="0"/>
        <v>94788.839051020477</v>
      </c>
      <c r="G25" s="39">
        <f t="shared" si="1"/>
        <v>102.77969719121309</v>
      </c>
    </row>
    <row r="26" spans="1:7" x14ac:dyDescent="0.3">
      <c r="A26" s="32" t="s">
        <v>132</v>
      </c>
      <c r="B26" s="32" t="s">
        <v>130</v>
      </c>
      <c r="C26" s="32" t="s">
        <v>121</v>
      </c>
      <c r="D26" s="33">
        <v>133389.65563999995</v>
      </c>
      <c r="E26" s="33">
        <v>101355.83394335127</v>
      </c>
      <c r="F26" s="8">
        <f t="shared" si="0"/>
        <v>32033.82169664868</v>
      </c>
      <c r="G26" s="39">
        <f t="shared" si="1"/>
        <v>31.605306226923933</v>
      </c>
    </row>
    <row r="27" spans="1:7" x14ac:dyDescent="0.3">
      <c r="A27" s="32" t="s">
        <v>7</v>
      </c>
      <c r="B27" s="32" t="s">
        <v>130</v>
      </c>
      <c r="C27" s="32" t="s">
        <v>121</v>
      </c>
      <c r="D27" s="33">
        <v>178534</v>
      </c>
      <c r="E27" s="33">
        <v>79369.259316286232</v>
      </c>
      <c r="F27" s="8">
        <f t="shared" si="0"/>
        <v>99164.740683713768</v>
      </c>
      <c r="G27" s="39">
        <f t="shared" si="1"/>
        <v>124.94099294607577</v>
      </c>
    </row>
    <row r="28" spans="1:7" x14ac:dyDescent="0.3">
      <c r="A28" s="32" t="s">
        <v>102</v>
      </c>
      <c r="B28" s="32" t="s">
        <v>130</v>
      </c>
      <c r="C28" s="32" t="s">
        <v>121</v>
      </c>
      <c r="D28" s="33">
        <v>124096</v>
      </c>
      <c r="E28" s="33">
        <v>66505.479668462925</v>
      </c>
      <c r="F28" s="8">
        <f t="shared" si="0"/>
        <v>57590.520331537075</v>
      </c>
      <c r="G28" s="39">
        <f t="shared" si="1"/>
        <v>86.595150683270163</v>
      </c>
    </row>
    <row r="29" spans="1:7" x14ac:dyDescent="0.3">
      <c r="A29" s="32" t="s">
        <v>30</v>
      </c>
      <c r="B29" s="32" t="s">
        <v>127</v>
      </c>
      <c r="C29" s="32" t="s">
        <v>121</v>
      </c>
      <c r="D29" s="33">
        <v>152761</v>
      </c>
      <c r="E29" s="33">
        <v>86832.960867592148</v>
      </c>
      <c r="F29" s="8">
        <f t="shared" si="0"/>
        <v>65928.039132407852</v>
      </c>
      <c r="G29" s="39">
        <f t="shared" si="1"/>
        <v>75.925130818628517</v>
      </c>
    </row>
    <row r="30" spans="1:7" x14ac:dyDescent="0.3">
      <c r="A30" s="32" t="s">
        <v>25</v>
      </c>
      <c r="B30" s="32" t="s">
        <v>120</v>
      </c>
      <c r="C30" s="32" t="s">
        <v>121</v>
      </c>
      <c r="D30" s="33">
        <v>63350.243199999997</v>
      </c>
      <c r="E30" s="33">
        <v>23340.920231854023</v>
      </c>
      <c r="F30" s="8">
        <f t="shared" si="0"/>
        <v>40009.322968145978</v>
      </c>
      <c r="G30" s="39">
        <f t="shared" si="1"/>
        <v>171.41279165824878</v>
      </c>
    </row>
    <row r="31" spans="1:7" x14ac:dyDescent="0.3">
      <c r="A31" s="32" t="s">
        <v>12</v>
      </c>
      <c r="B31" s="32" t="s">
        <v>146</v>
      </c>
      <c r="C31" s="32" t="s">
        <v>121</v>
      </c>
      <c r="D31" s="33">
        <v>75287.279999999955</v>
      </c>
      <c r="E31" s="33">
        <v>32247.584676247403</v>
      </c>
      <c r="F31" s="8">
        <f t="shared" si="0"/>
        <v>43039.695323752552</v>
      </c>
      <c r="G31" s="39">
        <f t="shared" si="1"/>
        <v>133.4664154101882</v>
      </c>
    </row>
    <row r="32" spans="1:7" x14ac:dyDescent="0.3">
      <c r="A32" s="32" t="s">
        <v>140</v>
      </c>
      <c r="B32" s="32" t="s">
        <v>141</v>
      </c>
      <c r="C32" s="32" t="s">
        <v>121</v>
      </c>
      <c r="D32" s="33">
        <v>22777.536320000003</v>
      </c>
      <c r="E32" s="33">
        <v>11314.962301134417</v>
      </c>
      <c r="F32" s="8">
        <f t="shared" si="0"/>
        <v>11462.574018865585</v>
      </c>
      <c r="G32" s="39">
        <f t="shared" si="1"/>
        <v>101.30457100786248</v>
      </c>
    </row>
    <row r="33" spans="1:7" x14ac:dyDescent="0.3">
      <c r="A33" s="32" t="s">
        <v>42</v>
      </c>
      <c r="B33" s="32" t="s">
        <v>130</v>
      </c>
      <c r="C33" s="32" t="s">
        <v>121</v>
      </c>
      <c r="D33" s="33">
        <v>28498</v>
      </c>
      <c r="E33" s="33">
        <v>26302.187589666148</v>
      </c>
      <c r="F33" s="8">
        <f t="shared" si="0"/>
        <v>2195.8124103338523</v>
      </c>
      <c r="G33" s="39">
        <f t="shared" si="1"/>
        <v>8.3484022112159355</v>
      </c>
    </row>
    <row r="34" spans="1:7" x14ac:dyDescent="0.3">
      <c r="A34" s="32" t="s">
        <v>28</v>
      </c>
      <c r="B34" s="32" t="s">
        <v>146</v>
      </c>
      <c r="C34" s="32" t="s">
        <v>121</v>
      </c>
      <c r="D34" s="33">
        <v>22724</v>
      </c>
      <c r="E34" s="33">
        <v>4466.0790200396841</v>
      </c>
      <c r="F34" s="8">
        <f t="shared" ref="F34:F64" si="2">D34-E34</f>
        <v>18257.920979960316</v>
      </c>
      <c r="G34" s="39">
        <f t="shared" ref="G34:G64" si="3">F34*100/E34</f>
        <v>408.81320948499661</v>
      </c>
    </row>
    <row r="35" spans="1:7" x14ac:dyDescent="0.3">
      <c r="A35" s="32" t="s">
        <v>46</v>
      </c>
      <c r="B35" s="32" t="s">
        <v>135</v>
      </c>
      <c r="C35" s="32" t="s">
        <v>121</v>
      </c>
      <c r="D35" s="33">
        <v>25674</v>
      </c>
      <c r="E35" s="33">
        <v>4075.4628127403316</v>
      </c>
      <c r="F35" s="8">
        <f t="shared" si="2"/>
        <v>21598.53718725967</v>
      </c>
      <c r="G35" s="39">
        <f t="shared" si="3"/>
        <v>529.96526234371061</v>
      </c>
    </row>
    <row r="36" spans="1:7" x14ac:dyDescent="0.3">
      <c r="A36" s="32" t="s">
        <v>38</v>
      </c>
      <c r="B36" s="32" t="s">
        <v>124</v>
      </c>
      <c r="C36" s="32" t="s">
        <v>121</v>
      </c>
      <c r="D36" s="33">
        <v>85524.036800000002</v>
      </c>
      <c r="E36" s="33">
        <v>57868.480364122479</v>
      </c>
      <c r="F36" s="8">
        <f t="shared" si="2"/>
        <v>27655.556435877523</v>
      </c>
      <c r="G36" s="39">
        <f t="shared" si="3"/>
        <v>47.790362321357101</v>
      </c>
    </row>
    <row r="37" spans="1:7" x14ac:dyDescent="0.3">
      <c r="A37" s="32" t="s">
        <v>23</v>
      </c>
      <c r="B37" s="32" t="s">
        <v>127</v>
      </c>
      <c r="C37" s="32" t="s">
        <v>121</v>
      </c>
      <c r="D37" s="33">
        <v>129959.92400000003</v>
      </c>
      <c r="E37" s="33">
        <v>75155.343453675232</v>
      </c>
      <c r="F37" s="8">
        <f t="shared" si="2"/>
        <v>54804.580546324796</v>
      </c>
      <c r="G37" s="39">
        <f t="shared" si="3"/>
        <v>72.92173520583485</v>
      </c>
    </row>
    <row r="38" spans="1:7" x14ac:dyDescent="0.3">
      <c r="A38" s="32" t="s">
        <v>32</v>
      </c>
      <c r="B38" s="32" t="s">
        <v>130</v>
      </c>
      <c r="C38" s="32" t="s">
        <v>121</v>
      </c>
      <c r="D38" s="33">
        <v>21399</v>
      </c>
      <c r="E38" s="33">
        <v>17570.84919894964</v>
      </c>
      <c r="F38" s="8">
        <f t="shared" si="2"/>
        <v>3828.1508010503603</v>
      </c>
      <c r="G38" s="39">
        <f t="shared" si="3"/>
        <v>21.786942439180468</v>
      </c>
    </row>
    <row r="39" spans="1:7" x14ac:dyDescent="0.3">
      <c r="A39" s="32" t="s">
        <v>133</v>
      </c>
      <c r="B39" s="32" t="s">
        <v>130</v>
      </c>
      <c r="C39" s="32" t="s">
        <v>121</v>
      </c>
      <c r="D39" s="33">
        <v>14871.614399999999</v>
      </c>
      <c r="E39" s="33">
        <v>5924.0584813249043</v>
      </c>
      <c r="F39" s="8">
        <f t="shared" si="2"/>
        <v>8947.5559186750943</v>
      </c>
      <c r="G39" s="39">
        <f t="shared" si="3"/>
        <v>151.03760280020043</v>
      </c>
    </row>
    <row r="40" spans="1:7" x14ac:dyDescent="0.3">
      <c r="A40" s="32" t="s">
        <v>3</v>
      </c>
      <c r="B40" s="32" t="s">
        <v>143</v>
      </c>
      <c r="C40" s="32" t="s">
        <v>121</v>
      </c>
      <c r="D40" s="33">
        <v>24587</v>
      </c>
      <c r="E40" s="33">
        <v>6656.7476169818319</v>
      </c>
      <c r="F40" s="8">
        <f t="shared" si="2"/>
        <v>17930.252383018167</v>
      </c>
      <c r="G40" s="39">
        <f t="shared" si="3"/>
        <v>269.3545469153259</v>
      </c>
    </row>
    <row r="41" spans="1:7" x14ac:dyDescent="0.3">
      <c r="A41" s="32" t="s">
        <v>27</v>
      </c>
      <c r="B41" s="32" t="s">
        <v>122</v>
      </c>
      <c r="C41" s="32" t="s">
        <v>121</v>
      </c>
      <c r="D41" s="33">
        <v>69132.501231999981</v>
      </c>
      <c r="E41" s="33">
        <v>52203.104997488474</v>
      </c>
      <c r="F41" s="8">
        <f t="shared" si="2"/>
        <v>16929.396234511507</v>
      </c>
      <c r="G41" s="39">
        <f t="shared" si="3"/>
        <v>32.42986453646003</v>
      </c>
    </row>
    <row r="42" spans="1:7" x14ac:dyDescent="0.3">
      <c r="A42" s="32" t="s">
        <v>18</v>
      </c>
      <c r="B42" s="32" t="s">
        <v>146</v>
      </c>
      <c r="C42" s="32" t="s">
        <v>121</v>
      </c>
      <c r="D42" s="33">
        <v>251545.7062500001</v>
      </c>
      <c r="E42" s="33">
        <v>19214.75062867544</v>
      </c>
      <c r="F42" s="8">
        <f t="shared" si="2"/>
        <v>232330.95562132465</v>
      </c>
      <c r="G42" s="39">
        <f t="shared" si="3"/>
        <v>1209.1281334382859</v>
      </c>
    </row>
    <row r="43" spans="1:7" x14ac:dyDescent="0.3">
      <c r="A43" s="32" t="s">
        <v>2</v>
      </c>
      <c r="B43" s="32" t="s">
        <v>127</v>
      </c>
      <c r="C43" s="32" t="s">
        <v>121</v>
      </c>
      <c r="D43" s="33">
        <v>26171</v>
      </c>
      <c r="E43" s="33">
        <v>13791.290165725788</v>
      </c>
      <c r="F43" s="8">
        <f t="shared" si="2"/>
        <v>12379.709834274212</v>
      </c>
      <c r="G43" s="39">
        <f t="shared" si="3"/>
        <v>89.764697033496944</v>
      </c>
    </row>
    <row r="44" spans="1:7" x14ac:dyDescent="0.3">
      <c r="A44" s="32" t="s">
        <v>44</v>
      </c>
      <c r="B44" s="32" t="s">
        <v>135</v>
      </c>
      <c r="C44" s="32" t="s">
        <v>121</v>
      </c>
      <c r="D44" s="33">
        <v>24867.994599999998</v>
      </c>
      <c r="E44" s="33">
        <v>12643.490413589292</v>
      </c>
      <c r="F44" s="8">
        <f t="shared" si="2"/>
        <v>12224.504186410706</v>
      </c>
      <c r="G44" s="39">
        <f t="shared" si="3"/>
        <v>96.686150631883606</v>
      </c>
    </row>
    <row r="45" spans="1:7" x14ac:dyDescent="0.3">
      <c r="A45" s="32" t="s">
        <v>33</v>
      </c>
      <c r="B45" s="32" t="s">
        <v>130</v>
      </c>
      <c r="C45" s="32" t="s">
        <v>121</v>
      </c>
      <c r="D45" s="33">
        <v>156737</v>
      </c>
      <c r="E45" s="33">
        <v>123213.64071313376</v>
      </c>
      <c r="F45" s="8">
        <f t="shared" si="2"/>
        <v>33523.359286866238</v>
      </c>
      <c r="G45" s="39">
        <f t="shared" si="3"/>
        <v>27.207506484542073</v>
      </c>
    </row>
    <row r="46" spans="1:7" x14ac:dyDescent="0.3">
      <c r="A46" s="32" t="s">
        <v>104</v>
      </c>
      <c r="B46" s="32" t="s">
        <v>130</v>
      </c>
      <c r="C46" s="32" t="s">
        <v>121</v>
      </c>
      <c r="D46" s="33">
        <v>97661</v>
      </c>
      <c r="E46" s="33">
        <v>43395.029752507151</v>
      </c>
      <c r="F46" s="8">
        <f t="shared" si="2"/>
        <v>54265.970247492849</v>
      </c>
      <c r="G46" s="39">
        <f t="shared" si="3"/>
        <v>125.05111888846585</v>
      </c>
    </row>
    <row r="47" spans="1:7" x14ac:dyDescent="0.3">
      <c r="A47" s="32" t="s">
        <v>136</v>
      </c>
      <c r="B47" s="32" t="s">
        <v>137</v>
      </c>
      <c r="C47" s="32" t="s">
        <v>121</v>
      </c>
      <c r="D47" s="33">
        <v>21903.388799999997</v>
      </c>
      <c r="E47" s="33">
        <v>8266.6418969461647</v>
      </c>
      <c r="F47" s="8">
        <f t="shared" si="2"/>
        <v>13636.746903053832</v>
      </c>
      <c r="G47" s="39">
        <f t="shared" si="3"/>
        <v>164.96114230001271</v>
      </c>
    </row>
    <row r="48" spans="1:7" x14ac:dyDescent="0.3">
      <c r="A48" s="32" t="s">
        <v>43</v>
      </c>
      <c r="B48" s="32" t="s">
        <v>139</v>
      </c>
      <c r="C48" s="32" t="s">
        <v>121</v>
      </c>
      <c r="D48" s="33">
        <v>18188.14</v>
      </c>
      <c r="E48" s="33">
        <v>5989.241978045161</v>
      </c>
      <c r="F48" s="8">
        <f t="shared" si="2"/>
        <v>12198.898021954839</v>
      </c>
      <c r="G48" s="39">
        <f t="shared" si="3"/>
        <v>203.68016631607958</v>
      </c>
    </row>
    <row r="49" spans="1:7" x14ac:dyDescent="0.3">
      <c r="A49" s="32" t="s">
        <v>20</v>
      </c>
      <c r="B49" s="32" t="s">
        <v>141</v>
      </c>
      <c r="C49" s="32" t="s">
        <v>121</v>
      </c>
      <c r="D49" s="33">
        <v>11082.454</v>
      </c>
      <c r="E49" s="33">
        <v>1041.6164535348087</v>
      </c>
      <c r="F49" s="8">
        <f t="shared" si="2"/>
        <v>10040.837546465191</v>
      </c>
      <c r="G49" s="39">
        <f t="shared" si="3"/>
        <v>963.96687210448783</v>
      </c>
    </row>
    <row r="50" spans="1:7" x14ac:dyDescent="0.3">
      <c r="A50" s="32" t="s">
        <v>125</v>
      </c>
      <c r="B50" s="32" t="s">
        <v>124</v>
      </c>
      <c r="C50" s="32" t="s">
        <v>121</v>
      </c>
      <c r="D50" s="33">
        <v>18423.816000000003</v>
      </c>
      <c r="E50" s="33">
        <v>14115.360143831762</v>
      </c>
      <c r="F50" s="8">
        <f t="shared" si="2"/>
        <v>4308.4558561682406</v>
      </c>
      <c r="G50" s="39">
        <f t="shared" si="3"/>
        <v>30.523173424313814</v>
      </c>
    </row>
    <row r="51" spans="1:7" x14ac:dyDescent="0.3">
      <c r="A51" s="32" t="s">
        <v>19</v>
      </c>
      <c r="B51" s="32" t="s">
        <v>127</v>
      </c>
      <c r="C51" s="32" t="s">
        <v>121</v>
      </c>
      <c r="D51" s="33">
        <v>61786.355999999992</v>
      </c>
      <c r="E51" s="33">
        <v>39833.290219168477</v>
      </c>
      <c r="F51" s="8">
        <f t="shared" si="2"/>
        <v>21953.065780831515</v>
      </c>
      <c r="G51" s="39">
        <f t="shared" si="3"/>
        <v>55.112358683007599</v>
      </c>
    </row>
    <row r="52" spans="1:7" x14ac:dyDescent="0.3">
      <c r="A52" s="32" t="s">
        <v>40</v>
      </c>
      <c r="B52" s="32" t="s">
        <v>124</v>
      </c>
      <c r="C52" s="32" t="s">
        <v>121</v>
      </c>
      <c r="D52" s="33">
        <v>43101.428800000009</v>
      </c>
      <c r="E52" s="33">
        <v>14793.643655087924</v>
      </c>
      <c r="F52" s="8">
        <f t="shared" si="2"/>
        <v>28307.785144912086</v>
      </c>
      <c r="G52" s="39">
        <f t="shared" si="3"/>
        <v>191.35100050335669</v>
      </c>
    </row>
    <row r="53" spans="1:7" x14ac:dyDescent="0.3">
      <c r="A53" s="32" t="s">
        <v>47</v>
      </c>
      <c r="B53" s="32" t="s">
        <v>130</v>
      </c>
      <c r="C53" s="32" t="s">
        <v>121</v>
      </c>
      <c r="D53" s="33">
        <v>44237</v>
      </c>
      <c r="E53" s="33">
        <v>31992.051864244233</v>
      </c>
      <c r="F53" s="8">
        <f t="shared" si="2"/>
        <v>12244.948135755767</v>
      </c>
      <c r="G53" s="39">
        <f t="shared" si="3"/>
        <v>38.274969632195663</v>
      </c>
    </row>
    <row r="54" spans="1:7" x14ac:dyDescent="0.3">
      <c r="A54" s="32" t="s">
        <v>147</v>
      </c>
      <c r="B54" s="32" t="s">
        <v>146</v>
      </c>
      <c r="C54" s="32" t="s">
        <v>121</v>
      </c>
      <c r="D54" s="33">
        <v>36371.480000000003</v>
      </c>
      <c r="E54" s="33">
        <v>12662.191234540689</v>
      </c>
      <c r="F54" s="8">
        <f t="shared" si="2"/>
        <v>23709.288765459314</v>
      </c>
      <c r="G54" s="39">
        <f t="shared" si="3"/>
        <v>187.24475350509385</v>
      </c>
    </row>
    <row r="55" spans="1:7" x14ac:dyDescent="0.3">
      <c r="A55" s="32" t="s">
        <v>26</v>
      </c>
      <c r="B55" s="32" t="s">
        <v>146</v>
      </c>
      <c r="C55" s="32" t="s">
        <v>121</v>
      </c>
      <c r="D55" s="33">
        <v>47018.001600000003</v>
      </c>
      <c r="E55" s="33">
        <v>36462.95362853499</v>
      </c>
      <c r="F55" s="8">
        <f t="shared" si="2"/>
        <v>10555.047971465014</v>
      </c>
      <c r="G55" s="39">
        <f t="shared" si="3"/>
        <v>28.947320282921073</v>
      </c>
    </row>
    <row r="56" spans="1:7" x14ac:dyDescent="0.3">
      <c r="A56" s="32" t="s">
        <v>128</v>
      </c>
      <c r="B56" s="32" t="s">
        <v>127</v>
      </c>
      <c r="C56" s="32" t="s">
        <v>121</v>
      </c>
      <c r="D56" s="33">
        <v>110594.489</v>
      </c>
      <c r="E56" s="33">
        <v>78240.964178053095</v>
      </c>
      <c r="F56" s="8">
        <f t="shared" si="2"/>
        <v>32353.524821946907</v>
      </c>
      <c r="G56" s="39">
        <f t="shared" si="3"/>
        <v>41.351132570810265</v>
      </c>
    </row>
    <row r="57" spans="1:7" x14ac:dyDescent="0.3">
      <c r="A57" s="32" t="s">
        <v>34</v>
      </c>
      <c r="B57" s="32" t="s">
        <v>124</v>
      </c>
      <c r="C57" s="32" t="s">
        <v>121</v>
      </c>
      <c r="D57" s="33">
        <v>101924.88160000001</v>
      </c>
      <c r="E57" s="33">
        <v>68251.613256207391</v>
      </c>
      <c r="F57" s="8">
        <f t="shared" si="2"/>
        <v>33673.268343792617</v>
      </c>
      <c r="G57" s="39">
        <f t="shared" si="3"/>
        <v>49.336955915441429</v>
      </c>
    </row>
    <row r="58" spans="1:7" x14ac:dyDescent="0.3">
      <c r="A58" s="32" t="s">
        <v>35</v>
      </c>
      <c r="B58" s="32" t="s">
        <v>123</v>
      </c>
      <c r="C58" s="32" t="s">
        <v>121</v>
      </c>
      <c r="D58" s="33">
        <v>60525.494399999996</v>
      </c>
      <c r="E58" s="33">
        <v>5138.849705816694</v>
      </c>
      <c r="F58" s="8">
        <f t="shared" si="2"/>
        <v>55386.644694183298</v>
      </c>
      <c r="G58" s="39">
        <f t="shared" si="3"/>
        <v>1077.8023850647128</v>
      </c>
    </row>
    <row r="59" spans="1:7" x14ac:dyDescent="0.3">
      <c r="A59" s="32" t="s">
        <v>126</v>
      </c>
      <c r="B59" s="32" t="s">
        <v>124</v>
      </c>
      <c r="C59" s="32" t="s">
        <v>121</v>
      </c>
      <c r="D59" s="33">
        <v>4817.9873200000002</v>
      </c>
      <c r="E59" s="33">
        <v>692.78872385898842</v>
      </c>
      <c r="F59" s="8">
        <f t="shared" si="2"/>
        <v>4125.1985961410119</v>
      </c>
      <c r="G59" s="39">
        <f t="shared" si="3"/>
        <v>595.44828806720921</v>
      </c>
    </row>
    <row r="60" spans="1:7" x14ac:dyDescent="0.3">
      <c r="A60" s="32" t="s">
        <v>144</v>
      </c>
      <c r="B60" s="32" t="s">
        <v>143</v>
      </c>
      <c r="C60" s="32" t="s">
        <v>121</v>
      </c>
      <c r="D60" s="33">
        <v>60588.147255999997</v>
      </c>
      <c r="E60" s="33">
        <v>8188.8772327977358</v>
      </c>
      <c r="F60" s="8">
        <f t="shared" si="2"/>
        <v>52399.270023202262</v>
      </c>
      <c r="G60" s="39">
        <f t="shared" si="3"/>
        <v>639.88344840895866</v>
      </c>
    </row>
    <row r="61" spans="1:7" x14ac:dyDescent="0.3">
      <c r="A61" s="32" t="s">
        <v>9</v>
      </c>
      <c r="B61" s="32" t="s">
        <v>148</v>
      </c>
      <c r="C61" s="32" t="s">
        <v>121</v>
      </c>
      <c r="D61" s="33">
        <v>60882.838983999995</v>
      </c>
      <c r="E61" s="33">
        <v>60573.277525875877</v>
      </c>
      <c r="F61" s="8">
        <f t="shared" si="2"/>
        <v>309.56145812411705</v>
      </c>
      <c r="G61" s="39">
        <f t="shared" si="3"/>
        <v>0.51105284503034798</v>
      </c>
    </row>
    <row r="62" spans="1:7" x14ac:dyDescent="0.3">
      <c r="A62" s="32" t="s">
        <v>8</v>
      </c>
      <c r="B62" s="32" t="s">
        <v>127</v>
      </c>
      <c r="C62" s="32" t="s">
        <v>121</v>
      </c>
      <c r="D62" s="33">
        <v>27397.922015999997</v>
      </c>
      <c r="E62" s="33">
        <v>9412.3100994900014</v>
      </c>
      <c r="F62" s="8">
        <f t="shared" si="2"/>
        <v>17985.611916509995</v>
      </c>
      <c r="G62" s="39">
        <f t="shared" si="3"/>
        <v>191.08605354475657</v>
      </c>
    </row>
    <row r="63" spans="1:7" x14ac:dyDescent="0.3">
      <c r="A63" s="32" t="s">
        <v>14</v>
      </c>
      <c r="B63" s="32" t="s">
        <v>122</v>
      </c>
      <c r="C63" s="32" t="s">
        <v>121</v>
      </c>
      <c r="D63" s="33">
        <v>26452</v>
      </c>
      <c r="E63" s="33">
        <v>10107.177123675472</v>
      </c>
      <c r="F63" s="8">
        <f t="shared" si="2"/>
        <v>16344.822876324528</v>
      </c>
      <c r="G63" s="39">
        <f t="shared" si="3"/>
        <v>161.71501376024898</v>
      </c>
    </row>
    <row r="64" spans="1:7" x14ac:dyDescent="0.3">
      <c r="A64" s="32" t="s">
        <v>13</v>
      </c>
      <c r="B64" s="32" t="s">
        <v>130</v>
      </c>
      <c r="C64" s="32" t="s">
        <v>121</v>
      </c>
      <c r="D64" s="33">
        <v>35094</v>
      </c>
      <c r="E64" s="33">
        <v>5041.5172774335551</v>
      </c>
      <c r="F64" s="8">
        <f t="shared" si="2"/>
        <v>30052.482722566445</v>
      </c>
      <c r="G64" s="39">
        <f t="shared" si="3"/>
        <v>596.09996492692812</v>
      </c>
    </row>
  </sheetData>
  <sortState xmlns:xlrd2="http://schemas.microsoft.com/office/spreadsheetml/2017/richdata2" ref="A2:G64">
    <sortCondition ref="A2:A64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BA699-C26C-45E4-8C0D-7E9B23D08B73}">
  <dimension ref="A3:C19"/>
  <sheetViews>
    <sheetView workbookViewId="0">
      <selection activeCell="B9" sqref="B9"/>
    </sheetView>
  </sheetViews>
  <sheetFormatPr defaultRowHeight="14.4" x14ac:dyDescent="0.3"/>
  <cols>
    <col min="1" max="1" width="16.88671875" bestFit="1" customWidth="1"/>
    <col min="2" max="2" width="20.88671875" bestFit="1" customWidth="1"/>
    <col min="3" max="3" width="21.6640625" style="39" bestFit="1" customWidth="1"/>
  </cols>
  <sheetData>
    <row r="3" spans="1:3" x14ac:dyDescent="0.3">
      <c r="A3" s="37" t="s">
        <v>176</v>
      </c>
      <c r="B3" t="s">
        <v>180</v>
      </c>
      <c r="C3" s="39" t="s">
        <v>179</v>
      </c>
    </row>
    <row r="4" spans="1:3" x14ac:dyDescent="0.3">
      <c r="A4" s="38" t="s">
        <v>71</v>
      </c>
      <c r="B4">
        <v>5</v>
      </c>
      <c r="C4" s="39">
        <v>20388.600000000002</v>
      </c>
    </row>
    <row r="5" spans="1:3" x14ac:dyDescent="0.3">
      <c r="A5" s="38" t="s">
        <v>77</v>
      </c>
      <c r="B5">
        <v>3</v>
      </c>
      <c r="C5" s="39">
        <v>27431.833333333332</v>
      </c>
    </row>
    <row r="6" spans="1:3" x14ac:dyDescent="0.3">
      <c r="A6" s="38" t="s">
        <v>81</v>
      </c>
      <c r="B6">
        <v>4</v>
      </c>
      <c r="C6" s="39">
        <v>15837.5</v>
      </c>
    </row>
    <row r="7" spans="1:3" x14ac:dyDescent="0.3">
      <c r="A7" s="38" t="s">
        <v>80</v>
      </c>
      <c r="B7">
        <v>7</v>
      </c>
      <c r="C7" s="39">
        <v>2739.4285714285716</v>
      </c>
    </row>
    <row r="8" spans="1:3" x14ac:dyDescent="0.3">
      <c r="A8" s="38" t="s">
        <v>72</v>
      </c>
      <c r="B8">
        <v>19</v>
      </c>
      <c r="C8" s="39">
        <v>3125.1710526315792</v>
      </c>
    </row>
    <row r="9" spans="1:3" x14ac:dyDescent="0.3">
      <c r="A9" s="38" t="s">
        <v>74</v>
      </c>
      <c r="B9">
        <v>6.25</v>
      </c>
      <c r="C9" s="39">
        <v>40299.73529411765</v>
      </c>
    </row>
    <row r="10" spans="1:3" x14ac:dyDescent="0.3">
      <c r="A10" s="38" t="s">
        <v>82</v>
      </c>
      <c r="B10">
        <v>6</v>
      </c>
      <c r="C10" s="39">
        <v>3031.3333333333335</v>
      </c>
    </row>
    <row r="11" spans="1:3" x14ac:dyDescent="0.3">
      <c r="A11" s="38" t="s">
        <v>83</v>
      </c>
      <c r="B11">
        <v>7</v>
      </c>
      <c r="C11" s="39">
        <v>1583.1428571428571</v>
      </c>
    </row>
    <row r="12" spans="1:3" x14ac:dyDescent="0.3">
      <c r="A12" s="38" t="s">
        <v>79</v>
      </c>
      <c r="B12">
        <v>7</v>
      </c>
      <c r="C12" s="39">
        <v>6258.2380952380954</v>
      </c>
    </row>
    <row r="13" spans="1:3" x14ac:dyDescent="0.3">
      <c r="A13" s="38" t="s">
        <v>73</v>
      </c>
      <c r="B13">
        <v>9</v>
      </c>
      <c r="C13" s="39">
        <v>6653.4074074074078</v>
      </c>
    </row>
    <row r="14" spans="1:3" x14ac:dyDescent="0.3">
      <c r="A14" s="38" t="s">
        <v>78</v>
      </c>
      <c r="B14">
        <v>5</v>
      </c>
      <c r="C14" s="39">
        <v>3644.16</v>
      </c>
    </row>
    <row r="15" spans="1:3" x14ac:dyDescent="0.3">
      <c r="A15" s="38" t="s">
        <v>75</v>
      </c>
      <c r="B15">
        <v>6.8</v>
      </c>
      <c r="C15" s="39">
        <v>12364.914285714285</v>
      </c>
    </row>
    <row r="16" spans="1:3" x14ac:dyDescent="0.3">
      <c r="A16" s="38" t="s">
        <v>76</v>
      </c>
      <c r="B16" s="39">
        <v>6.1818181818181817</v>
      </c>
      <c r="C16" s="39">
        <v>15122.884090909092</v>
      </c>
    </row>
    <row r="17" spans="1:3" x14ac:dyDescent="0.3">
      <c r="A17" s="38" t="s">
        <v>70</v>
      </c>
      <c r="B17">
        <v>5</v>
      </c>
      <c r="C17" s="39">
        <v>17738.599999999999</v>
      </c>
    </row>
    <row r="18" spans="1:3" x14ac:dyDescent="0.3">
      <c r="A18" s="38" t="s">
        <v>177</v>
      </c>
    </row>
    <row r="19" spans="1:3" x14ac:dyDescent="0.3">
      <c r="A19" s="38" t="s">
        <v>178</v>
      </c>
      <c r="B19">
        <v>7.166666666666667</v>
      </c>
      <c r="C19" s="39">
        <v>13384.975713452219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9 A r k V g Q A q M S l A A A A 9 g A A A B I A H A B D b 2 5 m a W c v U G F j a 2 F n Z S 5 4 b W w g o h g A K K A U A A A A A A A A A A A A A A A A A A A A A A A A A A A A h Y 8 x D o I w G I W v Q r r T l p K o I T 9 l c D I R Y 2 J i X J t S o R G K o c V y N w e P 5 B X E K O r m + L 7 3 D e / d r z f I h q Y O L q q z u j U p i j B F g T K y L b Q p U 9 S 7 Y 7 h A G Y e t k C d R q m C U j U 0 G W 6 S o c u 6 c E O K 9 x z 7 G b V c S R m l E D v l 6 J y v V C P S R 9 X 8 5 1 M Y 6 Y a R C H P a v M Z z h K J r j e M Y w B T J B y L X 5 C m z c + 2 x / I C z 7 2 v W d 4 s q E q w 2 Q K Q J 5 f + A P U E s D B B Q A A g A I A P Q K 5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0 C u R W K I p H u A 4 A A A A R A A A A E w A c A E Z v c m 1 1 b G F z L 1 N l Y 3 R p b 2 4 x L m 0 g o h g A K K A U A A A A A A A A A A A A A A A A A A A A A A A A A A A A K 0 5 N L s n M z 1 M I h t C G 1 g B Q S w E C L Q A U A A I A C A D 0 C u R W B A C o x K U A A A D 2 A A A A E g A A A A A A A A A A A A A A A A A A A A A A Q 2 9 u Z m l n L 1 B h Y 2 t h Z 2 U u e G 1 s U E s B A i 0 A F A A C A A g A 9 A r k V g / K 6 a u k A A A A 6 Q A A A B M A A A A A A A A A A A A A A A A A 8 Q A A A F t D b 2 5 0 Z W 5 0 X 1 R 5 c G V z X S 5 4 b W x Q S w E C L Q A U A A I A C A D 0 C u R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I U x h J 4 2 o d E y C Y I c d s s E 3 g A A A A A A C A A A A A A A Q Z g A A A A E A A C A A A A D z z G Y M k x n U w J D 2 x G X L y M 6 T 6 3 d I G h L D q P 0 z s S w O Z i 2 d R A A A A A A O g A A A A A I A A C A A A A A u x z s 9 v x j 5 v p d 5 C a Z n 0 v F g z S p 9 I T s d g n c 6 V 9 g J F i l 1 j F A A A A A 1 u B k y O M D B O p p P m 1 7 W D D r 0 G Z g 5 C j F h E T J M K h X O U C k T L T a k H w 6 2 7 W a I 4 f v E R 7 f q Y E G G U h O Q B V T K s Q s D V Z l z w e A k v T f Q O 2 I w N P E M m p 6 r p r / Q + 0 A A A A B 6 k 5 O E a G 9 4 A 1 y v v 2 T 1 p V U K e u 3 v E Q u X c S l j a e w 3 Z p b u x e g p Y a 5 m X B t R 4 F 6 I M w P F B u / U U s q s Z I 1 D G I o s W z V O Y 3 l u < / D a t a M a s h u p > 
</file>

<file path=customXml/itemProps1.xml><?xml version="1.0" encoding="utf-8"?>
<ds:datastoreItem xmlns:ds="http://schemas.openxmlformats.org/officeDocument/2006/customXml" ds:itemID="{C2DE51A9-489C-418A-ADF4-47C4173FD84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Sheet3</vt:lpstr>
      <vt:lpstr>BP Profitability_Sample</vt:lpstr>
      <vt:lpstr>cost_base</vt:lpstr>
      <vt:lpstr>payouts_table_AMD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Jhurani</dc:creator>
  <cp:lastModifiedBy>HP</cp:lastModifiedBy>
  <dcterms:created xsi:type="dcterms:W3CDTF">2023-03-20T16:53:36Z</dcterms:created>
  <dcterms:modified xsi:type="dcterms:W3CDTF">2023-07-29T17:50:37Z</dcterms:modified>
</cp:coreProperties>
</file>