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HP\OneDrive\Desktop\MX_1_Deliverables\"/>
    </mc:Choice>
  </mc:AlternateContent>
  <xr:revisionPtr revIDLastSave="0" documentId="13_ncr:1_{2BEBA61C-1EBE-40E7-802F-67903AE6CB78}" xr6:coauthVersionLast="47" xr6:coauthVersionMax="47" xr10:uidLastSave="{00000000-0000-0000-0000-000000000000}"/>
  <bookViews>
    <workbookView xWindow="-108" yWindow="-108" windowWidth="23256" windowHeight="12456" tabRatio="939" firstSheet="1" activeTab="1" xr2:uid="{00000000-000D-0000-FFFF-FFFF00000000}"/>
  </bookViews>
  <sheets>
    <sheet name="Drop Down Lists" sheetId="3" state="hidden" r:id="rId1"/>
    <sheet name="Cost Calculator" sheetId="1" r:id="rId2"/>
    <sheet name="Calculator Raw" sheetId="2" state="hidden" r:id="rId3"/>
    <sheet name="Assumption_Distance" sheetId="5" state="hidden" r:id="rId4"/>
    <sheet name="Vehicle_Maintenance" sheetId="11" state="hidden" r:id="rId5"/>
    <sheet name="Vehicle EMI Sheet" sheetId="9" state="hidden" r:id="rId6"/>
    <sheet name="Assumption_Mileage" sheetId="6" state="hidden" r:id="rId7"/>
    <sheet name="Assumption_Salary" sheetId="8" state="hidden" r:id="rId8"/>
    <sheet name="(Inc) OU Profitability" sheetId="12" state="hidden" r:id="rId9"/>
    <sheet name="Cluster Mapping" sheetId="13" state="hidden" r:id="rId10"/>
    <sheet name="Vehicle Mapping" sheetId="14" state="hidden" r:id="rId11"/>
  </sheets>
  <definedNames>
    <definedName name="_xlnm._FilterDatabase" localSheetId="4" hidden="1">Vehicle_Maintenance!$A$1:$D$21</definedName>
    <definedName name="Ahmedabad">'Drop Down Lists'!$D$2:$D$17</definedName>
    <definedName name="Ambala">'Drop Down Lists'!$E$2:$E$18</definedName>
    <definedName name="Bangalore">'Drop Down Lists'!$F$2:$F$18</definedName>
    <definedName name="Chennai">'Drop Down Lists'!$G$2:$G$9</definedName>
    <definedName name="Cluster">'Drop Down Lists'!$A$2:$A$18</definedName>
    <definedName name="Coimbatore">'Drop Down Lists'!$H$2:$H$16</definedName>
    <definedName name="Delhi">'Drop Down Lists'!$I$2:$I$22</definedName>
    <definedName name="Guwahati">'Drop Down Lists'!$J$2:$J$6</definedName>
    <definedName name="Hyderabad">'Drop Down Lists'!$K$2:$K$18</definedName>
    <definedName name="Indore">'Drop Down Lists'!$L$2:$L$11</definedName>
    <definedName name="Jaipur">'Drop Down Lists'!$M$2:$M$8</definedName>
    <definedName name="Jamshedpur">'Drop Down Lists'!$N$2:$N$11</definedName>
    <definedName name="Kolkata">'Drop Down Lists'!$O$2:$O$14</definedName>
    <definedName name="Lucknow">'Drop Down Lists'!$P$2:$P$12</definedName>
    <definedName name="Mumbai">'Drop Down Lists'!$Q$2:$Q$11</definedName>
    <definedName name="Nagpur">'Drop Down Lists'!$R$2:$R$6</definedName>
    <definedName name="Noida">'Drop Down Lists'!$S$2:$S$13</definedName>
    <definedName name="Pune">'Drop Down Lists'!$T$2:$T$21</definedName>
    <definedName name="Veh_Cat">'Drop Down Lists'!$Z$2:$Z$13</definedName>
    <definedName name="Vehicle">'Drop Down Lists'!$V$2:$V$21</definedName>
    <definedName name="Year">'Drop Down Lists'!$X$2:$X$1048576</definedName>
  </definedNames>
  <calcPr calcId="191029"/>
</workbook>
</file>

<file path=xl/calcChain.xml><?xml version="1.0" encoding="utf-8"?>
<calcChain xmlns="http://schemas.openxmlformats.org/spreadsheetml/2006/main">
  <c r="AM5" i="2" l="1"/>
  <c r="AM6" i="2"/>
  <c r="AM7" i="2"/>
  <c r="AM8" i="2"/>
  <c r="AM9" i="2"/>
  <c r="AM10" i="2"/>
  <c r="AM11" i="2"/>
  <c r="AN5" i="2"/>
  <c r="AN6" i="2"/>
  <c r="AN7" i="2"/>
  <c r="AN8" i="2"/>
  <c r="AN9" i="2"/>
  <c r="AN10" i="2"/>
  <c r="AN11" i="2"/>
  <c r="AE5" i="2"/>
  <c r="AE6" i="2"/>
  <c r="AE7" i="2"/>
  <c r="AE8" i="2"/>
  <c r="AE9" i="2"/>
  <c r="AE10" i="2"/>
  <c r="AE11" i="2"/>
  <c r="AE3" i="2"/>
  <c r="AE4" i="2"/>
  <c r="W5" i="2"/>
  <c r="W6" i="2"/>
  <c r="W7" i="2"/>
  <c r="W8" i="2"/>
  <c r="W9" i="2"/>
  <c r="W10" i="2"/>
  <c r="W11" i="2"/>
  <c r="S5" i="2"/>
  <c r="S6" i="2"/>
  <c r="S7" i="2"/>
  <c r="S8" i="2"/>
  <c r="S9" i="2"/>
  <c r="S10" i="2"/>
  <c r="S11" i="2"/>
  <c r="U5" i="2"/>
  <c r="U6" i="2"/>
  <c r="U7" i="2"/>
  <c r="U8" i="2"/>
  <c r="U9" i="2"/>
  <c r="U10" i="2"/>
  <c r="U11" i="2"/>
  <c r="C11" i="2"/>
  <c r="L11" i="2" s="1"/>
  <c r="C10" i="2"/>
  <c r="Y10" i="2" s="1"/>
  <c r="C9" i="2"/>
  <c r="Y9" i="2" s="1"/>
  <c r="C8" i="2"/>
  <c r="L8" i="2" s="1"/>
  <c r="C7" i="2"/>
  <c r="L7" i="2" s="1"/>
  <c r="C6" i="2"/>
  <c r="L6" i="2" s="1"/>
  <c r="C5" i="2"/>
  <c r="L5" i="2" s="1"/>
  <c r="B11" i="2"/>
  <c r="F11" i="2" s="1"/>
  <c r="B10" i="2"/>
  <c r="F10" i="2" s="1"/>
  <c r="B9" i="2"/>
  <c r="F9" i="2" s="1"/>
  <c r="B8" i="2"/>
  <c r="F8" i="2" s="1"/>
  <c r="B7" i="2"/>
  <c r="E7" i="2" s="1"/>
  <c r="B6" i="2"/>
  <c r="F6" i="2" s="1"/>
  <c r="B5" i="2"/>
  <c r="F5" i="2" s="1"/>
  <c r="B3" i="2"/>
  <c r="F3" i="2" s="1"/>
  <c r="B4" i="2"/>
  <c r="E4" i="2" s="1"/>
  <c r="B2" i="2"/>
  <c r="E2" i="2" s="1"/>
  <c r="F4" i="9"/>
  <c r="AI2" i="2"/>
  <c r="AI3" i="2" s="1"/>
  <c r="AI4" i="2" s="1"/>
  <c r="AJ2" i="2"/>
  <c r="AJ3" i="2" s="1"/>
  <c r="AJ4" i="2" s="1"/>
  <c r="T2" i="2"/>
  <c r="T3" i="2" s="1"/>
  <c r="T4" i="2" s="1"/>
  <c r="R2" i="2"/>
  <c r="R3" i="2" s="1"/>
  <c r="R4" i="2" s="1"/>
  <c r="C4" i="2"/>
  <c r="L4" i="2" s="1"/>
  <c r="L9" i="2" l="1"/>
  <c r="E5" i="2"/>
  <c r="F2" i="2"/>
  <c r="F7" i="2"/>
  <c r="J7" i="2" s="1"/>
  <c r="E3" i="2"/>
  <c r="Y8" i="2"/>
  <c r="L10" i="2"/>
  <c r="E10" i="2"/>
  <c r="J8" i="2"/>
  <c r="K8" i="2"/>
  <c r="AA8" i="2" s="1"/>
  <c r="K9" i="2"/>
  <c r="AA9" i="2" s="1"/>
  <c r="J9" i="2"/>
  <c r="K3" i="2"/>
  <c r="AA3" i="2" s="1"/>
  <c r="J3" i="2"/>
  <c r="K10" i="2"/>
  <c r="AA10" i="2" s="1"/>
  <c r="J10" i="2"/>
  <c r="K11" i="2"/>
  <c r="AA11" i="2" s="1"/>
  <c r="J11" i="2"/>
  <c r="J6" i="2"/>
  <c r="K6" i="2"/>
  <c r="AA6" i="2" s="1"/>
  <c r="E11" i="2"/>
  <c r="D2" i="2"/>
  <c r="E9" i="2"/>
  <c r="J5" i="2"/>
  <c r="K7" i="2"/>
  <c r="AA7" i="2" s="1"/>
  <c r="Y7" i="2"/>
  <c r="F4" i="2"/>
  <c r="E8" i="2"/>
  <c r="J2" i="2"/>
  <c r="Y6" i="2"/>
  <c r="K5" i="2"/>
  <c r="AA5" i="2" s="1"/>
  <c r="Y5" i="2"/>
  <c r="E6" i="2"/>
  <c r="K2" i="2"/>
  <c r="Y11" i="2"/>
  <c r="AJ12" i="2"/>
  <c r="AI12" i="2"/>
  <c r="AO11" i="2"/>
  <c r="AO8" i="2"/>
  <c r="AO7" i="2"/>
  <c r="AO10" i="2"/>
  <c r="AO6" i="2"/>
  <c r="AO5" i="2"/>
  <c r="AO9" i="2"/>
  <c r="M4" i="2"/>
  <c r="N4" i="2" s="1"/>
  <c r="W4" i="2" s="1"/>
  <c r="X4" i="2"/>
  <c r="AB3" i="2" l="1"/>
  <c r="AB9" i="2"/>
  <c r="AG9" i="2" s="1"/>
  <c r="V4" i="2"/>
  <c r="Q4" i="2"/>
  <c r="Y4" i="2"/>
  <c r="K4" i="2"/>
  <c r="AA4" i="2" s="1"/>
  <c r="J4" i="2"/>
  <c r="AB7" i="2"/>
  <c r="AB8" i="2"/>
  <c r="AB6" i="2"/>
  <c r="AA2" i="2"/>
  <c r="AB11" i="2"/>
  <c r="AG11" i="2" s="1"/>
  <c r="AB5" i="2"/>
  <c r="AG5" i="2"/>
  <c r="AE2" i="2"/>
  <c r="AB10" i="2"/>
  <c r="AG10" i="2" s="1"/>
  <c r="C3" i="2"/>
  <c r="L3" i="2" s="1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4" i="9"/>
  <c r="I4" i="9"/>
  <c r="F5" i="9"/>
  <c r="F6" i="9"/>
  <c r="F7" i="9"/>
  <c r="F8" i="9"/>
  <c r="F13" i="9"/>
  <c r="F14" i="9"/>
  <c r="F15" i="9"/>
  <c r="F16" i="9"/>
  <c r="F21" i="9"/>
  <c r="F22" i="9"/>
  <c r="F23" i="9"/>
  <c r="D5" i="9"/>
  <c r="G5" i="9" s="1"/>
  <c r="D6" i="9"/>
  <c r="G6" i="9" s="1"/>
  <c r="D7" i="9"/>
  <c r="G7" i="9" s="1"/>
  <c r="D8" i="9"/>
  <c r="G8" i="9" s="1"/>
  <c r="D9" i="9"/>
  <c r="F9" i="9" s="1"/>
  <c r="D10" i="9"/>
  <c r="F10" i="9" s="1"/>
  <c r="D11" i="9"/>
  <c r="G11" i="9" s="1"/>
  <c r="D12" i="9"/>
  <c r="G12" i="9" s="1"/>
  <c r="D13" i="9"/>
  <c r="G13" i="9" s="1"/>
  <c r="D14" i="9"/>
  <c r="G14" i="9" s="1"/>
  <c r="D15" i="9"/>
  <c r="G15" i="9" s="1"/>
  <c r="D16" i="9"/>
  <c r="G16" i="9" s="1"/>
  <c r="D17" i="9"/>
  <c r="F17" i="9" s="1"/>
  <c r="D18" i="9"/>
  <c r="F18" i="9" s="1"/>
  <c r="D19" i="9"/>
  <c r="G19" i="9" s="1"/>
  <c r="D20" i="9"/>
  <c r="G20" i="9" s="1"/>
  <c r="D21" i="9"/>
  <c r="G21" i="9" s="1"/>
  <c r="D22" i="9"/>
  <c r="G22" i="9" s="1"/>
  <c r="D23" i="9"/>
  <c r="G23" i="9" s="1"/>
  <c r="D4" i="9"/>
  <c r="G4" i="9" s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H2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" i="8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" i="6"/>
  <c r="H2" i="2"/>
  <c r="G2" i="2"/>
  <c r="G3" i="2" s="1"/>
  <c r="G4" i="2" s="1"/>
  <c r="G5" i="2" s="1"/>
  <c r="C2" i="2"/>
  <c r="L2" i="2" s="1"/>
  <c r="M2" i="2" s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" i="11"/>
  <c r="K12" i="2" l="1"/>
  <c r="C23" i="1" s="1"/>
  <c r="S4" i="2"/>
  <c r="U4" i="2"/>
  <c r="AB2" i="2"/>
  <c r="AG2" i="2"/>
  <c r="AA12" i="2"/>
  <c r="C22" i="1" s="1"/>
  <c r="G6" i="2"/>
  <c r="AB4" i="2"/>
  <c r="AD4" i="2" s="1"/>
  <c r="AE12" i="2"/>
  <c r="E22" i="1" s="1"/>
  <c r="AG7" i="2"/>
  <c r="AG6" i="2"/>
  <c r="I2" i="2"/>
  <c r="AD9" i="2" s="1"/>
  <c r="H3" i="2"/>
  <c r="H4" i="2" s="1"/>
  <c r="H5" i="2" s="1"/>
  <c r="H6" i="2" s="1"/>
  <c r="H7" i="2" s="1"/>
  <c r="H8" i="2" s="1"/>
  <c r="H9" i="2" s="1"/>
  <c r="H10" i="2" s="1"/>
  <c r="H11" i="2" s="1"/>
  <c r="AD10" i="2"/>
  <c r="AG8" i="2"/>
  <c r="AG3" i="2"/>
  <c r="M3" i="2"/>
  <c r="N3" i="2" s="1"/>
  <c r="W3" i="2" s="1"/>
  <c r="X3" i="2"/>
  <c r="X2" i="2"/>
  <c r="N2" i="2"/>
  <c r="W2" i="2" s="1"/>
  <c r="W12" i="2" s="1"/>
  <c r="E20" i="1" s="1"/>
  <c r="G9" i="9"/>
  <c r="G18" i="9"/>
  <c r="G10" i="9"/>
  <c r="G17" i="9"/>
  <c r="F20" i="9"/>
  <c r="F12" i="9"/>
  <c r="F19" i="9"/>
  <c r="F11" i="9"/>
  <c r="G17" i="12"/>
  <c r="E17" i="12"/>
  <c r="D17" i="12"/>
  <c r="C17" i="12"/>
  <c r="B17" i="12"/>
  <c r="F17" i="12" s="1"/>
  <c r="G16" i="12"/>
  <c r="E16" i="12"/>
  <c r="D16" i="12"/>
  <c r="C16" i="12"/>
  <c r="B16" i="12"/>
  <c r="F16" i="12" s="1"/>
  <c r="G15" i="12"/>
  <c r="E15" i="12"/>
  <c r="D15" i="12"/>
  <c r="C15" i="12"/>
  <c r="B15" i="12"/>
  <c r="F15" i="12" s="1"/>
  <c r="G14" i="12"/>
  <c r="E14" i="12"/>
  <c r="D14" i="12"/>
  <c r="C14" i="12"/>
  <c r="B14" i="12"/>
  <c r="F14" i="12" s="1"/>
  <c r="G13" i="12"/>
  <c r="E13" i="12"/>
  <c r="D13" i="12"/>
  <c r="C13" i="12"/>
  <c r="B13" i="12"/>
  <c r="F13" i="12" s="1"/>
  <c r="G12" i="12"/>
  <c r="E12" i="12"/>
  <c r="D12" i="12"/>
  <c r="C12" i="12"/>
  <c r="B12" i="12"/>
  <c r="F12" i="12" s="1"/>
  <c r="G11" i="12"/>
  <c r="E11" i="12"/>
  <c r="D11" i="12"/>
  <c r="C11" i="12"/>
  <c r="B11" i="12"/>
  <c r="F11" i="12" s="1"/>
  <c r="G10" i="12"/>
  <c r="E10" i="12"/>
  <c r="D10" i="12"/>
  <c r="C10" i="12"/>
  <c r="B10" i="12"/>
  <c r="F10" i="12" s="1"/>
  <c r="G9" i="12"/>
  <c r="E9" i="12"/>
  <c r="D9" i="12"/>
  <c r="C9" i="12"/>
  <c r="B9" i="12"/>
  <c r="F9" i="12" s="1"/>
  <c r="G8" i="12"/>
  <c r="E8" i="12"/>
  <c r="D8" i="12"/>
  <c r="C8" i="12"/>
  <c r="B8" i="12"/>
  <c r="F8" i="12" s="1"/>
  <c r="G7" i="12"/>
  <c r="E7" i="12"/>
  <c r="D7" i="12"/>
  <c r="C7" i="12"/>
  <c r="B7" i="12"/>
  <c r="F7" i="12" s="1"/>
  <c r="G6" i="12"/>
  <c r="E6" i="12"/>
  <c r="D6" i="12"/>
  <c r="C6" i="12"/>
  <c r="B6" i="12"/>
  <c r="F6" i="12" s="1"/>
  <c r="G5" i="12"/>
  <c r="E5" i="12"/>
  <c r="D5" i="12"/>
  <c r="C5" i="12"/>
  <c r="B5" i="12"/>
  <c r="F5" i="12" s="1"/>
  <c r="G4" i="12"/>
  <c r="E4" i="12"/>
  <c r="E18" i="12" s="1"/>
  <c r="D4" i="12"/>
  <c r="D18" i="12" s="1"/>
  <c r="C4" i="12"/>
  <c r="C18" i="12" s="1"/>
  <c r="B4" i="12"/>
  <c r="B18" i="12" s="1"/>
  <c r="I3" i="2" l="1"/>
  <c r="AF3" i="2" s="1"/>
  <c r="AG4" i="2"/>
  <c r="AG12" i="2" s="1"/>
  <c r="G7" i="2"/>
  <c r="AC5" i="2"/>
  <c r="AC3" i="2"/>
  <c r="AC9" i="2"/>
  <c r="AC7" i="2"/>
  <c r="AC6" i="2"/>
  <c r="AC8" i="2"/>
  <c r="AC11" i="2"/>
  <c r="AC10" i="2"/>
  <c r="AD8" i="2"/>
  <c r="Y3" i="2"/>
  <c r="AC4" i="2"/>
  <c r="AB12" i="2"/>
  <c r="D22" i="1" s="1"/>
  <c r="AD2" i="2"/>
  <c r="AD6" i="2"/>
  <c r="Y2" i="2"/>
  <c r="AD3" i="2"/>
  <c r="AD7" i="2"/>
  <c r="AF2" i="2"/>
  <c r="AD5" i="2"/>
  <c r="O2" i="2"/>
  <c r="AD11" i="2"/>
  <c r="AC2" i="2"/>
  <c r="H6" i="12"/>
  <c r="I6" i="12" s="1"/>
  <c r="H10" i="12"/>
  <c r="I10" i="12" s="1"/>
  <c r="H14" i="12"/>
  <c r="I14" i="12" s="1"/>
  <c r="H7" i="12"/>
  <c r="I7" i="12" s="1"/>
  <c r="H11" i="12"/>
  <c r="I11" i="12" s="1"/>
  <c r="H15" i="12"/>
  <c r="I15" i="12" s="1"/>
  <c r="H8" i="12"/>
  <c r="I8" i="12" s="1"/>
  <c r="H12" i="12"/>
  <c r="I12" i="12" s="1"/>
  <c r="H16" i="12"/>
  <c r="I16" i="12" s="1"/>
  <c r="H5" i="12"/>
  <c r="I5" i="12" s="1"/>
  <c r="H9" i="12"/>
  <c r="I9" i="12" s="1"/>
  <c r="H13" i="12"/>
  <c r="I13" i="12" s="1"/>
  <c r="H17" i="12"/>
  <c r="I17" i="12" s="1"/>
  <c r="F4" i="12"/>
  <c r="F18" i="12" s="1"/>
  <c r="E19" i="12" s="1"/>
  <c r="G18" i="12"/>
  <c r="O3" i="2" l="1"/>
  <c r="I4" i="2"/>
  <c r="O4" i="2" s="1"/>
  <c r="P4" i="2" s="1"/>
  <c r="AD12" i="2"/>
  <c r="AC12" i="2"/>
  <c r="P2" i="2"/>
  <c r="Q2" i="2" s="1"/>
  <c r="Z2" i="2" s="1"/>
  <c r="V2" i="2"/>
  <c r="P3" i="2"/>
  <c r="Q3" i="2" s="1"/>
  <c r="V3" i="2"/>
  <c r="AH3" i="2"/>
  <c r="Y12" i="2"/>
  <c r="F20" i="1" s="1"/>
  <c r="I5" i="2"/>
  <c r="AF4" i="2"/>
  <c r="AH4" i="2" s="1"/>
  <c r="G8" i="2"/>
  <c r="AH2" i="2"/>
  <c r="H4" i="12"/>
  <c r="C19" i="12"/>
  <c r="B19" i="12"/>
  <c r="D19" i="12"/>
  <c r="AK2" i="2" l="1"/>
  <c r="I6" i="2"/>
  <c r="AF5" i="2"/>
  <c r="AH5" i="2" s="1"/>
  <c r="O5" i="2"/>
  <c r="U2" i="2"/>
  <c r="S2" i="2"/>
  <c r="G9" i="2"/>
  <c r="U3" i="2"/>
  <c r="S3" i="2"/>
  <c r="Z3" i="2"/>
  <c r="AK3" i="2" s="1"/>
  <c r="AL3" i="2" s="1"/>
  <c r="AM3" i="2" s="1"/>
  <c r="I4" i="12"/>
  <c r="H18" i="12"/>
  <c r="I18" i="12" s="1"/>
  <c r="AL2" i="2" l="1"/>
  <c r="AM2" i="2" s="1"/>
  <c r="S12" i="2"/>
  <c r="U12" i="2"/>
  <c r="P5" i="2"/>
  <c r="Q5" i="2" s="1"/>
  <c r="V5" i="2"/>
  <c r="I7" i="2"/>
  <c r="AF6" i="2"/>
  <c r="AH6" i="2" s="1"/>
  <c r="O6" i="2"/>
  <c r="G10" i="2"/>
  <c r="AN3" i="2"/>
  <c r="AN2" i="2"/>
  <c r="AP2" i="2" s="1"/>
  <c r="Z4" i="2"/>
  <c r="AK4" i="2" s="1"/>
  <c r="AL4" i="2" s="1"/>
  <c r="AM4" i="2" s="1"/>
  <c r="G11" i="2" l="1"/>
  <c r="P6" i="2"/>
  <c r="Q6" i="2" s="1"/>
  <c r="V6" i="2"/>
  <c r="I8" i="2"/>
  <c r="AF7" i="2"/>
  <c r="AH7" i="2" s="1"/>
  <c r="O7" i="2"/>
  <c r="Z5" i="2"/>
  <c r="AK5" i="2" s="1"/>
  <c r="AO3" i="2"/>
  <c r="AP3" i="2" s="1"/>
  <c r="AQ3" i="2" s="1"/>
  <c r="AR3" i="2" s="1"/>
  <c r="AN4" i="2"/>
  <c r="AN12" i="2" s="1"/>
  <c r="AO2" i="2"/>
  <c r="AQ2" i="2" s="1"/>
  <c r="AR2" i="2" s="1"/>
  <c r="AO4" i="2" l="1"/>
  <c r="AP4" i="2" s="1"/>
  <c r="AQ4" i="2" s="1"/>
  <c r="AR4" i="2" s="1"/>
  <c r="AP5" i="2"/>
  <c r="AQ5" i="2" s="1"/>
  <c r="AR5" i="2" s="1"/>
  <c r="AL5" i="2"/>
  <c r="P7" i="2"/>
  <c r="Q7" i="2" s="1"/>
  <c r="V7" i="2"/>
  <c r="I9" i="2"/>
  <c r="AF8" i="2"/>
  <c r="AH8" i="2" s="1"/>
  <c r="O8" i="2"/>
  <c r="Z6" i="2"/>
  <c r="AM12" i="2"/>
  <c r="AO12" i="2" l="1"/>
  <c r="I20" i="1" s="1"/>
  <c r="P8" i="2"/>
  <c r="Q8" i="2" s="1"/>
  <c r="V8" i="2"/>
  <c r="I10" i="2"/>
  <c r="AF9" i="2"/>
  <c r="AH9" i="2" s="1"/>
  <c r="O9" i="2"/>
  <c r="Z7" i="2"/>
  <c r="AK7" i="2" s="1"/>
  <c r="AK6" i="2"/>
  <c r="AP6" i="2" l="1"/>
  <c r="AQ6" i="2" s="1"/>
  <c r="AR6" i="2" s="1"/>
  <c r="AL6" i="2"/>
  <c r="AP7" i="2"/>
  <c r="AQ7" i="2" s="1"/>
  <c r="AR7" i="2" s="1"/>
  <c r="AL7" i="2"/>
  <c r="P9" i="2"/>
  <c r="Q9" i="2" s="1"/>
  <c r="V9" i="2"/>
  <c r="I11" i="2"/>
  <c r="AF10" i="2"/>
  <c r="AH10" i="2" s="1"/>
  <c r="O10" i="2"/>
  <c r="Z8" i="2"/>
  <c r="P10" i="2" l="1"/>
  <c r="Q10" i="2" s="1"/>
  <c r="V10" i="2"/>
  <c r="AK8" i="2"/>
  <c r="AF11" i="2"/>
  <c r="O11" i="2"/>
  <c r="Z9" i="2"/>
  <c r="AK9" i="2" s="1"/>
  <c r="AP9" i="2" l="1"/>
  <c r="AQ9" i="2" s="1"/>
  <c r="AR9" i="2" s="1"/>
  <c r="AL9" i="2"/>
  <c r="AP8" i="2"/>
  <c r="AQ8" i="2" s="1"/>
  <c r="AR8" i="2" s="1"/>
  <c r="AL8" i="2"/>
  <c r="Z10" i="2"/>
  <c r="AK10" i="2" s="1"/>
  <c r="P11" i="2"/>
  <c r="Q11" i="2" s="1"/>
  <c r="V11" i="2"/>
  <c r="V12" i="2" s="1"/>
  <c r="D20" i="1" s="1"/>
  <c r="AH11" i="2"/>
  <c r="AH12" i="2" s="1"/>
  <c r="H20" i="1" s="1"/>
  <c r="AF12" i="2"/>
  <c r="AP10" i="2" l="1"/>
  <c r="AQ10" i="2" s="1"/>
  <c r="AR10" i="2" s="1"/>
  <c r="AL10" i="2"/>
  <c r="Z11" i="2"/>
  <c r="Q12" i="2"/>
  <c r="C20" i="1" s="1"/>
  <c r="AK11" i="2" l="1"/>
  <c r="AL11" i="2" s="1"/>
  <c r="Z12" i="2"/>
  <c r="G20" i="1" s="1"/>
  <c r="AK12" i="2" l="1"/>
  <c r="J20" i="1" s="1"/>
  <c r="AP11" i="2"/>
  <c r="AQ11" i="2" s="1"/>
  <c r="AR11" i="2" s="1"/>
  <c r="AR12" i="2" s="1"/>
  <c r="E24" i="1" s="1"/>
</calcChain>
</file>

<file path=xl/sharedStrings.xml><?xml version="1.0" encoding="utf-8"?>
<sst xmlns="http://schemas.openxmlformats.org/spreadsheetml/2006/main" count="1506" uniqueCount="490">
  <si>
    <t>INPUT</t>
  </si>
  <si>
    <t>Vehicle Type</t>
  </si>
  <si>
    <t>Vehicle #1</t>
  </si>
  <si>
    <t>Vehicle #2</t>
  </si>
  <si>
    <t>Vehicle #3</t>
  </si>
  <si>
    <t>Vehicle #4</t>
  </si>
  <si>
    <t>Vehicle #5</t>
  </si>
  <si>
    <t>Vehicle #6</t>
  </si>
  <si>
    <t>Vehicle #7</t>
  </si>
  <si>
    <t>Vehicle #8</t>
  </si>
  <si>
    <t>Vehicle #9</t>
  </si>
  <si>
    <t>Vehicle #10</t>
  </si>
  <si>
    <t>Tata Ace</t>
  </si>
  <si>
    <t>Eicher 32 ft</t>
  </si>
  <si>
    <t>Pickup</t>
  </si>
  <si>
    <t>Cargo king</t>
  </si>
  <si>
    <t>Vehicle Profile</t>
  </si>
  <si>
    <t>EMI (5 yrs)</t>
  </si>
  <si>
    <t>Market (30000)</t>
  </si>
  <si>
    <t>Market (20000)</t>
  </si>
  <si>
    <t>Area Profile</t>
  </si>
  <si>
    <t>Delivery Capability</t>
  </si>
  <si>
    <t>Cluster</t>
  </si>
  <si>
    <t>Branch Code</t>
  </si>
  <si>
    <t>Congestion Charges</t>
  </si>
  <si>
    <t>Ahmedabad</t>
  </si>
  <si>
    <t>AKVB1</t>
  </si>
  <si>
    <t>PROCESSING</t>
  </si>
  <si>
    <t>Cost Profile</t>
  </si>
  <si>
    <t>Manpower Cost</t>
  </si>
  <si>
    <t>Fuel Cost</t>
  </si>
  <si>
    <t>EMI Cost</t>
  </si>
  <si>
    <t>Additional Charges</t>
  </si>
  <si>
    <t>Total Costs</t>
  </si>
  <si>
    <t>Loader Count</t>
  </si>
  <si>
    <t>Driver Count</t>
  </si>
  <si>
    <t>Supervisor Count</t>
  </si>
  <si>
    <t>Month Capacity (T)</t>
  </si>
  <si>
    <t>OUTPUT</t>
  </si>
  <si>
    <t>OU</t>
  </si>
  <si>
    <t>Vehicle</t>
  </si>
  <si>
    <t>Year of Make</t>
  </si>
  <si>
    <t>AMDT1</t>
  </si>
  <si>
    <t>Ambala</t>
  </si>
  <si>
    <t>Bangalore</t>
  </si>
  <si>
    <t>Chennai</t>
  </si>
  <si>
    <t>Coimbatore</t>
  </si>
  <si>
    <t>Delhi</t>
  </si>
  <si>
    <t>Guwahati</t>
  </si>
  <si>
    <t>Hyderabad</t>
  </si>
  <si>
    <t>Indore</t>
  </si>
  <si>
    <t>Jaipur</t>
  </si>
  <si>
    <t>Jamshedpur</t>
  </si>
  <si>
    <t>Kolkata</t>
  </si>
  <si>
    <t>Lucknow</t>
  </si>
  <si>
    <t>Mumbai</t>
  </si>
  <si>
    <t>Nagpur</t>
  </si>
  <si>
    <t>Noida</t>
  </si>
  <si>
    <t>Pune</t>
  </si>
  <si>
    <t>Veh_Category</t>
  </si>
  <si>
    <t>Additional charges</t>
  </si>
  <si>
    <t>AMBT1</t>
  </si>
  <si>
    <t>BAYB1</t>
  </si>
  <si>
    <t>MAAB4</t>
  </si>
  <si>
    <t>CANB1</t>
  </si>
  <si>
    <t>AWRB1</t>
  </si>
  <si>
    <t>BNGB1</t>
  </si>
  <si>
    <t>ATPB1</t>
  </si>
  <si>
    <t>BHOB1</t>
  </si>
  <si>
    <t>AIIB1</t>
  </si>
  <si>
    <t>BBIB1</t>
  </si>
  <si>
    <t>ASNB1</t>
  </si>
  <si>
    <t>BBKB1</t>
  </si>
  <si>
    <t>BOMB7</t>
  </si>
  <si>
    <t>AKDB1</t>
  </si>
  <si>
    <t>AGRB1</t>
  </si>
  <si>
    <t>ANGB1</t>
  </si>
  <si>
    <t>Owned</t>
  </si>
  <si>
    <t>AMDB1</t>
  </si>
  <si>
    <t>ATQB1</t>
  </si>
  <si>
    <t>BGMB1</t>
  </si>
  <si>
    <t>MAABP</t>
  </si>
  <si>
    <t>CCJB1</t>
  </si>
  <si>
    <t>BHWB1</t>
  </si>
  <si>
    <t>COHB1</t>
  </si>
  <si>
    <t>HYDBB</t>
  </si>
  <si>
    <t>BIAB1</t>
  </si>
  <si>
    <t>BKNB1</t>
  </si>
  <si>
    <t>BGPB1</t>
  </si>
  <si>
    <t>BWNB1</t>
  </si>
  <si>
    <t>FZDB1</t>
  </si>
  <si>
    <t>BOMBA</t>
  </si>
  <si>
    <t>AMIB1</t>
  </si>
  <si>
    <t>ALJB1</t>
  </si>
  <si>
    <t>DHIB1</t>
  </si>
  <si>
    <t>Union charges</t>
  </si>
  <si>
    <t>AMDBC</t>
  </si>
  <si>
    <t>BDDB1</t>
  </si>
  <si>
    <t>BLRBC</t>
  </si>
  <si>
    <t>MAAT1</t>
  </si>
  <si>
    <t>CJBBU</t>
  </si>
  <si>
    <t>BNWB1</t>
  </si>
  <si>
    <t>GAUT1</t>
  </si>
  <si>
    <t>HYDBC</t>
  </si>
  <si>
    <t>DWXB1</t>
  </si>
  <si>
    <t>JAIT1</t>
  </si>
  <si>
    <t>BKRB1</t>
  </si>
  <si>
    <t>CCUB5</t>
  </si>
  <si>
    <t>GOPB1</t>
  </si>
  <si>
    <t>BOMBB</t>
  </si>
  <si>
    <t>CDRB1</t>
  </si>
  <si>
    <t>BRYB1</t>
  </si>
  <si>
    <t>GOIB1</t>
  </si>
  <si>
    <t>Tata 407</t>
  </si>
  <si>
    <t>Terrain charges</t>
  </si>
  <si>
    <t>AMDBL</t>
  </si>
  <si>
    <t>BUPCB1</t>
  </si>
  <si>
    <t>BLRBH</t>
  </si>
  <si>
    <t>MAAT2</t>
  </si>
  <si>
    <t>CJBT1</t>
  </si>
  <si>
    <t>CTRB1</t>
  </si>
  <si>
    <t>NGAB1</t>
  </si>
  <si>
    <t>HYDBE</t>
  </si>
  <si>
    <t>GWLB1</t>
  </si>
  <si>
    <t>JDHB1</t>
  </si>
  <si>
    <t>Cuttack</t>
  </si>
  <si>
    <t>CCUBB</t>
  </si>
  <si>
    <t>IXDB1</t>
  </si>
  <si>
    <t>BOMBG</t>
  </si>
  <si>
    <t>NAGT1</t>
  </si>
  <si>
    <t>DEDB1</t>
  </si>
  <si>
    <t>ISKB1</t>
  </si>
  <si>
    <t>Eicher 14</t>
  </si>
  <si>
    <t>EMI (4 yrs)</t>
  </si>
  <si>
    <t>AMDBP</t>
  </si>
  <si>
    <t>HSXB1</t>
  </si>
  <si>
    <t>BLRBJ</t>
  </si>
  <si>
    <t>NLRB1</t>
  </si>
  <si>
    <t>COKB1</t>
  </si>
  <si>
    <t>DELB1</t>
  </si>
  <si>
    <t>NJPT1</t>
  </si>
  <si>
    <t>HYDBK</t>
  </si>
  <si>
    <t>IDRT1</t>
  </si>
  <si>
    <t>KTUB1</t>
  </si>
  <si>
    <t>DBDB1</t>
  </si>
  <si>
    <t>CCUBD</t>
  </si>
  <si>
    <t>JHSB1</t>
  </si>
  <si>
    <t>BOMBM</t>
  </si>
  <si>
    <t>RPRB1</t>
  </si>
  <si>
    <t>DELBZ</t>
  </si>
  <si>
    <t>IXUB1</t>
  </si>
  <si>
    <t>Eicher 17</t>
  </si>
  <si>
    <t>EMI (3 yrs)</t>
  </si>
  <si>
    <t>IXCB1</t>
  </si>
  <si>
    <t>BLRBM</t>
  </si>
  <si>
    <t>PNYB1</t>
  </si>
  <si>
    <t>ERDB1</t>
  </si>
  <si>
    <t>DELB2</t>
  </si>
  <si>
    <t>HYDBS</t>
  </si>
  <si>
    <t>JLRB1</t>
  </si>
  <si>
    <t>SIKB1</t>
  </si>
  <si>
    <t>DBRB1</t>
  </si>
  <si>
    <t>CCUBT</t>
  </si>
  <si>
    <t>KNUB1</t>
  </si>
  <si>
    <t>BOMBN</t>
  </si>
  <si>
    <t>HWB1</t>
  </si>
  <si>
    <t>JLGB1</t>
  </si>
  <si>
    <t>Eicher 19</t>
  </si>
  <si>
    <t>EMI (8 yrs)</t>
  </si>
  <si>
    <t>BDQT1</t>
  </si>
  <si>
    <t>IXJB1</t>
  </si>
  <si>
    <t>BLRBN</t>
  </si>
  <si>
    <t>SRIB1</t>
  </si>
  <si>
    <t>IXMB1</t>
  </si>
  <si>
    <t>DELB3</t>
  </si>
  <si>
    <t>HYDT1</t>
  </si>
  <si>
    <t>PABB1</t>
  </si>
  <si>
    <t>UDRB1</t>
  </si>
  <si>
    <t>IXRB1</t>
  </si>
  <si>
    <t>CCUT1</t>
  </si>
  <si>
    <t>LKOBD</t>
  </si>
  <si>
    <t>BOMBV</t>
  </si>
  <si>
    <t>MBB1</t>
  </si>
  <si>
    <t>KLHB1</t>
  </si>
  <si>
    <t>22 ft</t>
  </si>
  <si>
    <t>BVCB1</t>
  </si>
  <si>
    <t>JUCB1</t>
  </si>
  <si>
    <t>BLRBW</t>
  </si>
  <si>
    <t>VLRB1</t>
  </si>
  <si>
    <t>PGTB1</t>
  </si>
  <si>
    <t>DELBC</t>
  </si>
  <si>
    <t>KRMB1</t>
  </si>
  <si>
    <t>PTMB1</t>
  </si>
  <si>
    <t>IXWT1</t>
  </si>
  <si>
    <t>CCUT2</t>
  </si>
  <si>
    <t>LKOT1</t>
  </si>
  <si>
    <t>BOMT1</t>
  </si>
  <si>
    <t>MTJB1</t>
  </si>
  <si>
    <t>PNQB9</t>
  </si>
  <si>
    <t>Eicher 20</t>
  </si>
  <si>
    <t>GNCB1</t>
  </si>
  <si>
    <t>KRNB1</t>
  </si>
  <si>
    <t>BLRT1</t>
  </si>
  <si>
    <t>POYB1</t>
  </si>
  <si>
    <t>DELBD</t>
  </si>
  <si>
    <t>KUNB1</t>
  </si>
  <si>
    <t>SGOB1</t>
  </si>
  <si>
    <t>PATB1</t>
  </si>
  <si>
    <t>CCUTN</t>
  </si>
  <si>
    <t>MAUB1</t>
  </si>
  <si>
    <t>PNVB1</t>
  </si>
  <si>
    <t>MUTB1</t>
  </si>
  <si>
    <t>PNQBF</t>
  </si>
  <si>
    <t>Market (40000)</t>
  </si>
  <si>
    <t>IXYB1</t>
  </si>
  <si>
    <t>LUHB1</t>
  </si>
  <si>
    <t>DVGB1</t>
  </si>
  <si>
    <t>SXVB1</t>
  </si>
  <si>
    <t>DELBF</t>
  </si>
  <si>
    <t>MBRB1</t>
  </si>
  <si>
    <t>UJNB1</t>
  </si>
  <si>
    <t>SBPB1</t>
  </si>
  <si>
    <t>DGRB1</t>
  </si>
  <si>
    <t>RBLB1</t>
  </si>
  <si>
    <t>TARB1</t>
  </si>
  <si>
    <t>MZAB1</t>
  </si>
  <si>
    <t>PNQBH</t>
  </si>
  <si>
    <t>3wheeler</t>
  </si>
  <si>
    <t>Market (50000)</t>
  </si>
  <si>
    <t>JGAB1</t>
  </si>
  <si>
    <t>MDIB1</t>
  </si>
  <si>
    <t>HBXB1</t>
  </si>
  <si>
    <t>TENB1</t>
  </si>
  <si>
    <t>DELBG</t>
  </si>
  <si>
    <t>NZBB1</t>
  </si>
  <si>
    <t>LDAB1</t>
  </si>
  <si>
    <t>VNSB1</t>
  </si>
  <si>
    <t>NOIT1</t>
  </si>
  <si>
    <t>PNQBK</t>
  </si>
  <si>
    <t>Tata 909</t>
  </si>
  <si>
    <t>Market (60000)</t>
  </si>
  <si>
    <t>JNDB1</t>
  </si>
  <si>
    <t>MHLB1</t>
  </si>
  <si>
    <t>IXEB1</t>
  </si>
  <si>
    <t>TJVB1</t>
  </si>
  <si>
    <t>DELBO</t>
  </si>
  <si>
    <t>PTRB1</t>
  </si>
  <si>
    <t>MSBB1</t>
  </si>
  <si>
    <t>RUPCB1</t>
  </si>
  <si>
    <t>PNQBP</t>
  </si>
  <si>
    <t>Tata 1109</t>
  </si>
  <si>
    <t>Market (70000)</t>
  </si>
  <si>
    <t>MSHB1</t>
  </si>
  <si>
    <t>PNPB1</t>
  </si>
  <si>
    <t>MLOB1</t>
  </si>
  <si>
    <t>TRVB1</t>
  </si>
  <si>
    <t>DELBP</t>
  </si>
  <si>
    <t>RJAB1</t>
  </si>
  <si>
    <t>STBB1</t>
  </si>
  <si>
    <t>PNQBR</t>
  </si>
  <si>
    <t>Mahindra</t>
  </si>
  <si>
    <t>Market (80000)</t>
  </si>
  <si>
    <t>RAJB1</t>
  </si>
  <si>
    <t>PWNB1</t>
  </si>
  <si>
    <t>MNPB1</t>
  </si>
  <si>
    <t>TRZB1</t>
  </si>
  <si>
    <t>DELBW</t>
  </si>
  <si>
    <t>SKMB1</t>
  </si>
  <si>
    <t>PNQBW</t>
  </si>
  <si>
    <t>Champion</t>
  </si>
  <si>
    <t>STVT1</t>
  </si>
  <si>
    <t>SOLB1</t>
  </si>
  <si>
    <t>MYQB1</t>
  </si>
  <si>
    <t>TUPT1</t>
  </si>
  <si>
    <t>DELPL</t>
  </si>
  <si>
    <t>VGAB1</t>
  </si>
  <si>
    <t>PNQT1</t>
  </si>
  <si>
    <t>Trump Forec</t>
  </si>
  <si>
    <t>VAPT1</t>
  </si>
  <si>
    <t>UHLB1</t>
  </si>
  <si>
    <t>SMEB1</t>
  </si>
  <si>
    <t>DELT1</t>
  </si>
  <si>
    <t>VTZB1</t>
  </si>
  <si>
    <t>PNQT2</t>
  </si>
  <si>
    <t>Super ace</t>
  </si>
  <si>
    <t>YNRB1</t>
  </si>
  <si>
    <t>TMKB1</t>
  </si>
  <si>
    <t>GGN_MAX</t>
  </si>
  <si>
    <t>WRLB1</t>
  </si>
  <si>
    <t>RIGB1</t>
  </si>
  <si>
    <t>HSRB1</t>
  </si>
  <si>
    <t>SLIB1</t>
  </si>
  <si>
    <t>24 FT</t>
  </si>
  <si>
    <t>NMRB1</t>
  </si>
  <si>
    <t>SSEB1</t>
  </si>
  <si>
    <t>AL Dost</t>
  </si>
  <si>
    <t>ROKB1</t>
  </si>
  <si>
    <t>STRB1</t>
  </si>
  <si>
    <t>Taurus</t>
  </si>
  <si>
    <t>SNPB1</t>
  </si>
  <si>
    <t>Capacity</t>
  </si>
  <si>
    <t>Average mileage</t>
  </si>
  <si>
    <t>Agartala (Tripura)</t>
  </si>
  <si>
    <t>INR 64.01</t>
  </si>
  <si>
    <t>Aizawl (Mizoram)</t>
  </si>
  <si>
    <t>INR 63.25</t>
  </si>
  <si>
    <t>Ambala (Haryana)</t>
  </si>
  <si>
    <t>INR 66.43</t>
  </si>
  <si>
    <t>Bangalore (Karnataka)</t>
  </si>
  <si>
    <t>INR 67.05</t>
  </si>
  <si>
    <t>Bhopal (Madhya Pradesh)</t>
  </si>
  <si>
    <t>INR 69.38</t>
  </si>
  <si>
    <t>Bhubaneswar (Odisha)</t>
  </si>
  <si>
    <t>INR 70.75</t>
  </si>
  <si>
    <t>Chandigarh</t>
  </si>
  <si>
    <t>Daman (Daman &amp; Diu)</t>
  </si>
  <si>
    <t>INR 66.63</t>
  </si>
  <si>
    <t>Dehradun (Uttarakhand)</t>
  </si>
  <si>
    <t>INR 66.22</t>
  </si>
  <si>
    <t>Gandhinagar (Gujarat)</t>
  </si>
  <si>
    <t>INR 70.81</t>
  </si>
  <si>
    <t>Gangtok (Sikkim)</t>
  </si>
  <si>
    <t>INR 67.65</t>
  </si>
  <si>
    <t>Guwahati (Assam)</t>
  </si>
  <si>
    <t>INR 68.83</t>
  </si>
  <si>
    <t>Hyderabad (Telangana)</t>
  </si>
  <si>
    <t>INR 71.63</t>
  </si>
  <si>
    <t>Imphal (Manipur)</t>
  </si>
  <si>
    <t>INR 64.03</t>
  </si>
  <si>
    <t>Itanagar (Arunachal Pradesh)</t>
  </si>
  <si>
    <t>INR 63.27</t>
  </si>
  <si>
    <t>Jaipur (Rajasthan)</t>
  </si>
  <si>
    <t>INR 70.25</t>
  </si>
  <si>
    <t>Jammu (J&amp;K)</t>
  </si>
  <si>
    <t>INR 67.11</t>
  </si>
  <si>
    <t>Jalandhar (Punjab)</t>
  </si>
  <si>
    <t>INR 65.92</t>
  </si>
  <si>
    <t>Lucknow (Uttar Pradesh)</t>
  </si>
  <si>
    <t>INR 66.05</t>
  </si>
  <si>
    <t>Panjim (Goa)</t>
  </si>
  <si>
    <t>INR 67.07</t>
  </si>
  <si>
    <t>Patna (Bihar)</t>
  </si>
  <si>
    <t>INR 70.57</t>
  </si>
  <si>
    <t>Pondicherry</t>
  </si>
  <si>
    <t>INR 68.07</t>
  </si>
  <si>
    <t>Port Blair (Andaman &amp; Nicobar)</t>
  </si>
  <si>
    <t>INR 61.86</t>
  </si>
  <si>
    <t>Raipur (Chhattisgarh)</t>
  </si>
  <si>
    <t>INR 71.20</t>
  </si>
  <si>
    <t>Ranchi (Jharkhand)</t>
  </si>
  <si>
    <t>INR 69.63</t>
  </si>
  <si>
    <t>Silvassa (Dadra &amp; Nagar Haveli)</t>
  </si>
  <si>
    <t>INR 66.70</t>
  </si>
  <si>
    <t>Shillong (Meghalaya)</t>
  </si>
  <si>
    <t>INR 65.74</t>
  </si>
  <si>
    <t>Shimla (Himachal Pradesh)</t>
  </si>
  <si>
    <t>INR 65.55</t>
  </si>
  <si>
    <t>Srinagar (J&amp;K)</t>
  </si>
  <si>
    <t>INR 69.24</t>
  </si>
  <si>
    <t>Trivandrum (Kerela)</t>
  </si>
  <si>
    <t>INR 71.52</t>
  </si>
  <si>
    <t>Cluster Name</t>
  </si>
  <si>
    <t>State</t>
  </si>
  <si>
    <t>Semi skilled</t>
  </si>
  <si>
    <t>Skilled</t>
  </si>
  <si>
    <t>Highly skilled</t>
  </si>
  <si>
    <t>Loader Cap</t>
  </si>
  <si>
    <t>Supervisor Cap</t>
  </si>
  <si>
    <t>Gujrat</t>
  </si>
  <si>
    <t>Loader= Semi Skilled</t>
  </si>
  <si>
    <t>Punjab</t>
  </si>
  <si>
    <t>Karnataka</t>
  </si>
  <si>
    <t>Supervisor= Highly Skilled</t>
  </si>
  <si>
    <t>Tamil Nadu</t>
  </si>
  <si>
    <t>Data for skills taken from government Employment Site</t>
  </si>
  <si>
    <t>Assam</t>
  </si>
  <si>
    <t>Telangana</t>
  </si>
  <si>
    <t>Madhya Pradesh</t>
  </si>
  <si>
    <t>Rajasthan</t>
  </si>
  <si>
    <t>Jharkhand</t>
  </si>
  <si>
    <t>West Bengal</t>
  </si>
  <si>
    <t>Uttar Pradesh</t>
  </si>
  <si>
    <t>Maharashtra</t>
  </si>
  <si>
    <t>Vehicles</t>
  </si>
  <si>
    <t>Downpayment %</t>
  </si>
  <si>
    <t>Rate of Interest</t>
  </si>
  <si>
    <t>Driver Expenses</t>
  </si>
  <si>
    <t>Vehicle Cost</t>
  </si>
  <si>
    <t>Total Payout</t>
  </si>
  <si>
    <t>Profit</t>
  </si>
  <si>
    <t>Profitability</t>
  </si>
  <si>
    <t>Grand Total</t>
  </si>
  <si>
    <t>Location code</t>
  </si>
  <si>
    <t>CLUSTER</t>
  </si>
  <si>
    <t xml:space="preserve">Vehicle </t>
  </si>
  <si>
    <t>Mapped Vehicle</t>
  </si>
  <si>
    <t>14 ft</t>
  </si>
  <si>
    <t>17 ft</t>
  </si>
  <si>
    <t xml:space="preserve"> 3wheeler</t>
  </si>
  <si>
    <t>20 ft</t>
  </si>
  <si>
    <t>19 ft</t>
  </si>
  <si>
    <t>Tractor</t>
  </si>
  <si>
    <t>32 ft</t>
  </si>
  <si>
    <t>Driver=Skilled</t>
  </si>
  <si>
    <t>EMI/Refinance Cost</t>
  </si>
  <si>
    <t>Total Manpower Cost</t>
  </si>
  <si>
    <t>Total Fuel Cost</t>
  </si>
  <si>
    <t>Total Maintenence cost</t>
  </si>
  <si>
    <t>Profit margin%</t>
  </si>
  <si>
    <t>Total vehicle cost</t>
  </si>
  <si>
    <t>Vehicle Mapping</t>
  </si>
  <si>
    <t>Mileage Capped</t>
  </si>
  <si>
    <t>Team Size</t>
  </si>
  <si>
    <t>Loader</t>
  </si>
  <si>
    <t>Loader Salary</t>
  </si>
  <si>
    <t>EMI</t>
  </si>
  <si>
    <t>Maintenence cost</t>
  </si>
  <si>
    <t>Profit margin</t>
  </si>
  <si>
    <t>bottom cap</t>
  </si>
  <si>
    <t>Driver</t>
  </si>
  <si>
    <t>Ownership</t>
  </si>
  <si>
    <t>Driver salary</t>
  </si>
  <si>
    <t>Driver Cap</t>
  </si>
  <si>
    <t>Fuel consumed</t>
  </si>
  <si>
    <t>Long distance</t>
  </si>
  <si>
    <t>Intra-city</t>
  </si>
  <si>
    <t>Diesel per liter</t>
  </si>
  <si>
    <t>Tyre cap ₹ per km</t>
  </si>
  <si>
    <t>Maintenance cap ₹ per km</t>
  </si>
  <si>
    <t>Insurance and RTO (Fitness Etc)</t>
  </si>
  <si>
    <t>Distance travelled</t>
  </si>
  <si>
    <t>Tenure (yrs)</t>
  </si>
  <si>
    <t>Months</t>
  </si>
  <si>
    <t>Ad-hoc charges</t>
  </si>
  <si>
    <t>Yes</t>
  </si>
  <si>
    <t>No</t>
  </si>
  <si>
    <t>Total cost</t>
  </si>
  <si>
    <t>Market vehicle cost</t>
  </si>
  <si>
    <t>Utilization</t>
  </si>
  <si>
    <t>Days working in a month</t>
  </si>
  <si>
    <t>Other Inputs</t>
  </si>
  <si>
    <t>Additional
Charges</t>
  </si>
  <si>
    <t>Team</t>
  </si>
  <si>
    <t>Purchase Year</t>
  </si>
  <si>
    <t>Payout/kg to be
 offered to partner</t>
  </si>
  <si>
    <t>Additional charge rates</t>
  </si>
  <si>
    <t>Vehicle Capacity</t>
  </si>
  <si>
    <t>To get salaries cap, round up salary from govt. site upto 100th place and add 1000.</t>
  </si>
  <si>
    <t>e.g.</t>
  </si>
  <si>
    <t>round it up to 100th place: 10900</t>
  </si>
  <si>
    <t>add 1000 to it: 11900</t>
  </si>
  <si>
    <t>In AMDT1 semi skilled labor salary is 10809.6</t>
  </si>
  <si>
    <t>11900 is the loader cap for AMDT1</t>
  </si>
  <si>
    <t>Another example, for skilled labor salary in AMDT1</t>
  </si>
  <si>
    <t>11917.8 &gt; 12000 &gt; 13000</t>
  </si>
  <si>
    <t>Driver salary becomes 13000 in AMDT1</t>
  </si>
  <si>
    <t>Balance</t>
  </si>
  <si>
    <t>Terrain Charges (on fuel cost)</t>
  </si>
  <si>
    <t>Congestion Charges (on fuel cost)</t>
  </si>
  <si>
    <t>Ex-Showroom Price</t>
  </si>
  <si>
    <t>Union Charges (on total cost after including terrain and congestion charges)</t>
  </si>
  <si>
    <t>Ad-hoc (on total cost after including terrain and congestion charges)</t>
  </si>
  <si>
    <t>index</t>
  </si>
  <si>
    <t>fixed cost</t>
  </si>
  <si>
    <t>Delivery_capability</t>
  </si>
  <si>
    <t>cluster</t>
  </si>
  <si>
    <t>Cluster_code</t>
  </si>
  <si>
    <t>Pay_emi</t>
  </si>
  <si>
    <t>Emi to be paid upto</t>
  </si>
  <si>
    <t>current date</t>
  </si>
  <si>
    <t>year</t>
  </si>
  <si>
    <t>don’t_pay_emi_before</t>
  </si>
  <si>
    <t>Market price</t>
  </si>
  <si>
    <t>Price</t>
  </si>
  <si>
    <t>Market_price</t>
  </si>
  <si>
    <t>Terrain_cost</t>
  </si>
  <si>
    <t>Congestion_ccost</t>
  </si>
  <si>
    <t>Union_cost</t>
  </si>
  <si>
    <t>Ad_hoc_cost</t>
  </si>
  <si>
    <t>1109</t>
  </si>
  <si>
    <t>Additional_cost</t>
  </si>
  <si>
    <t>Count of vehicles</t>
  </si>
  <si>
    <t>SuperVisor</t>
  </si>
  <si>
    <t>Supervisor_salary</t>
  </si>
  <si>
    <t>Vehicle_no</t>
  </si>
  <si>
    <t>Total_final_cost</t>
  </si>
  <si>
    <t>profit</t>
  </si>
  <si>
    <t>Cost_with_profit</t>
  </si>
  <si>
    <t>Total</t>
  </si>
  <si>
    <t>Total_cost_2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</si>
</sst>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164" formatCode="_(* #,##0_);_(* \(#,##0\);_(* &quot;-&quot;??_);_(@_)"/>
    <numFmt numFmtId="165" formatCode="0.0"/>
    <numFmt numFmtId="166" formatCode="[$₹-820]#,##0.000"/>
  </numFmts>
  <fonts count="12" x14ac:knownFonts="1">
    <font>
      <sz val="11"/>
      <color theme="1"/>
      <name val="Calibri"/>
      <family val="2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b/>
      <sz val="11"/>
      <color theme="0"/>
      <name val="Garamond"/>
      <family val="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rgb="FFFA7D00"/>
      <name val="Nunito"/>
      <family val="2"/>
    </font>
    <font>
      <b/>
      <sz val="14"/>
      <color theme="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sz val="14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1E0B2"/>
        <bgColor rgb="FFF1E0B2"/>
      </patternFill>
    </fill>
    <fill>
      <patternFill patternType="solid">
        <fgColor rgb="FFF8EFD8"/>
        <bgColor rgb="FFF8EFD8"/>
      </patternFill>
    </fill>
    <fill>
      <patternFill patternType="solid">
        <fgColor rgb="FFEFC8A8"/>
        <bgColor rgb="FFEFC8A8"/>
      </patternFill>
    </fill>
    <fill>
      <patternFill patternType="solid">
        <fgColor rgb="FFE2A9A4"/>
        <bgColor rgb="FFE2A9A4"/>
      </patternFill>
    </fill>
    <fill>
      <patternFill patternType="solid">
        <fgColor rgb="FFA9DCC6"/>
        <bgColor rgb="FFA9DCC6"/>
      </patternFill>
    </fill>
    <fill>
      <patternFill patternType="solid">
        <fgColor rgb="FFD4EDE2"/>
        <bgColor rgb="FFD4EDE2"/>
      </patternFill>
    </fill>
    <fill>
      <patternFill patternType="solid">
        <fgColor rgb="FF87A9CB"/>
        <bgColor rgb="FF87A9CB"/>
      </patternFill>
    </fill>
    <fill>
      <patternFill patternType="solid">
        <fgColor rgb="FFAFC5DC"/>
        <bgColor rgb="FFAFC5DC"/>
      </patternFill>
    </fill>
    <fill>
      <patternFill patternType="solid">
        <fgColor rgb="FFD7E2ED"/>
        <bgColor rgb="FFD7E2ED"/>
      </patternFill>
    </fill>
    <fill>
      <patternFill patternType="solid">
        <fgColor rgb="FFD8D8D8"/>
        <bgColor rgb="FFD8D8D8"/>
      </patternFill>
    </fill>
    <fill>
      <patternFill patternType="solid">
        <fgColor theme="5"/>
        <bgColor theme="5"/>
      </patternFill>
    </fill>
    <fill>
      <patternFill patternType="solid">
        <fgColor rgb="FFF2F2F2"/>
      </patternFill>
    </fill>
    <fill>
      <patternFill patternType="solid">
        <fgColor theme="9" tint="0.79998168889431442"/>
        <bgColor rgb="FFF1E0B2"/>
      </patternFill>
    </fill>
    <fill>
      <patternFill patternType="solid">
        <fgColor theme="8" tint="0.79998168889431442"/>
        <bgColor rgb="FFEFC8A8"/>
      </patternFill>
    </fill>
    <fill>
      <patternFill patternType="solid">
        <fgColor theme="8" tint="0.79998168889431442"/>
        <bgColor rgb="FFF7E3D3"/>
      </patternFill>
    </fill>
    <fill>
      <patternFill patternType="solid">
        <fgColor theme="7" tint="0.79998168889431442"/>
        <bgColor rgb="FFE2A9A4"/>
      </patternFill>
    </fill>
    <fill>
      <patternFill patternType="solid">
        <fgColor theme="7" tint="0.79998168889431442"/>
        <bgColor rgb="FFF0D4D1"/>
      </patternFill>
    </fill>
    <fill>
      <patternFill patternType="solid">
        <fgColor theme="5" tint="0.79998168889431442"/>
        <bgColor rgb="FFA9DCC6"/>
      </patternFill>
    </fill>
    <fill>
      <patternFill patternType="solid">
        <fgColor theme="2" tint="-0.14999847407452621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2D71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7" fillId="13" borderId="13" applyNumberFormat="0" applyAlignment="0" applyProtection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3" fillId="12" borderId="3" xfId="0" applyFont="1" applyFill="1" applyBorder="1"/>
    <xf numFmtId="9" fontId="1" fillId="0" borderId="0" xfId="0" applyNumberFormat="1" applyFont="1"/>
    <xf numFmtId="164" fontId="2" fillId="0" borderId="2" xfId="0" applyNumberFormat="1" applyFont="1" applyBorder="1"/>
    <xf numFmtId="9" fontId="2" fillId="0" borderId="2" xfId="0" applyNumberFormat="1" applyFont="1" applyBorder="1"/>
    <xf numFmtId="9" fontId="2" fillId="0" borderId="0" xfId="0" applyNumberFormat="1" applyFont="1"/>
    <xf numFmtId="0" fontId="4" fillId="11" borderId="2" xfId="0" applyFont="1" applyFill="1" applyBorder="1"/>
    <xf numFmtId="0" fontId="5" fillId="0" borderId="2" xfId="0" applyFont="1" applyBorder="1"/>
    <xf numFmtId="164" fontId="5" fillId="0" borderId="2" xfId="0" applyNumberFormat="1" applyFont="1" applyBorder="1"/>
    <xf numFmtId="0" fontId="5" fillId="0" borderId="0" xfId="0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4" fillId="0" borderId="0" xfId="0" applyFont="1"/>
    <xf numFmtId="0" fontId="4" fillId="0" borderId="1" xfId="0" applyFont="1" applyBorder="1"/>
    <xf numFmtId="3" fontId="5" fillId="0" borderId="0" xfId="0" applyNumberFormat="1" applyFont="1"/>
    <xf numFmtId="3" fontId="4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4" fillId="9" borderId="6" xfId="0" applyFont="1" applyFill="1" applyBorder="1"/>
    <xf numFmtId="0" fontId="5" fillId="0" borderId="1" xfId="0" applyFont="1" applyBorder="1"/>
    <xf numFmtId="0" fontId="8" fillId="6" borderId="14" xfId="0" applyFont="1" applyFill="1" applyBorder="1" applyAlignment="1">
      <alignment wrapText="1"/>
    </xf>
    <xf numFmtId="0" fontId="8" fillId="6" borderId="15" xfId="0" applyFont="1" applyFill="1" applyBorder="1" applyAlignment="1">
      <alignment wrapText="1"/>
    </xf>
    <xf numFmtId="0" fontId="8" fillId="6" borderId="16" xfId="0" applyFont="1" applyFill="1" applyBorder="1" applyAlignment="1">
      <alignment wrapText="1"/>
    </xf>
    <xf numFmtId="0" fontId="4" fillId="14" borderId="8" xfId="0" applyFont="1" applyFill="1" applyBorder="1"/>
    <xf numFmtId="0" fontId="4" fillId="14" borderId="9" xfId="0" applyFont="1" applyFill="1" applyBorder="1"/>
    <xf numFmtId="0" fontId="4" fillId="14" borderId="22" xfId="0" applyFont="1" applyFill="1" applyBorder="1"/>
    <xf numFmtId="0" fontId="5" fillId="3" borderId="5" xfId="0" applyFont="1" applyFill="1" applyBorder="1"/>
    <xf numFmtId="0" fontId="4" fillId="15" borderId="5" xfId="0" applyFont="1" applyFill="1" applyBorder="1"/>
    <xf numFmtId="0" fontId="4" fillId="15" borderId="4" xfId="0" applyFont="1" applyFill="1" applyBorder="1"/>
    <xf numFmtId="0" fontId="4" fillId="15" borderId="21" xfId="0" applyFont="1" applyFill="1" applyBorder="1"/>
    <xf numFmtId="0" fontId="5" fillId="16" borderId="5" xfId="0" applyFont="1" applyFill="1" applyBorder="1"/>
    <xf numFmtId="0" fontId="4" fillId="17" borderId="5" xfId="0" applyFont="1" applyFill="1" applyBorder="1"/>
    <xf numFmtId="0" fontId="4" fillId="17" borderId="4" xfId="0" applyFont="1" applyFill="1" applyBorder="1"/>
    <xf numFmtId="0" fontId="4" fillId="17" borderId="21" xfId="0" applyFont="1" applyFill="1" applyBorder="1"/>
    <xf numFmtId="0" fontId="5" fillId="18" borderId="23" xfId="0" applyFont="1" applyFill="1" applyBorder="1"/>
    <xf numFmtId="0" fontId="4" fillId="6" borderId="7" xfId="0" applyFont="1" applyFill="1" applyBorder="1"/>
    <xf numFmtId="0" fontId="9" fillId="6" borderId="8" xfId="0" applyFont="1" applyFill="1" applyBorder="1"/>
    <xf numFmtId="0" fontId="4" fillId="6" borderId="9" xfId="0" applyFont="1" applyFill="1" applyBorder="1"/>
    <xf numFmtId="0" fontId="5" fillId="7" borderId="10" xfId="0" applyFont="1" applyFill="1" applyBorder="1"/>
    <xf numFmtId="0" fontId="10" fillId="7" borderId="11" xfId="0" applyFont="1" applyFill="1" applyBorder="1"/>
    <xf numFmtId="0" fontId="5" fillId="7" borderId="12" xfId="0" applyFont="1" applyFill="1" applyBorder="1"/>
    <xf numFmtId="0" fontId="4" fillId="6" borderId="8" xfId="0" applyFont="1" applyFill="1" applyBorder="1"/>
    <xf numFmtId="0" fontId="5" fillId="7" borderId="11" xfId="0" applyFont="1" applyFill="1" applyBorder="1"/>
    <xf numFmtId="9" fontId="5" fillId="7" borderId="11" xfId="0" applyNumberFormat="1" applyFont="1" applyFill="1" applyBorder="1"/>
    <xf numFmtId="3" fontId="5" fillId="7" borderId="12" xfId="0" applyNumberFormat="1" applyFont="1" applyFill="1" applyBorder="1"/>
    <xf numFmtId="0" fontId="4" fillId="19" borderId="31" xfId="0" applyFont="1" applyFill="1" applyBorder="1" applyAlignment="1">
      <alignment horizontal="center" vertical="center" wrapText="1"/>
    </xf>
    <xf numFmtId="164" fontId="5" fillId="10" borderId="6" xfId="0" applyNumberFormat="1" applyFont="1" applyFill="1" applyBorder="1"/>
    <xf numFmtId="0" fontId="4" fillId="9" borderId="8" xfId="0" applyFont="1" applyFill="1" applyBorder="1"/>
    <xf numFmtId="0" fontId="4" fillId="9" borderId="9" xfId="0" applyFont="1" applyFill="1" applyBorder="1"/>
    <xf numFmtId="6" fontId="5" fillId="10" borderId="11" xfId="0" applyNumberFormat="1" applyFont="1" applyFill="1" applyBorder="1"/>
    <xf numFmtId="6" fontId="5" fillId="10" borderId="12" xfId="0" applyNumberFormat="1" applyFont="1" applyFill="1" applyBorder="1"/>
    <xf numFmtId="164" fontId="5" fillId="10" borderId="11" xfId="0" applyNumberFormat="1" applyFont="1" applyFill="1" applyBorder="1"/>
    <xf numFmtId="0" fontId="5" fillId="10" borderId="12" xfId="0" applyFont="1" applyFill="1" applyBorder="1"/>
    <xf numFmtId="49" fontId="4" fillId="11" borderId="2" xfId="0" applyNumberFormat="1" applyFont="1" applyFill="1" applyBorder="1"/>
    <xf numFmtId="9" fontId="5" fillId="0" borderId="2" xfId="0" applyNumberFormat="1" applyFont="1" applyBorder="1"/>
    <xf numFmtId="10" fontId="5" fillId="0" borderId="2" xfId="0" applyNumberFormat="1" applyFont="1" applyBorder="1"/>
    <xf numFmtId="6" fontId="5" fillId="0" borderId="2" xfId="0" applyNumberFormat="1" applyFont="1" applyBorder="1"/>
    <xf numFmtId="49" fontId="5" fillId="0" borderId="1" xfId="0" applyNumberFormat="1" applyFont="1" applyBorder="1"/>
    <xf numFmtId="0" fontId="4" fillId="20" borderId="4" xfId="0" applyFont="1" applyFill="1" applyBorder="1"/>
    <xf numFmtId="49" fontId="5" fillId="20" borderId="4" xfId="0" applyNumberFormat="1" applyFont="1" applyFill="1" applyBorder="1"/>
    <xf numFmtId="0" fontId="5" fillId="0" borderId="4" xfId="0" applyFont="1" applyBorder="1"/>
    <xf numFmtId="165" fontId="5" fillId="0" borderId="4" xfId="0" applyNumberFormat="1" applyFont="1" applyBorder="1"/>
    <xf numFmtId="0" fontId="4" fillId="11" borderId="33" xfId="0" applyFont="1" applyFill="1" applyBorder="1"/>
    <xf numFmtId="0" fontId="0" fillId="0" borderId="1" xfId="0" applyBorder="1"/>
    <xf numFmtId="2" fontId="0" fillId="0" borderId="0" xfId="0" applyNumberFormat="1"/>
    <xf numFmtId="1" fontId="0" fillId="0" borderId="0" xfId="0" applyNumberFormat="1"/>
    <xf numFmtId="2" fontId="4" fillId="0" borderId="0" xfId="0" applyNumberFormat="1" applyFont="1"/>
    <xf numFmtId="166" fontId="11" fillId="19" borderId="18" xfId="0" applyNumberFormat="1" applyFont="1" applyFill="1" applyBorder="1" applyAlignment="1">
      <alignment horizontal="center" vertical="center"/>
    </xf>
    <xf numFmtId="1" fontId="4" fillId="0" borderId="0" xfId="0" applyNumberFormat="1" applyFont="1"/>
    <xf numFmtId="9" fontId="7" fillId="13" borderId="13" xfId="1" applyNumberFormat="1" applyAlignment="1">
      <alignment horizontal="center" vertical="center"/>
    </xf>
    <xf numFmtId="9" fontId="7" fillId="13" borderId="19" xfId="1" applyNumberFormat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6" fillId="0" borderId="10" xfId="0" applyFont="1" applyBorder="1"/>
    <xf numFmtId="0" fontId="7" fillId="13" borderId="24" xfId="1" applyBorder="1" applyAlignment="1">
      <alignment horizontal="center" vertical="center"/>
    </xf>
    <xf numFmtId="0" fontId="7" fillId="13" borderId="25" xfId="1" applyBorder="1" applyAlignment="1">
      <alignment horizontal="center" vertical="center"/>
    </xf>
    <xf numFmtId="0" fontId="7" fillId="13" borderId="26" xfId="1" applyBorder="1" applyAlignment="1">
      <alignment horizontal="center" vertical="center"/>
    </xf>
    <xf numFmtId="0" fontId="7" fillId="13" borderId="27" xfId="1" applyBorder="1" applyAlignment="1">
      <alignment horizontal="center" vertical="center"/>
    </xf>
    <xf numFmtId="0" fontId="7" fillId="13" borderId="1" xfId="1" applyBorder="1" applyAlignment="1">
      <alignment horizontal="center" vertical="center"/>
    </xf>
    <xf numFmtId="0" fontId="7" fillId="13" borderId="28" xfId="1" applyBorder="1" applyAlignment="1">
      <alignment horizontal="center" vertical="center"/>
    </xf>
    <xf numFmtId="0" fontId="7" fillId="13" borderId="17" xfId="1" applyBorder="1" applyAlignment="1">
      <alignment horizontal="center" vertical="center" wrapText="1"/>
    </xf>
    <xf numFmtId="0" fontId="7" fillId="13" borderId="32" xfId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6" fillId="0" borderId="20" xfId="0" applyFont="1" applyBorder="1"/>
    <xf numFmtId="0" fontId="4" fillId="4" borderId="20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6" borderId="29" xfId="0" applyFont="1" applyFill="1" applyBorder="1" applyAlignment="1">
      <alignment horizontal="center" vertical="center"/>
    </xf>
    <xf numFmtId="0" fontId="6" fillId="0" borderId="30" xfId="0" applyFont="1" applyBorder="1"/>
    <xf numFmtId="0" fontId="4" fillId="6" borderId="2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Calculation" xfId="1" builtinId="22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A8BF4D"/>
      </a:folHlink>
    </a:clrScheme>
    <a:fontScheme name="Sheets">
      <a:majorFont>
        <a:latin typeface="Garamond"/>
        <a:ea typeface="Garamond"/>
        <a:cs typeface="Garamond"/>
      </a:majorFont>
      <a:minorFont>
        <a:latin typeface="Garamond"/>
        <a:ea typeface="Garamond"/>
        <a:cs typeface="Garamon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opLeftCell="E1" workbookViewId="0">
      <selection activeCell="V2" sqref="V2:V21"/>
    </sheetView>
  </sheetViews>
  <sheetFormatPr defaultColWidth="12.88671875" defaultRowHeight="15" customHeight="1" x14ac:dyDescent="0.3"/>
  <cols>
    <col min="1" max="1" width="11.88671875" style="12" customWidth="1"/>
    <col min="2" max="3" width="9.109375" style="12" customWidth="1"/>
    <col min="4" max="4" width="11.88671875" style="12" customWidth="1"/>
    <col min="5" max="5" width="11.33203125" style="12" customWidth="1"/>
    <col min="6" max="6" width="10.88671875" style="12" customWidth="1"/>
    <col min="7" max="7" width="10.33203125" style="12" customWidth="1"/>
    <col min="8" max="8" width="11.88671875" style="12" customWidth="1"/>
    <col min="9" max="9" width="14.109375" style="12" customWidth="1"/>
    <col min="10" max="10" width="10.33203125" style="12" customWidth="1"/>
    <col min="11" max="11" width="11.109375" style="12" customWidth="1"/>
    <col min="12" max="12" width="10.88671875" style="12" customWidth="1"/>
    <col min="13" max="13" width="10.33203125" style="12" customWidth="1"/>
    <col min="14" max="14" width="11.88671875" style="12" customWidth="1"/>
    <col min="15" max="16" width="10.88671875" style="12" customWidth="1"/>
    <col min="17" max="17" width="11.33203125" style="12" customWidth="1"/>
    <col min="18" max="18" width="10.33203125" style="12" customWidth="1"/>
    <col min="19" max="19" width="11.33203125" style="12" customWidth="1"/>
    <col min="20" max="20" width="11.109375" style="12" customWidth="1"/>
    <col min="21" max="21" width="9.109375" style="12" customWidth="1"/>
    <col min="22" max="22" width="13.33203125" style="12" customWidth="1"/>
    <col min="23" max="23" width="9.109375" style="12" customWidth="1"/>
    <col min="24" max="24" width="13.33203125" style="12" customWidth="1"/>
    <col min="25" max="25" width="9.109375" style="12" customWidth="1"/>
    <col min="26" max="26" width="14.33203125" style="12" customWidth="1"/>
    <col min="27" max="27" width="9.109375" style="12" customWidth="1"/>
    <col min="28" max="28" width="18.88671875" style="12" customWidth="1"/>
    <col min="29" max="29" width="9.109375" style="12" customWidth="1"/>
    <col min="30" max="30" width="63.44140625" style="12" bestFit="1" customWidth="1"/>
    <col min="31" max="31" width="9.109375" style="12" customWidth="1"/>
    <col min="32" max="32" width="15.88671875" style="12" customWidth="1"/>
    <col min="33" max="33" width="15.109375" style="12" customWidth="1"/>
    <col min="34" max="16384" width="12.88671875" style="12"/>
  </cols>
  <sheetData>
    <row r="1" spans="1:33" ht="14.4" x14ac:dyDescent="0.3">
      <c r="A1" s="12" t="s">
        <v>22</v>
      </c>
      <c r="C1" s="12" t="s">
        <v>462</v>
      </c>
      <c r="D1" s="12" t="s">
        <v>25</v>
      </c>
      <c r="E1" s="12" t="s">
        <v>43</v>
      </c>
      <c r="F1" s="12" t="s">
        <v>44</v>
      </c>
      <c r="G1" s="12" t="s">
        <v>45</v>
      </c>
      <c r="H1" s="12" t="s">
        <v>46</v>
      </c>
      <c r="I1" s="12" t="s">
        <v>47</v>
      </c>
      <c r="J1" s="12" t="s">
        <v>48</v>
      </c>
      <c r="K1" s="12" t="s">
        <v>49</v>
      </c>
      <c r="L1" s="12" t="s">
        <v>50</v>
      </c>
      <c r="M1" s="12" t="s">
        <v>51</v>
      </c>
      <c r="N1" s="12" t="s">
        <v>52</v>
      </c>
      <c r="O1" s="12" t="s">
        <v>53</v>
      </c>
      <c r="P1" s="12" t="s">
        <v>54</v>
      </c>
      <c r="Q1" s="12" t="s">
        <v>55</v>
      </c>
      <c r="R1" s="12" t="s">
        <v>56</v>
      </c>
      <c r="S1" s="12" t="s">
        <v>57</v>
      </c>
      <c r="T1" s="12" t="s">
        <v>58</v>
      </c>
      <c r="V1" s="12" t="s">
        <v>40</v>
      </c>
      <c r="X1" s="12" t="s">
        <v>41</v>
      </c>
      <c r="Z1" s="12" t="s">
        <v>59</v>
      </c>
      <c r="AB1" s="12" t="s">
        <v>21</v>
      </c>
      <c r="AD1" s="12" t="s">
        <v>60</v>
      </c>
      <c r="AG1" s="12" t="s">
        <v>417</v>
      </c>
    </row>
    <row r="2" spans="1:33" ht="14.4" x14ac:dyDescent="0.3">
      <c r="A2" s="12" t="s">
        <v>25</v>
      </c>
      <c r="C2" s="12">
        <v>1</v>
      </c>
      <c r="D2" s="13" t="s">
        <v>26</v>
      </c>
      <c r="E2" s="13" t="s">
        <v>61</v>
      </c>
      <c r="F2" s="13" t="s">
        <v>62</v>
      </c>
      <c r="G2" s="13" t="s">
        <v>63</v>
      </c>
      <c r="H2" s="13" t="s">
        <v>64</v>
      </c>
      <c r="I2" s="13" t="s">
        <v>65</v>
      </c>
      <c r="J2" s="13" t="s">
        <v>66</v>
      </c>
      <c r="K2" s="13" t="s">
        <v>67</v>
      </c>
      <c r="L2" s="13" t="s">
        <v>68</v>
      </c>
      <c r="M2" s="13" t="s">
        <v>69</v>
      </c>
      <c r="N2" s="13" t="s">
        <v>70</v>
      </c>
      <c r="O2" s="13" t="s">
        <v>71</v>
      </c>
      <c r="P2" s="13" t="s">
        <v>72</v>
      </c>
      <c r="Q2" s="13" t="s">
        <v>73</v>
      </c>
      <c r="R2" s="13" t="s">
        <v>74</v>
      </c>
      <c r="S2" s="13" t="s">
        <v>75</v>
      </c>
      <c r="T2" s="13" t="s">
        <v>76</v>
      </c>
      <c r="V2" s="12" t="s">
        <v>12</v>
      </c>
      <c r="X2" s="12">
        <v>2005</v>
      </c>
      <c r="Z2" s="12" t="s">
        <v>77</v>
      </c>
      <c r="AB2" s="12" t="s">
        <v>425</v>
      </c>
      <c r="AD2" s="12" t="s">
        <v>434</v>
      </c>
      <c r="AG2" s="14">
        <v>0.05</v>
      </c>
    </row>
    <row r="3" spans="1:33" ht="14.4" x14ac:dyDescent="0.3">
      <c r="A3" s="12" t="s">
        <v>43</v>
      </c>
      <c r="C3" s="12">
        <v>2</v>
      </c>
      <c r="D3" s="13" t="s">
        <v>78</v>
      </c>
      <c r="E3" s="13" t="s">
        <v>79</v>
      </c>
      <c r="F3" s="13" t="s">
        <v>80</v>
      </c>
      <c r="G3" s="13" t="s">
        <v>81</v>
      </c>
      <c r="H3" s="13" t="s">
        <v>82</v>
      </c>
      <c r="I3" s="13" t="s">
        <v>83</v>
      </c>
      <c r="J3" s="13" t="s">
        <v>84</v>
      </c>
      <c r="K3" s="13" t="s">
        <v>85</v>
      </c>
      <c r="L3" s="13" t="s">
        <v>86</v>
      </c>
      <c r="M3" s="13" t="s">
        <v>87</v>
      </c>
      <c r="N3" s="13" t="s">
        <v>88</v>
      </c>
      <c r="O3" s="13" t="s">
        <v>89</v>
      </c>
      <c r="P3" s="13" t="s">
        <v>90</v>
      </c>
      <c r="Q3" s="13" t="s">
        <v>91</v>
      </c>
      <c r="R3" s="13" t="s">
        <v>92</v>
      </c>
      <c r="S3" s="13" t="s">
        <v>93</v>
      </c>
      <c r="T3" s="13" t="s">
        <v>94</v>
      </c>
      <c r="V3" s="12" t="s">
        <v>14</v>
      </c>
      <c r="X3" s="12">
        <v>2006</v>
      </c>
      <c r="Z3" s="12" t="s">
        <v>152</v>
      </c>
      <c r="AB3" s="12" t="s">
        <v>424</v>
      </c>
      <c r="AD3" s="12" t="s">
        <v>435</v>
      </c>
      <c r="AG3" s="14">
        <v>0.1</v>
      </c>
    </row>
    <row r="4" spans="1:33" ht="14.4" x14ac:dyDescent="0.3">
      <c r="A4" s="12" t="s">
        <v>44</v>
      </c>
      <c r="C4" s="12">
        <v>3</v>
      </c>
      <c r="D4" s="13" t="s">
        <v>96</v>
      </c>
      <c r="E4" s="13" t="s">
        <v>97</v>
      </c>
      <c r="F4" s="13" t="s">
        <v>98</v>
      </c>
      <c r="G4" s="13" t="s">
        <v>99</v>
      </c>
      <c r="H4" s="13" t="s">
        <v>100</v>
      </c>
      <c r="I4" s="13" t="s">
        <v>101</v>
      </c>
      <c r="J4" s="13" t="s">
        <v>102</v>
      </c>
      <c r="K4" s="13" t="s">
        <v>103</v>
      </c>
      <c r="L4" s="13" t="s">
        <v>104</v>
      </c>
      <c r="M4" s="13" t="s">
        <v>105</v>
      </c>
      <c r="N4" s="13" t="s">
        <v>106</v>
      </c>
      <c r="O4" s="13" t="s">
        <v>107</v>
      </c>
      <c r="P4" s="13" t="s">
        <v>108</v>
      </c>
      <c r="Q4" s="13" t="s">
        <v>109</v>
      </c>
      <c r="R4" s="13" t="s">
        <v>110</v>
      </c>
      <c r="S4" s="13" t="s">
        <v>111</v>
      </c>
      <c r="T4" s="13" t="s">
        <v>112</v>
      </c>
      <c r="V4" s="12" t="s">
        <v>113</v>
      </c>
      <c r="X4" s="12">
        <v>2007</v>
      </c>
      <c r="Z4" s="12" t="s">
        <v>133</v>
      </c>
      <c r="AG4" s="14">
        <v>0.15</v>
      </c>
    </row>
    <row r="5" spans="1:33" ht="14.4" x14ac:dyDescent="0.3">
      <c r="A5" s="12" t="s">
        <v>45</v>
      </c>
      <c r="C5" s="12">
        <v>4</v>
      </c>
      <c r="D5" s="13" t="s">
        <v>115</v>
      </c>
      <c r="E5" s="13" t="s">
        <v>116</v>
      </c>
      <c r="F5" s="13" t="s">
        <v>117</v>
      </c>
      <c r="G5" s="13" t="s">
        <v>118</v>
      </c>
      <c r="H5" s="13" t="s">
        <v>119</v>
      </c>
      <c r="I5" s="13" t="s">
        <v>120</v>
      </c>
      <c r="J5" s="13" t="s">
        <v>121</v>
      </c>
      <c r="K5" s="13" t="s">
        <v>122</v>
      </c>
      <c r="L5" s="13" t="s">
        <v>123</v>
      </c>
      <c r="M5" s="13" t="s">
        <v>124</v>
      </c>
      <c r="N5" s="13" t="s">
        <v>125</v>
      </c>
      <c r="O5" s="13" t="s">
        <v>126</v>
      </c>
      <c r="P5" s="13" t="s">
        <v>127</v>
      </c>
      <c r="Q5" s="13" t="s">
        <v>128</v>
      </c>
      <c r="R5" s="13" t="s">
        <v>129</v>
      </c>
      <c r="S5" s="13" t="s">
        <v>130</v>
      </c>
      <c r="T5" s="13" t="s">
        <v>131</v>
      </c>
      <c r="V5" s="12" t="s">
        <v>132</v>
      </c>
      <c r="X5" s="12">
        <v>2008</v>
      </c>
      <c r="Z5" s="12" t="s">
        <v>17</v>
      </c>
      <c r="AG5" s="14">
        <v>0.2</v>
      </c>
    </row>
    <row r="6" spans="1:33" ht="14.4" x14ac:dyDescent="0.3">
      <c r="A6" s="12" t="s">
        <v>46</v>
      </c>
      <c r="C6" s="12">
        <v>5</v>
      </c>
      <c r="D6" s="13" t="s">
        <v>134</v>
      </c>
      <c r="E6" s="13" t="s">
        <v>135</v>
      </c>
      <c r="F6" s="13" t="s">
        <v>136</v>
      </c>
      <c r="G6" s="13" t="s">
        <v>137</v>
      </c>
      <c r="H6" s="13" t="s">
        <v>138</v>
      </c>
      <c r="I6" s="13" t="s">
        <v>139</v>
      </c>
      <c r="J6" s="13" t="s">
        <v>140</v>
      </c>
      <c r="K6" s="13" t="s">
        <v>141</v>
      </c>
      <c r="L6" s="13" t="s">
        <v>142</v>
      </c>
      <c r="M6" s="13" t="s">
        <v>143</v>
      </c>
      <c r="N6" s="13" t="s">
        <v>144</v>
      </c>
      <c r="O6" s="13" t="s">
        <v>145</v>
      </c>
      <c r="P6" s="13" t="s">
        <v>146</v>
      </c>
      <c r="Q6" s="13" t="s">
        <v>147</v>
      </c>
      <c r="R6" s="13" t="s">
        <v>148</v>
      </c>
      <c r="S6" s="13" t="s">
        <v>149</v>
      </c>
      <c r="T6" s="13" t="s">
        <v>150</v>
      </c>
      <c r="V6" s="12" t="s">
        <v>151</v>
      </c>
      <c r="X6" s="12">
        <v>2009</v>
      </c>
      <c r="Z6" s="12" t="s">
        <v>168</v>
      </c>
      <c r="AD6" s="15" t="s">
        <v>445</v>
      </c>
      <c r="AG6" s="14">
        <v>0.25</v>
      </c>
    </row>
    <row r="7" spans="1:33" ht="14.4" x14ac:dyDescent="0.3">
      <c r="A7" s="12" t="s">
        <v>47</v>
      </c>
      <c r="C7" s="12">
        <v>6</v>
      </c>
      <c r="D7" s="13" t="s">
        <v>42</v>
      </c>
      <c r="E7" s="13" t="s">
        <v>153</v>
      </c>
      <c r="F7" s="13" t="s">
        <v>154</v>
      </c>
      <c r="G7" s="13" t="s">
        <v>155</v>
      </c>
      <c r="H7" s="13" t="s">
        <v>156</v>
      </c>
      <c r="I7" s="13" t="s">
        <v>157</v>
      </c>
      <c r="K7" s="13" t="s">
        <v>158</v>
      </c>
      <c r="L7" s="13" t="s">
        <v>159</v>
      </c>
      <c r="M7" s="13" t="s">
        <v>160</v>
      </c>
      <c r="N7" s="13" t="s">
        <v>161</v>
      </c>
      <c r="O7" s="13" t="s">
        <v>162</v>
      </c>
      <c r="P7" s="13" t="s">
        <v>163</v>
      </c>
      <c r="Q7" s="13" t="s">
        <v>164</v>
      </c>
      <c r="S7" s="13" t="s">
        <v>165</v>
      </c>
      <c r="T7" s="13" t="s">
        <v>166</v>
      </c>
      <c r="V7" s="12" t="s">
        <v>167</v>
      </c>
      <c r="X7" s="12">
        <v>2010</v>
      </c>
      <c r="Z7" s="12" t="s">
        <v>19</v>
      </c>
      <c r="AD7" s="12" t="s">
        <v>457</v>
      </c>
      <c r="AE7" s="14">
        <v>0.2</v>
      </c>
      <c r="AG7" s="14">
        <v>0.3</v>
      </c>
    </row>
    <row r="8" spans="1:33" ht="14.4" x14ac:dyDescent="0.3">
      <c r="A8" s="12" t="s">
        <v>48</v>
      </c>
      <c r="C8" s="12">
        <v>7</v>
      </c>
      <c r="D8" s="13" t="s">
        <v>169</v>
      </c>
      <c r="E8" s="13" t="s">
        <v>170</v>
      </c>
      <c r="F8" s="13" t="s">
        <v>171</v>
      </c>
      <c r="G8" s="13" t="s">
        <v>172</v>
      </c>
      <c r="H8" s="13" t="s">
        <v>173</v>
      </c>
      <c r="I8" s="13" t="s">
        <v>174</v>
      </c>
      <c r="K8" s="13" t="s">
        <v>175</v>
      </c>
      <c r="L8" s="13" t="s">
        <v>176</v>
      </c>
      <c r="M8" s="13" t="s">
        <v>177</v>
      </c>
      <c r="N8" s="13" t="s">
        <v>178</v>
      </c>
      <c r="O8" s="13" t="s">
        <v>179</v>
      </c>
      <c r="P8" s="13" t="s">
        <v>180</v>
      </c>
      <c r="Q8" s="13" t="s">
        <v>181</v>
      </c>
      <c r="S8" s="13" t="s">
        <v>182</v>
      </c>
      <c r="T8" s="13" t="s">
        <v>183</v>
      </c>
      <c r="V8" s="12" t="s">
        <v>184</v>
      </c>
      <c r="X8" s="12">
        <v>2011</v>
      </c>
      <c r="Z8" s="12" t="s">
        <v>18</v>
      </c>
      <c r="AD8" s="12" t="s">
        <v>458</v>
      </c>
      <c r="AE8" s="14">
        <v>0.15</v>
      </c>
      <c r="AG8" s="14">
        <v>0.35</v>
      </c>
    </row>
    <row r="9" spans="1:33" ht="14.4" x14ac:dyDescent="0.3">
      <c r="A9" s="12" t="s">
        <v>49</v>
      </c>
      <c r="C9" s="12">
        <v>8</v>
      </c>
      <c r="D9" s="13" t="s">
        <v>185</v>
      </c>
      <c r="E9" s="13" t="s">
        <v>186</v>
      </c>
      <c r="F9" s="13" t="s">
        <v>187</v>
      </c>
      <c r="G9" s="13" t="s">
        <v>188</v>
      </c>
      <c r="H9" s="13" t="s">
        <v>189</v>
      </c>
      <c r="I9" s="13" t="s">
        <v>190</v>
      </c>
      <c r="K9" s="13" t="s">
        <v>191</v>
      </c>
      <c r="L9" s="13" t="s">
        <v>192</v>
      </c>
      <c r="N9" s="13" t="s">
        <v>193</v>
      </c>
      <c r="O9" s="13" t="s">
        <v>194</v>
      </c>
      <c r="P9" s="13" t="s">
        <v>195</v>
      </c>
      <c r="Q9" s="13" t="s">
        <v>196</v>
      </c>
      <c r="S9" s="13" t="s">
        <v>197</v>
      </c>
      <c r="T9" s="13" t="s">
        <v>198</v>
      </c>
      <c r="V9" s="12" t="s">
        <v>199</v>
      </c>
      <c r="X9" s="12">
        <v>2012</v>
      </c>
      <c r="Z9" s="12" t="s">
        <v>213</v>
      </c>
      <c r="AD9" s="12" t="s">
        <v>460</v>
      </c>
      <c r="AE9" s="14">
        <v>0.15</v>
      </c>
      <c r="AG9" s="14">
        <v>0.4</v>
      </c>
    </row>
    <row r="10" spans="1:33" ht="14.4" x14ac:dyDescent="0.3">
      <c r="A10" s="12" t="s">
        <v>50</v>
      </c>
      <c r="C10" s="12">
        <v>9</v>
      </c>
      <c r="D10" s="13" t="s">
        <v>200</v>
      </c>
      <c r="E10" s="13" t="s">
        <v>201</v>
      </c>
      <c r="F10" s="13" t="s">
        <v>202</v>
      </c>
      <c r="H10" s="13" t="s">
        <v>203</v>
      </c>
      <c r="I10" s="13" t="s">
        <v>204</v>
      </c>
      <c r="K10" s="13" t="s">
        <v>205</v>
      </c>
      <c r="L10" s="13" t="s">
        <v>206</v>
      </c>
      <c r="N10" s="13" t="s">
        <v>207</v>
      </c>
      <c r="O10" s="13" t="s">
        <v>208</v>
      </c>
      <c r="P10" s="13" t="s">
        <v>209</v>
      </c>
      <c r="Q10" s="13" t="s">
        <v>210</v>
      </c>
      <c r="S10" s="13" t="s">
        <v>211</v>
      </c>
      <c r="T10" s="13" t="s">
        <v>212</v>
      </c>
      <c r="V10" s="12" t="s">
        <v>13</v>
      </c>
      <c r="X10" s="12">
        <v>2013</v>
      </c>
      <c r="Z10" s="12" t="s">
        <v>228</v>
      </c>
      <c r="AD10" s="12" t="s">
        <v>461</v>
      </c>
      <c r="AE10" s="14">
        <v>0.3</v>
      </c>
      <c r="AG10" s="14">
        <v>0.45</v>
      </c>
    </row>
    <row r="11" spans="1:33" ht="14.4" x14ac:dyDescent="0.3">
      <c r="A11" s="12" t="s">
        <v>51</v>
      </c>
      <c r="C11" s="12">
        <v>10</v>
      </c>
      <c r="D11" s="13" t="s">
        <v>214</v>
      </c>
      <c r="E11" s="13" t="s">
        <v>215</v>
      </c>
      <c r="F11" s="13" t="s">
        <v>216</v>
      </c>
      <c r="H11" s="13" t="s">
        <v>217</v>
      </c>
      <c r="I11" s="13" t="s">
        <v>218</v>
      </c>
      <c r="K11" s="13" t="s">
        <v>219</v>
      </c>
      <c r="L11" s="13" t="s">
        <v>220</v>
      </c>
      <c r="N11" s="13" t="s">
        <v>221</v>
      </c>
      <c r="O11" s="13" t="s">
        <v>222</v>
      </c>
      <c r="P11" s="13" t="s">
        <v>223</v>
      </c>
      <c r="Q11" s="13" t="s">
        <v>224</v>
      </c>
      <c r="S11" s="13" t="s">
        <v>225</v>
      </c>
      <c r="T11" s="13" t="s">
        <v>226</v>
      </c>
      <c r="V11" s="12" t="s">
        <v>227</v>
      </c>
      <c r="X11" s="12">
        <v>2014</v>
      </c>
      <c r="Z11" s="12" t="s">
        <v>240</v>
      </c>
      <c r="AG11" s="14">
        <v>0.5</v>
      </c>
    </row>
    <row r="12" spans="1:33" ht="14.4" x14ac:dyDescent="0.3">
      <c r="A12" s="12" t="s">
        <v>52</v>
      </c>
      <c r="C12" s="12">
        <v>11</v>
      </c>
      <c r="D12" s="13" t="s">
        <v>229</v>
      </c>
      <c r="E12" s="13" t="s">
        <v>230</v>
      </c>
      <c r="F12" s="13" t="s">
        <v>231</v>
      </c>
      <c r="H12" s="13" t="s">
        <v>232</v>
      </c>
      <c r="I12" s="13" t="s">
        <v>233</v>
      </c>
      <c r="K12" s="13" t="s">
        <v>234</v>
      </c>
      <c r="O12" s="13" t="s">
        <v>235</v>
      </c>
      <c r="P12" s="13" t="s">
        <v>236</v>
      </c>
      <c r="S12" s="13" t="s">
        <v>237</v>
      </c>
      <c r="T12" s="13" t="s">
        <v>238</v>
      </c>
      <c r="V12" s="12" t="s">
        <v>239</v>
      </c>
      <c r="X12" s="12">
        <v>2015</v>
      </c>
      <c r="Z12" s="12" t="s">
        <v>251</v>
      </c>
    </row>
    <row r="13" spans="1:33" ht="14.4" x14ac:dyDescent="0.3">
      <c r="A13" s="12" t="s">
        <v>53</v>
      </c>
      <c r="C13" s="12">
        <v>12</v>
      </c>
      <c r="D13" s="13" t="s">
        <v>241</v>
      </c>
      <c r="E13" s="13" t="s">
        <v>242</v>
      </c>
      <c r="F13" s="13" t="s">
        <v>243</v>
      </c>
      <c r="H13" s="13" t="s">
        <v>244</v>
      </c>
      <c r="I13" s="13" t="s">
        <v>245</v>
      </c>
      <c r="K13" s="13" t="s">
        <v>246</v>
      </c>
      <c r="O13" s="13" t="s">
        <v>247</v>
      </c>
      <c r="S13" s="13" t="s">
        <v>248</v>
      </c>
      <c r="T13" s="13" t="s">
        <v>249</v>
      </c>
      <c r="V13" s="12" t="s">
        <v>250</v>
      </c>
      <c r="X13" s="12">
        <v>2016</v>
      </c>
      <c r="Z13" s="12" t="s">
        <v>261</v>
      </c>
    </row>
    <row r="14" spans="1:33" ht="14.4" x14ac:dyDescent="0.3">
      <c r="A14" s="12" t="s">
        <v>54</v>
      </c>
      <c r="C14" s="12">
        <v>13</v>
      </c>
      <c r="D14" s="13" t="s">
        <v>252</v>
      </c>
      <c r="E14" s="13" t="s">
        <v>253</v>
      </c>
      <c r="F14" s="13" t="s">
        <v>254</v>
      </c>
      <c r="H14" s="13" t="s">
        <v>255</v>
      </c>
      <c r="I14" s="13" t="s">
        <v>256</v>
      </c>
      <c r="K14" s="13" t="s">
        <v>257</v>
      </c>
      <c r="O14" s="13" t="s">
        <v>258</v>
      </c>
      <c r="T14" s="13" t="s">
        <v>259</v>
      </c>
      <c r="V14" s="12" t="s">
        <v>260</v>
      </c>
      <c r="X14" s="12">
        <v>2017</v>
      </c>
    </row>
    <row r="15" spans="1:33" ht="14.4" x14ac:dyDescent="0.3">
      <c r="A15" s="12" t="s">
        <v>55</v>
      </c>
      <c r="C15" s="12">
        <v>14</v>
      </c>
      <c r="D15" s="13" t="s">
        <v>262</v>
      </c>
      <c r="E15" s="13" t="s">
        <v>263</v>
      </c>
      <c r="F15" s="13" t="s">
        <v>264</v>
      </c>
      <c r="H15" s="13" t="s">
        <v>265</v>
      </c>
      <c r="I15" s="13" t="s">
        <v>266</v>
      </c>
      <c r="K15" s="13" t="s">
        <v>267</v>
      </c>
      <c r="T15" s="13" t="s">
        <v>268</v>
      </c>
      <c r="V15" s="12" t="s">
        <v>269</v>
      </c>
      <c r="X15" s="12">
        <v>2018</v>
      </c>
    </row>
    <row r="16" spans="1:33" ht="14.4" x14ac:dyDescent="0.3">
      <c r="A16" s="12" t="s">
        <v>56</v>
      </c>
      <c r="C16" s="12">
        <v>15</v>
      </c>
      <c r="D16" s="13" t="s">
        <v>270</v>
      </c>
      <c r="E16" s="13" t="s">
        <v>271</v>
      </c>
      <c r="F16" s="13" t="s">
        <v>272</v>
      </c>
      <c r="H16" s="13" t="s">
        <v>273</v>
      </c>
      <c r="I16" s="13" t="s">
        <v>274</v>
      </c>
      <c r="K16" s="13" t="s">
        <v>275</v>
      </c>
      <c r="T16" s="13" t="s">
        <v>276</v>
      </c>
      <c r="V16" s="12" t="s">
        <v>277</v>
      </c>
    </row>
    <row r="17" spans="1:22" ht="14.4" x14ac:dyDescent="0.3">
      <c r="A17" s="12" t="s">
        <v>57</v>
      </c>
      <c r="C17" s="12">
        <v>16</v>
      </c>
      <c r="D17" s="13" t="s">
        <v>278</v>
      </c>
      <c r="E17" s="13" t="s">
        <v>279</v>
      </c>
      <c r="F17" s="13" t="s">
        <v>280</v>
      </c>
      <c r="I17" s="13" t="s">
        <v>281</v>
      </c>
      <c r="K17" s="13" t="s">
        <v>282</v>
      </c>
      <c r="T17" s="13" t="s">
        <v>283</v>
      </c>
      <c r="V17" s="12" t="s">
        <v>284</v>
      </c>
    </row>
    <row r="18" spans="1:22" ht="14.4" x14ac:dyDescent="0.3">
      <c r="A18" s="12" t="s">
        <v>58</v>
      </c>
      <c r="C18" s="12">
        <v>17</v>
      </c>
      <c r="E18" s="13" t="s">
        <v>285</v>
      </c>
      <c r="F18" s="13" t="s">
        <v>286</v>
      </c>
      <c r="I18" s="13" t="s">
        <v>287</v>
      </c>
      <c r="K18" s="13" t="s">
        <v>288</v>
      </c>
      <c r="T18" s="13" t="s">
        <v>289</v>
      </c>
      <c r="V18" s="12" t="s">
        <v>15</v>
      </c>
    </row>
    <row r="19" spans="1:22" ht="14.4" x14ac:dyDescent="0.3">
      <c r="I19" s="13" t="s">
        <v>290</v>
      </c>
      <c r="T19" s="13" t="s">
        <v>291</v>
      </c>
      <c r="V19" s="12" t="s">
        <v>292</v>
      </c>
    </row>
    <row r="20" spans="1:22" ht="14.4" x14ac:dyDescent="0.3">
      <c r="I20" s="13" t="s">
        <v>293</v>
      </c>
      <c r="T20" s="13" t="s">
        <v>294</v>
      </c>
      <c r="V20" s="12" t="s">
        <v>295</v>
      </c>
    </row>
    <row r="21" spans="1:22" ht="15.75" customHeight="1" x14ac:dyDescent="0.3">
      <c r="I21" s="13" t="s">
        <v>296</v>
      </c>
      <c r="T21" s="13" t="s">
        <v>297</v>
      </c>
      <c r="V21" s="12" t="s">
        <v>298</v>
      </c>
    </row>
    <row r="22" spans="1:22" ht="15.75" customHeight="1" x14ac:dyDescent="0.3">
      <c r="I22" s="13" t="s">
        <v>299</v>
      </c>
    </row>
    <row r="23" spans="1:22" ht="15.75" customHeight="1" x14ac:dyDescent="0.3"/>
    <row r="24" spans="1:22" ht="15.75" customHeight="1" x14ac:dyDescent="0.3"/>
    <row r="25" spans="1:22" ht="15.75" customHeight="1" x14ac:dyDescent="0.3"/>
    <row r="26" spans="1:22" ht="15.75" customHeight="1" x14ac:dyDescent="0.3"/>
    <row r="27" spans="1:22" ht="15.75" customHeight="1" x14ac:dyDescent="0.3"/>
    <row r="28" spans="1:22" ht="15.75" customHeight="1" x14ac:dyDescent="0.3"/>
    <row r="29" spans="1:22" ht="15.75" customHeight="1" x14ac:dyDescent="0.3"/>
    <row r="30" spans="1:22" ht="15.75" customHeight="1" x14ac:dyDescent="0.3"/>
    <row r="31" spans="1:22" ht="15.75" customHeight="1" x14ac:dyDescent="0.3"/>
    <row r="32" spans="1:2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topLeftCell="A82" workbookViewId="0">
      <selection activeCell="K8" sqref="K8"/>
    </sheetView>
  </sheetViews>
  <sheetFormatPr defaultColWidth="12.88671875" defaultRowHeight="15" customHeight="1" x14ac:dyDescent="0.3"/>
  <cols>
    <col min="1" max="1" width="13.33203125" style="12" bestFit="1" customWidth="1"/>
    <col min="2" max="2" width="8.88671875" style="12" customWidth="1"/>
    <col min="3" max="3" width="14.109375" style="12" customWidth="1"/>
    <col min="4" max="4" width="9.109375" style="12" customWidth="1"/>
    <col min="5" max="5" width="10.88671875" style="12" customWidth="1"/>
    <col min="6" max="26" width="9.109375" style="12" customWidth="1"/>
    <col min="27" max="16384" width="12.88671875" style="12"/>
  </cols>
  <sheetData>
    <row r="1" spans="1:9" ht="14.4" x14ac:dyDescent="0.3">
      <c r="A1" s="15" t="s">
        <v>392</v>
      </c>
      <c r="B1" s="15" t="s">
        <v>393</v>
      </c>
      <c r="D1" s="15" t="s">
        <v>393</v>
      </c>
      <c r="E1" s="15" t="s">
        <v>361</v>
      </c>
    </row>
    <row r="2" spans="1:9" ht="14.4" x14ac:dyDescent="0.3">
      <c r="A2" s="12" t="s">
        <v>42</v>
      </c>
      <c r="B2" s="12" t="s">
        <v>42</v>
      </c>
      <c r="D2" s="13" t="s">
        <v>61</v>
      </c>
      <c r="E2" s="12" t="s">
        <v>43</v>
      </c>
      <c r="H2" s="12" t="s">
        <v>43</v>
      </c>
      <c r="I2" s="12" t="s">
        <v>61</v>
      </c>
    </row>
    <row r="3" spans="1:9" ht="14.4" x14ac:dyDescent="0.3">
      <c r="A3" s="12" t="s">
        <v>229</v>
      </c>
      <c r="B3" s="12" t="s">
        <v>42</v>
      </c>
      <c r="D3" s="13" t="s">
        <v>42</v>
      </c>
      <c r="E3" s="12" t="s">
        <v>25</v>
      </c>
      <c r="H3" s="12" t="s">
        <v>25</v>
      </c>
      <c r="I3" s="12" t="s">
        <v>42</v>
      </c>
    </row>
    <row r="4" spans="1:9" ht="14.4" x14ac:dyDescent="0.3">
      <c r="A4" s="12" t="s">
        <v>42</v>
      </c>
      <c r="B4" s="12" t="s">
        <v>42</v>
      </c>
      <c r="D4" s="13" t="s">
        <v>202</v>
      </c>
      <c r="E4" s="12" t="s">
        <v>44</v>
      </c>
      <c r="H4" s="12" t="s">
        <v>44</v>
      </c>
      <c r="I4" s="12" t="s">
        <v>202</v>
      </c>
    </row>
    <row r="5" spans="1:9" ht="14.4" x14ac:dyDescent="0.3">
      <c r="A5" s="12" t="s">
        <v>215</v>
      </c>
      <c r="B5" s="12" t="s">
        <v>61</v>
      </c>
      <c r="D5" s="13" t="s">
        <v>196</v>
      </c>
      <c r="E5" s="12" t="s">
        <v>55</v>
      </c>
      <c r="H5" s="12" t="s">
        <v>55</v>
      </c>
      <c r="I5" s="12" t="s">
        <v>196</v>
      </c>
    </row>
    <row r="6" spans="1:9" ht="14.4" x14ac:dyDescent="0.3">
      <c r="A6" s="12" t="s">
        <v>79</v>
      </c>
      <c r="B6" s="12" t="s">
        <v>61</v>
      </c>
      <c r="D6" s="13" t="s">
        <v>179</v>
      </c>
      <c r="E6" s="12" t="s">
        <v>53</v>
      </c>
      <c r="H6" s="12" t="s">
        <v>53</v>
      </c>
      <c r="I6" s="12" t="s">
        <v>179</v>
      </c>
    </row>
    <row r="7" spans="1:9" ht="14.4" x14ac:dyDescent="0.3">
      <c r="A7" s="12" t="s">
        <v>150</v>
      </c>
      <c r="B7" s="12" t="s">
        <v>276</v>
      </c>
      <c r="D7" s="13" t="s">
        <v>119</v>
      </c>
      <c r="E7" s="12" t="s">
        <v>46</v>
      </c>
      <c r="H7" s="12" t="s">
        <v>46</v>
      </c>
      <c r="I7" s="12" t="s">
        <v>119</v>
      </c>
    </row>
    <row r="8" spans="1:9" ht="14.4" x14ac:dyDescent="0.3">
      <c r="A8" s="12" t="s">
        <v>153</v>
      </c>
      <c r="B8" s="12" t="s">
        <v>61</v>
      </c>
      <c r="D8" s="13" t="s">
        <v>281</v>
      </c>
      <c r="E8" s="12" t="s">
        <v>47</v>
      </c>
      <c r="H8" s="12" t="s">
        <v>47</v>
      </c>
      <c r="I8" s="12" t="s">
        <v>281</v>
      </c>
    </row>
    <row r="9" spans="1:9" ht="14.4" x14ac:dyDescent="0.3">
      <c r="A9" s="12" t="s">
        <v>97</v>
      </c>
      <c r="B9" s="12" t="s">
        <v>61</v>
      </c>
      <c r="D9" s="13" t="s">
        <v>102</v>
      </c>
      <c r="E9" s="12" t="s">
        <v>48</v>
      </c>
      <c r="H9" s="12" t="s">
        <v>48</v>
      </c>
      <c r="I9" s="12" t="s">
        <v>102</v>
      </c>
    </row>
    <row r="10" spans="1:9" ht="14.4" x14ac:dyDescent="0.3">
      <c r="A10" s="12" t="s">
        <v>215</v>
      </c>
      <c r="B10" s="12" t="s">
        <v>61</v>
      </c>
      <c r="D10" s="13" t="s">
        <v>175</v>
      </c>
      <c r="E10" s="12" t="s">
        <v>49</v>
      </c>
      <c r="H10" s="12" t="s">
        <v>49</v>
      </c>
      <c r="I10" s="12" t="s">
        <v>175</v>
      </c>
    </row>
    <row r="11" spans="1:9" ht="14.4" x14ac:dyDescent="0.3">
      <c r="A11" s="12" t="s">
        <v>231</v>
      </c>
      <c r="B11" s="12" t="s">
        <v>202</v>
      </c>
      <c r="D11" s="13" t="s">
        <v>142</v>
      </c>
      <c r="E11" s="12" t="s">
        <v>50</v>
      </c>
      <c r="H11" s="12" t="s">
        <v>50</v>
      </c>
      <c r="I11" s="12" t="s">
        <v>142</v>
      </c>
    </row>
    <row r="12" spans="1:9" ht="14.4" x14ac:dyDescent="0.3">
      <c r="A12" s="12" t="s">
        <v>272</v>
      </c>
      <c r="B12" s="12" t="s">
        <v>202</v>
      </c>
      <c r="D12" s="13" t="s">
        <v>193</v>
      </c>
      <c r="E12" s="12" t="s">
        <v>52</v>
      </c>
      <c r="H12" s="12" t="s">
        <v>52</v>
      </c>
      <c r="I12" s="12" t="s">
        <v>193</v>
      </c>
    </row>
    <row r="13" spans="1:9" ht="14.4" x14ac:dyDescent="0.3">
      <c r="A13" s="12" t="s">
        <v>155</v>
      </c>
      <c r="B13" s="12" t="s">
        <v>99</v>
      </c>
      <c r="D13" s="13" t="s">
        <v>105</v>
      </c>
      <c r="E13" s="12" t="s">
        <v>51</v>
      </c>
      <c r="H13" s="12" t="s">
        <v>51</v>
      </c>
      <c r="I13" s="12" t="s">
        <v>105</v>
      </c>
    </row>
    <row r="14" spans="1:9" ht="14.4" x14ac:dyDescent="0.3">
      <c r="A14" s="12" t="s">
        <v>99</v>
      </c>
      <c r="B14" s="12" t="s">
        <v>99</v>
      </c>
      <c r="D14" s="13" t="s">
        <v>195</v>
      </c>
      <c r="E14" s="12" t="s">
        <v>54</v>
      </c>
      <c r="H14" s="12" t="s">
        <v>54</v>
      </c>
      <c r="I14" s="12" t="s">
        <v>195</v>
      </c>
    </row>
    <row r="15" spans="1:9" ht="14.4" x14ac:dyDescent="0.3">
      <c r="A15" s="12" t="s">
        <v>99</v>
      </c>
      <c r="B15" s="12" t="s">
        <v>99</v>
      </c>
      <c r="D15" s="13" t="s">
        <v>99</v>
      </c>
      <c r="E15" s="12" t="s">
        <v>45</v>
      </c>
      <c r="H15" s="12" t="s">
        <v>45</v>
      </c>
      <c r="I15" s="12" t="s">
        <v>99</v>
      </c>
    </row>
    <row r="16" spans="1:9" ht="14.4" x14ac:dyDescent="0.3">
      <c r="A16" s="12" t="s">
        <v>273</v>
      </c>
      <c r="B16" s="12" t="s">
        <v>119</v>
      </c>
      <c r="D16" s="13" t="s">
        <v>129</v>
      </c>
      <c r="E16" s="12" t="s">
        <v>56</v>
      </c>
      <c r="H16" s="12" t="s">
        <v>56</v>
      </c>
      <c r="I16" s="12" t="s">
        <v>129</v>
      </c>
    </row>
    <row r="17" spans="1:9" ht="14.4" x14ac:dyDescent="0.3">
      <c r="A17" s="12" t="s">
        <v>174</v>
      </c>
      <c r="B17" s="12" t="s">
        <v>281</v>
      </c>
      <c r="D17" s="13" t="s">
        <v>237</v>
      </c>
      <c r="E17" s="12" t="s">
        <v>57</v>
      </c>
      <c r="H17" s="12" t="s">
        <v>57</v>
      </c>
      <c r="I17" s="12" t="s">
        <v>237</v>
      </c>
    </row>
    <row r="18" spans="1:9" ht="14.4" x14ac:dyDescent="0.3">
      <c r="A18" s="12" t="s">
        <v>233</v>
      </c>
      <c r="B18" s="12" t="s">
        <v>281</v>
      </c>
      <c r="D18" s="13" t="s">
        <v>276</v>
      </c>
      <c r="E18" s="12" t="s">
        <v>58</v>
      </c>
      <c r="H18" s="12" t="s">
        <v>58</v>
      </c>
      <c r="I18" s="12" t="s">
        <v>276</v>
      </c>
    </row>
    <row r="19" spans="1:9" ht="14.4" x14ac:dyDescent="0.3">
      <c r="A19" s="12" t="s">
        <v>281</v>
      </c>
      <c r="B19" s="12" t="s">
        <v>281</v>
      </c>
    </row>
    <row r="20" spans="1:9" ht="14.4" x14ac:dyDescent="0.3">
      <c r="A20" s="12" t="s">
        <v>139</v>
      </c>
      <c r="B20" s="12" t="s">
        <v>281</v>
      </c>
    </row>
    <row r="21" spans="1:9" ht="15.75" customHeight="1" x14ac:dyDescent="0.3">
      <c r="A21" s="12" t="s">
        <v>157</v>
      </c>
      <c r="B21" s="12" t="s">
        <v>281</v>
      </c>
    </row>
    <row r="22" spans="1:9" ht="15.75" customHeight="1" x14ac:dyDescent="0.3">
      <c r="A22" s="12" t="s">
        <v>296</v>
      </c>
      <c r="B22" s="12" t="s">
        <v>281</v>
      </c>
    </row>
    <row r="23" spans="1:9" ht="15.75" customHeight="1" x14ac:dyDescent="0.3">
      <c r="A23" s="12" t="s">
        <v>83</v>
      </c>
      <c r="B23" s="12" t="s">
        <v>281</v>
      </c>
    </row>
    <row r="24" spans="1:9" ht="15.75" customHeight="1" x14ac:dyDescent="0.3">
      <c r="A24" s="12" t="s">
        <v>204</v>
      </c>
      <c r="B24" s="12" t="s">
        <v>281</v>
      </c>
    </row>
    <row r="25" spans="1:9" ht="15.75" customHeight="1" x14ac:dyDescent="0.3">
      <c r="A25" s="12" t="s">
        <v>122</v>
      </c>
      <c r="B25" s="12" t="s">
        <v>175</v>
      </c>
    </row>
    <row r="26" spans="1:9" ht="15.75" customHeight="1" x14ac:dyDescent="0.3">
      <c r="A26" s="12" t="s">
        <v>148</v>
      </c>
      <c r="B26" s="12" t="s">
        <v>129</v>
      </c>
    </row>
    <row r="27" spans="1:9" ht="15.75" customHeight="1" x14ac:dyDescent="0.3">
      <c r="A27" s="12" t="s">
        <v>192</v>
      </c>
      <c r="B27" s="12" t="s">
        <v>142</v>
      </c>
    </row>
    <row r="28" spans="1:9" ht="15.75" customHeight="1" x14ac:dyDescent="0.3">
      <c r="A28" s="12" t="s">
        <v>68</v>
      </c>
      <c r="B28" s="12" t="s">
        <v>142</v>
      </c>
    </row>
    <row r="29" spans="1:9" ht="15.75" customHeight="1" x14ac:dyDescent="0.3">
      <c r="A29" s="12" t="s">
        <v>105</v>
      </c>
      <c r="B29" s="12" t="s">
        <v>105</v>
      </c>
    </row>
    <row r="30" spans="1:9" ht="15.75" customHeight="1" x14ac:dyDescent="0.3">
      <c r="A30" s="12" t="s">
        <v>65</v>
      </c>
      <c r="B30" s="12" t="s">
        <v>281</v>
      </c>
    </row>
    <row r="31" spans="1:9" ht="15.75" customHeight="1" x14ac:dyDescent="0.3">
      <c r="A31" s="12" t="s">
        <v>179</v>
      </c>
      <c r="B31" s="12" t="s">
        <v>179</v>
      </c>
    </row>
    <row r="32" spans="1:9" ht="15.75" customHeight="1" x14ac:dyDescent="0.3">
      <c r="A32" s="12" t="s">
        <v>179</v>
      </c>
      <c r="B32" s="12" t="s">
        <v>179</v>
      </c>
    </row>
    <row r="33" spans="1:2" ht="15.75" customHeight="1" x14ac:dyDescent="0.3">
      <c r="A33" s="12" t="s">
        <v>162</v>
      </c>
      <c r="B33" s="12" t="s">
        <v>179</v>
      </c>
    </row>
    <row r="34" spans="1:2" ht="15.75" customHeight="1" x14ac:dyDescent="0.3">
      <c r="A34" s="12" t="s">
        <v>102</v>
      </c>
      <c r="B34" s="12" t="s">
        <v>102</v>
      </c>
    </row>
    <row r="35" spans="1:2" ht="15.75" customHeight="1" x14ac:dyDescent="0.3">
      <c r="A35" s="12" t="s">
        <v>195</v>
      </c>
      <c r="B35" s="12" t="s">
        <v>195</v>
      </c>
    </row>
    <row r="36" spans="1:2" ht="15.75" customHeight="1" x14ac:dyDescent="0.3">
      <c r="A36" s="12" t="s">
        <v>163</v>
      </c>
      <c r="B36" s="12" t="s">
        <v>195</v>
      </c>
    </row>
    <row r="37" spans="1:2" ht="15.75" customHeight="1" x14ac:dyDescent="0.3">
      <c r="A37" s="12" t="s">
        <v>127</v>
      </c>
      <c r="B37" s="12" t="s">
        <v>195</v>
      </c>
    </row>
    <row r="38" spans="1:2" ht="15.75" customHeight="1" x14ac:dyDescent="0.3">
      <c r="A38" s="12" t="s">
        <v>236</v>
      </c>
      <c r="B38" s="12" t="s">
        <v>195</v>
      </c>
    </row>
    <row r="39" spans="1:2" ht="15.75" customHeight="1" x14ac:dyDescent="0.3">
      <c r="A39" s="12" t="s">
        <v>196</v>
      </c>
      <c r="B39" s="12" t="s">
        <v>196</v>
      </c>
    </row>
    <row r="40" spans="1:2" ht="15.75" customHeight="1" x14ac:dyDescent="0.3">
      <c r="A40" s="12" t="s">
        <v>109</v>
      </c>
      <c r="B40" s="12" t="s">
        <v>196</v>
      </c>
    </row>
    <row r="41" spans="1:2" ht="15.75" customHeight="1" x14ac:dyDescent="0.3">
      <c r="A41" s="12" t="s">
        <v>181</v>
      </c>
      <c r="B41" s="12" t="s">
        <v>196</v>
      </c>
    </row>
    <row r="42" spans="1:2" ht="15.75" customHeight="1" x14ac:dyDescent="0.3">
      <c r="A42" s="12" t="s">
        <v>196</v>
      </c>
      <c r="B42" s="12" t="s">
        <v>196</v>
      </c>
    </row>
    <row r="43" spans="1:2" ht="15.75" customHeight="1" x14ac:dyDescent="0.3">
      <c r="A43" s="12" t="s">
        <v>224</v>
      </c>
      <c r="B43" s="12" t="s">
        <v>196</v>
      </c>
    </row>
    <row r="44" spans="1:2" ht="15.75" customHeight="1" x14ac:dyDescent="0.3">
      <c r="A44" s="12" t="s">
        <v>164</v>
      </c>
      <c r="B44" s="12" t="s">
        <v>196</v>
      </c>
    </row>
    <row r="45" spans="1:2" ht="15.75" customHeight="1" x14ac:dyDescent="0.3">
      <c r="A45" s="12" t="s">
        <v>75</v>
      </c>
      <c r="B45" s="12" t="s">
        <v>237</v>
      </c>
    </row>
    <row r="46" spans="1:2" ht="15.75" customHeight="1" x14ac:dyDescent="0.3">
      <c r="A46" s="12" t="s">
        <v>130</v>
      </c>
      <c r="B46" s="12" t="s">
        <v>237</v>
      </c>
    </row>
    <row r="47" spans="1:2" ht="15.75" customHeight="1" x14ac:dyDescent="0.3">
      <c r="A47" s="12" t="s">
        <v>149</v>
      </c>
      <c r="B47" s="12" t="s">
        <v>237</v>
      </c>
    </row>
    <row r="48" spans="1:2" ht="15.75" customHeight="1" x14ac:dyDescent="0.3">
      <c r="A48" s="12" t="s">
        <v>237</v>
      </c>
      <c r="B48" s="12" t="s">
        <v>237</v>
      </c>
    </row>
    <row r="49" spans="1:2" ht="15.75" customHeight="1" x14ac:dyDescent="0.3">
      <c r="A49" s="12" t="s">
        <v>131</v>
      </c>
      <c r="B49" s="12" t="s">
        <v>276</v>
      </c>
    </row>
    <row r="50" spans="1:2" ht="15.75" customHeight="1" x14ac:dyDescent="0.3">
      <c r="A50" s="12" t="s">
        <v>276</v>
      </c>
      <c r="B50" s="12" t="s">
        <v>276</v>
      </c>
    </row>
    <row r="51" spans="1:2" ht="15.75" customHeight="1" x14ac:dyDescent="0.3">
      <c r="A51" s="12" t="s">
        <v>207</v>
      </c>
      <c r="B51" s="12" t="s">
        <v>193</v>
      </c>
    </row>
    <row r="52" spans="1:2" ht="15.75" customHeight="1" x14ac:dyDescent="0.3">
      <c r="A52" s="12" t="s">
        <v>262</v>
      </c>
      <c r="B52" s="12" t="s">
        <v>42</v>
      </c>
    </row>
    <row r="53" spans="1:2" ht="15.75" customHeight="1" x14ac:dyDescent="0.3">
      <c r="A53" s="12" t="s">
        <v>175</v>
      </c>
      <c r="B53" s="12" t="s">
        <v>175</v>
      </c>
    </row>
    <row r="54" spans="1:2" ht="15.75" customHeight="1" x14ac:dyDescent="0.3">
      <c r="A54" s="12" t="s">
        <v>125</v>
      </c>
      <c r="B54" s="12" t="s">
        <v>193</v>
      </c>
    </row>
    <row r="55" spans="1:2" ht="15.75" customHeight="1" x14ac:dyDescent="0.3">
      <c r="A55" s="12" t="s">
        <v>171</v>
      </c>
      <c r="B55" s="12" t="s">
        <v>202</v>
      </c>
    </row>
    <row r="56" spans="1:2" ht="15.75" customHeight="1" x14ac:dyDescent="0.3">
      <c r="A56" s="12" t="s">
        <v>201</v>
      </c>
      <c r="B56" s="12" t="s">
        <v>61</v>
      </c>
    </row>
    <row r="57" spans="1:2" ht="15.75" customHeight="1" x14ac:dyDescent="0.3">
      <c r="A57" s="12" t="s">
        <v>153</v>
      </c>
      <c r="B57" s="12" t="s">
        <v>61</v>
      </c>
    </row>
    <row r="58" spans="1:2" ht="15.75" customHeight="1" x14ac:dyDescent="0.3">
      <c r="A58" s="12" t="s">
        <v>265</v>
      </c>
      <c r="B58" s="12" t="s">
        <v>119</v>
      </c>
    </row>
    <row r="59" spans="1:2" ht="15.75" customHeight="1" x14ac:dyDescent="0.3">
      <c r="A59" s="12" t="s">
        <v>138</v>
      </c>
      <c r="B59" s="12" t="s">
        <v>119</v>
      </c>
    </row>
    <row r="60" spans="1:2" ht="15.75" customHeight="1" x14ac:dyDescent="0.3">
      <c r="A60" s="12" t="s">
        <v>104</v>
      </c>
      <c r="B60" s="12" t="s">
        <v>142</v>
      </c>
    </row>
    <row r="61" spans="1:2" ht="15.75" customHeight="1" x14ac:dyDescent="0.3">
      <c r="A61" s="12" t="s">
        <v>173</v>
      </c>
      <c r="B61" s="12" t="s">
        <v>119</v>
      </c>
    </row>
    <row r="62" spans="1:2" ht="15.75" customHeight="1" x14ac:dyDescent="0.3">
      <c r="A62" s="12" t="s">
        <v>99</v>
      </c>
      <c r="B62" s="12" t="s">
        <v>99</v>
      </c>
    </row>
    <row r="63" spans="1:2" ht="15.75" customHeight="1" x14ac:dyDescent="0.3">
      <c r="A63" s="12" t="s">
        <v>282</v>
      </c>
      <c r="B63" s="12" t="s">
        <v>175</v>
      </c>
    </row>
    <row r="64" spans="1:2" ht="15.75" customHeight="1" x14ac:dyDescent="0.3">
      <c r="A64" s="12" t="s">
        <v>268</v>
      </c>
      <c r="B64" s="12" t="s">
        <v>276</v>
      </c>
    </row>
    <row r="65" spans="1:2" ht="15.75" customHeight="1" x14ac:dyDescent="0.3">
      <c r="A65" s="12" t="s">
        <v>186</v>
      </c>
      <c r="B65" s="12" t="s">
        <v>61</v>
      </c>
    </row>
    <row r="66" spans="1:2" ht="15.75" customHeight="1" x14ac:dyDescent="0.3">
      <c r="A66" s="12" t="s">
        <v>142</v>
      </c>
      <c r="B66" s="12" t="s">
        <v>142</v>
      </c>
    </row>
    <row r="67" spans="1:2" ht="15.75" customHeight="1" x14ac:dyDescent="0.3">
      <c r="A67" s="12" t="s">
        <v>165</v>
      </c>
      <c r="B67" s="12" t="s">
        <v>237</v>
      </c>
    </row>
    <row r="68" spans="1:2" ht="15.75" customHeight="1" x14ac:dyDescent="0.3">
      <c r="A68" s="12" t="s">
        <v>70</v>
      </c>
      <c r="B68" s="12" t="s">
        <v>193</v>
      </c>
    </row>
    <row r="69" spans="1:2" ht="15.75" customHeight="1" x14ac:dyDescent="0.3">
      <c r="A69" s="12" t="s">
        <v>196</v>
      </c>
      <c r="B69" s="12" t="s">
        <v>196</v>
      </c>
    </row>
    <row r="70" spans="1:2" ht="15.75" customHeight="1" x14ac:dyDescent="0.3">
      <c r="A70" s="12" t="s">
        <v>175</v>
      </c>
      <c r="B70" s="12" t="s">
        <v>175</v>
      </c>
    </row>
    <row r="71" spans="1:2" ht="15.75" customHeight="1" x14ac:dyDescent="0.3">
      <c r="A71" s="12" t="s">
        <v>115</v>
      </c>
      <c r="B71" s="12" t="s">
        <v>42</v>
      </c>
    </row>
    <row r="72" spans="1:2" ht="15.75" customHeight="1" x14ac:dyDescent="0.3">
      <c r="A72" s="12" t="s">
        <v>61</v>
      </c>
      <c r="B72" s="12" t="s">
        <v>61</v>
      </c>
    </row>
    <row r="73" spans="1:2" ht="15.75" customHeight="1" x14ac:dyDescent="0.3">
      <c r="A73" s="12" t="s">
        <v>182</v>
      </c>
      <c r="B73" s="12" t="s">
        <v>237</v>
      </c>
    </row>
    <row r="74" spans="1:2" ht="15.75" customHeight="1" x14ac:dyDescent="0.3">
      <c r="A74" s="12" t="s">
        <v>196</v>
      </c>
      <c r="B74" s="12" t="s">
        <v>196</v>
      </c>
    </row>
    <row r="75" spans="1:2" ht="15.75" customHeight="1" x14ac:dyDescent="0.3">
      <c r="A75" s="12" t="s">
        <v>102</v>
      </c>
      <c r="B75" s="12" t="s">
        <v>102</v>
      </c>
    </row>
    <row r="76" spans="1:2" ht="15.75" customHeight="1" x14ac:dyDescent="0.3">
      <c r="A76" s="12" t="s">
        <v>129</v>
      </c>
      <c r="B76" s="12" t="s">
        <v>129</v>
      </c>
    </row>
    <row r="77" spans="1:2" ht="15.75" customHeight="1" x14ac:dyDescent="0.3">
      <c r="A77" s="12" t="s">
        <v>42</v>
      </c>
      <c r="B77" s="12" t="s">
        <v>42</v>
      </c>
    </row>
    <row r="78" spans="1:2" ht="15.75" customHeight="1" x14ac:dyDescent="0.3">
      <c r="A78" s="12" t="s">
        <v>293</v>
      </c>
      <c r="B78" s="12" t="s">
        <v>281</v>
      </c>
    </row>
    <row r="79" spans="1:2" ht="15.75" customHeight="1" x14ac:dyDescent="0.3">
      <c r="A79" s="12" t="s">
        <v>153</v>
      </c>
      <c r="B79" s="12" t="s">
        <v>61</v>
      </c>
    </row>
    <row r="80" spans="1:2" ht="15.75" customHeight="1" x14ac:dyDescent="0.3">
      <c r="A80" s="12" t="s">
        <v>195</v>
      </c>
      <c r="B80" s="12" t="s">
        <v>195</v>
      </c>
    </row>
    <row r="81" spans="1:2" ht="15.75" customHeight="1" x14ac:dyDescent="0.3">
      <c r="A81" s="12" t="s">
        <v>266</v>
      </c>
      <c r="B81" s="12" t="s">
        <v>281</v>
      </c>
    </row>
    <row r="82" spans="1:2" ht="15.75" customHeight="1" x14ac:dyDescent="0.3">
      <c r="A82" s="12" t="s">
        <v>99</v>
      </c>
      <c r="B82" s="12" t="s">
        <v>99</v>
      </c>
    </row>
    <row r="83" spans="1:2" ht="15.75" customHeight="1" x14ac:dyDescent="0.3">
      <c r="A83" s="12" t="s">
        <v>217</v>
      </c>
      <c r="B83" s="12" t="s">
        <v>119</v>
      </c>
    </row>
    <row r="84" spans="1:2" ht="15.75" customHeight="1" x14ac:dyDescent="0.3">
      <c r="A84" s="12" t="s">
        <v>175</v>
      </c>
      <c r="B84" s="12" t="s">
        <v>175</v>
      </c>
    </row>
    <row r="85" spans="1:2" ht="15.75" customHeight="1" x14ac:dyDescent="0.3">
      <c r="A85" s="12" t="s">
        <v>276</v>
      </c>
      <c r="B85" s="12" t="s">
        <v>276</v>
      </c>
    </row>
    <row r="86" spans="1:2" ht="15.75" customHeight="1" x14ac:dyDescent="0.3">
      <c r="A86" s="12" t="s">
        <v>91</v>
      </c>
      <c r="B86" s="12" t="s">
        <v>196</v>
      </c>
    </row>
    <row r="87" spans="1:2" ht="15.75" customHeight="1" x14ac:dyDescent="0.3">
      <c r="A87" s="12" t="s">
        <v>278</v>
      </c>
      <c r="B87" s="12" t="s">
        <v>42</v>
      </c>
    </row>
    <row r="88" spans="1:2" ht="15.75" customHeight="1" x14ac:dyDescent="0.3">
      <c r="A88" s="12" t="s">
        <v>171</v>
      </c>
      <c r="B88" s="12" t="s">
        <v>202</v>
      </c>
    </row>
    <row r="89" spans="1:2" ht="15.75" customHeight="1" x14ac:dyDescent="0.3">
      <c r="A89" s="12" t="s">
        <v>99</v>
      </c>
      <c r="B89" s="12" t="s">
        <v>99</v>
      </c>
    </row>
    <row r="90" spans="1:2" ht="15.75" customHeight="1" x14ac:dyDescent="0.3">
      <c r="A90" s="12" t="s">
        <v>170</v>
      </c>
      <c r="B90" s="12" t="s">
        <v>61</v>
      </c>
    </row>
    <row r="91" spans="1:2" ht="15.75" customHeight="1" x14ac:dyDescent="0.3">
      <c r="A91" s="12" t="s">
        <v>202</v>
      </c>
      <c r="B91" s="12" t="s">
        <v>202</v>
      </c>
    </row>
    <row r="92" spans="1:2" ht="15.75" customHeight="1" x14ac:dyDescent="0.3">
      <c r="A92" s="12" t="s">
        <v>68</v>
      </c>
      <c r="B92" s="12" t="s">
        <v>142</v>
      </c>
    </row>
    <row r="93" spans="1:2" ht="15.75" customHeight="1" x14ac:dyDescent="0.3">
      <c r="A93" s="12" t="s">
        <v>169</v>
      </c>
      <c r="B93" s="12" t="s">
        <v>42</v>
      </c>
    </row>
    <row r="94" spans="1:2" ht="15.75" customHeight="1" x14ac:dyDescent="0.3">
      <c r="A94" s="12" t="s">
        <v>147</v>
      </c>
      <c r="B94" s="12" t="s">
        <v>196</v>
      </c>
    </row>
    <row r="95" spans="1:2" ht="15.75" customHeight="1" x14ac:dyDescent="0.3">
      <c r="A95" s="12" t="s">
        <v>281</v>
      </c>
      <c r="B95" s="12" t="s">
        <v>281</v>
      </c>
    </row>
    <row r="96" spans="1:2" ht="15.75" customHeight="1" x14ac:dyDescent="0.3">
      <c r="A96" s="12" t="s">
        <v>42</v>
      </c>
      <c r="B96" s="12" t="s">
        <v>42</v>
      </c>
    </row>
    <row r="97" spans="1:2" ht="15.75" customHeight="1" x14ac:dyDescent="0.3">
      <c r="A97" s="12" t="s">
        <v>99</v>
      </c>
      <c r="B97" s="12" t="s">
        <v>99</v>
      </c>
    </row>
    <row r="98" spans="1:2" ht="15.75" customHeight="1" x14ac:dyDescent="0.3">
      <c r="A98" s="12" t="s">
        <v>175</v>
      </c>
      <c r="B98" s="12" t="s">
        <v>175</v>
      </c>
    </row>
    <row r="99" spans="1:2" ht="15.75" customHeight="1" x14ac:dyDescent="0.3">
      <c r="A99" s="12" t="s">
        <v>98</v>
      </c>
      <c r="B99" s="12" t="s">
        <v>202</v>
      </c>
    </row>
    <row r="100" spans="1:2" ht="15.75" customHeight="1" x14ac:dyDescent="0.3">
      <c r="A100" s="12" t="s">
        <v>276</v>
      </c>
      <c r="B100" s="12" t="s">
        <v>276</v>
      </c>
    </row>
    <row r="101" spans="1:2" ht="15.75" customHeight="1" x14ac:dyDescent="0.3">
      <c r="A101" s="12" t="s">
        <v>179</v>
      </c>
      <c r="B101" s="12" t="s">
        <v>179</v>
      </c>
    </row>
    <row r="102" spans="1:2" ht="15.75" customHeight="1" x14ac:dyDescent="0.3">
      <c r="A102" s="12" t="s">
        <v>136</v>
      </c>
      <c r="B102" s="12" t="s">
        <v>202</v>
      </c>
    </row>
    <row r="103" spans="1:2" ht="15.75" customHeight="1" x14ac:dyDescent="0.3">
      <c r="A103" s="12" t="s">
        <v>171</v>
      </c>
      <c r="B103" s="12" t="s">
        <v>202</v>
      </c>
    </row>
    <row r="104" spans="1:2" ht="15.75" customHeight="1" x14ac:dyDescent="0.3">
      <c r="A104" s="12" t="s">
        <v>136</v>
      </c>
      <c r="B104" s="12" t="s">
        <v>202</v>
      </c>
    </row>
    <row r="105" spans="1:2" ht="15.75" customHeight="1" x14ac:dyDescent="0.3">
      <c r="A105" s="12" t="s">
        <v>136</v>
      </c>
      <c r="B105" s="12" t="s">
        <v>202</v>
      </c>
    </row>
    <row r="106" spans="1:2" ht="15.75" customHeight="1" x14ac:dyDescent="0.3">
      <c r="A106" s="12" t="s">
        <v>122</v>
      </c>
      <c r="B106" s="12" t="s">
        <v>175</v>
      </c>
    </row>
    <row r="107" spans="1:2" ht="15.75" customHeight="1" x14ac:dyDescent="0.3">
      <c r="A107" s="12" t="s">
        <v>202</v>
      </c>
      <c r="B107" s="12" t="s">
        <v>202</v>
      </c>
    </row>
    <row r="108" spans="1:2" ht="15.75" customHeight="1" x14ac:dyDescent="0.3">
      <c r="A108" s="12" t="s">
        <v>218</v>
      </c>
      <c r="B108" s="12" t="s">
        <v>281</v>
      </c>
    </row>
    <row r="109" spans="1:2" ht="15.75" customHeight="1" x14ac:dyDescent="0.3">
      <c r="A109" s="12" t="s">
        <v>218</v>
      </c>
      <c r="B109" s="12" t="s">
        <v>281</v>
      </c>
    </row>
    <row r="110" spans="1:2" ht="15.75" customHeight="1" x14ac:dyDescent="0.3">
      <c r="A110" s="12" t="s">
        <v>99</v>
      </c>
      <c r="B110" s="12" t="s">
        <v>99</v>
      </c>
    </row>
    <row r="111" spans="1:2" ht="15.75" customHeight="1" x14ac:dyDescent="0.3">
      <c r="A111" s="12" t="s">
        <v>256</v>
      </c>
      <c r="B111" s="12" t="s">
        <v>281</v>
      </c>
    </row>
    <row r="112" spans="1:2" ht="15.75" customHeight="1" x14ac:dyDescent="0.3">
      <c r="A112" s="12" t="s">
        <v>99</v>
      </c>
      <c r="B112" s="12" t="s">
        <v>99</v>
      </c>
    </row>
    <row r="113" spans="1:2" ht="15.75" customHeight="1" x14ac:dyDescent="0.3">
      <c r="A113" s="12" t="s">
        <v>195</v>
      </c>
      <c r="B113" s="12" t="s">
        <v>195</v>
      </c>
    </row>
    <row r="114" spans="1:2" ht="15.75" customHeight="1" x14ac:dyDescent="0.3">
      <c r="A114" s="12" t="s">
        <v>148</v>
      </c>
      <c r="B114" s="12" t="s">
        <v>129</v>
      </c>
    </row>
    <row r="115" spans="1:2" ht="15.75" customHeight="1" x14ac:dyDescent="0.3">
      <c r="A115" s="12" t="s">
        <v>196</v>
      </c>
      <c r="B115" s="12" t="s">
        <v>196</v>
      </c>
    </row>
    <row r="116" spans="1:2" ht="15.75" customHeight="1" x14ac:dyDescent="0.3">
      <c r="A116" s="12" t="s">
        <v>276</v>
      </c>
      <c r="B116" s="12" t="s">
        <v>276</v>
      </c>
    </row>
    <row r="117" spans="1:2" ht="15.75" customHeight="1" x14ac:dyDescent="0.3">
      <c r="A117" s="12" t="s">
        <v>208</v>
      </c>
      <c r="B117" s="12" t="s">
        <v>179</v>
      </c>
    </row>
    <row r="118" spans="1:2" ht="15.75" customHeight="1" x14ac:dyDescent="0.3">
      <c r="A118" s="12" t="s">
        <v>268</v>
      </c>
      <c r="B118" s="12" t="s">
        <v>276</v>
      </c>
    </row>
    <row r="119" spans="1:2" ht="15.75" customHeight="1" x14ac:dyDescent="0.3">
      <c r="A119" s="12" t="s">
        <v>196</v>
      </c>
      <c r="B119" s="12" t="s">
        <v>196</v>
      </c>
    </row>
    <row r="120" spans="1:2" ht="15.75" customHeight="1" x14ac:dyDescent="0.3">
      <c r="A120" s="12" t="s">
        <v>196</v>
      </c>
      <c r="B120" s="12" t="s">
        <v>196</v>
      </c>
    </row>
    <row r="121" spans="1:2" ht="15.75" customHeight="1" x14ac:dyDescent="0.3">
      <c r="A121" s="12" t="s">
        <v>102</v>
      </c>
      <c r="B121" s="12" t="s">
        <v>102</v>
      </c>
    </row>
    <row r="122" spans="1:2" ht="15.75" customHeight="1" x14ac:dyDescent="0.3">
      <c r="A122" s="12" t="s">
        <v>276</v>
      </c>
      <c r="B122" s="12" t="s">
        <v>276</v>
      </c>
    </row>
    <row r="123" spans="1:2" ht="15.75" customHeight="1" x14ac:dyDescent="0.3">
      <c r="A123" s="12" t="s">
        <v>169</v>
      </c>
      <c r="B123" s="12" t="s">
        <v>42</v>
      </c>
    </row>
    <row r="124" spans="1:2" ht="15.75" customHeight="1" x14ac:dyDescent="0.3">
      <c r="A124" s="12" t="s">
        <v>136</v>
      </c>
      <c r="B124" s="12" t="s">
        <v>202</v>
      </c>
    </row>
    <row r="125" spans="1:2" ht="15.75" customHeight="1" x14ac:dyDescent="0.3">
      <c r="A125" s="12" t="s">
        <v>42</v>
      </c>
      <c r="B125" s="12" t="s">
        <v>42</v>
      </c>
    </row>
    <row r="126" spans="1:2" ht="15.75" customHeight="1" x14ac:dyDescent="0.3">
      <c r="A126" s="12" t="s">
        <v>129</v>
      </c>
      <c r="B126" s="12" t="s">
        <v>129</v>
      </c>
    </row>
    <row r="127" spans="1:2" ht="15.75" customHeight="1" x14ac:dyDescent="0.3">
      <c r="A127" s="12" t="s">
        <v>126</v>
      </c>
      <c r="B127" s="12" t="s">
        <v>179</v>
      </c>
    </row>
    <row r="128" spans="1:2" ht="15.75" customHeight="1" x14ac:dyDescent="0.3">
      <c r="A128" s="12" t="s">
        <v>179</v>
      </c>
      <c r="B128" s="12" t="s">
        <v>179</v>
      </c>
    </row>
    <row r="129" spans="1:2" ht="15.75" customHeight="1" x14ac:dyDescent="0.3">
      <c r="A129" s="12" t="s">
        <v>237</v>
      </c>
      <c r="B129" s="12" t="s">
        <v>237</v>
      </c>
    </row>
    <row r="130" spans="1:2" ht="15.75" customHeight="1" x14ac:dyDescent="0.3">
      <c r="A130" s="12" t="s">
        <v>179</v>
      </c>
      <c r="B130" s="12" t="s">
        <v>179</v>
      </c>
    </row>
    <row r="131" spans="1:2" ht="15.75" customHeight="1" x14ac:dyDescent="0.3">
      <c r="A131" s="12" t="s">
        <v>202</v>
      </c>
      <c r="B131" s="12" t="s">
        <v>202</v>
      </c>
    </row>
    <row r="132" spans="1:2" ht="15.75" customHeight="1" x14ac:dyDescent="0.3">
      <c r="A132" s="12" t="s">
        <v>105</v>
      </c>
      <c r="B132" s="12" t="s">
        <v>105</v>
      </c>
    </row>
    <row r="133" spans="1:2" ht="15.75" customHeight="1" x14ac:dyDescent="0.3">
      <c r="A133" s="12" t="s">
        <v>276</v>
      </c>
      <c r="B133" s="12" t="s">
        <v>276</v>
      </c>
    </row>
    <row r="134" spans="1:2" ht="15.75" customHeight="1" x14ac:dyDescent="0.3">
      <c r="A134" s="12" t="s">
        <v>102</v>
      </c>
      <c r="B134" s="12" t="s">
        <v>102</v>
      </c>
    </row>
    <row r="135" spans="1:2" ht="15.75" customHeight="1" x14ac:dyDescent="0.3">
      <c r="A135" s="12" t="s">
        <v>136</v>
      </c>
      <c r="B135" s="12" t="s">
        <v>202</v>
      </c>
    </row>
    <row r="136" spans="1:2" ht="15.75" customHeight="1" x14ac:dyDescent="0.3">
      <c r="A136" s="12" t="s">
        <v>171</v>
      </c>
      <c r="B136" s="12" t="s">
        <v>202</v>
      </c>
    </row>
    <row r="137" spans="1:2" ht="15.75" customHeight="1" x14ac:dyDescent="0.3">
      <c r="A137" s="12" t="s">
        <v>195</v>
      </c>
      <c r="B137" s="12" t="s">
        <v>195</v>
      </c>
    </row>
    <row r="138" spans="1:2" ht="15.75" customHeight="1" x14ac:dyDescent="0.3">
      <c r="A138" s="12" t="s">
        <v>178</v>
      </c>
      <c r="B138" s="12" t="s">
        <v>193</v>
      </c>
    </row>
    <row r="139" spans="1:2" ht="15.75" customHeight="1" x14ac:dyDescent="0.3">
      <c r="A139" s="12" t="s">
        <v>196</v>
      </c>
      <c r="B139" s="12" t="s">
        <v>196</v>
      </c>
    </row>
    <row r="140" spans="1:2" ht="15.75" customHeight="1" x14ac:dyDescent="0.3">
      <c r="A140" s="12" t="s">
        <v>68</v>
      </c>
      <c r="B140" s="12" t="s">
        <v>142</v>
      </c>
    </row>
    <row r="141" spans="1:2" ht="15.75" customHeight="1" x14ac:dyDescent="0.3">
      <c r="A141" s="12" t="s">
        <v>99</v>
      </c>
      <c r="B141" s="12" t="s">
        <v>99</v>
      </c>
    </row>
    <row r="142" spans="1:2" ht="15.75" customHeight="1" x14ac:dyDescent="0.3">
      <c r="A142" s="12" t="s">
        <v>119</v>
      </c>
      <c r="B142" s="12" t="s">
        <v>119</v>
      </c>
    </row>
    <row r="143" spans="1:2" ht="15.75" customHeight="1" x14ac:dyDescent="0.3">
      <c r="A143" s="12" t="s">
        <v>99</v>
      </c>
      <c r="B143" s="12" t="s">
        <v>99</v>
      </c>
    </row>
    <row r="144" spans="1:2" ht="15.75" customHeight="1" x14ac:dyDescent="0.3">
      <c r="A144" s="12" t="s">
        <v>275</v>
      </c>
      <c r="B144" s="12" t="s">
        <v>175</v>
      </c>
    </row>
    <row r="145" spans="1:2" ht="15.75" customHeight="1" x14ac:dyDescent="0.3">
      <c r="A145" s="12" t="s">
        <v>207</v>
      </c>
      <c r="B145" s="12" t="s">
        <v>193</v>
      </c>
    </row>
    <row r="146" spans="1:2" ht="15.75" customHeight="1" x14ac:dyDescent="0.3">
      <c r="A146" s="12" t="s">
        <v>278</v>
      </c>
      <c r="B146" s="12" t="s">
        <v>42</v>
      </c>
    </row>
    <row r="147" spans="1:2" ht="15.75" customHeight="1" x14ac:dyDescent="0.3">
      <c r="A147" s="12" t="s">
        <v>42</v>
      </c>
      <c r="B147" s="12" t="s">
        <v>42</v>
      </c>
    </row>
    <row r="148" spans="1:2" ht="15.75" customHeight="1" x14ac:dyDescent="0.3">
      <c r="A148" s="12" t="s">
        <v>215</v>
      </c>
      <c r="B148" s="12" t="s">
        <v>61</v>
      </c>
    </row>
    <row r="149" spans="1:2" ht="15.75" customHeight="1" x14ac:dyDescent="0.3">
      <c r="A149" s="12" t="s">
        <v>215</v>
      </c>
      <c r="B149" s="12" t="s">
        <v>61</v>
      </c>
    </row>
    <row r="150" spans="1:2" ht="15.75" customHeight="1" x14ac:dyDescent="0.3">
      <c r="A150" s="12" t="s">
        <v>270</v>
      </c>
      <c r="B150" s="12" t="s">
        <v>42</v>
      </c>
    </row>
    <row r="151" spans="1:2" ht="15.75" customHeight="1" x14ac:dyDescent="0.3">
      <c r="A151" s="12" t="s">
        <v>207</v>
      </c>
      <c r="B151" s="12" t="s">
        <v>193</v>
      </c>
    </row>
    <row r="152" spans="1:2" ht="15.75" customHeight="1" x14ac:dyDescent="0.3">
      <c r="A152" s="12" t="s">
        <v>150</v>
      </c>
      <c r="B152" s="12" t="s">
        <v>276</v>
      </c>
    </row>
    <row r="153" spans="1:2" ht="15.75" customHeight="1" x14ac:dyDescent="0.3">
      <c r="A153" s="12" t="s">
        <v>196</v>
      </c>
      <c r="B153" s="12" t="s">
        <v>196</v>
      </c>
    </row>
    <row r="154" spans="1:2" ht="15.75" customHeight="1" x14ac:dyDescent="0.3">
      <c r="A154" s="12" t="s">
        <v>97</v>
      </c>
      <c r="B154" s="12" t="s">
        <v>61</v>
      </c>
    </row>
    <row r="155" spans="1:2" ht="15.75" customHeight="1" x14ac:dyDescent="0.3">
      <c r="A155" s="12" t="s">
        <v>98</v>
      </c>
      <c r="B155" s="12" t="s">
        <v>202</v>
      </c>
    </row>
    <row r="156" spans="1:2" ht="15.75" customHeight="1" x14ac:dyDescent="0.3">
      <c r="A156" s="12" t="s">
        <v>245</v>
      </c>
      <c r="B156" s="12" t="s">
        <v>281</v>
      </c>
    </row>
    <row r="157" spans="1:2" ht="15.75" customHeight="1" x14ac:dyDescent="0.3">
      <c r="A157" s="12" t="s">
        <v>171</v>
      </c>
      <c r="B157" s="12" t="s">
        <v>202</v>
      </c>
    </row>
    <row r="158" spans="1:2" ht="15.75" customHeight="1" x14ac:dyDescent="0.3">
      <c r="A158" s="12" t="s">
        <v>248</v>
      </c>
      <c r="B158" s="12" t="s">
        <v>237</v>
      </c>
    </row>
    <row r="159" spans="1:2" ht="15.75" customHeight="1" x14ac:dyDescent="0.3">
      <c r="A159" s="12" t="s">
        <v>177</v>
      </c>
      <c r="B159" s="12" t="s">
        <v>105</v>
      </c>
    </row>
    <row r="160" spans="1:2" ht="15.75" customHeight="1" x14ac:dyDescent="0.3">
      <c r="A160" s="12" t="s">
        <v>179</v>
      </c>
      <c r="B160" s="12" t="s">
        <v>179</v>
      </c>
    </row>
    <row r="161" spans="1:2" ht="15.75" customHeight="1" x14ac:dyDescent="0.3">
      <c r="A161" s="12" t="s">
        <v>163</v>
      </c>
      <c r="B161" s="12" t="s">
        <v>195</v>
      </c>
    </row>
    <row r="162" spans="1:2" ht="15.75" customHeight="1" x14ac:dyDescent="0.3">
      <c r="A162" s="12" t="s">
        <v>99</v>
      </c>
      <c r="B162" s="12" t="s">
        <v>99</v>
      </c>
    </row>
    <row r="163" spans="1:2" ht="15.75" customHeight="1" x14ac:dyDescent="0.3">
      <c r="A163" s="12" t="s">
        <v>236</v>
      </c>
      <c r="B163" s="12" t="s">
        <v>195</v>
      </c>
    </row>
    <row r="164" spans="1:2" ht="15.75" customHeight="1" x14ac:dyDescent="0.3">
      <c r="A164" s="12" t="s">
        <v>99</v>
      </c>
      <c r="B164" s="12" t="s">
        <v>99</v>
      </c>
    </row>
    <row r="165" spans="1:2" ht="15.75" customHeight="1" x14ac:dyDescent="0.3">
      <c r="A165" s="12" t="s">
        <v>142</v>
      </c>
      <c r="B165" s="12" t="s">
        <v>142</v>
      </c>
    </row>
    <row r="166" spans="1:2" ht="15.75" customHeight="1" x14ac:dyDescent="0.3">
      <c r="A166" s="12" t="s">
        <v>208</v>
      </c>
      <c r="B166" s="12" t="s">
        <v>179</v>
      </c>
    </row>
    <row r="167" spans="1:2" ht="15.75" customHeight="1" x14ac:dyDescent="0.3">
      <c r="A167" s="12" t="s">
        <v>109</v>
      </c>
      <c r="B167" s="12" t="s">
        <v>196</v>
      </c>
    </row>
    <row r="168" spans="1:2" ht="15.75" customHeight="1" x14ac:dyDescent="0.3">
      <c r="A168" s="12" t="s">
        <v>208</v>
      </c>
      <c r="B168" s="12" t="s">
        <v>179</v>
      </c>
    </row>
    <row r="169" spans="1:2" ht="15.75" customHeight="1" x14ac:dyDescent="0.3">
      <c r="A169" s="12" t="s">
        <v>98</v>
      </c>
      <c r="B169" s="12" t="s">
        <v>202</v>
      </c>
    </row>
    <row r="170" spans="1:2" ht="15.75" customHeight="1" x14ac:dyDescent="0.3">
      <c r="A170" s="12" t="s">
        <v>193</v>
      </c>
      <c r="B170" s="12" t="s">
        <v>193</v>
      </c>
    </row>
    <row r="171" spans="1:2" ht="15.75" customHeight="1" x14ac:dyDescent="0.3">
      <c r="A171" s="12" t="s">
        <v>140</v>
      </c>
      <c r="B171" s="12" t="s">
        <v>102</v>
      </c>
    </row>
    <row r="172" spans="1:2" ht="15.75" customHeight="1" x14ac:dyDescent="0.3">
      <c r="A172" s="12" t="s">
        <v>187</v>
      </c>
      <c r="B172" s="12" t="s">
        <v>202</v>
      </c>
    </row>
    <row r="173" spans="1:2" ht="15.75" customHeight="1" x14ac:dyDescent="0.3">
      <c r="A173" s="12" t="s">
        <v>194</v>
      </c>
      <c r="B173" s="12" t="s">
        <v>179</v>
      </c>
    </row>
    <row r="174" spans="1:2" ht="15.75" customHeight="1" x14ac:dyDescent="0.3">
      <c r="A174" s="12" t="s">
        <v>118</v>
      </c>
      <c r="B174" s="12" t="s">
        <v>99</v>
      </c>
    </row>
    <row r="175" spans="1:2" ht="15.75" customHeight="1" x14ac:dyDescent="0.3">
      <c r="A175" s="12" t="s">
        <v>238</v>
      </c>
      <c r="B175" s="12" t="s">
        <v>276</v>
      </c>
    </row>
    <row r="176" spans="1:2" ht="15.75" customHeight="1" x14ac:dyDescent="0.3">
      <c r="A176" s="12" t="s">
        <v>128</v>
      </c>
      <c r="B176" s="12" t="s">
        <v>196</v>
      </c>
    </row>
    <row r="177" spans="1:2" ht="15.75" customHeight="1" x14ac:dyDescent="0.3">
      <c r="A177" s="12" t="s">
        <v>249</v>
      </c>
      <c r="B177" s="12" t="s">
        <v>276</v>
      </c>
    </row>
    <row r="178" spans="1:2" ht="15.75" customHeight="1" x14ac:dyDescent="0.3">
      <c r="A178" s="12" t="s">
        <v>112</v>
      </c>
      <c r="B178" s="12" t="s">
        <v>276</v>
      </c>
    </row>
    <row r="179" spans="1:2" ht="15.75" customHeight="1" x14ac:dyDescent="0.3">
      <c r="A179" s="12" t="s">
        <v>85</v>
      </c>
      <c r="B179" s="12" t="s">
        <v>175</v>
      </c>
    </row>
    <row r="180" spans="1:2" ht="15.75" customHeight="1" x14ac:dyDescent="0.3">
      <c r="A180" s="12" t="s">
        <v>212</v>
      </c>
      <c r="B180" s="12" t="s">
        <v>276</v>
      </c>
    </row>
    <row r="181" spans="1:2" ht="15.75" customHeight="1" x14ac:dyDescent="0.3">
      <c r="A181" s="12" t="s">
        <v>299</v>
      </c>
      <c r="B181" s="12" t="s">
        <v>281</v>
      </c>
    </row>
    <row r="182" spans="1:2" ht="15.75" customHeight="1" x14ac:dyDescent="0.3">
      <c r="A182" s="12" t="s">
        <v>158</v>
      </c>
      <c r="B182" s="12" t="s">
        <v>175</v>
      </c>
    </row>
    <row r="183" spans="1:2" ht="15.75" customHeight="1" x14ac:dyDescent="0.3">
      <c r="A183" s="12" t="s">
        <v>259</v>
      </c>
      <c r="B183" s="12" t="s">
        <v>276</v>
      </c>
    </row>
    <row r="184" spans="1:2" ht="15.75" customHeight="1" x14ac:dyDescent="0.3">
      <c r="A184" s="12" t="s">
        <v>103</v>
      </c>
      <c r="B184" s="12" t="s">
        <v>175</v>
      </c>
    </row>
    <row r="185" spans="1:2" ht="15.75" customHeight="1" x14ac:dyDescent="0.3">
      <c r="A185" s="12" t="s">
        <v>226</v>
      </c>
      <c r="B185" s="12" t="s">
        <v>276</v>
      </c>
    </row>
    <row r="186" spans="1:2" ht="15.75" customHeight="1" x14ac:dyDescent="0.3">
      <c r="A186" s="12" t="s">
        <v>253</v>
      </c>
      <c r="B186" s="12" t="s">
        <v>61</v>
      </c>
    </row>
    <row r="187" spans="1:2" ht="15.75" customHeight="1" x14ac:dyDescent="0.3">
      <c r="A187" s="12" t="s">
        <v>100</v>
      </c>
      <c r="B187" s="12" t="s">
        <v>119</v>
      </c>
    </row>
    <row r="188" spans="1:2" ht="15.75" customHeight="1" x14ac:dyDescent="0.3">
      <c r="A188" s="12" t="s">
        <v>232</v>
      </c>
      <c r="B188" s="12" t="s">
        <v>119</v>
      </c>
    </row>
    <row r="189" spans="1:2" ht="15.75" customHeight="1" x14ac:dyDescent="0.3">
      <c r="A189" s="12" t="s">
        <v>188</v>
      </c>
      <c r="B189" s="12" t="s">
        <v>99</v>
      </c>
    </row>
    <row r="190" spans="1:2" ht="15.75" customHeight="1" x14ac:dyDescent="0.3">
      <c r="A190" s="12" t="s">
        <v>96</v>
      </c>
      <c r="B190" s="12" t="s">
        <v>42</v>
      </c>
    </row>
    <row r="191" spans="1:2" ht="15.75" customHeight="1" x14ac:dyDescent="0.3">
      <c r="A191" s="12" t="s">
        <v>26</v>
      </c>
      <c r="B191" s="12" t="s">
        <v>42</v>
      </c>
    </row>
    <row r="192" spans="1:2" ht="15.75" customHeight="1" x14ac:dyDescent="0.3">
      <c r="A192" s="12" t="s">
        <v>78</v>
      </c>
      <c r="B192" s="12" t="s">
        <v>42</v>
      </c>
    </row>
    <row r="193" spans="1:2" ht="15.75" customHeight="1" x14ac:dyDescent="0.3">
      <c r="A193" s="12" t="s">
        <v>78</v>
      </c>
      <c r="B193" s="12" t="s">
        <v>42</v>
      </c>
    </row>
    <row r="194" spans="1:2" ht="15.75" customHeight="1" x14ac:dyDescent="0.3">
      <c r="A194" s="12" t="s">
        <v>124</v>
      </c>
      <c r="B194" s="12" t="s">
        <v>105</v>
      </c>
    </row>
    <row r="195" spans="1:2" ht="15.75" customHeight="1" x14ac:dyDescent="0.3">
      <c r="A195" s="12" t="s">
        <v>214</v>
      </c>
      <c r="B195" s="12" t="s">
        <v>42</v>
      </c>
    </row>
    <row r="196" spans="1:2" ht="15.75" customHeight="1" x14ac:dyDescent="0.3">
      <c r="A196" s="12" t="s">
        <v>117</v>
      </c>
      <c r="B196" s="12" t="s">
        <v>202</v>
      </c>
    </row>
    <row r="197" spans="1:2" ht="15.75" customHeight="1" x14ac:dyDescent="0.3">
      <c r="A197" s="12" t="s">
        <v>81</v>
      </c>
      <c r="B197" s="12" t="s">
        <v>99</v>
      </c>
    </row>
    <row r="198" spans="1:2" ht="15.75" customHeight="1" x14ac:dyDescent="0.3">
      <c r="A198" s="12" t="s">
        <v>116</v>
      </c>
      <c r="B198" s="12" t="s">
        <v>61</v>
      </c>
    </row>
    <row r="199" spans="1:2" ht="15.75" customHeight="1" x14ac:dyDescent="0.3">
      <c r="A199" s="12" t="s">
        <v>216</v>
      </c>
      <c r="B199" s="12" t="s">
        <v>202</v>
      </c>
    </row>
    <row r="200" spans="1:2" ht="15.75" customHeight="1" x14ac:dyDescent="0.3">
      <c r="A200" s="12" t="s">
        <v>183</v>
      </c>
      <c r="B200" s="12" t="s">
        <v>276</v>
      </c>
    </row>
    <row r="201" spans="1:2" ht="15.75" customHeight="1" x14ac:dyDescent="0.3">
      <c r="A201" s="12" t="s">
        <v>243</v>
      </c>
      <c r="B201" s="12" t="s">
        <v>202</v>
      </c>
    </row>
    <row r="202" spans="1:2" ht="15.75" customHeight="1" x14ac:dyDescent="0.3">
      <c r="A202" s="12" t="s">
        <v>210</v>
      </c>
      <c r="B202" s="12" t="s">
        <v>196</v>
      </c>
    </row>
    <row r="203" spans="1:2" ht="15.75" customHeight="1" x14ac:dyDescent="0.3">
      <c r="A203" s="12" t="s">
        <v>120</v>
      </c>
      <c r="B203" s="12" t="s">
        <v>281</v>
      </c>
    </row>
    <row r="204" spans="1:2" ht="15.75" customHeight="1" x14ac:dyDescent="0.3">
      <c r="A204" s="12" t="s">
        <v>76</v>
      </c>
      <c r="B204" s="12" t="s">
        <v>276</v>
      </c>
    </row>
    <row r="205" spans="1:2" ht="15.75" customHeight="1" x14ac:dyDescent="0.3">
      <c r="A205" s="12" t="s">
        <v>255</v>
      </c>
      <c r="B205" s="12" t="s">
        <v>119</v>
      </c>
    </row>
    <row r="206" spans="1:2" ht="15.75" customHeight="1" x14ac:dyDescent="0.3">
      <c r="A206" s="12" t="s">
        <v>271</v>
      </c>
      <c r="B206" s="12" t="s">
        <v>61</v>
      </c>
    </row>
    <row r="207" spans="1:2" ht="15.75" customHeight="1" x14ac:dyDescent="0.3">
      <c r="A207" s="12" t="s">
        <v>203</v>
      </c>
      <c r="B207" s="12" t="s">
        <v>119</v>
      </c>
    </row>
    <row r="208" spans="1:2" ht="15.75" customHeight="1" x14ac:dyDescent="0.3">
      <c r="A208" s="12" t="s">
        <v>244</v>
      </c>
      <c r="B208" s="12" t="s">
        <v>119</v>
      </c>
    </row>
    <row r="209" spans="1:2" ht="15.75" customHeight="1" x14ac:dyDescent="0.3">
      <c r="A209" s="12" t="s">
        <v>190</v>
      </c>
      <c r="B209" s="12" t="s">
        <v>281</v>
      </c>
    </row>
    <row r="210" spans="1:2" ht="15.75" customHeight="1" x14ac:dyDescent="0.3">
      <c r="A210" s="12" t="s">
        <v>156</v>
      </c>
      <c r="B210" s="12" t="s">
        <v>119</v>
      </c>
    </row>
    <row r="211" spans="1:2" ht="15.75" customHeight="1" x14ac:dyDescent="0.3">
      <c r="A211" s="12" t="s">
        <v>172</v>
      </c>
      <c r="B211" s="12" t="s">
        <v>99</v>
      </c>
    </row>
    <row r="212" spans="1:2" ht="15.75" customHeight="1" x14ac:dyDescent="0.3">
      <c r="A212" s="12" t="s">
        <v>257</v>
      </c>
      <c r="B212" s="12" t="s">
        <v>175</v>
      </c>
    </row>
    <row r="213" spans="1:2" ht="15.75" customHeight="1" x14ac:dyDescent="0.3">
      <c r="A213" s="12" t="s">
        <v>247</v>
      </c>
      <c r="B213" s="12" t="s">
        <v>179</v>
      </c>
    </row>
    <row r="214" spans="1:2" ht="15.75" customHeight="1" x14ac:dyDescent="0.3">
      <c r="A214" s="12" t="s">
        <v>258</v>
      </c>
      <c r="B214" s="12" t="s">
        <v>179</v>
      </c>
    </row>
    <row r="215" spans="1:2" ht="15.75" customHeight="1" x14ac:dyDescent="0.3">
      <c r="A215" s="12" t="s">
        <v>82</v>
      </c>
      <c r="B215" s="12" t="s">
        <v>119</v>
      </c>
    </row>
    <row r="216" spans="1:2" ht="15.75" customHeight="1" x14ac:dyDescent="0.3">
      <c r="A216" s="12" t="s">
        <v>291</v>
      </c>
      <c r="B216" s="12" t="s">
        <v>276</v>
      </c>
    </row>
    <row r="217" spans="1:2" ht="15.75" customHeight="1" x14ac:dyDescent="0.3">
      <c r="A217" s="12" t="s">
        <v>108</v>
      </c>
      <c r="B217" s="12" t="s">
        <v>195</v>
      </c>
    </row>
    <row r="218" spans="1:2" ht="15.75" customHeight="1" x14ac:dyDescent="0.3">
      <c r="A218" s="12" t="s">
        <v>159</v>
      </c>
      <c r="B218" s="12" t="s">
        <v>142</v>
      </c>
    </row>
    <row r="219" spans="1:2" ht="15.75" customHeight="1" x14ac:dyDescent="0.3">
      <c r="A219" s="12" t="s">
        <v>180</v>
      </c>
      <c r="B219" s="12" t="s">
        <v>195</v>
      </c>
    </row>
    <row r="220" spans="1:2" ht="15.75" customHeight="1" x14ac:dyDescent="0.3">
      <c r="A220" s="12" t="s">
        <v>252</v>
      </c>
      <c r="B220" s="12" t="s">
        <v>42</v>
      </c>
    </row>
    <row r="221" spans="1:2" ht="15.75" customHeight="1" x14ac:dyDescent="0.3">
      <c r="A221" s="12" t="s">
        <v>176</v>
      </c>
      <c r="B221" s="12" t="s">
        <v>142</v>
      </c>
    </row>
    <row r="222" spans="1:2" ht="15.75" customHeight="1" x14ac:dyDescent="0.3">
      <c r="A222" s="12" t="s">
        <v>230</v>
      </c>
      <c r="B222" s="12" t="s">
        <v>61</v>
      </c>
    </row>
    <row r="223" spans="1:2" ht="15.75" customHeight="1" x14ac:dyDescent="0.3">
      <c r="A223" s="12" t="s">
        <v>86</v>
      </c>
      <c r="B223" s="12" t="s">
        <v>142</v>
      </c>
    </row>
    <row r="224" spans="1:2" ht="15.75" customHeight="1" x14ac:dyDescent="0.3">
      <c r="A224" s="12" t="s">
        <v>185</v>
      </c>
      <c r="B224" s="12" t="s">
        <v>42</v>
      </c>
    </row>
    <row r="225" spans="1:2" ht="15.75" customHeight="1" x14ac:dyDescent="0.3">
      <c r="A225" s="12" t="s">
        <v>154</v>
      </c>
      <c r="B225" s="12" t="s">
        <v>202</v>
      </c>
    </row>
    <row r="226" spans="1:2" ht="15.75" customHeight="1" x14ac:dyDescent="0.3">
      <c r="A226" s="12" t="s">
        <v>90</v>
      </c>
      <c r="B226" s="12" t="s">
        <v>195</v>
      </c>
    </row>
    <row r="227" spans="1:2" ht="15.75" customHeight="1" x14ac:dyDescent="0.3">
      <c r="A227" s="12" t="s">
        <v>191</v>
      </c>
      <c r="B227" s="12" t="s">
        <v>175</v>
      </c>
    </row>
    <row r="228" spans="1:2" ht="15.75" customHeight="1" x14ac:dyDescent="0.3">
      <c r="A228" s="12" t="s">
        <v>94</v>
      </c>
      <c r="B228" s="12" t="s">
        <v>276</v>
      </c>
    </row>
    <row r="229" spans="1:2" ht="15.75" customHeight="1" x14ac:dyDescent="0.3">
      <c r="A229" s="12" t="s">
        <v>283</v>
      </c>
      <c r="B229" s="12" t="s">
        <v>276</v>
      </c>
    </row>
    <row r="230" spans="1:2" ht="15.75" customHeight="1" x14ac:dyDescent="0.3">
      <c r="A230" s="12" t="s">
        <v>134</v>
      </c>
      <c r="B230" s="12" t="s">
        <v>42</v>
      </c>
    </row>
    <row r="231" spans="1:2" ht="15.75" customHeight="1" x14ac:dyDescent="0.3">
      <c r="A231" s="12" t="s">
        <v>145</v>
      </c>
      <c r="B231" s="12" t="s">
        <v>179</v>
      </c>
    </row>
    <row r="232" spans="1:2" ht="15.75" customHeight="1" x14ac:dyDescent="0.3">
      <c r="A232" s="12" t="s">
        <v>220</v>
      </c>
      <c r="B232" s="12" t="s">
        <v>142</v>
      </c>
    </row>
    <row r="233" spans="1:2" ht="15.75" customHeight="1" x14ac:dyDescent="0.3">
      <c r="A233" s="12" t="s">
        <v>294</v>
      </c>
      <c r="B233" s="12" t="s">
        <v>276</v>
      </c>
    </row>
    <row r="234" spans="1:2" ht="15.75" customHeight="1" x14ac:dyDescent="0.3">
      <c r="A234" s="12" t="s">
        <v>280</v>
      </c>
      <c r="B234" s="12" t="s">
        <v>202</v>
      </c>
    </row>
    <row r="235" spans="1:2" ht="15.75" customHeight="1" x14ac:dyDescent="0.3">
      <c r="A235" s="12" t="s">
        <v>71</v>
      </c>
      <c r="B235" s="12" t="s">
        <v>179</v>
      </c>
    </row>
    <row r="236" spans="1:2" ht="15.75" customHeight="1" x14ac:dyDescent="0.3">
      <c r="A236" s="12" t="s">
        <v>211</v>
      </c>
      <c r="B236" s="12" t="s">
        <v>237</v>
      </c>
    </row>
    <row r="237" spans="1:2" ht="15.75" customHeight="1" x14ac:dyDescent="0.3">
      <c r="A237" s="12" t="s">
        <v>279</v>
      </c>
      <c r="B237" s="12" t="s">
        <v>61</v>
      </c>
    </row>
    <row r="238" spans="1:2" ht="15.75" customHeight="1" x14ac:dyDescent="0.3">
      <c r="A238" s="12" t="s">
        <v>80</v>
      </c>
      <c r="B238" s="12" t="s">
        <v>202</v>
      </c>
    </row>
    <row r="239" spans="1:2" ht="15.75" customHeight="1" x14ac:dyDescent="0.3">
      <c r="A239" s="12" t="s">
        <v>166</v>
      </c>
      <c r="B239" s="12" t="s">
        <v>276</v>
      </c>
    </row>
    <row r="240" spans="1:2" ht="15.75" customHeight="1" x14ac:dyDescent="0.3">
      <c r="A240" s="12" t="s">
        <v>189</v>
      </c>
      <c r="B240" s="12" t="s">
        <v>119</v>
      </c>
    </row>
    <row r="241" spans="1:2" ht="15.75" customHeight="1" x14ac:dyDescent="0.3">
      <c r="A241" s="12" t="s">
        <v>92</v>
      </c>
      <c r="B241" s="12" t="s">
        <v>129</v>
      </c>
    </row>
    <row r="242" spans="1:2" ht="15.75" customHeight="1" x14ac:dyDescent="0.3">
      <c r="A242" s="12" t="s">
        <v>219</v>
      </c>
      <c r="B242" s="12" t="s">
        <v>175</v>
      </c>
    </row>
    <row r="243" spans="1:2" ht="15.75" customHeight="1" x14ac:dyDescent="0.3">
      <c r="A243" s="12" t="s">
        <v>288</v>
      </c>
      <c r="B243" s="12" t="s">
        <v>175</v>
      </c>
    </row>
    <row r="244" spans="1:2" ht="15.75" customHeight="1" x14ac:dyDescent="0.3">
      <c r="A244" s="12" t="s">
        <v>106</v>
      </c>
      <c r="B244" s="12" t="s">
        <v>193</v>
      </c>
    </row>
    <row r="245" spans="1:2" ht="15.75" customHeight="1" x14ac:dyDescent="0.3">
      <c r="A245" s="12" t="s">
        <v>225</v>
      </c>
      <c r="B245" s="12" t="s">
        <v>237</v>
      </c>
    </row>
    <row r="246" spans="1:2" ht="15.75" customHeight="1" x14ac:dyDescent="0.3">
      <c r="A246" s="12" t="s">
        <v>222</v>
      </c>
      <c r="B246" s="12" t="s">
        <v>179</v>
      </c>
    </row>
    <row r="247" spans="1:2" ht="15.75" customHeight="1" x14ac:dyDescent="0.3">
      <c r="A247" s="12" t="s">
        <v>205</v>
      </c>
      <c r="B247" s="12" t="s">
        <v>175</v>
      </c>
    </row>
    <row r="248" spans="1:2" ht="15.75" customHeight="1" x14ac:dyDescent="0.3">
      <c r="A248" s="12" t="s">
        <v>72</v>
      </c>
      <c r="B248" s="12" t="s">
        <v>195</v>
      </c>
    </row>
    <row r="249" spans="1:2" ht="15.75" customHeight="1" x14ac:dyDescent="0.3">
      <c r="A249" s="12" t="s">
        <v>69</v>
      </c>
      <c r="B249" s="12" t="s">
        <v>105</v>
      </c>
    </row>
    <row r="250" spans="1:2" ht="15.75" customHeight="1" x14ac:dyDescent="0.3">
      <c r="A250" s="12" t="s">
        <v>241</v>
      </c>
      <c r="B250" s="12" t="s">
        <v>42</v>
      </c>
    </row>
    <row r="251" spans="1:2" ht="15.75" customHeight="1" x14ac:dyDescent="0.3">
      <c r="A251" s="12" t="s">
        <v>264</v>
      </c>
      <c r="B251" s="12" t="s">
        <v>202</v>
      </c>
    </row>
    <row r="252" spans="1:2" ht="15.75" customHeight="1" x14ac:dyDescent="0.3">
      <c r="A252" s="12" t="s">
        <v>221</v>
      </c>
      <c r="B252" s="12" t="s">
        <v>193</v>
      </c>
    </row>
    <row r="253" spans="1:2" ht="15.75" customHeight="1" x14ac:dyDescent="0.3">
      <c r="A253" s="12" t="s">
        <v>143</v>
      </c>
      <c r="B253" s="12" t="s">
        <v>105</v>
      </c>
    </row>
    <row r="254" spans="1:2" ht="15.75" customHeight="1" x14ac:dyDescent="0.3">
      <c r="A254" s="12" t="s">
        <v>135</v>
      </c>
      <c r="B254" s="12" t="s">
        <v>61</v>
      </c>
    </row>
    <row r="255" spans="1:2" ht="15.75" customHeight="1" x14ac:dyDescent="0.3">
      <c r="A255" s="12" t="s">
        <v>64</v>
      </c>
      <c r="B255" s="12" t="s">
        <v>119</v>
      </c>
    </row>
    <row r="256" spans="1:2" ht="15.75" customHeight="1" x14ac:dyDescent="0.3">
      <c r="A256" s="12" t="s">
        <v>267</v>
      </c>
      <c r="B256" s="12" t="s">
        <v>175</v>
      </c>
    </row>
    <row r="257" spans="1:2" ht="15.75" customHeight="1" x14ac:dyDescent="0.3">
      <c r="A257" s="12" t="s">
        <v>290</v>
      </c>
      <c r="B257" s="12" t="s">
        <v>281</v>
      </c>
    </row>
    <row r="258" spans="1:2" ht="15.75" customHeight="1" x14ac:dyDescent="0.3">
      <c r="A258" s="12" t="s">
        <v>287</v>
      </c>
      <c r="B258" s="12" t="s">
        <v>281</v>
      </c>
    </row>
    <row r="259" spans="1:2" ht="15.75" customHeight="1" x14ac:dyDescent="0.3">
      <c r="A259" s="12" t="s">
        <v>87</v>
      </c>
      <c r="B259" s="12" t="s">
        <v>105</v>
      </c>
    </row>
    <row r="260" spans="1:2" ht="15.75" customHeight="1" x14ac:dyDescent="0.3">
      <c r="A260" s="12" t="s">
        <v>74</v>
      </c>
      <c r="B260" s="12" t="s">
        <v>129</v>
      </c>
    </row>
    <row r="261" spans="1:2" ht="15.75" customHeight="1" x14ac:dyDescent="0.3">
      <c r="A261" s="12" t="s">
        <v>200</v>
      </c>
      <c r="B261" s="12" t="s">
        <v>42</v>
      </c>
    </row>
    <row r="262" spans="1:2" ht="15.75" customHeight="1" x14ac:dyDescent="0.3">
      <c r="A262" s="12" t="s">
        <v>200</v>
      </c>
      <c r="B262" s="12" t="s">
        <v>42</v>
      </c>
    </row>
    <row r="263" spans="1:2" ht="15.75" customHeight="1" x14ac:dyDescent="0.3">
      <c r="A263" s="12" t="s">
        <v>200</v>
      </c>
      <c r="B263" s="12" t="s">
        <v>42</v>
      </c>
    </row>
    <row r="264" spans="1:2" ht="15.75" customHeight="1" x14ac:dyDescent="0.3">
      <c r="A264" s="12" t="s">
        <v>200</v>
      </c>
      <c r="B264" s="12" t="s">
        <v>42</v>
      </c>
    </row>
    <row r="265" spans="1:2" ht="15.75" customHeight="1" x14ac:dyDescent="0.3">
      <c r="A265" s="12" t="s">
        <v>200</v>
      </c>
      <c r="B265" s="12" t="s">
        <v>42</v>
      </c>
    </row>
    <row r="266" spans="1:2" ht="15.75" customHeight="1" x14ac:dyDescent="0.3">
      <c r="A266" s="12" t="s">
        <v>297</v>
      </c>
      <c r="B266" s="12" t="s">
        <v>276</v>
      </c>
    </row>
    <row r="267" spans="1:2" ht="15.75" customHeight="1" x14ac:dyDescent="0.3">
      <c r="A267" s="12" t="s">
        <v>93</v>
      </c>
      <c r="B267" s="12" t="s">
        <v>237</v>
      </c>
    </row>
    <row r="268" spans="1:2" ht="15.75" customHeight="1" x14ac:dyDescent="0.3">
      <c r="A268" s="12" t="s">
        <v>206</v>
      </c>
      <c r="B268" s="12" t="s">
        <v>142</v>
      </c>
    </row>
    <row r="269" spans="1:2" ht="15.75" customHeight="1" x14ac:dyDescent="0.3">
      <c r="A269" s="12" t="s">
        <v>289</v>
      </c>
      <c r="B269" s="12" t="s">
        <v>276</v>
      </c>
    </row>
    <row r="270" spans="1:2" ht="15.75" customHeight="1" x14ac:dyDescent="0.3">
      <c r="A270" s="12" t="s">
        <v>101</v>
      </c>
      <c r="B270" s="12" t="s">
        <v>281</v>
      </c>
    </row>
    <row r="271" spans="1:2" ht="15.75" customHeight="1" x14ac:dyDescent="0.3">
      <c r="A271" s="12" t="s">
        <v>144</v>
      </c>
      <c r="B271" s="12" t="s">
        <v>193</v>
      </c>
    </row>
    <row r="272" spans="1:2" ht="15.75" customHeight="1" x14ac:dyDescent="0.3">
      <c r="A272" s="12" t="s">
        <v>111</v>
      </c>
      <c r="B272" s="12" t="s">
        <v>237</v>
      </c>
    </row>
    <row r="273" spans="1:2" ht="15.75" customHeight="1" x14ac:dyDescent="0.3">
      <c r="A273" s="12" t="s">
        <v>110</v>
      </c>
      <c r="B273" s="12" t="s">
        <v>129</v>
      </c>
    </row>
    <row r="274" spans="1:2" ht="15.75" customHeight="1" x14ac:dyDescent="0.3">
      <c r="A274" s="12" t="s">
        <v>73</v>
      </c>
      <c r="B274" s="12" t="s">
        <v>196</v>
      </c>
    </row>
    <row r="275" spans="1:2" ht="15.75" customHeight="1" x14ac:dyDescent="0.3">
      <c r="A275" s="12" t="s">
        <v>197</v>
      </c>
      <c r="B275" s="12" t="s">
        <v>237</v>
      </c>
    </row>
    <row r="276" spans="1:2" ht="15.75" customHeight="1" x14ac:dyDescent="0.3">
      <c r="A276" s="12" t="s">
        <v>141</v>
      </c>
      <c r="B276" s="12" t="s">
        <v>175</v>
      </c>
    </row>
    <row r="277" spans="1:2" ht="15.75" customHeight="1" x14ac:dyDescent="0.3">
      <c r="A277" s="12" t="s">
        <v>66</v>
      </c>
      <c r="B277" s="12" t="s">
        <v>102</v>
      </c>
    </row>
    <row r="278" spans="1:2" ht="15.75" customHeight="1" x14ac:dyDescent="0.3">
      <c r="A278" s="12" t="s">
        <v>89</v>
      </c>
      <c r="B278" s="12" t="s">
        <v>179</v>
      </c>
    </row>
    <row r="279" spans="1:2" ht="15.75" customHeight="1" x14ac:dyDescent="0.3">
      <c r="A279" s="12" t="s">
        <v>274</v>
      </c>
      <c r="B279" s="12" t="s">
        <v>281</v>
      </c>
    </row>
    <row r="280" spans="1:2" ht="15.75" customHeight="1" x14ac:dyDescent="0.3">
      <c r="A280" s="12" t="s">
        <v>137</v>
      </c>
      <c r="B280" s="12" t="s">
        <v>99</v>
      </c>
    </row>
    <row r="281" spans="1:2" ht="15.75" customHeight="1" x14ac:dyDescent="0.3">
      <c r="A281" s="12" t="s">
        <v>107</v>
      </c>
      <c r="B281" s="12" t="s">
        <v>179</v>
      </c>
    </row>
    <row r="282" spans="1:2" ht="15.75" customHeight="1" x14ac:dyDescent="0.3">
      <c r="A282" s="12" t="s">
        <v>123</v>
      </c>
      <c r="B282" s="12" t="s">
        <v>142</v>
      </c>
    </row>
    <row r="283" spans="1:2" ht="15.75" customHeight="1" x14ac:dyDescent="0.3">
      <c r="A283" s="12" t="s">
        <v>121</v>
      </c>
      <c r="B283" s="12" t="s">
        <v>102</v>
      </c>
    </row>
    <row r="284" spans="1:2" ht="15.75" customHeight="1" x14ac:dyDescent="0.3">
      <c r="A284" s="12" t="s">
        <v>246</v>
      </c>
      <c r="B284" s="12" t="s">
        <v>175</v>
      </c>
    </row>
    <row r="285" spans="1:2" ht="15.75" customHeight="1" x14ac:dyDescent="0.3">
      <c r="A285" s="12" t="s">
        <v>242</v>
      </c>
      <c r="B285" s="12" t="s">
        <v>61</v>
      </c>
    </row>
    <row r="286" spans="1:2" ht="15.75" customHeight="1" x14ac:dyDescent="0.3">
      <c r="A286" s="12" t="s">
        <v>263</v>
      </c>
      <c r="B286" s="12" t="s">
        <v>61</v>
      </c>
    </row>
    <row r="287" spans="1:2" ht="15.75" customHeight="1" x14ac:dyDescent="0.3">
      <c r="A287" s="12" t="s">
        <v>160</v>
      </c>
      <c r="B287" s="12" t="s">
        <v>105</v>
      </c>
    </row>
    <row r="288" spans="1:2" ht="15.75" customHeight="1" x14ac:dyDescent="0.3">
      <c r="A288" s="12" t="s">
        <v>84</v>
      </c>
      <c r="B288" s="12" t="s">
        <v>102</v>
      </c>
    </row>
    <row r="289" spans="1:2" ht="15.75" customHeight="1" x14ac:dyDescent="0.3">
      <c r="A289" s="12" t="s">
        <v>63</v>
      </c>
      <c r="B289" s="12" t="s">
        <v>99</v>
      </c>
    </row>
    <row r="290" spans="1:2" ht="15.75" customHeight="1" x14ac:dyDescent="0.3">
      <c r="A290" s="12" t="s">
        <v>235</v>
      </c>
      <c r="B290" s="12" t="s">
        <v>179</v>
      </c>
    </row>
    <row r="291" spans="1:2" ht="15.75" customHeight="1" x14ac:dyDescent="0.3">
      <c r="A291" s="12" t="s">
        <v>62</v>
      </c>
      <c r="B291" s="12" t="s">
        <v>202</v>
      </c>
    </row>
    <row r="292" spans="1:2" ht="15.75" customHeight="1" x14ac:dyDescent="0.3">
      <c r="A292" s="12" t="s">
        <v>285</v>
      </c>
      <c r="B292" s="12" t="s">
        <v>61</v>
      </c>
    </row>
    <row r="293" spans="1:2" ht="15.75" customHeight="1" x14ac:dyDescent="0.3">
      <c r="A293" s="12" t="s">
        <v>198</v>
      </c>
      <c r="B293" s="12" t="s">
        <v>276</v>
      </c>
    </row>
    <row r="294" spans="1:2" ht="15.75" customHeight="1" x14ac:dyDescent="0.3">
      <c r="A294" s="12" t="s">
        <v>254</v>
      </c>
      <c r="B294" s="12" t="s">
        <v>202</v>
      </c>
    </row>
    <row r="295" spans="1:2" ht="15.75" customHeight="1" x14ac:dyDescent="0.3">
      <c r="A295" s="12" t="s">
        <v>223</v>
      </c>
      <c r="B295" s="12" t="s">
        <v>195</v>
      </c>
    </row>
    <row r="296" spans="1:2" ht="15.75" customHeight="1" x14ac:dyDescent="0.3">
      <c r="A296" s="12" t="s">
        <v>209</v>
      </c>
      <c r="B296" s="12" t="s">
        <v>195</v>
      </c>
    </row>
    <row r="297" spans="1:2" ht="15.75" customHeight="1" x14ac:dyDescent="0.3">
      <c r="A297" s="12" t="s">
        <v>146</v>
      </c>
      <c r="B297" s="12" t="s">
        <v>195</v>
      </c>
    </row>
    <row r="298" spans="1:2" ht="15.75" customHeight="1" x14ac:dyDescent="0.3">
      <c r="A298" s="12" t="s">
        <v>88</v>
      </c>
      <c r="B298" s="12" t="s">
        <v>193</v>
      </c>
    </row>
    <row r="299" spans="1:2" ht="15.75" customHeight="1" x14ac:dyDescent="0.3">
      <c r="A299" s="12" t="s">
        <v>67</v>
      </c>
      <c r="B299" s="12" t="s">
        <v>175</v>
      </c>
    </row>
    <row r="300" spans="1:2" ht="15.75" customHeight="1" x14ac:dyDescent="0.3">
      <c r="A300" s="12" t="s">
        <v>161</v>
      </c>
      <c r="B300" s="12" t="s">
        <v>193</v>
      </c>
    </row>
    <row r="301" spans="1:2" ht="15.75" customHeight="1" x14ac:dyDescent="0.3">
      <c r="A301" s="12" t="s">
        <v>234</v>
      </c>
      <c r="B301" s="12" t="s">
        <v>175</v>
      </c>
    </row>
    <row r="302" spans="1:2" ht="15.75" customHeight="1" x14ac:dyDescent="0.3">
      <c r="A302" s="12" t="s">
        <v>286</v>
      </c>
      <c r="B302" s="12" t="s">
        <v>202</v>
      </c>
    </row>
    <row r="303" spans="1:2" ht="15.75" customHeight="1" x14ac:dyDescent="0.3"/>
    <row r="304" spans="1:2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00"/>
  <sheetViews>
    <sheetView workbookViewId="0">
      <selection activeCell="K14" sqref="K14"/>
    </sheetView>
  </sheetViews>
  <sheetFormatPr defaultColWidth="12.88671875" defaultRowHeight="15" customHeight="1" x14ac:dyDescent="0.3"/>
  <cols>
    <col min="1" max="1" width="12.33203125" style="21" customWidth="1"/>
    <col min="2" max="2" width="14.88671875" style="21" customWidth="1"/>
    <col min="3" max="3" width="11.21875" style="21" bestFit="1" customWidth="1"/>
    <col min="4" max="26" width="9.109375" style="21" customWidth="1"/>
    <col min="27" max="16384" width="12.88671875" style="21"/>
  </cols>
  <sheetData>
    <row r="1" spans="1:3" ht="14.4" x14ac:dyDescent="0.3">
      <c r="A1" s="16" t="s">
        <v>394</v>
      </c>
      <c r="B1" s="16" t="s">
        <v>395</v>
      </c>
    </row>
    <row r="2" spans="1:3" ht="14.4" x14ac:dyDescent="0.3">
      <c r="A2" s="59" t="s">
        <v>14</v>
      </c>
      <c r="B2" s="21" t="s">
        <v>14</v>
      </c>
      <c r="C2" s="59" t="s">
        <v>14</v>
      </c>
    </row>
    <row r="3" spans="1:3" ht="14.4" x14ac:dyDescent="0.3">
      <c r="A3" s="59" t="s">
        <v>113</v>
      </c>
      <c r="B3" s="21" t="s">
        <v>113</v>
      </c>
      <c r="C3" s="59" t="s">
        <v>113</v>
      </c>
    </row>
    <row r="4" spans="1:3" ht="14.4" x14ac:dyDescent="0.3">
      <c r="A4" s="59" t="s">
        <v>292</v>
      </c>
      <c r="B4" s="21" t="s">
        <v>292</v>
      </c>
      <c r="C4" s="59" t="s">
        <v>292</v>
      </c>
    </row>
    <row r="5" spans="1:3" ht="14.4" x14ac:dyDescent="0.3">
      <c r="A5" s="59" t="s">
        <v>298</v>
      </c>
      <c r="B5" s="21" t="s">
        <v>298</v>
      </c>
      <c r="C5" s="59" t="s">
        <v>298</v>
      </c>
    </row>
    <row r="6" spans="1:3" ht="14.4" x14ac:dyDescent="0.3">
      <c r="A6" s="59" t="s">
        <v>184</v>
      </c>
      <c r="B6" s="21" t="s">
        <v>184</v>
      </c>
      <c r="C6" s="59" t="s">
        <v>184</v>
      </c>
    </row>
    <row r="7" spans="1:3" ht="14.4" x14ac:dyDescent="0.3">
      <c r="A7" s="59" t="s">
        <v>396</v>
      </c>
      <c r="B7" s="21" t="s">
        <v>132</v>
      </c>
      <c r="C7" s="59" t="s">
        <v>396</v>
      </c>
    </row>
    <row r="8" spans="1:3" ht="14.4" x14ac:dyDescent="0.3">
      <c r="A8" s="59" t="s">
        <v>12</v>
      </c>
      <c r="B8" s="21" t="s">
        <v>12</v>
      </c>
      <c r="C8" s="59" t="s">
        <v>12</v>
      </c>
    </row>
    <row r="9" spans="1:3" ht="14.4" x14ac:dyDescent="0.3">
      <c r="A9" s="59" t="s">
        <v>397</v>
      </c>
      <c r="B9" s="21" t="s">
        <v>151</v>
      </c>
      <c r="C9" s="59" t="s">
        <v>397</v>
      </c>
    </row>
    <row r="10" spans="1:3" ht="14.4" x14ac:dyDescent="0.3">
      <c r="A10" s="59" t="s">
        <v>295</v>
      </c>
      <c r="B10" s="21" t="s">
        <v>295</v>
      </c>
      <c r="C10" s="59" t="s">
        <v>295</v>
      </c>
    </row>
    <row r="11" spans="1:3" ht="14.4" x14ac:dyDescent="0.3">
      <c r="A11" s="59" t="s">
        <v>227</v>
      </c>
      <c r="B11" s="21" t="s">
        <v>227</v>
      </c>
      <c r="C11" s="59" t="s">
        <v>227</v>
      </c>
    </row>
    <row r="12" spans="1:3" ht="14.4" x14ac:dyDescent="0.3">
      <c r="A12" s="59">
        <v>1109</v>
      </c>
      <c r="B12" s="21" t="s">
        <v>250</v>
      </c>
      <c r="C12" s="59">
        <v>1109</v>
      </c>
    </row>
    <row r="13" spans="1:3" ht="14.4" x14ac:dyDescent="0.3">
      <c r="A13" s="59" t="s">
        <v>260</v>
      </c>
      <c r="B13" s="21" t="s">
        <v>260</v>
      </c>
      <c r="C13" s="59" t="s">
        <v>260</v>
      </c>
    </row>
    <row r="14" spans="1:3" ht="14.4" x14ac:dyDescent="0.3">
      <c r="A14" s="59">
        <v>909</v>
      </c>
      <c r="B14" s="21" t="s">
        <v>239</v>
      </c>
      <c r="C14" s="59">
        <v>909</v>
      </c>
    </row>
    <row r="15" spans="1:3" ht="14.4" x14ac:dyDescent="0.3">
      <c r="A15" s="59" t="s">
        <v>269</v>
      </c>
      <c r="B15" s="21" t="s">
        <v>269</v>
      </c>
      <c r="C15" s="59" t="s">
        <v>269</v>
      </c>
    </row>
    <row r="16" spans="1:3" ht="14.4" x14ac:dyDescent="0.3">
      <c r="A16" s="59" t="s">
        <v>277</v>
      </c>
      <c r="B16" s="21" t="s">
        <v>277</v>
      </c>
      <c r="C16" s="59" t="s">
        <v>277</v>
      </c>
    </row>
    <row r="17" spans="1:3" ht="14.4" x14ac:dyDescent="0.3">
      <c r="A17" s="59" t="s">
        <v>284</v>
      </c>
      <c r="B17" s="21" t="s">
        <v>284</v>
      </c>
      <c r="C17" s="59" t="s">
        <v>284</v>
      </c>
    </row>
    <row r="18" spans="1:3" ht="14.4" x14ac:dyDescent="0.3">
      <c r="A18" s="59" t="s">
        <v>15</v>
      </c>
      <c r="B18" s="21" t="s">
        <v>15</v>
      </c>
      <c r="C18" s="59" t="s">
        <v>15</v>
      </c>
    </row>
    <row r="19" spans="1:3" ht="14.4" x14ac:dyDescent="0.3">
      <c r="A19" s="59" t="s">
        <v>399</v>
      </c>
      <c r="B19" s="21" t="s">
        <v>199</v>
      </c>
      <c r="C19" s="59" t="s">
        <v>399</v>
      </c>
    </row>
    <row r="20" spans="1:3" ht="14.4" x14ac:dyDescent="0.3">
      <c r="A20" s="59" t="s">
        <v>400</v>
      </c>
      <c r="B20" s="21" t="s">
        <v>167</v>
      </c>
      <c r="C20" s="59" t="s">
        <v>400</v>
      </c>
    </row>
    <row r="21" spans="1:3" ht="15.75" customHeight="1" x14ac:dyDescent="0.3">
      <c r="A21" s="59" t="s">
        <v>401</v>
      </c>
      <c r="B21" s="21" t="s">
        <v>401</v>
      </c>
      <c r="C21" s="59" t="s">
        <v>401</v>
      </c>
    </row>
    <row r="22" spans="1:3" ht="15.75" customHeight="1" x14ac:dyDescent="0.3">
      <c r="A22" s="59" t="s">
        <v>402</v>
      </c>
      <c r="B22" s="21" t="s">
        <v>13</v>
      </c>
      <c r="C22" s="59" t="s">
        <v>402</v>
      </c>
    </row>
    <row r="23" spans="1:3" ht="15.75" hidden="1" customHeight="1" x14ac:dyDescent="0.3">
      <c r="A23" s="59" t="s">
        <v>14</v>
      </c>
      <c r="B23" s="21" t="s">
        <v>14</v>
      </c>
      <c r="C23" s="59" t="s">
        <v>14</v>
      </c>
    </row>
    <row r="24" spans="1:3" ht="15.75" hidden="1" customHeight="1" x14ac:dyDescent="0.3">
      <c r="A24" s="59" t="s">
        <v>113</v>
      </c>
      <c r="B24" s="21" t="s">
        <v>113</v>
      </c>
      <c r="C24" s="59" t="s">
        <v>113</v>
      </c>
    </row>
    <row r="25" spans="1:3" ht="15.75" hidden="1" customHeight="1" x14ac:dyDescent="0.3">
      <c r="A25" s="59" t="s">
        <v>292</v>
      </c>
      <c r="B25" s="21" t="s">
        <v>292</v>
      </c>
      <c r="C25" s="59" t="s">
        <v>292</v>
      </c>
    </row>
    <row r="26" spans="1:3" ht="15.75" hidden="1" customHeight="1" x14ac:dyDescent="0.3">
      <c r="A26" s="59" t="s">
        <v>298</v>
      </c>
      <c r="B26" s="21" t="s">
        <v>298</v>
      </c>
      <c r="C26" s="59" t="s">
        <v>298</v>
      </c>
    </row>
    <row r="27" spans="1:3" ht="15.75" hidden="1" customHeight="1" x14ac:dyDescent="0.3">
      <c r="A27" s="59" t="s">
        <v>184</v>
      </c>
      <c r="B27" s="21" t="s">
        <v>184</v>
      </c>
      <c r="C27" s="59" t="s">
        <v>184</v>
      </c>
    </row>
    <row r="28" spans="1:3" ht="15.75" hidden="1" customHeight="1" x14ac:dyDescent="0.3">
      <c r="A28" s="59" t="s">
        <v>132</v>
      </c>
      <c r="B28" s="21" t="s">
        <v>132</v>
      </c>
      <c r="C28" s="59" t="s">
        <v>132</v>
      </c>
    </row>
    <row r="29" spans="1:3" ht="15.75" hidden="1" customHeight="1" x14ac:dyDescent="0.3">
      <c r="A29" s="59" t="s">
        <v>12</v>
      </c>
      <c r="B29" s="21" t="s">
        <v>12</v>
      </c>
      <c r="C29" s="59" t="s">
        <v>12</v>
      </c>
    </row>
    <row r="30" spans="1:3" ht="15.75" hidden="1" customHeight="1" x14ac:dyDescent="0.3">
      <c r="A30" s="59" t="s">
        <v>151</v>
      </c>
      <c r="B30" s="21" t="s">
        <v>151</v>
      </c>
      <c r="C30" s="59" t="s">
        <v>151</v>
      </c>
    </row>
    <row r="31" spans="1:3" ht="15.75" hidden="1" customHeight="1" x14ac:dyDescent="0.3">
      <c r="A31" s="59" t="s">
        <v>295</v>
      </c>
      <c r="B31" s="21" t="s">
        <v>295</v>
      </c>
      <c r="C31" s="59" t="s">
        <v>295</v>
      </c>
    </row>
    <row r="32" spans="1:3" ht="15.75" hidden="1" customHeight="1" x14ac:dyDescent="0.3">
      <c r="A32" s="59" t="s">
        <v>398</v>
      </c>
      <c r="B32" s="21" t="s">
        <v>398</v>
      </c>
      <c r="C32" s="59" t="s">
        <v>398</v>
      </c>
    </row>
    <row r="33" spans="1:3" ht="15.75" hidden="1" customHeight="1" x14ac:dyDescent="0.3">
      <c r="A33" s="59" t="s">
        <v>250</v>
      </c>
      <c r="B33" s="21" t="s">
        <v>250</v>
      </c>
      <c r="C33" s="59" t="s">
        <v>479</v>
      </c>
    </row>
    <row r="34" spans="1:3" ht="15.75" hidden="1" customHeight="1" x14ac:dyDescent="0.3">
      <c r="A34" s="59" t="s">
        <v>260</v>
      </c>
      <c r="B34" s="21" t="s">
        <v>260</v>
      </c>
      <c r="C34" s="59" t="s">
        <v>260</v>
      </c>
    </row>
    <row r="35" spans="1:3" ht="15.75" hidden="1" customHeight="1" x14ac:dyDescent="0.3">
      <c r="A35" s="59" t="s">
        <v>239</v>
      </c>
      <c r="B35" s="21" t="s">
        <v>239</v>
      </c>
      <c r="C35" s="59" t="s">
        <v>239</v>
      </c>
    </row>
    <row r="36" spans="1:3" ht="15.75" hidden="1" customHeight="1" x14ac:dyDescent="0.3">
      <c r="A36" s="59" t="s">
        <v>269</v>
      </c>
      <c r="B36" s="21" t="s">
        <v>269</v>
      </c>
      <c r="C36" s="59" t="s">
        <v>269</v>
      </c>
    </row>
    <row r="37" spans="1:3" ht="15.75" hidden="1" customHeight="1" x14ac:dyDescent="0.3">
      <c r="A37" s="59" t="s">
        <v>277</v>
      </c>
      <c r="B37" s="21" t="s">
        <v>277</v>
      </c>
      <c r="C37" s="59" t="s">
        <v>277</v>
      </c>
    </row>
    <row r="38" spans="1:3" ht="15.75" hidden="1" customHeight="1" x14ac:dyDescent="0.3">
      <c r="A38" s="59" t="s">
        <v>284</v>
      </c>
      <c r="B38" s="21" t="s">
        <v>284</v>
      </c>
      <c r="C38" s="59" t="s">
        <v>284</v>
      </c>
    </row>
    <row r="39" spans="1:3" ht="15.75" hidden="1" customHeight="1" x14ac:dyDescent="0.3">
      <c r="A39" s="59" t="s">
        <v>15</v>
      </c>
      <c r="B39" s="21" t="s">
        <v>15</v>
      </c>
      <c r="C39" s="59" t="s">
        <v>15</v>
      </c>
    </row>
    <row r="40" spans="1:3" ht="15.75" hidden="1" customHeight="1" x14ac:dyDescent="0.3">
      <c r="A40" s="59" t="s">
        <v>199</v>
      </c>
      <c r="B40" s="21" t="s">
        <v>199</v>
      </c>
      <c r="C40" s="59" t="s">
        <v>199</v>
      </c>
    </row>
    <row r="41" spans="1:3" ht="15.75" hidden="1" customHeight="1" x14ac:dyDescent="0.3">
      <c r="A41" s="59" t="s">
        <v>167</v>
      </c>
      <c r="B41" s="21" t="s">
        <v>167</v>
      </c>
      <c r="C41" s="59" t="s">
        <v>167</v>
      </c>
    </row>
    <row r="42" spans="1:3" ht="15.75" hidden="1" customHeight="1" x14ac:dyDescent="0.3">
      <c r="A42" s="59" t="s">
        <v>401</v>
      </c>
      <c r="B42" s="21" t="s">
        <v>401</v>
      </c>
      <c r="C42" s="59" t="s">
        <v>401</v>
      </c>
    </row>
    <row r="43" spans="1:3" ht="15.75" hidden="1" customHeight="1" x14ac:dyDescent="0.3">
      <c r="A43" s="59" t="s">
        <v>13</v>
      </c>
      <c r="B43" s="21" t="s">
        <v>13</v>
      </c>
      <c r="C43" s="59" t="s">
        <v>13</v>
      </c>
    </row>
    <row r="44" spans="1:3" ht="15.75" hidden="1" customHeight="1" x14ac:dyDescent="0.3"/>
    <row r="45" spans="1:3" ht="15.75" hidden="1" customHeight="1" x14ac:dyDescent="0.3"/>
    <row r="46" spans="1:3" ht="15.75" customHeight="1" x14ac:dyDescent="0.3"/>
    <row r="47" spans="1:3" ht="15.75" customHeight="1" x14ac:dyDescent="0.3"/>
    <row r="48" spans="1: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10"/>
  <sheetViews>
    <sheetView showGridLines="0" tabSelected="1" zoomScaleNormal="100" workbookViewId="0">
      <selection activeCell="F12" sqref="F12"/>
    </sheetView>
  </sheetViews>
  <sheetFormatPr defaultColWidth="12.88671875" defaultRowHeight="15" customHeight="1" x14ac:dyDescent="0.3"/>
  <cols>
    <col min="1" max="1" width="0.88671875" style="12" customWidth="1"/>
    <col min="2" max="2" width="16.33203125" style="12" customWidth="1"/>
    <col min="3" max="3" width="18.33203125" style="12" customWidth="1"/>
    <col min="4" max="4" width="19.33203125" style="12" customWidth="1"/>
    <col min="5" max="5" width="22.5546875" style="12" customWidth="1"/>
    <col min="6" max="8" width="19.33203125" style="12" customWidth="1"/>
    <col min="9" max="12" width="16.88671875" style="12" customWidth="1"/>
    <col min="13" max="13" width="20.109375" style="12" customWidth="1"/>
    <col min="14" max="15" width="16.6640625" style="12" customWidth="1"/>
    <col min="16" max="28" width="10.88671875" style="12" customWidth="1"/>
    <col min="29" max="16384" width="12.88671875" style="12"/>
  </cols>
  <sheetData>
    <row r="1" spans="2:12" ht="5.25" customHeight="1" x14ac:dyDescent="0.3"/>
    <row r="2" spans="2:12" ht="13.95" customHeight="1" x14ac:dyDescent="0.3">
      <c r="B2" s="71" t="s">
        <v>0</v>
      </c>
      <c r="C2" s="71"/>
      <c r="D2" s="71"/>
      <c r="E2" s="71"/>
      <c r="F2" s="71"/>
      <c r="G2" s="71"/>
      <c r="H2" s="71"/>
      <c r="I2" s="71"/>
      <c r="J2" s="71"/>
      <c r="K2" s="71"/>
      <c r="L2" s="71"/>
    </row>
    <row r="3" spans="2:12" ht="15" customHeight="1" thickBot="1" x14ac:dyDescent="0.35"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2:12" ht="14.4" x14ac:dyDescent="0.3">
      <c r="B4" s="83" t="s">
        <v>1</v>
      </c>
      <c r="C4" s="27" t="s">
        <v>2</v>
      </c>
      <c r="D4" s="25" t="s">
        <v>3</v>
      </c>
      <c r="E4" s="25" t="s">
        <v>4</v>
      </c>
      <c r="F4" s="25" t="s">
        <v>5</v>
      </c>
      <c r="G4" s="25" t="s">
        <v>6</v>
      </c>
      <c r="H4" s="25" t="s">
        <v>7</v>
      </c>
      <c r="I4" s="25" t="s">
        <v>8</v>
      </c>
      <c r="J4" s="25" t="s">
        <v>9</v>
      </c>
      <c r="K4" s="25" t="s">
        <v>10</v>
      </c>
      <c r="L4" s="26" t="s">
        <v>11</v>
      </c>
    </row>
    <row r="5" spans="2:12" ht="14.4" x14ac:dyDescent="0.3">
      <c r="B5" s="84"/>
      <c r="C5" s="28" t="s">
        <v>113</v>
      </c>
      <c r="D5" s="28" t="s">
        <v>184</v>
      </c>
      <c r="E5" s="28" t="s">
        <v>239</v>
      </c>
      <c r="F5" s="28" t="s">
        <v>184</v>
      </c>
      <c r="G5" s="28"/>
      <c r="H5" s="28"/>
      <c r="I5" s="28"/>
      <c r="J5" s="28"/>
      <c r="K5" s="28"/>
      <c r="L5" s="28"/>
    </row>
    <row r="6" spans="2:12" ht="14.4" x14ac:dyDescent="0.3">
      <c r="B6" s="85" t="s">
        <v>443</v>
      </c>
      <c r="C6" s="29" t="s">
        <v>443</v>
      </c>
      <c r="D6" s="30" t="s">
        <v>443</v>
      </c>
      <c r="E6" s="30" t="s">
        <v>443</v>
      </c>
      <c r="F6" s="30" t="s">
        <v>443</v>
      </c>
      <c r="G6" s="30" t="s">
        <v>443</v>
      </c>
      <c r="H6" s="30" t="s">
        <v>443</v>
      </c>
      <c r="I6" s="30" t="s">
        <v>443</v>
      </c>
      <c r="J6" s="30" t="s">
        <v>443</v>
      </c>
      <c r="K6" s="30" t="s">
        <v>443</v>
      </c>
      <c r="L6" s="31" t="s">
        <v>443</v>
      </c>
    </row>
    <row r="7" spans="2:12" ht="14.4" x14ac:dyDescent="0.3">
      <c r="B7" s="84"/>
      <c r="C7" s="32">
        <v>2017</v>
      </c>
      <c r="D7" s="32">
        <v>2010</v>
      </c>
      <c r="E7" s="32">
        <v>2008</v>
      </c>
      <c r="F7" s="32">
        <v>2009</v>
      </c>
      <c r="G7" s="32"/>
      <c r="H7" s="32"/>
      <c r="I7" s="32"/>
      <c r="J7" s="32"/>
      <c r="K7" s="32"/>
      <c r="L7" s="32"/>
    </row>
    <row r="8" spans="2:12" ht="14.4" x14ac:dyDescent="0.3">
      <c r="B8" s="86" t="s">
        <v>16</v>
      </c>
      <c r="C8" s="33" t="s">
        <v>420</v>
      </c>
      <c r="D8" s="34" t="s">
        <v>420</v>
      </c>
      <c r="E8" s="34" t="s">
        <v>420</v>
      </c>
      <c r="F8" s="34" t="s">
        <v>420</v>
      </c>
      <c r="G8" s="34" t="s">
        <v>420</v>
      </c>
      <c r="H8" s="34" t="s">
        <v>420</v>
      </c>
      <c r="I8" s="34" t="s">
        <v>420</v>
      </c>
      <c r="J8" s="34" t="s">
        <v>420</v>
      </c>
      <c r="K8" s="34" t="s">
        <v>420</v>
      </c>
      <c r="L8" s="35" t="s">
        <v>420</v>
      </c>
    </row>
    <row r="9" spans="2:12" thickBot="1" x14ac:dyDescent="0.35">
      <c r="B9" s="74"/>
      <c r="C9" s="36" t="s">
        <v>17</v>
      </c>
      <c r="D9" s="36" t="s">
        <v>77</v>
      </c>
      <c r="E9" s="36" t="s">
        <v>213</v>
      </c>
      <c r="F9" s="36" t="s">
        <v>19</v>
      </c>
      <c r="G9" s="36"/>
      <c r="H9" s="36"/>
      <c r="I9" s="36"/>
      <c r="J9" s="36"/>
      <c r="K9" s="36"/>
      <c r="L9" s="36"/>
    </row>
    <row r="10" spans="2:12" ht="14.4" x14ac:dyDescent="0.3">
      <c r="B10" s="87" t="s">
        <v>20</v>
      </c>
      <c r="C10" s="37" t="s">
        <v>21</v>
      </c>
      <c r="D10" s="38" t="s">
        <v>22</v>
      </c>
      <c r="E10" s="38" t="s">
        <v>23</v>
      </c>
      <c r="F10" s="39" t="s">
        <v>426</v>
      </c>
      <c r="G10" s="21"/>
      <c r="H10" s="21"/>
      <c r="I10" s="21"/>
      <c r="J10" s="21"/>
      <c r="K10" s="21"/>
      <c r="L10" s="21"/>
    </row>
    <row r="11" spans="2:12" thickBot="1" x14ac:dyDescent="0.35">
      <c r="B11" s="88"/>
      <c r="C11" s="40" t="s">
        <v>424</v>
      </c>
      <c r="D11" s="41" t="s">
        <v>47</v>
      </c>
      <c r="E11" s="41" t="s">
        <v>139</v>
      </c>
      <c r="F11" s="42">
        <v>85</v>
      </c>
    </row>
    <row r="12" spans="2:12" ht="23.25" customHeight="1" x14ac:dyDescent="0.3">
      <c r="B12" s="89" t="s">
        <v>441</v>
      </c>
      <c r="C12" s="43" t="s">
        <v>114</v>
      </c>
      <c r="D12" s="43" t="s">
        <v>24</v>
      </c>
      <c r="E12" s="43" t="s">
        <v>95</v>
      </c>
      <c r="F12" s="39" t="s">
        <v>433</v>
      </c>
    </row>
    <row r="13" spans="2:12" ht="23.25" customHeight="1" thickBot="1" x14ac:dyDescent="0.35">
      <c r="B13" s="88"/>
      <c r="C13" s="44" t="s">
        <v>434</v>
      </c>
      <c r="D13" s="44" t="s">
        <v>434</v>
      </c>
      <c r="E13" s="44" t="s">
        <v>434</v>
      </c>
      <c r="F13" s="44" t="s">
        <v>434</v>
      </c>
      <c r="L13" s="65"/>
    </row>
    <row r="14" spans="2:12" ht="14.4" x14ac:dyDescent="0.3">
      <c r="B14" s="87" t="s">
        <v>440</v>
      </c>
      <c r="C14" s="43" t="s">
        <v>408</v>
      </c>
      <c r="D14" s="43" t="s">
        <v>438</v>
      </c>
      <c r="E14" s="39" t="s">
        <v>439</v>
      </c>
      <c r="F14" s="21"/>
      <c r="I14" s="65"/>
      <c r="J14" s="65"/>
      <c r="K14" s="65"/>
      <c r="L14" s="65"/>
    </row>
    <row r="15" spans="2:12" thickBot="1" x14ac:dyDescent="0.35">
      <c r="B15" s="88"/>
      <c r="C15" s="45">
        <v>0.15</v>
      </c>
      <c r="D15" s="45">
        <v>0.8</v>
      </c>
      <c r="E15" s="46">
        <v>25</v>
      </c>
      <c r="F15" s="21"/>
      <c r="G15" s="21"/>
      <c r="H15" s="21"/>
      <c r="I15" s="21"/>
      <c r="J15" s="21"/>
      <c r="K15" s="21"/>
      <c r="L15" s="65"/>
    </row>
    <row r="16" spans="2:12" ht="14.4" x14ac:dyDescent="0.3">
      <c r="B16" s="19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2:14" ht="13.95" customHeight="1" x14ac:dyDescent="0.3">
      <c r="B17" s="75" t="s">
        <v>27</v>
      </c>
      <c r="C17" s="76"/>
      <c r="D17" s="76"/>
      <c r="E17" s="76"/>
      <c r="F17" s="76"/>
      <c r="G17" s="76"/>
      <c r="H17" s="76"/>
      <c r="I17" s="76"/>
      <c r="J17" s="77"/>
      <c r="K17"/>
      <c r="L17"/>
      <c r="M17"/>
      <c r="N17"/>
    </row>
    <row r="18" spans="2:14" ht="16.2" customHeight="1" thickBot="1" x14ac:dyDescent="0.35">
      <c r="B18" s="78"/>
      <c r="C18" s="79"/>
      <c r="D18" s="79"/>
      <c r="E18" s="79"/>
      <c r="F18" s="79"/>
      <c r="G18" s="79"/>
      <c r="H18" s="79"/>
      <c r="I18" s="79"/>
      <c r="J18" s="80"/>
      <c r="K18"/>
      <c r="L18"/>
      <c r="M18"/>
      <c r="N18"/>
    </row>
    <row r="19" spans="2:14" ht="14.4" x14ac:dyDescent="0.3">
      <c r="B19" s="73" t="s">
        <v>28</v>
      </c>
      <c r="C19" s="49" t="s">
        <v>406</v>
      </c>
      <c r="D19" s="49" t="s">
        <v>407</v>
      </c>
      <c r="E19" s="49" t="s">
        <v>404</v>
      </c>
      <c r="F19" s="49" t="s">
        <v>437</v>
      </c>
      <c r="G19" s="49" t="s">
        <v>409</v>
      </c>
      <c r="H19" s="49" t="s">
        <v>405</v>
      </c>
      <c r="I19" s="49" t="s">
        <v>32</v>
      </c>
      <c r="J19" s="50" t="s">
        <v>33</v>
      </c>
    </row>
    <row r="20" spans="2:14" thickBot="1" x14ac:dyDescent="0.35">
      <c r="B20" s="74"/>
      <c r="C20" s="51">
        <f>'Calculator Raw'!Q12</f>
        <v>117300</v>
      </c>
      <c r="D20" s="51">
        <f>'Calculator Raw'!V12</f>
        <v>31530</v>
      </c>
      <c r="E20" s="51">
        <f>'Calculator Raw'!W12</f>
        <v>10317.07218149638</v>
      </c>
      <c r="F20" s="51">
        <f>'Calculator Raw'!Y12</f>
        <v>60000</v>
      </c>
      <c r="G20" s="51">
        <f>'Calculator Raw'!Z12</f>
        <v>219147.07218149636</v>
      </c>
      <c r="H20" s="51">
        <f>'Calculator Raw'!AH12</f>
        <v>188950</v>
      </c>
      <c r="I20" s="51">
        <f>'Calculator Raw'!AO12</f>
        <v>162528.93248167337</v>
      </c>
      <c r="J20" s="52">
        <f>'Calculator Raw'!AK12</f>
        <v>408097.07218149636</v>
      </c>
    </row>
    <row r="21" spans="2:14" ht="14.4" x14ac:dyDescent="0.3">
      <c r="B21" s="73" t="s">
        <v>442</v>
      </c>
      <c r="C21" s="49" t="s">
        <v>34</v>
      </c>
      <c r="D21" s="49" t="s">
        <v>35</v>
      </c>
      <c r="E21" s="50" t="s">
        <v>36</v>
      </c>
      <c r="F21" s="21"/>
      <c r="G21" s="21"/>
      <c r="H21" s="21"/>
      <c r="I21" s="21"/>
      <c r="J21" s="21"/>
    </row>
    <row r="22" spans="2:14" thickBot="1" x14ac:dyDescent="0.35">
      <c r="B22" s="74"/>
      <c r="C22" s="53">
        <f>'Calculator Raw'!AA12</f>
        <v>8</v>
      </c>
      <c r="D22" s="53">
        <f>'Calculator Raw'!AB12</f>
        <v>4</v>
      </c>
      <c r="E22" s="54">
        <f>'Calculator Raw'!AE12</f>
        <v>0.25</v>
      </c>
      <c r="F22" s="21"/>
    </row>
    <row r="23" spans="2:14" thickBot="1" x14ac:dyDescent="0.35">
      <c r="B23" s="20" t="s">
        <v>37</v>
      </c>
      <c r="C23" s="48">
        <f>'Calculator Raw'!K12*E15*1000</f>
        <v>597500</v>
      </c>
      <c r="D23" s="21"/>
      <c r="E23" s="21"/>
      <c r="F23" s="21"/>
    </row>
    <row r="24" spans="2:14" ht="36" customHeight="1" thickBot="1" x14ac:dyDescent="0.35">
      <c r="B24" s="81" t="s">
        <v>38</v>
      </c>
      <c r="C24" s="82"/>
      <c r="D24" s="47" t="s">
        <v>444</v>
      </c>
      <c r="E24" s="69">
        <f>'Calculator Raw'!AR12/(C23*D15)</f>
        <v>1.3728449902984208</v>
      </c>
    </row>
    <row r="25" spans="2:14" ht="15" hidden="1" customHeight="1" x14ac:dyDescent="0.35">
      <c r="B25" s="22"/>
      <c r="C25" s="23"/>
      <c r="D25" s="24"/>
      <c r="E25" s="21"/>
      <c r="F25" s="21"/>
    </row>
    <row r="26" spans="2:14" ht="14.4" hidden="1" x14ac:dyDescent="0.3"/>
    <row r="27" spans="2:14" ht="14.4" hidden="1" x14ac:dyDescent="0.3"/>
    <row r="28" spans="2:14" ht="14.4" hidden="1" x14ac:dyDescent="0.3"/>
    <row r="29" spans="2:14" ht="14.4" hidden="1" x14ac:dyDescent="0.3"/>
    <row r="30" spans="2:14" ht="14.4" hidden="1" x14ac:dyDescent="0.3"/>
    <row r="31" spans="2:14" ht="15.75" hidden="1" customHeight="1" x14ac:dyDescent="0.3"/>
    <row r="32" spans="2:14" ht="15.75" hidden="1" customHeight="1" x14ac:dyDescent="0.3"/>
    <row r="33" ht="15.75" hidden="1" customHeight="1" x14ac:dyDescent="0.3"/>
    <row r="34" ht="15.75" hidden="1" customHeight="1" x14ac:dyDescent="0.3"/>
    <row r="35" ht="15.75" hidden="1" customHeight="1" x14ac:dyDescent="0.3"/>
    <row r="36" ht="15.75" hidden="1" customHeight="1" x14ac:dyDescent="0.3"/>
    <row r="37" ht="15.75" hidden="1" customHeight="1" x14ac:dyDescent="0.3"/>
    <row r="38" ht="14.4" x14ac:dyDescent="0.3"/>
    <row r="39" ht="38.2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</sheetData>
  <mergeCells count="11">
    <mergeCell ref="B2:L3"/>
    <mergeCell ref="B21:B22"/>
    <mergeCell ref="B17:J18"/>
    <mergeCell ref="B24:C24"/>
    <mergeCell ref="B19:B20"/>
    <mergeCell ref="B4:B5"/>
    <mergeCell ref="B6:B7"/>
    <mergeCell ref="B8:B9"/>
    <mergeCell ref="B10:B11"/>
    <mergeCell ref="B12:B13"/>
    <mergeCell ref="B14:B15"/>
  </mergeCells>
  <dataValidations count="2">
    <dataValidation type="list" allowBlank="1" showInputMessage="1" showErrorMessage="1" sqref="C5:L5" xr:uid="{64F8A038-E2B8-405F-B9A3-9DD665BEEAB6}">
      <formula1>Vehicle</formula1>
    </dataValidation>
    <dataValidation type="list" allowBlank="1" showInputMessage="1" showErrorMessage="1" sqref="C9:L9" xr:uid="{0E8BE83B-D45B-4DE7-A24D-D154EED67071}">
      <formula1>Veh_Cat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F5C70983-44B7-4FDF-9FE4-0DE8CB5A2042}">
          <x14:formula1>
            <xm:f>'Drop Down Lists'!$X$2:$X$15</xm:f>
          </x14:formula1>
          <xm:sqref>C7:L7</xm:sqref>
        </x14:dataValidation>
        <x14:dataValidation type="list" allowBlank="1" showInputMessage="1" showErrorMessage="1" xr:uid="{8DBA2925-ED09-4934-8BF3-04F871D45D3A}">
          <x14:formula1>
            <xm:f>'Drop Down Lists'!$A$2:$A$19</xm:f>
          </x14:formula1>
          <xm:sqref>D11</xm:sqref>
        </x14:dataValidation>
        <x14:dataValidation type="list" allowBlank="1" showInputMessage="1" showErrorMessage="1" xr:uid="{9EEEA1B2-7C3F-40AC-AFFC-61A3932E9C24}">
          <x14:formula1>
            <xm:f>OFFSET('Drop Down Lists'!$D$1,1,MATCH($D$11,'Drop Down Lists'!$D$1:$T$1,0)-1,21,1)</xm:f>
          </x14:formula1>
          <xm:sqref>E11</xm:sqref>
        </x14:dataValidation>
        <x14:dataValidation type="list" allowBlank="1" showInputMessage="1" showErrorMessage="1" xr:uid="{56A55D76-8585-4927-A25F-1CC9E6B79164}">
          <x14:formula1>
            <xm:f>'Drop Down Lists'!$AB$2:$AB$3</xm:f>
          </x14:formula1>
          <xm:sqref>C11</xm:sqref>
        </x14:dataValidation>
        <x14:dataValidation type="list" allowBlank="1" showInputMessage="1" showErrorMessage="1" xr:uid="{7D2B0DF7-969D-42A5-BB2D-4D5E3C48FE47}">
          <x14:formula1>
            <xm:f>'Drop Down Lists'!$AD$2:$AD$3</xm:f>
          </x14:formula1>
          <xm:sqref>E13:F13</xm:sqref>
        </x14:dataValidation>
        <x14:dataValidation type="list" allowBlank="1" showInputMessage="1" showErrorMessage="1" xr:uid="{9FA519A0-658E-44A4-BCBC-2A3A90D6CE5F}">
          <x14:formula1>
            <xm:f>'Drop Down Lists'!$AG$2:$AG$11</xm:f>
          </x14:formula1>
          <xm:sqref>C15</xm:sqref>
        </x14:dataValidation>
        <x14:dataValidation type="list" allowBlank="1" showInputMessage="1" showErrorMessage="1" xr:uid="{0C3D4A66-BF9B-4822-A7FB-FB1576B3B5D7}">
          <x14:formula1>
            <xm:f>'Drop Down Lists'!AD2:AD3</xm:f>
          </x14:formula1>
          <xm:sqref>C13</xm:sqref>
        </x14:dataValidation>
        <x14:dataValidation type="list" allowBlank="1" showInputMessage="1" showErrorMessage="1" xr:uid="{98B204E0-51BE-44DD-8B21-589ECF55B9FE}">
          <x14:formula1>
            <xm:f>'Drop Down Lists'!AD$2:AD$3</xm:f>
          </x14:formula1>
          <xm:sqref>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045"/>
  <sheetViews>
    <sheetView topLeftCell="AD1" zoomScaleNormal="100" workbookViewId="0">
      <selection activeCell="AH15" sqref="AH15"/>
    </sheetView>
  </sheetViews>
  <sheetFormatPr defaultColWidth="12.88671875" defaultRowHeight="15" customHeight="1" x14ac:dyDescent="0.3"/>
  <cols>
    <col min="2" max="2" width="8.6640625" style="12" customWidth="1"/>
    <col min="3" max="4" width="12.88671875" style="12" customWidth="1"/>
    <col min="5" max="5" width="11.77734375" style="12" customWidth="1"/>
    <col min="6" max="6" width="14.77734375" style="12" customWidth="1"/>
    <col min="7" max="7" width="16.88671875" style="12" customWidth="1"/>
    <col min="8" max="8" width="6.33203125" style="12" customWidth="1"/>
    <col min="9" max="9" width="11.6640625" style="12" customWidth="1"/>
    <col min="10" max="10" width="14.33203125" style="12" customWidth="1"/>
    <col min="11" max="11" width="14.6640625" style="12" customWidth="1"/>
    <col min="12" max="12" width="13.5546875" style="12" bestFit="1" customWidth="1"/>
    <col min="13" max="13" width="20.5546875" style="12" hidden="1" customWidth="1"/>
    <col min="14" max="14" width="8.21875" style="12" hidden="1" customWidth="1"/>
    <col min="15" max="15" width="17.33203125" style="12" customWidth="1"/>
    <col min="16" max="16" width="16.6640625" style="12" customWidth="1"/>
    <col min="17" max="17" width="9.88671875" style="12" customWidth="1"/>
    <col min="18" max="18" width="13.88671875" style="12" hidden="1" customWidth="1"/>
    <col min="19" max="19" width="11.33203125" style="12" bestFit="1" customWidth="1"/>
    <col min="20" max="20" width="17.77734375" style="12" hidden="1" customWidth="1"/>
    <col min="21" max="21" width="15.88671875" style="12" bestFit="1" customWidth="1"/>
    <col min="22" max="22" width="16.88671875" style="12" customWidth="1"/>
    <col min="23" max="23" width="12.109375" style="12" customWidth="1"/>
    <col min="24" max="24" width="12.21875" style="12" hidden="1" customWidth="1"/>
    <col min="25" max="25" width="17.5546875" style="12" bestFit="1" customWidth="1"/>
    <col min="26" max="26" width="15.44140625" style="12" customWidth="1"/>
    <col min="27" max="27" width="7.109375" style="12" customWidth="1"/>
    <col min="28" max="28" width="6.6640625" style="12" customWidth="1"/>
    <col min="29" max="29" width="12.33203125" style="12" bestFit="1" customWidth="1"/>
    <col min="30" max="30" width="11.33203125" style="12" bestFit="1" customWidth="1"/>
    <col min="31" max="31" width="11.33203125" style="12" customWidth="1"/>
    <col min="32" max="32" width="15.88671875" style="12" bestFit="1" customWidth="1"/>
    <col min="33" max="33" width="9.33203125" style="12" bestFit="1" customWidth="1"/>
    <col min="34" max="34" width="14.44140625" style="12" bestFit="1" customWidth="1"/>
    <col min="35" max="35" width="13.109375" style="12" hidden="1" customWidth="1"/>
    <col min="36" max="36" width="14.109375" style="12" hidden="1" customWidth="1"/>
    <col min="37" max="37" width="12" style="12" bestFit="1" customWidth="1"/>
    <col min="38" max="38" width="12" style="12" customWidth="1"/>
    <col min="39" max="40" width="12" style="12" bestFit="1" customWidth="1"/>
    <col min="41" max="41" width="14" customWidth="1"/>
    <col min="42" max="45" width="17.33203125" customWidth="1"/>
    <col min="46" max="46" width="20.33203125" customWidth="1"/>
    <col min="47" max="47" width="12.88671875" style="66"/>
  </cols>
  <sheetData>
    <row r="1" spans="1:47" ht="14.4" x14ac:dyDescent="0.3">
      <c r="A1" s="15" t="s">
        <v>484</v>
      </c>
      <c r="B1" s="15" t="s">
        <v>40</v>
      </c>
      <c r="C1" s="15" t="s">
        <v>1</v>
      </c>
      <c r="D1" s="15" t="s">
        <v>481</v>
      </c>
      <c r="E1" s="15" t="s">
        <v>41</v>
      </c>
      <c r="F1" s="15" t="s">
        <v>410</v>
      </c>
      <c r="G1" s="15" t="s">
        <v>464</v>
      </c>
      <c r="H1" s="15" t="s">
        <v>465</v>
      </c>
      <c r="I1" s="15" t="s">
        <v>466</v>
      </c>
      <c r="J1" s="15" t="s">
        <v>411</v>
      </c>
      <c r="K1" s="15" t="s">
        <v>446</v>
      </c>
      <c r="L1" s="15" t="s">
        <v>420</v>
      </c>
      <c r="M1" s="15" t="s">
        <v>471</v>
      </c>
      <c r="N1" s="15" t="s">
        <v>467</v>
      </c>
      <c r="O1" s="15" t="s">
        <v>430</v>
      </c>
      <c r="P1" s="15" t="s">
        <v>423</v>
      </c>
      <c r="Q1" s="15" t="s">
        <v>30</v>
      </c>
      <c r="R1" s="15" t="s">
        <v>114</v>
      </c>
      <c r="S1" s="15" t="s">
        <v>475</v>
      </c>
      <c r="T1" s="15" t="s">
        <v>24</v>
      </c>
      <c r="U1" s="15" t="s">
        <v>476</v>
      </c>
      <c r="V1" s="15" t="s">
        <v>416</v>
      </c>
      <c r="W1" s="15" t="s">
        <v>415</v>
      </c>
      <c r="X1" s="15" t="s">
        <v>474</v>
      </c>
      <c r="Y1" s="15" t="s">
        <v>437</v>
      </c>
      <c r="Z1" s="15" t="s">
        <v>409</v>
      </c>
      <c r="AA1" s="15" t="s">
        <v>413</v>
      </c>
      <c r="AB1" s="15" t="s">
        <v>419</v>
      </c>
      <c r="AC1" s="15" t="s">
        <v>414</v>
      </c>
      <c r="AD1" s="15" t="s">
        <v>421</v>
      </c>
      <c r="AE1" s="15" t="s">
        <v>482</v>
      </c>
      <c r="AF1" s="15" t="s">
        <v>483</v>
      </c>
      <c r="AG1" s="15" t="s">
        <v>412</v>
      </c>
      <c r="AH1" s="15" t="s">
        <v>29</v>
      </c>
      <c r="AI1" s="15" t="s">
        <v>95</v>
      </c>
      <c r="AJ1" s="15" t="s">
        <v>433</v>
      </c>
      <c r="AK1" s="15" t="s">
        <v>436</v>
      </c>
      <c r="AL1" s="15" t="s">
        <v>489</v>
      </c>
      <c r="AM1" s="15" t="s">
        <v>477</v>
      </c>
      <c r="AN1" s="15" t="s">
        <v>478</v>
      </c>
      <c r="AO1" s="15" t="s">
        <v>480</v>
      </c>
      <c r="AP1" s="15" t="s">
        <v>485</v>
      </c>
      <c r="AQ1" s="15" t="s">
        <v>486</v>
      </c>
      <c r="AR1" s="15" t="s">
        <v>487</v>
      </c>
      <c r="AS1" s="15"/>
    </row>
    <row r="2" spans="1:47" ht="14.4" x14ac:dyDescent="0.3">
      <c r="A2">
        <v>1</v>
      </c>
      <c r="B2" t="str">
        <f>'Cost Calculator'!C5</f>
        <v>Tata 407</v>
      </c>
      <c r="C2" t="str">
        <f>'Cost Calculator'!C9</f>
        <v>EMI (5 yrs)</v>
      </c>
      <c r="D2" s="90">
        <f>10-COUNTIF(B2:B11,0)</f>
        <v>4</v>
      </c>
      <c r="E2">
        <f>IFERROR(HLOOKUP(B2,'Cost Calculator'!$C$5:$L$7,3,FALSE),0)</f>
        <v>2017</v>
      </c>
      <c r="F2" t="str">
        <f>IFERROR(VLOOKUP(B2,'Vehicle Mapping'!$B$2:$C$22,2,FALSE),0)</f>
        <v>Tata 407</v>
      </c>
      <c r="G2" t="str">
        <f>'Cost Calculator'!C11</f>
        <v>Long distance</v>
      </c>
      <c r="H2" t="str">
        <f>'Cost Calculator'!D11</f>
        <v>Delhi</v>
      </c>
      <c r="I2" t="str">
        <f>VLOOKUP(H2,'Cluster Mapping'!H2:I18,2,FALSE)</f>
        <v>DELT1</v>
      </c>
      <c r="J2">
        <f>IFERROR(VLOOKUP(F2,Assumption_Mileage!$A$2:$S$21,19,FALSE),0)</f>
        <v>9</v>
      </c>
      <c r="K2" s="66">
        <f>IFERROR(VLOOKUP(F2,Vehicle_Maintenance!$A$2:$B$21,2,FALSE),0)</f>
        <v>3.5</v>
      </c>
      <c r="L2" t="str">
        <f>C2</f>
        <v>EMI (5 yrs)</v>
      </c>
      <c r="M2">
        <f>VLOOKUP(L2,'Vehicle EMI Sheet'!$K$5:$L$164,2,FALSE)</f>
        <v>2016</v>
      </c>
      <c r="N2" t="str">
        <f>IF(E2&gt;M2,"yes","no")</f>
        <v>yes</v>
      </c>
      <c r="O2">
        <f>IF(G2="Long distance",VLOOKUP(I2,Assumption_Distance!$A$2:$C$18,3,FALSE),VLOOKUP(I2,Assumption_Distance!A2:C18,2,FALSE))</f>
        <v>2700</v>
      </c>
      <c r="P2">
        <f>IFERROR(O2/J2,0)</f>
        <v>300</v>
      </c>
      <c r="Q2">
        <f>IFERROR(IF(X2="yes",0,P2*'Cost Calculator'!$F$11),0)</f>
        <v>25500</v>
      </c>
      <c r="R2" t="str">
        <f>'Cost Calculator'!C13</f>
        <v>Yes</v>
      </c>
      <c r="S2">
        <f>IFERROR(IF(R2="Yes",Q2*'Drop Down Lists'!$AE$7,0),0)</f>
        <v>5100</v>
      </c>
      <c r="T2" t="str">
        <f>'Cost Calculator'!D13</f>
        <v>Yes</v>
      </c>
      <c r="U2">
        <f>IFERROR(IF(T2="Yes",'Drop Down Lists'!$AE$8*'Calculator Raw'!Q2,0),0)</f>
        <v>3825</v>
      </c>
      <c r="V2">
        <f>IFERROR(VLOOKUP(F2,Vehicle_Maintenance!$A$2:$E$21,5,FALSE)+O2*(1.3),0)</f>
        <v>8510</v>
      </c>
      <c r="W2">
        <f>IFERROR(IF(N2="yes",INDEX('Vehicle EMI Sheet'!$A$3:$I$23,MATCH('Calculator Raw'!$B$2,'Vehicle EMI Sheet'!$A$3:$A$23,0),MATCH('Calculator Raw'!L2,'Vehicle EMI Sheet'!$A$3:$I$3,0)),0),0)</f>
        <v>-10317.07218149638</v>
      </c>
      <c r="X2" t="str">
        <f>IF(OR(L2="Market (20000)",L2="Market (20000)",L2="Market (20000)",L2="Market (20000)"), "yes", "no")</f>
        <v>no</v>
      </c>
      <c r="Y2">
        <f>IFERROR(IF(X2="no",0,VLOOKUP(C2,'Vehicle EMI Sheet'!$N$6:$O$12,2,FALSE)),0)</f>
        <v>0</v>
      </c>
      <c r="Z2">
        <f>Q2+V2+ABS(W2)+Y2</f>
        <v>44327.072181496376</v>
      </c>
      <c r="AA2">
        <f>_xlfn.IFS($K2&gt;2,2,$K2&gt;0,1,$K2=0,0)</f>
        <v>2</v>
      </c>
      <c r="AB2">
        <f>IF(AA2&gt;0,1,0)</f>
        <v>1</v>
      </c>
      <c r="AC2">
        <f>AA2*VLOOKUP($I$2,Assumption_Salary!$A$2:$H$19,6,FALSE)</f>
        <v>32600</v>
      </c>
      <c r="AD2">
        <f>AB2*IF(X2="yes",0,VLOOKUP($I$2,Assumption_Salary!$A$2:$H$19,7,FALSE))</f>
        <v>17900</v>
      </c>
      <c r="AE2">
        <f>_xlfn.IFS(D2&gt;6,2,D2&gt;3,1,D2&lt;=3,0)</f>
        <v>1</v>
      </c>
      <c r="AF2">
        <f>AE2*VLOOKUP(I2,Assumption_Salary!$A$2:$H$19,8,FALSE)/$D$2</f>
        <v>4850</v>
      </c>
      <c r="AG2">
        <f>AA2+AB2</f>
        <v>3</v>
      </c>
      <c r="AH2">
        <f>AC2+AD2+AF2</f>
        <v>55350</v>
      </c>
      <c r="AI2" t="str">
        <f>'Cost Calculator'!E13</f>
        <v>Yes</v>
      </c>
      <c r="AJ2" t="str">
        <f>'Cost Calculator'!F13</f>
        <v>Yes</v>
      </c>
      <c r="AK2">
        <f>AH2+Z2</f>
        <v>99677.072181496376</v>
      </c>
      <c r="AL2">
        <f>AK2+S2+U2</f>
        <v>108602.07218149638</v>
      </c>
      <c r="AM2">
        <f>IF(AI2="Yes",AL2*'Drop Down Lists'!AE9,0)</f>
        <v>16290.310827224455</v>
      </c>
      <c r="AN2">
        <f>IF(AJ2="Yes",AK2*'Drop Down Lists'!$AE$10,0)</f>
        <v>29903.121654448911</v>
      </c>
      <c r="AO2">
        <f>S2+U2+AM2+AN2</f>
        <v>55118.432481673372</v>
      </c>
      <c r="AP2">
        <f>AL2+AM2+AN2</f>
        <v>154795.50466316973</v>
      </c>
      <c r="AQ2" s="67">
        <f>'Cost Calculator'!$C$15*AP2</f>
        <v>23219.325699475459</v>
      </c>
      <c r="AR2" s="67">
        <f>AQ2+AP2</f>
        <v>178014.83036264518</v>
      </c>
      <c r="AS2" s="67"/>
      <c r="AT2" t="s">
        <v>396</v>
      </c>
      <c r="AU2" s="66">
        <v>2.4894079099475239</v>
      </c>
    </row>
    <row r="3" spans="1:47" ht="14.4" x14ac:dyDescent="0.3">
      <c r="A3">
        <v>2</v>
      </c>
      <c r="B3" t="str">
        <f>'Cost Calculator'!D5</f>
        <v>22 ft</v>
      </c>
      <c r="C3" t="str">
        <f>'Cost Calculator'!D9</f>
        <v>Owned</v>
      </c>
      <c r="D3" s="90"/>
      <c r="E3">
        <f>IFERROR(HLOOKUP(B3,'Cost Calculator'!$C$5:$L$7,3,FALSE),0)</f>
        <v>2010</v>
      </c>
      <c r="F3" t="str">
        <f>IFERROR(VLOOKUP(B3,'Vehicle Mapping'!$B$2:$C$22,2,FALSE),0)</f>
        <v>22 ft</v>
      </c>
      <c r="G3" t="str">
        <f t="shared" ref="G3:I4" si="0">G2</f>
        <v>Long distance</v>
      </c>
      <c r="H3" t="str">
        <f t="shared" si="0"/>
        <v>Delhi</v>
      </c>
      <c r="I3" t="str">
        <f t="shared" si="0"/>
        <v>DELT1</v>
      </c>
      <c r="J3">
        <f>IFERROR(VLOOKUP(F3,Assumption_Mileage!$A$2:$S$21,19,FALSE),0)</f>
        <v>5</v>
      </c>
      <c r="K3" s="66">
        <f>IFERROR(VLOOKUP(F3,Vehicle_Maintenance!$A$2:$B$21,2,FALSE),0)</f>
        <v>6.8</v>
      </c>
      <c r="L3" t="str">
        <f>C3</f>
        <v>Owned</v>
      </c>
      <c r="M3">
        <f>VLOOKUP(L3,'Vehicle EMI Sheet'!$K$5:$L$164,2,FALSE)</f>
        <v>2021</v>
      </c>
      <c r="N3" t="str">
        <f>IF(E3&gt;M3,"yes","no")</f>
        <v>no</v>
      </c>
      <c r="O3">
        <f>IF(G3="Long distance",VLOOKUP(I3,Assumption_Distance!$A$2:$C$18,3,FALSE),VLOOKUP(I3,Assumption_Distance!A3:C19,2,FALSE))</f>
        <v>2700</v>
      </c>
      <c r="P3">
        <f t="shared" ref="P3:P11" si="1">IFERROR(O3/J3,0)</f>
        <v>540</v>
      </c>
      <c r="Q3">
        <f>IFERROR(IF(X3="yes",0,P3*'Cost Calculator'!$F$11),0)</f>
        <v>45900</v>
      </c>
      <c r="R3" t="str">
        <f>R2</f>
        <v>Yes</v>
      </c>
      <c r="S3">
        <f>IFERROR(IF(R3="Yes",Q3*'Drop Down Lists'!$AE$7,0),0)</f>
        <v>9180</v>
      </c>
      <c r="T3" t="str">
        <f>T2</f>
        <v>Yes</v>
      </c>
      <c r="U3">
        <f>IFERROR(IF(T3="Yes",'Drop Down Lists'!$AE$8*'Calculator Raw'!Q3,0),0)</f>
        <v>6885</v>
      </c>
      <c r="V3">
        <f>IFERROR(VLOOKUP(F3,Vehicle_Maintenance!$A$2:$E$21,5,FALSE)+O3*(1.3),0)</f>
        <v>11510</v>
      </c>
      <c r="W3">
        <f>IFERROR(IF(N3="yes",INDEX('Vehicle EMI Sheet'!$A$3:$I$23,MATCH('Calculator Raw'!$B$2,'Vehicle EMI Sheet'!$A$3:$A$23,0),MATCH('Calculator Raw'!L3,'Vehicle EMI Sheet'!$A$3:$I$3,0)),0),0)</f>
        <v>0</v>
      </c>
      <c r="X3" t="str">
        <f>IF(OR(L3="Market (20000)",L3="Market (20000)",L3="Market (20000)",L3="Market (20000)"), "yes", "no")</f>
        <v>no</v>
      </c>
      <c r="Y3">
        <f>IFERROR(IF(X3="no",0,VLOOKUP(C3,'Vehicle EMI Sheet'!$N$6:$O$12,2,FALSE)),0)</f>
        <v>0</v>
      </c>
      <c r="Z3">
        <f t="shared" ref="Z3:Z11" si="2">Q3+V3+ABS(W3)+Y3</f>
        <v>57410</v>
      </c>
      <c r="AA3">
        <f t="shared" ref="AA3:AA11" si="3">_xlfn.IFS($K3&gt;2,2,$K3&gt;0,1,$K3=0,0)</f>
        <v>2</v>
      </c>
      <c r="AB3">
        <f t="shared" ref="AB3:AB11" si="4">IF(AA3&gt;0,1,0)</f>
        <v>1</v>
      </c>
      <c r="AC3">
        <f>AA3*VLOOKUP($I$2,Assumption_Salary!$A$2:$H$19,6,FALSE)</f>
        <v>32600</v>
      </c>
      <c r="AD3">
        <f>AB3*IF(X3="yes",0,VLOOKUP($I$2,Assumption_Salary!$A$2:$H$19,7,FALSE))</f>
        <v>17900</v>
      </c>
      <c r="AE3">
        <f t="shared" ref="AE3:AE11" si="5">_xlfn.IFS(D3&gt;6,2,D3&gt;3,1,D3&lt;=3,0)</f>
        <v>0</v>
      </c>
      <c r="AF3">
        <f>AE3*VLOOKUP(I3,Assumption_Salary!$A$2:$H$19,8,FALSE)/$D$2</f>
        <v>0</v>
      </c>
      <c r="AG3">
        <f t="shared" ref="AG3:AG11" si="6">AA3+AB3</f>
        <v>3</v>
      </c>
      <c r="AH3">
        <f t="shared" ref="AH3:AH11" si="7">AC3+AD3+AF3</f>
        <v>50500</v>
      </c>
      <c r="AI3" t="str">
        <f t="shared" ref="AI3:AJ3" si="8">AI2</f>
        <v>Yes</v>
      </c>
      <c r="AJ3" t="str">
        <f t="shared" si="8"/>
        <v>Yes</v>
      </c>
      <c r="AK3">
        <f t="shared" ref="AK3:AK11" si="9">AH3+Z3</f>
        <v>107910</v>
      </c>
      <c r="AL3">
        <f t="shared" ref="AL3:AL11" si="10">AK3+S3+U3</f>
        <v>123975</v>
      </c>
      <c r="AM3">
        <f>IF(AI3="Yes",AL3*'Drop Down Lists'!AE10,0)</f>
        <v>37192.5</v>
      </c>
      <c r="AN3">
        <f>IF(AJ3="Yes",AK3*'Drop Down Lists'!$AE$10,0)</f>
        <v>32373</v>
      </c>
      <c r="AO3">
        <f t="shared" ref="AO3:AO11" si="11">S3+U3+AM3+AN3</f>
        <v>85630.5</v>
      </c>
      <c r="AP3">
        <f t="shared" ref="AP3:AP11" si="12">AK3+AO3</f>
        <v>193540.5</v>
      </c>
      <c r="AQ3" s="67">
        <f>'Cost Calculator'!$C$15*AP3</f>
        <v>29031.075000000001</v>
      </c>
      <c r="AR3" s="67">
        <f t="shared" ref="AR3:AR11" si="13">AQ3+AP3</f>
        <v>222571.57500000001</v>
      </c>
      <c r="AS3" s="67"/>
      <c r="AT3" t="s">
        <v>12</v>
      </c>
      <c r="AU3" s="66">
        <v>0.81828712170003737</v>
      </c>
    </row>
    <row r="4" spans="1:47" ht="14.4" x14ac:dyDescent="0.3">
      <c r="A4">
        <v>3</v>
      </c>
      <c r="B4" t="str">
        <f>'Cost Calculator'!E5</f>
        <v>Tata 909</v>
      </c>
      <c r="C4" t="str">
        <f>'Cost Calculator'!E9</f>
        <v>Market (40000)</v>
      </c>
      <c r="D4" s="90"/>
      <c r="E4">
        <f>IFERROR(HLOOKUP(B4,'Cost Calculator'!$C$5:$L$7,3,FALSE),0)</f>
        <v>2008</v>
      </c>
      <c r="F4">
        <f>IFERROR(VLOOKUP(B4,'Vehicle Mapping'!$B$2:$C$22,2,FALSE),0)</f>
        <v>909</v>
      </c>
      <c r="G4" t="str">
        <f t="shared" si="0"/>
        <v>Long distance</v>
      </c>
      <c r="H4" t="str">
        <f t="shared" si="0"/>
        <v>Delhi</v>
      </c>
      <c r="I4" t="str">
        <f t="shared" si="0"/>
        <v>DELT1</v>
      </c>
      <c r="J4">
        <f>IFERROR(VLOOKUP(F4,Assumption_Mileage!$A$2:$S$21,19,FALSE),0)</f>
        <v>7</v>
      </c>
      <c r="K4" s="66">
        <f>IFERROR(VLOOKUP(F4,Vehicle_Maintenance!$A$2:$B$21,2,FALSE),0)</f>
        <v>6.8</v>
      </c>
      <c r="L4" t="str">
        <f>C4</f>
        <v>Market (40000)</v>
      </c>
      <c r="M4">
        <f>VLOOKUP(L4,'Vehicle EMI Sheet'!$K$5:$L$164,2,FALSE)</f>
        <v>2021</v>
      </c>
      <c r="N4" t="str">
        <f>IF(E4&gt;M4,"yes","no")</f>
        <v>no</v>
      </c>
      <c r="O4">
        <f>IF(G4="Long distance",VLOOKUP(I4,Assumption_Distance!$A$2:$C$18,3,FALSE),VLOOKUP(I4,Assumption_Distance!A4:C20,2,FALSE))</f>
        <v>2700</v>
      </c>
      <c r="P4">
        <f t="shared" si="1"/>
        <v>385.71428571428572</v>
      </c>
      <c r="Q4">
        <f>IFERROR(IF(X4="yes",0,P4*'Cost Calculator'!$F$11),0)</f>
        <v>0</v>
      </c>
      <c r="R4" t="str">
        <f>R3</f>
        <v>Yes</v>
      </c>
      <c r="S4">
        <f>IFERROR(IF(R4="Yes",Q4*'Drop Down Lists'!$AE$7,0),0)</f>
        <v>0</v>
      </c>
      <c r="T4" t="str">
        <f>T3</f>
        <v>Yes</v>
      </c>
      <c r="U4">
        <f>IFERROR(IF(T4="Yes",'Drop Down Lists'!$AE$8*'Calculator Raw'!Q4,0),0)</f>
        <v>0</v>
      </c>
      <c r="V4">
        <f>IFERROR(IF(X4="yes",0,VLOOKUP(F4,Vehicle_Maintenance!$A$2:$E$21,5,FALSE)+O4*(1.3)),0)</f>
        <v>0</v>
      </c>
      <c r="W4">
        <f>IFERROR(IF(N4="yes",INDEX('Vehicle EMI Sheet'!$A$3:$I$23,MATCH('Calculator Raw'!$B$2,'Vehicle EMI Sheet'!$A$3:$A$23,0),MATCH('Calculator Raw'!L4,'Vehicle EMI Sheet'!$A$3:$I$3,0)),0),0)</f>
        <v>0</v>
      </c>
      <c r="X4" t="str">
        <f>IF(OR(L4="Market (20000)",L4="Market (30000)",L4="Market (40000)",L4="Market (50000)",L4="Market (60000)",L4="Market (70000)",L4="Market (80000)"), "yes", "no")</f>
        <v>yes</v>
      </c>
      <c r="Y4">
        <f>IFERROR(IF(X4="no",0,VLOOKUP(C4,'Vehicle EMI Sheet'!$N$6:$O$12,2,FALSE)),0)</f>
        <v>40000</v>
      </c>
      <c r="Z4">
        <f t="shared" si="2"/>
        <v>40000</v>
      </c>
      <c r="AA4">
        <f t="shared" si="3"/>
        <v>2</v>
      </c>
      <c r="AB4">
        <f t="shared" si="4"/>
        <v>1</v>
      </c>
      <c r="AC4">
        <f>AA4*VLOOKUP($I$2,Assumption_Salary!$A$2:$H$19,6,FALSE)</f>
        <v>32600</v>
      </c>
      <c r="AD4">
        <f>AB4*IF(X4="yes",0,VLOOKUP($I$2,Assumption_Salary!$A$2:$H$19,7,FALSE))</f>
        <v>0</v>
      </c>
      <c r="AE4">
        <f t="shared" si="5"/>
        <v>0</v>
      </c>
      <c r="AF4">
        <f>AE4*VLOOKUP(I4,Assumption_Salary!$A$2:$H$19,8,FALSE)/$D$2</f>
        <v>0</v>
      </c>
      <c r="AG4">
        <f t="shared" si="6"/>
        <v>3</v>
      </c>
      <c r="AH4">
        <f t="shared" si="7"/>
        <v>32600</v>
      </c>
      <c r="AI4" t="str">
        <f>AI3</f>
        <v>Yes</v>
      </c>
      <c r="AJ4" t="str">
        <f>AJ3</f>
        <v>Yes</v>
      </c>
      <c r="AK4">
        <f t="shared" si="9"/>
        <v>72600</v>
      </c>
      <c r="AL4">
        <f t="shared" si="10"/>
        <v>72600</v>
      </c>
      <c r="AM4">
        <f>IF(AI4="Yes",AL4*'Drop Down Lists'!AE11,0)</f>
        <v>0</v>
      </c>
      <c r="AN4">
        <f>IF(AJ4="Yes",AK4*'Drop Down Lists'!$AE$10,0)</f>
        <v>21780</v>
      </c>
      <c r="AO4">
        <f t="shared" si="11"/>
        <v>21780</v>
      </c>
      <c r="AP4">
        <f t="shared" si="12"/>
        <v>94380</v>
      </c>
      <c r="AQ4" s="67">
        <f>'Cost Calculator'!$C$15*AP4</f>
        <v>14157</v>
      </c>
      <c r="AR4" s="67">
        <f t="shared" si="13"/>
        <v>108537</v>
      </c>
      <c r="AS4" s="67"/>
      <c r="AT4" t="s">
        <v>397</v>
      </c>
      <c r="AU4" s="66">
        <v>4.7743248128964799</v>
      </c>
    </row>
    <row r="5" spans="1:47" ht="14.4" x14ac:dyDescent="0.3">
      <c r="A5">
        <v>4</v>
      </c>
      <c r="B5" t="str">
        <f>'Cost Calculator'!F5</f>
        <v>22 ft</v>
      </c>
      <c r="C5" t="str">
        <f>'Cost Calculator'!F9</f>
        <v>Market (20000)</v>
      </c>
      <c r="D5" s="90"/>
      <c r="E5">
        <f>IFERROR(HLOOKUP(B5,'Cost Calculator'!$C$5:$L$7,3,FALSE),0)</f>
        <v>2010</v>
      </c>
      <c r="F5" t="str">
        <f>IFERROR(VLOOKUP(B5,'Vehicle Mapping'!$B$2:$C$22,2,FALSE),0)</f>
        <v>22 ft</v>
      </c>
      <c r="G5" t="str">
        <f t="shared" ref="G5:G11" si="14">G4</f>
        <v>Long distance</v>
      </c>
      <c r="H5" t="str">
        <f t="shared" ref="H5:H11" si="15">H4</f>
        <v>Delhi</v>
      </c>
      <c r="I5" t="str">
        <f t="shared" ref="I5:I11" si="16">I4</f>
        <v>DELT1</v>
      </c>
      <c r="J5">
        <f>IFERROR(VLOOKUP(F5,Assumption_Mileage!$A$2:$S$21,19,FALSE),0)</f>
        <v>5</v>
      </c>
      <c r="K5" s="66">
        <f>IFERROR(VLOOKUP(F5,Vehicle_Maintenance!$A$2:$B$21,2,FALSE),0)</f>
        <v>6.8</v>
      </c>
      <c r="L5" t="str">
        <f t="shared" ref="L5:L11" si="17">C5</f>
        <v>Market (20000)</v>
      </c>
      <c r="M5"/>
      <c r="N5"/>
      <c r="O5">
        <f>IF(G5="Long distance",VLOOKUP(I5,Assumption_Distance!$A$2:$C$18,3,FALSE),VLOOKUP(I5,Assumption_Distance!A5:C21,2,FALSE))</f>
        <v>2700</v>
      </c>
      <c r="P5">
        <f t="shared" si="1"/>
        <v>540</v>
      </c>
      <c r="Q5">
        <f>IFERROR(IF(X5="yes",0,P5*'Cost Calculator'!$F$11),0)</f>
        <v>45900</v>
      </c>
      <c r="R5"/>
      <c r="S5">
        <f>IFERROR(IF(R5="Yes",Q5*'Drop Down Lists'!$AE$7,0),0)</f>
        <v>0</v>
      </c>
      <c r="T5"/>
      <c r="U5">
        <f>IFERROR(IF(T5="Yes",'Drop Down Lists'!$AE$8*'Calculator Raw'!Q5,0),0)</f>
        <v>0</v>
      </c>
      <c r="V5">
        <f>IFERROR(VLOOKUP(F5,Vehicle_Maintenance!$A$2:$E$21,5,FALSE)+O5*(1.3),0)</f>
        <v>11510</v>
      </c>
      <c r="W5">
        <f>IFERROR(IF(N5="yes",INDEX('Vehicle EMI Sheet'!$A$3:$I$23,MATCH('Calculator Raw'!$B$2,'Vehicle EMI Sheet'!$A$3:$A$23,0),MATCH('Calculator Raw'!L5,'Vehicle EMI Sheet'!$A$3:$I$3,0)),0),0)</f>
        <v>0</v>
      </c>
      <c r="X5"/>
      <c r="Y5">
        <f>IFERROR(IF(X5="no",0,VLOOKUP(C5,'Vehicle EMI Sheet'!$N$6:$O$12,2,FALSE)),0)</f>
        <v>20000</v>
      </c>
      <c r="Z5">
        <f t="shared" si="2"/>
        <v>77410</v>
      </c>
      <c r="AA5">
        <f t="shared" si="3"/>
        <v>2</v>
      </c>
      <c r="AB5">
        <f t="shared" si="4"/>
        <v>1</v>
      </c>
      <c r="AC5">
        <f>AA5*VLOOKUP($I$2,Assumption_Salary!$A$2:$H$19,6,FALSE)</f>
        <v>32600</v>
      </c>
      <c r="AD5">
        <f>AB5*IF(X5="yes",0,VLOOKUP($I$2,Assumption_Salary!$A$2:$H$19,7,FALSE))</f>
        <v>17900</v>
      </c>
      <c r="AE5">
        <f t="shared" si="5"/>
        <v>0</v>
      </c>
      <c r="AF5">
        <f>AE5*VLOOKUP(I5,Assumption_Salary!$A$2:$H$19,8,FALSE)/$D$2</f>
        <v>0</v>
      </c>
      <c r="AG5">
        <f t="shared" si="6"/>
        <v>3</v>
      </c>
      <c r="AH5">
        <f t="shared" si="7"/>
        <v>50500</v>
      </c>
      <c r="AI5"/>
      <c r="AJ5"/>
      <c r="AK5">
        <f t="shared" si="9"/>
        <v>127910</v>
      </c>
      <c r="AL5">
        <f t="shared" si="10"/>
        <v>127910</v>
      </c>
      <c r="AM5">
        <f>IF(AI5="Yes",AL5*'Drop Down Lists'!AE12,0)</f>
        <v>0</v>
      </c>
      <c r="AN5">
        <f>IF(AJ5="Yes",AK5*'Drop Down Lists'!$AE$10,0)</f>
        <v>0</v>
      </c>
      <c r="AO5">
        <f t="shared" si="11"/>
        <v>0</v>
      </c>
      <c r="AP5">
        <f t="shared" si="12"/>
        <v>127910</v>
      </c>
      <c r="AQ5" s="67">
        <f>'Cost Calculator'!$C$15*AP5</f>
        <v>19186.5</v>
      </c>
      <c r="AR5" s="67">
        <f t="shared" si="13"/>
        <v>147096.5</v>
      </c>
      <c r="AS5" s="67"/>
    </row>
    <row r="6" spans="1:47" ht="14.4" x14ac:dyDescent="0.3">
      <c r="A6">
        <v>5</v>
      </c>
      <c r="B6">
        <f>'Cost Calculator'!G5</f>
        <v>0</v>
      </c>
      <c r="C6">
        <f>'Cost Calculator'!G9</f>
        <v>0</v>
      </c>
      <c r="D6" s="90"/>
      <c r="E6">
        <f>IFERROR(HLOOKUP(B6,'Cost Calculator'!$C$5:$L$7,3,FALSE),0)</f>
        <v>0</v>
      </c>
      <c r="F6">
        <f>IFERROR(VLOOKUP(B6,'Vehicle Mapping'!$B$2:$C$22,2,FALSE),0)</f>
        <v>0</v>
      </c>
      <c r="G6" t="str">
        <f t="shared" si="14"/>
        <v>Long distance</v>
      </c>
      <c r="H6" t="str">
        <f t="shared" si="15"/>
        <v>Delhi</v>
      </c>
      <c r="I6" t="str">
        <f t="shared" si="16"/>
        <v>DELT1</v>
      </c>
      <c r="J6">
        <f>IFERROR(VLOOKUP(F6,Assumption_Mileage!$A$2:$S$21,19,FALSE),0)</f>
        <v>0</v>
      </c>
      <c r="K6" s="66">
        <f>IFERROR(VLOOKUP(F6,Vehicle_Maintenance!$A$2:$B$21,2,FALSE),0)</f>
        <v>0</v>
      </c>
      <c r="L6">
        <f t="shared" si="17"/>
        <v>0</v>
      </c>
      <c r="M6"/>
      <c r="N6"/>
      <c r="O6">
        <f>IF(G6="Long distance",VLOOKUP(I6,Assumption_Distance!$A$2:$C$18,3,FALSE),VLOOKUP(I6,Assumption_Distance!A6:C22,2,FALSE))</f>
        <v>2700</v>
      </c>
      <c r="P6">
        <f t="shared" si="1"/>
        <v>0</v>
      </c>
      <c r="Q6">
        <f>IFERROR(IF(X6="yes",0,P6*'Cost Calculator'!$F$11),0)</f>
        <v>0</v>
      </c>
      <c r="R6"/>
      <c r="S6">
        <f>IFERROR(IF(R6="Yes",Q6*'Drop Down Lists'!$AE$7,0),0)</f>
        <v>0</v>
      </c>
      <c r="T6"/>
      <c r="U6">
        <f>IFERROR(IF(T6="Yes",'Drop Down Lists'!$AE$8*'Calculator Raw'!Q6,0),0)</f>
        <v>0</v>
      </c>
      <c r="V6">
        <f>IFERROR(VLOOKUP(F6,Vehicle_Maintenance!$A$2:$E$21,5,FALSE)+O6*(1.3),0)</f>
        <v>0</v>
      </c>
      <c r="W6">
        <f>IFERROR(IF(N6="yes",INDEX('Vehicle EMI Sheet'!$A$3:$I$23,MATCH('Calculator Raw'!$B$2,'Vehicle EMI Sheet'!$A$3:$A$23,0),MATCH('Calculator Raw'!L6,'Vehicle EMI Sheet'!$A$3:$I$3,0)),0),0)</f>
        <v>0</v>
      </c>
      <c r="X6"/>
      <c r="Y6">
        <f>IFERROR(IF(X6="no",0,VLOOKUP(C6,'Vehicle EMI Sheet'!$N$6:$O$12,2,FALSE)),0)</f>
        <v>0</v>
      </c>
      <c r="Z6">
        <f t="shared" si="2"/>
        <v>0</v>
      </c>
      <c r="AA6">
        <f t="shared" si="3"/>
        <v>0</v>
      </c>
      <c r="AB6">
        <f t="shared" si="4"/>
        <v>0</v>
      </c>
      <c r="AC6">
        <f>AA6*VLOOKUP($I$2,Assumption_Salary!$A$2:$H$19,6,FALSE)</f>
        <v>0</v>
      </c>
      <c r="AD6">
        <f>AB6*IF(X6="yes",0,VLOOKUP($I$2,Assumption_Salary!$A$2:$H$19,7,FALSE))</f>
        <v>0</v>
      </c>
      <c r="AE6">
        <f t="shared" si="5"/>
        <v>0</v>
      </c>
      <c r="AF6">
        <f>AE6*VLOOKUP(I6,Assumption_Salary!$A$2:$H$19,8,FALSE)/$D$2</f>
        <v>0</v>
      </c>
      <c r="AG6">
        <f t="shared" si="6"/>
        <v>0</v>
      </c>
      <c r="AH6">
        <f t="shared" si="7"/>
        <v>0</v>
      </c>
      <c r="AI6"/>
      <c r="AJ6"/>
      <c r="AK6">
        <f t="shared" si="9"/>
        <v>0</v>
      </c>
      <c r="AL6">
        <f t="shared" si="10"/>
        <v>0</v>
      </c>
      <c r="AM6">
        <f>IF(AI6="Yes",AL6*'Drop Down Lists'!AE13,0)</f>
        <v>0</v>
      </c>
      <c r="AN6">
        <f>IF(AJ6="Yes",AK6*'Drop Down Lists'!$AE$10,0)</f>
        <v>0</v>
      </c>
      <c r="AO6">
        <f t="shared" si="11"/>
        <v>0</v>
      </c>
      <c r="AP6">
        <f t="shared" si="12"/>
        <v>0</v>
      </c>
      <c r="AQ6" s="67">
        <f>'Cost Calculator'!$C$15*AP6</f>
        <v>0</v>
      </c>
      <c r="AR6" s="67">
        <f t="shared" si="13"/>
        <v>0</v>
      </c>
      <c r="AS6" s="67"/>
    </row>
    <row r="7" spans="1:47" ht="14.4" x14ac:dyDescent="0.3">
      <c r="A7">
        <v>6</v>
      </c>
      <c r="B7">
        <f>'Cost Calculator'!H5</f>
        <v>0</v>
      </c>
      <c r="C7">
        <f>'Cost Calculator'!H9</f>
        <v>0</v>
      </c>
      <c r="D7" s="90"/>
      <c r="E7">
        <f>IFERROR(HLOOKUP(B7,'Cost Calculator'!$C$5:$L$7,3,FALSE),0)</f>
        <v>0</v>
      </c>
      <c r="F7">
        <f>IFERROR(VLOOKUP(B7,'Vehicle Mapping'!$B$2:$C$22,2,FALSE),0)</f>
        <v>0</v>
      </c>
      <c r="G7" t="str">
        <f t="shared" si="14"/>
        <v>Long distance</v>
      </c>
      <c r="H7" t="str">
        <f t="shared" si="15"/>
        <v>Delhi</v>
      </c>
      <c r="I7" t="str">
        <f t="shared" si="16"/>
        <v>DELT1</v>
      </c>
      <c r="J7">
        <f>IFERROR(VLOOKUP(F7,Assumption_Mileage!$A$2:$S$21,19,FALSE),0)</f>
        <v>0</v>
      </c>
      <c r="K7" s="66">
        <f>IFERROR(VLOOKUP(F7,Vehicle_Maintenance!$A$2:$B$21,2,FALSE),0)</f>
        <v>0</v>
      </c>
      <c r="L7">
        <f t="shared" si="17"/>
        <v>0</v>
      </c>
      <c r="M7"/>
      <c r="N7"/>
      <c r="O7">
        <f>IF(G7="Long distance",VLOOKUP(I7,Assumption_Distance!$A$2:$C$18,3,FALSE),VLOOKUP(I7,Assumption_Distance!A7:C23,2,FALSE))</f>
        <v>2700</v>
      </c>
      <c r="P7">
        <f t="shared" si="1"/>
        <v>0</v>
      </c>
      <c r="Q7">
        <f>IFERROR(IF(X7="yes",0,P7*'Cost Calculator'!$F$11),0)</f>
        <v>0</v>
      </c>
      <c r="R7"/>
      <c r="S7">
        <f>IFERROR(IF(R7="Yes",Q7*'Drop Down Lists'!$AE$7,0),0)</f>
        <v>0</v>
      </c>
      <c r="T7"/>
      <c r="U7">
        <f>IFERROR(IF(T7="Yes",'Drop Down Lists'!$AE$8*'Calculator Raw'!Q7,0),0)</f>
        <v>0</v>
      </c>
      <c r="V7">
        <f>IFERROR(VLOOKUP(F7,Vehicle_Maintenance!$A$2:$E$21,5,FALSE)+O7*(1.3),0)</f>
        <v>0</v>
      </c>
      <c r="W7">
        <f>IFERROR(IF(N7="yes",INDEX('Vehicle EMI Sheet'!$A$3:$I$23,MATCH('Calculator Raw'!$B$2,'Vehicle EMI Sheet'!$A$3:$A$23,0),MATCH('Calculator Raw'!L7,'Vehicle EMI Sheet'!$A$3:$I$3,0)),0),0)</f>
        <v>0</v>
      </c>
      <c r="X7"/>
      <c r="Y7">
        <f>IFERROR(IF(X7="no",0,VLOOKUP(C7,'Vehicle EMI Sheet'!$N$6:$O$12,2,FALSE)),0)</f>
        <v>0</v>
      </c>
      <c r="Z7">
        <f t="shared" si="2"/>
        <v>0</v>
      </c>
      <c r="AA7">
        <f t="shared" si="3"/>
        <v>0</v>
      </c>
      <c r="AB7">
        <f t="shared" si="4"/>
        <v>0</v>
      </c>
      <c r="AC7">
        <f>AA7*VLOOKUP($I$2,Assumption_Salary!$A$2:$H$19,6,FALSE)</f>
        <v>0</v>
      </c>
      <c r="AD7">
        <f>AB7*IF(X7="yes",0,VLOOKUP($I$2,Assumption_Salary!$A$2:$H$19,7,FALSE))</f>
        <v>0</v>
      </c>
      <c r="AE7">
        <f t="shared" si="5"/>
        <v>0</v>
      </c>
      <c r="AF7">
        <f>AE7*VLOOKUP(I7,Assumption_Salary!$A$2:$H$19,8,FALSE)/$D$2</f>
        <v>0</v>
      </c>
      <c r="AG7">
        <f t="shared" si="6"/>
        <v>0</v>
      </c>
      <c r="AH7">
        <f t="shared" si="7"/>
        <v>0</v>
      </c>
      <c r="AI7"/>
      <c r="AJ7"/>
      <c r="AK7">
        <f t="shared" si="9"/>
        <v>0</v>
      </c>
      <c r="AL7">
        <f t="shared" si="10"/>
        <v>0</v>
      </c>
      <c r="AM7">
        <f>IF(AI7="Yes",AL7*'Drop Down Lists'!AE14,0)</f>
        <v>0</v>
      </c>
      <c r="AN7">
        <f>IF(AJ7="Yes",AK7*'Drop Down Lists'!$AE$10,0)</f>
        <v>0</v>
      </c>
      <c r="AO7">
        <f t="shared" si="11"/>
        <v>0</v>
      </c>
      <c r="AP7">
        <f t="shared" si="12"/>
        <v>0</v>
      </c>
      <c r="AQ7" s="67">
        <f>'Cost Calculator'!$C$15*AP7</f>
        <v>0</v>
      </c>
      <c r="AR7" s="67">
        <f t="shared" si="13"/>
        <v>0</v>
      </c>
      <c r="AS7" s="67"/>
    </row>
    <row r="8" spans="1:47" ht="14.4" x14ac:dyDescent="0.3">
      <c r="A8">
        <v>7</v>
      </c>
      <c r="B8">
        <f>'Cost Calculator'!I5</f>
        <v>0</v>
      </c>
      <c r="C8">
        <f>'Cost Calculator'!I9</f>
        <v>0</v>
      </c>
      <c r="D8" s="90"/>
      <c r="E8">
        <f>IFERROR(HLOOKUP(B8,'Cost Calculator'!$C$5:$L$7,3,FALSE),0)</f>
        <v>0</v>
      </c>
      <c r="F8">
        <f>IFERROR(VLOOKUP(B8,'Vehicle Mapping'!$B$2:$C$22,2,FALSE),0)</f>
        <v>0</v>
      </c>
      <c r="G8" t="str">
        <f t="shared" si="14"/>
        <v>Long distance</v>
      </c>
      <c r="H8" t="str">
        <f t="shared" si="15"/>
        <v>Delhi</v>
      </c>
      <c r="I8" t="str">
        <f t="shared" si="16"/>
        <v>DELT1</v>
      </c>
      <c r="J8">
        <f>IFERROR(VLOOKUP(F8,Assumption_Mileage!$A$2:$S$21,19,FALSE),0)</f>
        <v>0</v>
      </c>
      <c r="K8" s="66">
        <f>IFERROR(VLOOKUP(F8,Vehicle_Maintenance!$A$2:$B$21,2,FALSE),0)</f>
        <v>0</v>
      </c>
      <c r="L8">
        <f t="shared" si="17"/>
        <v>0</v>
      </c>
      <c r="M8"/>
      <c r="N8"/>
      <c r="O8">
        <f>IF(G8="Long distance",VLOOKUP(I8,Assumption_Distance!$A$2:$C$18,3,FALSE),VLOOKUP(I8,Assumption_Distance!A8:C24,2,FALSE))</f>
        <v>2700</v>
      </c>
      <c r="P8">
        <f t="shared" si="1"/>
        <v>0</v>
      </c>
      <c r="Q8">
        <f>IFERROR(IF(X8="yes",0,P8*'Cost Calculator'!$F$11),0)</f>
        <v>0</v>
      </c>
      <c r="R8"/>
      <c r="S8">
        <f>IFERROR(IF(R8="Yes",Q8*'Drop Down Lists'!$AE$7,0),0)</f>
        <v>0</v>
      </c>
      <c r="T8"/>
      <c r="U8">
        <f>IFERROR(IF(T8="Yes",'Drop Down Lists'!$AE$8*'Calculator Raw'!Q8,0),0)</f>
        <v>0</v>
      </c>
      <c r="V8">
        <f>IFERROR(VLOOKUP(F8,Vehicle_Maintenance!$A$2:$E$21,5,FALSE)+O8*(1.3),0)</f>
        <v>0</v>
      </c>
      <c r="W8">
        <f>IFERROR(IF(N8="yes",INDEX('Vehicle EMI Sheet'!$A$3:$I$23,MATCH('Calculator Raw'!$B$2,'Vehicle EMI Sheet'!$A$3:$A$23,0),MATCH('Calculator Raw'!L8,'Vehicle EMI Sheet'!$A$3:$I$3,0)),0),0)</f>
        <v>0</v>
      </c>
      <c r="X8"/>
      <c r="Y8">
        <f>IFERROR(IF(X8="no",0,VLOOKUP(C8,'Vehicle EMI Sheet'!$N$6:$O$12,2,FALSE)),0)</f>
        <v>0</v>
      </c>
      <c r="Z8">
        <f t="shared" si="2"/>
        <v>0</v>
      </c>
      <c r="AA8">
        <f t="shared" si="3"/>
        <v>0</v>
      </c>
      <c r="AB8">
        <f t="shared" si="4"/>
        <v>0</v>
      </c>
      <c r="AC8">
        <f>AA8*VLOOKUP($I$2,Assumption_Salary!$A$2:$H$19,6,FALSE)</f>
        <v>0</v>
      </c>
      <c r="AD8">
        <f>AB8*IF(X8="yes",0,VLOOKUP($I$2,Assumption_Salary!$A$2:$H$19,7,FALSE))</f>
        <v>0</v>
      </c>
      <c r="AE8">
        <f t="shared" si="5"/>
        <v>0</v>
      </c>
      <c r="AF8">
        <f>AE8*VLOOKUP(I8,Assumption_Salary!$A$2:$H$19,8,FALSE)/$D$2</f>
        <v>0</v>
      </c>
      <c r="AG8">
        <f t="shared" si="6"/>
        <v>0</v>
      </c>
      <c r="AH8">
        <f t="shared" si="7"/>
        <v>0</v>
      </c>
      <c r="AI8"/>
      <c r="AJ8"/>
      <c r="AK8">
        <f t="shared" si="9"/>
        <v>0</v>
      </c>
      <c r="AL8">
        <f t="shared" si="10"/>
        <v>0</v>
      </c>
      <c r="AM8">
        <f>IF(AI8="Yes",AL8*'Drop Down Lists'!AE15,0)</f>
        <v>0</v>
      </c>
      <c r="AN8">
        <f>IF(AJ8="Yes",AK8*'Drop Down Lists'!$AE$10,0)</f>
        <v>0</v>
      </c>
      <c r="AO8">
        <f t="shared" si="11"/>
        <v>0</v>
      </c>
      <c r="AP8">
        <f t="shared" si="12"/>
        <v>0</v>
      </c>
      <c r="AQ8" s="67">
        <f>'Cost Calculator'!$C$15*AP8</f>
        <v>0</v>
      </c>
      <c r="AR8" s="67">
        <f t="shared" si="13"/>
        <v>0</v>
      </c>
      <c r="AS8" s="67"/>
    </row>
    <row r="9" spans="1:47" ht="14.4" x14ac:dyDescent="0.3">
      <c r="A9">
        <v>8</v>
      </c>
      <c r="B9">
        <f>'Cost Calculator'!J5</f>
        <v>0</v>
      </c>
      <c r="C9">
        <f>'Cost Calculator'!J9</f>
        <v>0</v>
      </c>
      <c r="D9" s="90"/>
      <c r="E9">
        <f>IFERROR(HLOOKUP(B9,'Cost Calculator'!$C$5:$L$7,3,FALSE),0)</f>
        <v>0</v>
      </c>
      <c r="F9">
        <f>IFERROR(VLOOKUP(B9,'Vehicle Mapping'!$B$2:$C$22,2,FALSE),0)</f>
        <v>0</v>
      </c>
      <c r="G9" t="str">
        <f t="shared" si="14"/>
        <v>Long distance</v>
      </c>
      <c r="H9" t="str">
        <f t="shared" si="15"/>
        <v>Delhi</v>
      </c>
      <c r="I9" t="str">
        <f t="shared" si="16"/>
        <v>DELT1</v>
      </c>
      <c r="J9">
        <f>IFERROR(VLOOKUP(F9,Assumption_Mileage!$A$2:$S$21,19,FALSE),0)</f>
        <v>0</v>
      </c>
      <c r="K9" s="66">
        <f>IFERROR(VLOOKUP(F9,Vehicle_Maintenance!$A$2:$B$21,2,FALSE),0)</f>
        <v>0</v>
      </c>
      <c r="L9">
        <f t="shared" si="17"/>
        <v>0</v>
      </c>
      <c r="M9"/>
      <c r="N9"/>
      <c r="O9">
        <f>IF(G9="Long distance",VLOOKUP(I9,Assumption_Distance!$A$2:$C$18,3,FALSE),VLOOKUP(I9,Assumption_Distance!A9:C25,2,FALSE))</f>
        <v>2700</v>
      </c>
      <c r="P9">
        <f t="shared" si="1"/>
        <v>0</v>
      </c>
      <c r="Q9">
        <f>IFERROR(IF(X9="yes",0,P9*'Cost Calculator'!$F$11),0)</f>
        <v>0</v>
      </c>
      <c r="R9"/>
      <c r="S9">
        <f>IFERROR(IF(R9="Yes",Q9*'Drop Down Lists'!$AE$7,0),0)</f>
        <v>0</v>
      </c>
      <c r="T9"/>
      <c r="U9">
        <f>IFERROR(IF(T9="Yes",'Drop Down Lists'!$AE$8*'Calculator Raw'!Q9,0),0)</f>
        <v>0</v>
      </c>
      <c r="V9">
        <f>IFERROR(VLOOKUP(F9,Vehicle_Maintenance!$A$2:$E$21,5,FALSE)+O9*(1.3),0)</f>
        <v>0</v>
      </c>
      <c r="W9">
        <f>IFERROR(IF(N9="yes",INDEX('Vehicle EMI Sheet'!$A$3:$I$23,MATCH('Calculator Raw'!$B$2,'Vehicle EMI Sheet'!$A$3:$A$23,0),MATCH('Calculator Raw'!L9,'Vehicle EMI Sheet'!$A$3:$I$3,0)),0),0)</f>
        <v>0</v>
      </c>
      <c r="X9"/>
      <c r="Y9">
        <f>IFERROR(IF(X9="no",0,VLOOKUP(C9,'Vehicle EMI Sheet'!$N$6:$O$12,2,FALSE)),0)</f>
        <v>0</v>
      </c>
      <c r="Z9">
        <f t="shared" si="2"/>
        <v>0</v>
      </c>
      <c r="AA9">
        <f t="shared" si="3"/>
        <v>0</v>
      </c>
      <c r="AB9">
        <f t="shared" si="4"/>
        <v>0</v>
      </c>
      <c r="AC9">
        <f>AA9*VLOOKUP($I$2,Assumption_Salary!$A$2:$H$19,6,FALSE)</f>
        <v>0</v>
      </c>
      <c r="AD9">
        <f>AB9*IF(X9="yes",0,VLOOKUP($I$2,Assumption_Salary!$A$2:$H$19,7,FALSE))</f>
        <v>0</v>
      </c>
      <c r="AE9">
        <f t="shared" si="5"/>
        <v>0</v>
      </c>
      <c r="AF9">
        <f>AE9*VLOOKUP(I9,Assumption_Salary!$A$2:$H$19,8,FALSE)/$D$2</f>
        <v>0</v>
      </c>
      <c r="AG9">
        <f t="shared" si="6"/>
        <v>0</v>
      </c>
      <c r="AH9">
        <f t="shared" si="7"/>
        <v>0</v>
      </c>
      <c r="AI9"/>
      <c r="AJ9"/>
      <c r="AK9">
        <f t="shared" si="9"/>
        <v>0</v>
      </c>
      <c r="AL9">
        <f t="shared" si="10"/>
        <v>0</v>
      </c>
      <c r="AM9">
        <f>IF(AI9="Yes",AL9*'Drop Down Lists'!AE16,0)</f>
        <v>0</v>
      </c>
      <c r="AN9">
        <f>IF(AJ9="Yes",AK9*'Drop Down Lists'!$AE$10,0)</f>
        <v>0</v>
      </c>
      <c r="AO9">
        <f t="shared" si="11"/>
        <v>0</v>
      </c>
      <c r="AP9">
        <f t="shared" si="12"/>
        <v>0</v>
      </c>
      <c r="AQ9" s="67">
        <f>'Cost Calculator'!$C$15*AP9</f>
        <v>0</v>
      </c>
      <c r="AR9" s="67">
        <f t="shared" si="13"/>
        <v>0</v>
      </c>
      <c r="AS9" s="67"/>
    </row>
    <row r="10" spans="1:47" ht="14.4" x14ac:dyDescent="0.3">
      <c r="A10">
        <v>9</v>
      </c>
      <c r="B10">
        <f>'Cost Calculator'!K5</f>
        <v>0</v>
      </c>
      <c r="C10">
        <f>'Cost Calculator'!K9</f>
        <v>0</v>
      </c>
      <c r="D10" s="90"/>
      <c r="E10">
        <f>IFERROR(HLOOKUP(B10,'Cost Calculator'!$C$5:$L$7,3,FALSE),0)</f>
        <v>0</v>
      </c>
      <c r="F10">
        <f>IFERROR(VLOOKUP(B10,'Vehicle Mapping'!$B$2:$C$22,2,FALSE),0)</f>
        <v>0</v>
      </c>
      <c r="G10" t="str">
        <f t="shared" si="14"/>
        <v>Long distance</v>
      </c>
      <c r="H10" t="str">
        <f t="shared" si="15"/>
        <v>Delhi</v>
      </c>
      <c r="I10" t="str">
        <f t="shared" si="16"/>
        <v>DELT1</v>
      </c>
      <c r="J10">
        <f>IFERROR(VLOOKUP(F10,Assumption_Mileage!$A$2:$S$21,19,FALSE),0)</f>
        <v>0</v>
      </c>
      <c r="K10" s="66">
        <f>IFERROR(VLOOKUP(F10,Vehicle_Maintenance!$A$2:$B$21,2,FALSE),0)</f>
        <v>0</v>
      </c>
      <c r="L10">
        <f t="shared" si="17"/>
        <v>0</v>
      </c>
      <c r="M10" s="15"/>
      <c r="N10" s="15"/>
      <c r="O10">
        <f>IF(G10="Long distance",VLOOKUP(I10,Assumption_Distance!$A$2:$C$18,3,FALSE),VLOOKUP(I10,Assumption_Distance!A10:C26,2,FALSE))</f>
        <v>2700</v>
      </c>
      <c r="P10">
        <f t="shared" si="1"/>
        <v>0</v>
      </c>
      <c r="Q10">
        <f>IFERROR(IF(X10="yes",0,P10*'Cost Calculator'!$F$11),0)</f>
        <v>0</v>
      </c>
      <c r="R10" s="15"/>
      <c r="S10">
        <f>IFERROR(IF(R10="Yes",Q10*'Drop Down Lists'!$AE$7,0),0)</f>
        <v>0</v>
      </c>
      <c r="T10" s="15"/>
      <c r="U10">
        <f>IFERROR(IF(T10="Yes",'Drop Down Lists'!$AE$8*'Calculator Raw'!Q10,0),0)</f>
        <v>0</v>
      </c>
      <c r="V10">
        <f>IFERROR(VLOOKUP(F10,Vehicle_Maintenance!$A$2:$E$21,5,FALSE)+O10*(1.3),0)</f>
        <v>0</v>
      </c>
      <c r="W10">
        <f>IFERROR(IF(N10="yes",INDEX('Vehicle EMI Sheet'!$A$3:$I$23,MATCH('Calculator Raw'!$B$2,'Vehicle EMI Sheet'!$A$3:$A$23,0),MATCH('Calculator Raw'!L10,'Vehicle EMI Sheet'!$A$3:$I$3,0)),0),0)</f>
        <v>0</v>
      </c>
      <c r="X10" s="15"/>
      <c r="Y10">
        <f>IFERROR(IF(X10="no",0,VLOOKUP(C10,'Vehicle EMI Sheet'!$N$6:$O$12,2,FALSE)),0)</f>
        <v>0</v>
      </c>
      <c r="Z10">
        <f t="shared" si="2"/>
        <v>0</v>
      </c>
      <c r="AA10">
        <f t="shared" si="3"/>
        <v>0</v>
      </c>
      <c r="AB10">
        <f t="shared" si="4"/>
        <v>0</v>
      </c>
      <c r="AC10">
        <f>AA10*VLOOKUP($I$2,Assumption_Salary!$A$2:$H$19,6,FALSE)</f>
        <v>0</v>
      </c>
      <c r="AD10">
        <f>AB10*IF(X10="yes",0,VLOOKUP($I$2,Assumption_Salary!$A$2:$H$19,7,FALSE))</f>
        <v>0</v>
      </c>
      <c r="AE10">
        <f t="shared" si="5"/>
        <v>0</v>
      </c>
      <c r="AF10">
        <f>AE10*VLOOKUP(I10,Assumption_Salary!$A$2:$H$19,8,FALSE)/$D$2</f>
        <v>0</v>
      </c>
      <c r="AG10">
        <f t="shared" si="6"/>
        <v>0</v>
      </c>
      <c r="AH10">
        <f t="shared" si="7"/>
        <v>0</v>
      </c>
      <c r="AI10" s="15"/>
      <c r="AJ10" s="15"/>
      <c r="AK10">
        <f t="shared" si="9"/>
        <v>0</v>
      </c>
      <c r="AL10">
        <f t="shared" si="10"/>
        <v>0</v>
      </c>
      <c r="AM10">
        <f>IF(AI10="Yes",AL10*'Drop Down Lists'!AE17,0)</f>
        <v>0</v>
      </c>
      <c r="AN10">
        <f>IF(AJ10="Yes",AK10*'Drop Down Lists'!$AE$10,0)</f>
        <v>0</v>
      </c>
      <c r="AO10">
        <f t="shared" si="11"/>
        <v>0</v>
      </c>
      <c r="AP10">
        <f t="shared" si="12"/>
        <v>0</v>
      </c>
      <c r="AQ10" s="67">
        <f>'Cost Calculator'!$C$15*AP10</f>
        <v>0</v>
      </c>
      <c r="AR10" s="67">
        <f t="shared" si="13"/>
        <v>0</v>
      </c>
      <c r="AS10" s="67"/>
      <c r="AT10" t="s">
        <v>260</v>
      </c>
      <c r="AU10" s="66">
        <v>1.5529494662742389</v>
      </c>
    </row>
    <row r="11" spans="1:47" ht="14.4" x14ac:dyDescent="0.3">
      <c r="A11">
        <v>10</v>
      </c>
      <c r="B11">
        <f>'Cost Calculator'!L5</f>
        <v>0</v>
      </c>
      <c r="C11">
        <f>'Cost Calculator'!L9</f>
        <v>0</v>
      </c>
      <c r="D11" s="90"/>
      <c r="E11">
        <f>IFERROR(HLOOKUP(B11,'Cost Calculator'!$C$5:$L$7,3,FALSE),0)</f>
        <v>0</v>
      </c>
      <c r="F11">
        <f>IFERROR(VLOOKUP(B11,'Vehicle Mapping'!$B$2:$C$22,2,FALSE),0)</f>
        <v>0</v>
      </c>
      <c r="G11" t="str">
        <f t="shared" si="14"/>
        <v>Long distance</v>
      </c>
      <c r="H11" t="str">
        <f t="shared" si="15"/>
        <v>Delhi</v>
      </c>
      <c r="I11" t="str">
        <f t="shared" si="16"/>
        <v>DELT1</v>
      </c>
      <c r="J11">
        <f>IFERROR(VLOOKUP(F11,Assumption_Mileage!$A$2:$S$21,19,FALSE),0)</f>
        <v>0</v>
      </c>
      <c r="K11" s="66">
        <f>IFERROR(VLOOKUP(F11,Vehicle_Maintenance!$A$2:$B$21,2,FALSE),0)</f>
        <v>0</v>
      </c>
      <c r="L11">
        <f t="shared" si="17"/>
        <v>0</v>
      </c>
      <c r="M11" s="15"/>
      <c r="N11" s="15"/>
      <c r="O11">
        <f>IF(G11="Long distance",VLOOKUP(I11,Assumption_Distance!$A$2:$C$18,3,FALSE),VLOOKUP(I11,Assumption_Distance!A11:C27,2,FALSE))</f>
        <v>2700</v>
      </c>
      <c r="P11">
        <f t="shared" si="1"/>
        <v>0</v>
      </c>
      <c r="Q11">
        <f>IFERROR(IF(X11="yes",0,P11*'Cost Calculator'!$F$11),0)</f>
        <v>0</v>
      </c>
      <c r="R11" s="15"/>
      <c r="S11">
        <f>IFERROR(IF(R11="Yes",Q11*'Drop Down Lists'!$AE$7,0),0)</f>
        <v>0</v>
      </c>
      <c r="T11" s="15"/>
      <c r="U11">
        <f>IFERROR(IF(T11="Yes",'Drop Down Lists'!$AE$8*'Calculator Raw'!Q11,0),0)</f>
        <v>0</v>
      </c>
      <c r="V11">
        <f>IFERROR(VLOOKUP(F11,Vehicle_Maintenance!$A$2:$E$21,5,FALSE)+O11*(1.3),0)</f>
        <v>0</v>
      </c>
      <c r="W11">
        <f>IFERROR(IF(N11="yes",INDEX('Vehicle EMI Sheet'!$A$3:$I$23,MATCH('Calculator Raw'!$B$2,'Vehicle EMI Sheet'!$A$3:$A$23,0),MATCH('Calculator Raw'!L11,'Vehicle EMI Sheet'!$A$3:$I$3,0)),0),0)</f>
        <v>0</v>
      </c>
      <c r="X11" s="15"/>
      <c r="Y11">
        <f>IFERROR(IF(X11="no",0,VLOOKUP(C11,'Vehicle EMI Sheet'!$N$6:$O$12,2,FALSE)),0)</f>
        <v>0</v>
      </c>
      <c r="Z11">
        <f t="shared" si="2"/>
        <v>0</v>
      </c>
      <c r="AA11">
        <f t="shared" si="3"/>
        <v>0</v>
      </c>
      <c r="AB11">
        <f t="shared" si="4"/>
        <v>0</v>
      </c>
      <c r="AC11">
        <f>AA11*VLOOKUP($I$2,Assumption_Salary!$A$2:$H$19,6,FALSE)</f>
        <v>0</v>
      </c>
      <c r="AD11">
        <f>AB11*IF(X11="yes",0,VLOOKUP($I$2,Assumption_Salary!$A$2:$H$19,7,FALSE))</f>
        <v>0</v>
      </c>
      <c r="AE11">
        <f t="shared" si="5"/>
        <v>0</v>
      </c>
      <c r="AF11">
        <f>AE11*VLOOKUP(I11,Assumption_Salary!$A$2:$H$19,8,FALSE)/$D$2</f>
        <v>0</v>
      </c>
      <c r="AG11">
        <f t="shared" si="6"/>
        <v>0</v>
      </c>
      <c r="AH11">
        <f t="shared" si="7"/>
        <v>0</v>
      </c>
      <c r="AI11" s="15"/>
      <c r="AJ11" s="15"/>
      <c r="AK11">
        <f t="shared" si="9"/>
        <v>0</v>
      </c>
      <c r="AL11">
        <f t="shared" si="10"/>
        <v>0</v>
      </c>
      <c r="AM11">
        <f>IF(AI11="Yes",AL11*'Drop Down Lists'!AE18,0)</f>
        <v>0</v>
      </c>
      <c r="AN11">
        <f>IF(AJ11="Yes",AK11*'Drop Down Lists'!$AE$10,0)</f>
        <v>0</v>
      </c>
      <c r="AO11">
        <f t="shared" si="11"/>
        <v>0</v>
      </c>
      <c r="AP11">
        <f t="shared" si="12"/>
        <v>0</v>
      </c>
      <c r="AQ11" s="67">
        <f>'Cost Calculator'!$C$15*AP11</f>
        <v>0</v>
      </c>
      <c r="AR11" s="67">
        <f t="shared" si="13"/>
        <v>0</v>
      </c>
      <c r="AS11" s="67"/>
      <c r="AT11" t="s">
        <v>295</v>
      </c>
      <c r="AU11" s="66">
        <v>1.2979552817751512</v>
      </c>
    </row>
    <row r="12" spans="1:47" ht="14.4" x14ac:dyDescent="0.3">
      <c r="A12" s="15" t="s">
        <v>488</v>
      </c>
      <c r="B12" s="15"/>
      <c r="C12" s="15"/>
      <c r="D12" s="15"/>
      <c r="E12" s="15"/>
      <c r="F12" s="15"/>
      <c r="G12" s="15"/>
      <c r="H12" s="15"/>
      <c r="I12" s="15"/>
      <c r="J12" s="15"/>
      <c r="K12" s="68">
        <f>SUM(K2:K11)</f>
        <v>23.900000000000002</v>
      </c>
      <c r="L12" s="15"/>
      <c r="M12" s="15"/>
      <c r="N12" s="15"/>
      <c r="O12" s="15"/>
      <c r="P12" s="15"/>
      <c r="Q12" s="15">
        <f>SUM(Q2:Q11)</f>
        <v>117300</v>
      </c>
      <c r="R12" s="15"/>
      <c r="S12" s="15">
        <f>SUM(S2:S11)</f>
        <v>14280</v>
      </c>
      <c r="T12" s="15"/>
      <c r="U12" s="15">
        <f>SUM(U2:U11)</f>
        <v>10710</v>
      </c>
      <c r="V12" s="15">
        <f>SUM(V2:V11)</f>
        <v>31530</v>
      </c>
      <c r="W12" s="15">
        <f>ABS(SUM(W2:W11))</f>
        <v>10317.07218149638</v>
      </c>
      <c r="X12" s="15"/>
      <c r="Y12" s="15">
        <f t="shared" ref="Y12:AD12" si="18">SUM(Y2:Y11)</f>
        <v>60000</v>
      </c>
      <c r="Z12" s="15">
        <f t="shared" si="18"/>
        <v>219147.07218149636</v>
      </c>
      <c r="AA12" s="15">
        <f t="shared" si="18"/>
        <v>8</v>
      </c>
      <c r="AB12" s="15">
        <f t="shared" si="18"/>
        <v>4</v>
      </c>
      <c r="AC12" s="15">
        <f t="shared" si="18"/>
        <v>130400</v>
      </c>
      <c r="AD12" s="15">
        <f t="shared" si="18"/>
        <v>53700</v>
      </c>
      <c r="AE12" s="15">
        <f>SUM(AE2:AE11)/D2</f>
        <v>0.25</v>
      </c>
      <c r="AF12" s="15">
        <f>SUM(AF2:AF11)</f>
        <v>4850</v>
      </c>
      <c r="AG12" s="15">
        <f>SUM(AG2:AG11)</f>
        <v>12</v>
      </c>
      <c r="AH12" s="15">
        <f t="shared" ref="AH12:AO12" si="19">SUM(AH2:AH11)</f>
        <v>188950</v>
      </c>
      <c r="AI12" s="15">
        <f t="shared" si="19"/>
        <v>0</v>
      </c>
      <c r="AJ12" s="15">
        <f t="shared" si="19"/>
        <v>0</v>
      </c>
      <c r="AK12" s="15">
        <f t="shared" si="19"/>
        <v>408097.07218149636</v>
      </c>
      <c r="AL12" s="15"/>
      <c r="AM12" s="15">
        <f t="shared" si="19"/>
        <v>53482.810827224457</v>
      </c>
      <c r="AN12" s="15">
        <f t="shared" si="19"/>
        <v>84056.121654448914</v>
      </c>
      <c r="AO12" s="15">
        <f t="shared" si="19"/>
        <v>162528.93248167337</v>
      </c>
      <c r="AR12" s="70">
        <f>SUM(AR2:AR11)</f>
        <v>656219.90536264516</v>
      </c>
      <c r="AS12" s="67"/>
      <c r="AT12" t="s">
        <v>184</v>
      </c>
      <c r="AU12" s="66">
        <v>7.1962493719879745</v>
      </c>
    </row>
    <row r="13" spans="1:47" ht="14.4" x14ac:dyDescent="0.3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T13" t="s">
        <v>400</v>
      </c>
      <c r="AU13" s="66">
        <v>6.851440040621382</v>
      </c>
    </row>
    <row r="14" spans="1:47" ht="14.4" x14ac:dyDescent="0.3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T14" t="s">
        <v>284</v>
      </c>
      <c r="AU14" s="66">
        <v>1.2876695268341951</v>
      </c>
    </row>
    <row r="15" spans="1:47" ht="14.4" x14ac:dyDescent="0.3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T15" t="s">
        <v>14</v>
      </c>
      <c r="AU15" s="66">
        <v>1.4607038482017727</v>
      </c>
    </row>
    <row r="16" spans="1:47" ht="14.4" x14ac:dyDescent="0.3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T16" t="s">
        <v>399</v>
      </c>
      <c r="AU16" s="66">
        <v>6.9393806697539278</v>
      </c>
    </row>
    <row r="17" spans="2:40" ht="14.4" x14ac:dyDescent="0.3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</row>
    <row r="18" spans="2:40" ht="14.4" x14ac:dyDescent="0.3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</row>
    <row r="19" spans="2:40" ht="14.4" x14ac:dyDescent="0.3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</row>
    <row r="20" spans="2:40" ht="14.4" x14ac:dyDescent="0.3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  <row r="21" spans="2:40" ht="14.4" x14ac:dyDescent="0.3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</row>
    <row r="22" spans="2:40" ht="14.4" x14ac:dyDescent="0.3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</row>
    <row r="23" spans="2:40" ht="14.4" x14ac:dyDescent="0.3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</row>
    <row r="24" spans="2:40" ht="14.4" x14ac:dyDescent="0.3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</row>
    <row r="25" spans="2:40" ht="14.4" x14ac:dyDescent="0.3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</row>
    <row r="26" spans="2:40" ht="14.4" x14ac:dyDescent="0.3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</row>
    <row r="27" spans="2:40" ht="14.4" x14ac:dyDescent="0.3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spans="2:40" ht="14.4" x14ac:dyDescent="0.3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spans="2:40" ht="14.4" x14ac:dyDescent="0.3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spans="2:40" ht="14.4" x14ac:dyDescent="0.3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spans="2:40" ht="14.4" x14ac:dyDescent="0.3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</row>
    <row r="32" spans="2:40" ht="14.4" x14ac:dyDescent="0.3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</row>
    <row r="33" spans="2:40" ht="14.4" x14ac:dyDescent="0.3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</row>
    <row r="34" spans="2:40" ht="14.4" x14ac:dyDescent="0.3"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</row>
    <row r="35" spans="2:40" ht="14.4" x14ac:dyDescent="0.3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</row>
    <row r="36" spans="2:40" ht="14.4" x14ac:dyDescent="0.3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</row>
    <row r="37" spans="2:40" ht="14.4" x14ac:dyDescent="0.3"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</row>
    <row r="38" spans="2:40" ht="14.4" x14ac:dyDescent="0.3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</row>
    <row r="39" spans="2:40" ht="14.4" x14ac:dyDescent="0.3">
      <c r="B39" s="15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</row>
    <row r="40" spans="2:40" ht="14.4" x14ac:dyDescent="0.3">
      <c r="B40" s="15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</row>
    <row r="41" spans="2:40" ht="14.4" x14ac:dyDescent="0.3">
      <c r="B41" s="15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</row>
    <row r="42" spans="2:40" ht="14.4" x14ac:dyDescent="0.3">
      <c r="B42" s="15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</row>
    <row r="43" spans="2:40" ht="14.4" x14ac:dyDescent="0.3">
      <c r="B43" s="15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</row>
    <row r="44" spans="2:40" ht="14.4" x14ac:dyDescent="0.3">
      <c r="B44" s="15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</row>
    <row r="45" spans="2:40" ht="14.4" x14ac:dyDescent="0.3">
      <c r="B45" s="1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</row>
    <row r="46" spans="2:40" ht="14.4" x14ac:dyDescent="0.3">
      <c r="B46" s="15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</row>
    <row r="47" spans="2:40" ht="14.4" x14ac:dyDescent="0.3">
      <c r="B47" s="15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</row>
    <row r="48" spans="2:40" ht="14.4" x14ac:dyDescent="0.3">
      <c r="B48" s="15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</row>
    <row r="49" spans="2:40" ht="14.4" x14ac:dyDescent="0.3">
      <c r="B49" s="15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</row>
    <row r="50" spans="2:40" ht="14.4" x14ac:dyDescent="0.3">
      <c r="B50" s="15"/>
    </row>
    <row r="51" spans="2:40" ht="14.4" x14ac:dyDescent="0.3">
      <c r="B51" s="15"/>
    </row>
    <row r="52" spans="2:40" ht="14.4" x14ac:dyDescent="0.3">
      <c r="B52" s="15"/>
      <c r="C52"/>
      <c r="D52"/>
    </row>
    <row r="53" spans="2:40" ht="14.4" x14ac:dyDescent="0.3">
      <c r="B53" s="15"/>
      <c r="C53"/>
      <c r="D53"/>
    </row>
    <row r="54" spans="2:40" ht="14.4" x14ac:dyDescent="0.3">
      <c r="B54" s="15"/>
      <c r="C54"/>
      <c r="D54"/>
    </row>
    <row r="55" spans="2:40" ht="14.4" x14ac:dyDescent="0.3">
      <c r="B55" s="15"/>
      <c r="C55"/>
      <c r="D55"/>
      <c r="J55" s="15"/>
    </row>
    <row r="56" spans="2:40" ht="14.4" x14ac:dyDescent="0.3">
      <c r="B56" s="15"/>
      <c r="C56"/>
      <c r="D56"/>
    </row>
    <row r="57" spans="2:40" ht="14.4" x14ac:dyDescent="0.3">
      <c r="B57" s="15"/>
      <c r="C57"/>
      <c r="D57"/>
    </row>
    <row r="58" spans="2:40" ht="14.4" x14ac:dyDescent="0.3">
      <c r="B58" s="15"/>
      <c r="C58"/>
      <c r="D58"/>
    </row>
    <row r="59" spans="2:40" ht="15.75" customHeight="1" x14ac:dyDescent="0.3">
      <c r="B59" s="15"/>
      <c r="C59"/>
      <c r="D59"/>
    </row>
    <row r="60" spans="2:40" ht="15.75" customHeight="1" x14ac:dyDescent="0.3">
      <c r="B60" s="15"/>
      <c r="C60"/>
      <c r="D60"/>
    </row>
    <row r="61" spans="2:40" ht="15.75" customHeight="1" x14ac:dyDescent="0.3">
      <c r="B61" s="15"/>
      <c r="C61"/>
      <c r="D61"/>
      <c r="J61" s="18"/>
      <c r="K61" s="18"/>
    </row>
    <row r="62" spans="2:40" ht="15.75" customHeight="1" x14ac:dyDescent="0.3">
      <c r="B62" s="15"/>
      <c r="C62"/>
      <c r="D62"/>
    </row>
    <row r="63" spans="2:40" ht="15.75" customHeight="1" x14ac:dyDescent="0.3">
      <c r="B63" s="15"/>
      <c r="C63"/>
      <c r="D63"/>
    </row>
    <row r="64" spans="2:40" ht="15.75" customHeight="1" x14ac:dyDescent="0.3">
      <c r="B64" s="15"/>
      <c r="C64"/>
      <c r="D64"/>
    </row>
    <row r="65" spans="2:9" ht="15.75" customHeight="1" x14ac:dyDescent="0.3">
      <c r="B65" s="15"/>
      <c r="C65"/>
      <c r="D65"/>
    </row>
    <row r="66" spans="2:9" ht="15.75" customHeight="1" x14ac:dyDescent="0.3">
      <c r="B66" s="15"/>
      <c r="C66"/>
      <c r="D66"/>
    </row>
    <row r="67" spans="2:9" ht="15.75" customHeight="1" x14ac:dyDescent="0.3">
      <c r="B67" s="15"/>
      <c r="C67"/>
      <c r="D67"/>
      <c r="E67" s="17"/>
      <c r="F67" s="17"/>
      <c r="G67" s="17"/>
      <c r="H67" s="17"/>
      <c r="I67" s="17"/>
    </row>
    <row r="68" spans="2:9" ht="15.75" customHeight="1" x14ac:dyDescent="0.3">
      <c r="B68" s="15"/>
      <c r="C68"/>
      <c r="D68"/>
      <c r="E68" s="17"/>
      <c r="F68" s="17"/>
      <c r="G68" s="17"/>
      <c r="H68" s="17"/>
      <c r="I68" s="17"/>
    </row>
    <row r="69" spans="2:9" ht="15.75" customHeight="1" x14ac:dyDescent="0.3">
      <c r="B69" s="15"/>
      <c r="C69"/>
      <c r="D69"/>
      <c r="E69" s="17"/>
      <c r="F69" s="17"/>
      <c r="G69" s="17"/>
      <c r="H69" s="17"/>
      <c r="I69" s="17"/>
    </row>
    <row r="70" spans="2:9" ht="15.75" customHeight="1" x14ac:dyDescent="0.3">
      <c r="B70" s="15"/>
      <c r="C70"/>
      <c r="D70"/>
    </row>
    <row r="71" spans="2:9" ht="15" customHeight="1" x14ac:dyDescent="0.3">
      <c r="B71" s="15"/>
      <c r="C71"/>
      <c r="D71"/>
    </row>
    <row r="72" spans="2:9" ht="15.75" customHeight="1" x14ac:dyDescent="0.3">
      <c r="B72" s="15"/>
      <c r="C72"/>
      <c r="D72"/>
    </row>
    <row r="73" spans="2:9" ht="15.75" customHeight="1" x14ac:dyDescent="0.3">
      <c r="B73" s="15"/>
      <c r="C73"/>
      <c r="D73"/>
    </row>
    <row r="74" spans="2:9" ht="15.75" customHeight="1" x14ac:dyDescent="0.3">
      <c r="B74" s="15"/>
      <c r="C74"/>
      <c r="D74"/>
    </row>
    <row r="75" spans="2:9" ht="15.75" customHeight="1" x14ac:dyDescent="0.3">
      <c r="B75" s="15"/>
      <c r="C75"/>
      <c r="D75"/>
    </row>
    <row r="76" spans="2:9" ht="15.75" customHeight="1" x14ac:dyDescent="0.3">
      <c r="B76" s="15"/>
      <c r="C76"/>
      <c r="D76"/>
    </row>
    <row r="77" spans="2:9" ht="15.75" customHeight="1" x14ac:dyDescent="0.3">
      <c r="B77" s="15"/>
      <c r="C77"/>
      <c r="D77"/>
    </row>
    <row r="78" spans="2:9" ht="15.75" customHeight="1" x14ac:dyDescent="0.3">
      <c r="B78" s="15"/>
      <c r="C78"/>
      <c r="D78"/>
    </row>
    <row r="79" spans="2:9" ht="15.75" customHeight="1" x14ac:dyDescent="0.3">
      <c r="B79" s="15"/>
      <c r="C79"/>
      <c r="D79"/>
    </row>
    <row r="80" spans="2:9" ht="15.75" customHeight="1" x14ac:dyDescent="0.3">
      <c r="B80" s="15"/>
      <c r="C80"/>
      <c r="D80"/>
    </row>
    <row r="81" spans="2:4" ht="15.75" customHeight="1" x14ac:dyDescent="0.3">
      <c r="B81" s="15"/>
      <c r="C81"/>
      <c r="D81"/>
    </row>
    <row r="82" spans="2:4" ht="15.75" customHeight="1" x14ac:dyDescent="0.3">
      <c r="B82" s="15"/>
    </row>
    <row r="83" spans="2:4" ht="15.75" customHeight="1" x14ac:dyDescent="0.3">
      <c r="B83" s="15"/>
    </row>
    <row r="84" spans="2:4" ht="15.75" customHeight="1" x14ac:dyDescent="0.3">
      <c r="B84" s="15"/>
    </row>
    <row r="85" spans="2:4" ht="15.75" customHeight="1" x14ac:dyDescent="0.3">
      <c r="B85" s="15"/>
    </row>
    <row r="86" spans="2:4" ht="15.75" customHeight="1" x14ac:dyDescent="0.3">
      <c r="B86" s="15"/>
    </row>
    <row r="87" spans="2:4" ht="15.75" customHeight="1" x14ac:dyDescent="0.3">
      <c r="B87" s="15"/>
    </row>
    <row r="88" spans="2:4" ht="15.75" customHeight="1" x14ac:dyDescent="0.3">
      <c r="B88" s="15"/>
    </row>
    <row r="89" spans="2:4" ht="15.75" customHeight="1" x14ac:dyDescent="0.3">
      <c r="B89" s="15"/>
    </row>
    <row r="90" spans="2:4" ht="15.75" customHeight="1" x14ac:dyDescent="0.3"/>
    <row r="91" spans="2:4" ht="15.75" customHeight="1" x14ac:dyDescent="0.3"/>
    <row r="92" spans="2:4" ht="15.75" customHeight="1" x14ac:dyDescent="0.3"/>
    <row r="93" spans="2:4" ht="15.75" customHeight="1" x14ac:dyDescent="0.3"/>
    <row r="94" spans="2:4" ht="15.75" customHeight="1" x14ac:dyDescent="0.3"/>
    <row r="95" spans="2:4" ht="15.75" customHeight="1" x14ac:dyDescent="0.3"/>
    <row r="96" spans="2:4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  <row r="1031" ht="15.75" customHeight="1" x14ac:dyDescent="0.3"/>
    <row r="1032" ht="15.75" customHeight="1" x14ac:dyDescent="0.3"/>
    <row r="1033" ht="15.75" customHeight="1" x14ac:dyDescent="0.3"/>
    <row r="1034" ht="15.75" customHeight="1" x14ac:dyDescent="0.3"/>
    <row r="1035" ht="15.75" customHeight="1" x14ac:dyDescent="0.3"/>
    <row r="1036" ht="15.75" customHeight="1" x14ac:dyDescent="0.3"/>
    <row r="1037" ht="15.75" customHeight="1" x14ac:dyDescent="0.3"/>
    <row r="1038" ht="15.75" customHeight="1" x14ac:dyDescent="0.3"/>
    <row r="1039" ht="15.75" customHeight="1" x14ac:dyDescent="0.3"/>
    <row r="1040" ht="15.75" customHeight="1" x14ac:dyDescent="0.3"/>
    <row r="1041" ht="15.75" customHeight="1" x14ac:dyDescent="0.3"/>
    <row r="1042" ht="15.75" customHeight="1" x14ac:dyDescent="0.3"/>
    <row r="1043" ht="15.75" customHeight="1" x14ac:dyDescent="0.3"/>
    <row r="1044" ht="15.75" customHeight="1" x14ac:dyDescent="0.3"/>
    <row r="1045" ht="15.75" customHeight="1" x14ac:dyDescent="0.3"/>
  </sheetData>
  <mergeCells count="1">
    <mergeCell ref="D2:D11"/>
  </mergeCells>
  <dataValidations disablePrompts="1" count="1">
    <dataValidation type="list" allowBlank="1" showInputMessage="1" showErrorMessage="1" sqref="C12:D27 C4" xr:uid="{12BBC08A-A510-4B26-B720-04B26AEFFDFC}">
      <formula1>Veh_Cat</formula1>
    </dataValidation>
  </dataValidations>
  <pageMargins left="0.7" right="0.7" top="0.75" bottom="0.75" header="0" footer="0"/>
  <pageSetup orientation="landscape" r:id="rId1"/>
  <ignoredErrors>
    <ignoredError sqref="S3" formula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75AC992-59F1-4818-B944-1CE1BD54B46C}">
          <x14:formula1>
            <xm:f>'Vehicle Mapping'!$A$2:$A$43</xm:f>
          </x14:formula1>
          <xm:sqref>B4 B12:B89</xm:sqref>
        </x14:dataValidation>
        <x14:dataValidation type="list" allowBlank="1" showInputMessage="1" showErrorMessage="1" xr:uid="{BA21AE33-D6B2-43DF-84F1-57DA70AB90FE}">
          <x14:formula1>
            <xm:f>'Drop Down Lists'!$X$2:$X$15</xm:f>
          </x14:formula1>
          <xm:sqref>E12:E13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zoomScaleNormal="100" workbookViewId="0">
      <selection activeCell="C7" sqref="C7"/>
    </sheetView>
  </sheetViews>
  <sheetFormatPr defaultColWidth="12.88671875" defaultRowHeight="15" customHeight="1" x14ac:dyDescent="0.3"/>
  <cols>
    <col min="1" max="1" width="8.88671875" style="12" customWidth="1"/>
    <col min="2" max="2" width="12" style="12" customWidth="1"/>
    <col min="3" max="3" width="19.33203125" style="12" customWidth="1"/>
    <col min="4" max="23" width="9.109375" style="12" customWidth="1"/>
    <col min="24" max="16384" width="12.88671875" style="12"/>
  </cols>
  <sheetData>
    <row r="1" spans="1:3" ht="14.4" x14ac:dyDescent="0.3">
      <c r="A1" s="9" t="s">
        <v>22</v>
      </c>
      <c r="B1" s="9" t="s">
        <v>425</v>
      </c>
      <c r="C1" s="9" t="s">
        <v>424</v>
      </c>
    </row>
    <row r="2" spans="1:3" ht="14.4" x14ac:dyDescent="0.3">
      <c r="A2" s="9" t="s">
        <v>42</v>
      </c>
      <c r="B2" s="10">
        <v>1500</v>
      </c>
      <c r="C2" s="10">
        <v>2100</v>
      </c>
    </row>
    <row r="3" spans="1:3" ht="14.4" x14ac:dyDescent="0.3">
      <c r="A3" s="9" t="s">
        <v>61</v>
      </c>
      <c r="B3" s="10">
        <v>1500</v>
      </c>
      <c r="C3" s="10">
        <v>2200</v>
      </c>
    </row>
    <row r="4" spans="1:3" ht="14.4" x14ac:dyDescent="0.3">
      <c r="A4" s="9" t="s">
        <v>202</v>
      </c>
      <c r="B4" s="10">
        <v>1200</v>
      </c>
      <c r="C4" s="10">
        <v>2200</v>
      </c>
    </row>
    <row r="5" spans="1:3" ht="14.4" x14ac:dyDescent="0.3">
      <c r="A5" s="9" t="s">
        <v>99</v>
      </c>
      <c r="B5" s="10">
        <v>1200</v>
      </c>
      <c r="C5" s="10">
        <v>2200</v>
      </c>
    </row>
    <row r="6" spans="1:3" ht="14.4" x14ac:dyDescent="0.3">
      <c r="A6" s="9" t="s">
        <v>119</v>
      </c>
      <c r="B6" s="10">
        <v>1200</v>
      </c>
      <c r="C6" s="10">
        <v>2400</v>
      </c>
    </row>
    <row r="7" spans="1:3" ht="14.4" x14ac:dyDescent="0.3">
      <c r="A7" s="9" t="s">
        <v>281</v>
      </c>
      <c r="B7" s="10">
        <v>1300</v>
      </c>
      <c r="C7" s="10">
        <v>2700</v>
      </c>
    </row>
    <row r="8" spans="1:3" ht="14.4" x14ac:dyDescent="0.3">
      <c r="A8" s="9" t="s">
        <v>102</v>
      </c>
      <c r="B8" s="10">
        <v>1300</v>
      </c>
      <c r="C8" s="10">
        <v>2300</v>
      </c>
    </row>
    <row r="9" spans="1:3" ht="14.4" x14ac:dyDescent="0.3">
      <c r="A9" s="9" t="s">
        <v>175</v>
      </c>
      <c r="B9" s="10">
        <v>1500</v>
      </c>
      <c r="C9" s="10">
        <v>2500</v>
      </c>
    </row>
    <row r="10" spans="1:3" ht="14.4" x14ac:dyDescent="0.3">
      <c r="A10" s="9" t="s">
        <v>142</v>
      </c>
      <c r="B10" s="10">
        <v>1500</v>
      </c>
      <c r="C10" s="10">
        <v>1800</v>
      </c>
    </row>
    <row r="11" spans="1:3" ht="14.4" x14ac:dyDescent="0.3">
      <c r="A11" s="9" t="s">
        <v>105</v>
      </c>
      <c r="B11" s="10">
        <v>1400</v>
      </c>
      <c r="C11" s="10">
        <v>2000</v>
      </c>
    </row>
    <row r="12" spans="1:3" ht="14.4" x14ac:dyDescent="0.3">
      <c r="A12" s="9" t="s">
        <v>193</v>
      </c>
      <c r="B12" s="10">
        <v>1200</v>
      </c>
      <c r="C12" s="10">
        <v>2400</v>
      </c>
    </row>
    <row r="13" spans="1:3" ht="14.4" x14ac:dyDescent="0.3">
      <c r="A13" s="9" t="s">
        <v>179</v>
      </c>
      <c r="B13" s="10">
        <v>1300</v>
      </c>
      <c r="C13" s="10">
        <v>2100</v>
      </c>
    </row>
    <row r="14" spans="1:3" ht="14.4" x14ac:dyDescent="0.3">
      <c r="A14" s="9" t="s">
        <v>195</v>
      </c>
      <c r="B14" s="10">
        <v>1500</v>
      </c>
      <c r="C14" s="10">
        <v>2600</v>
      </c>
    </row>
    <row r="15" spans="1:3" ht="14.4" x14ac:dyDescent="0.3">
      <c r="A15" s="9" t="s">
        <v>196</v>
      </c>
      <c r="B15" s="10">
        <v>1400</v>
      </c>
      <c r="C15" s="10">
        <v>2200</v>
      </c>
    </row>
    <row r="16" spans="1:3" ht="14.4" x14ac:dyDescent="0.3">
      <c r="A16" s="9" t="s">
        <v>129</v>
      </c>
      <c r="B16" s="10">
        <v>1100</v>
      </c>
      <c r="C16" s="10">
        <v>2700</v>
      </c>
    </row>
    <row r="17" spans="1:3" ht="14.4" x14ac:dyDescent="0.3">
      <c r="A17" s="9" t="s">
        <v>237</v>
      </c>
      <c r="B17" s="10">
        <v>1100</v>
      </c>
      <c r="C17" s="10">
        <v>2500</v>
      </c>
    </row>
    <row r="18" spans="1:3" ht="14.4" x14ac:dyDescent="0.3">
      <c r="A18" s="9" t="s">
        <v>276</v>
      </c>
      <c r="B18" s="10">
        <v>1300</v>
      </c>
      <c r="C18" s="10">
        <v>2200</v>
      </c>
    </row>
    <row r="19" spans="1:3" ht="14.4" x14ac:dyDescent="0.3"/>
    <row r="20" spans="1:3" ht="14.4" x14ac:dyDescent="0.3"/>
    <row r="21" spans="1:3" ht="15.75" customHeight="1" x14ac:dyDescent="0.3"/>
    <row r="22" spans="1:3" ht="15.75" customHeight="1" x14ac:dyDescent="0.3"/>
    <row r="23" spans="1:3" ht="15.75" customHeight="1" x14ac:dyDescent="0.3"/>
    <row r="24" spans="1:3" ht="15.75" customHeight="1" x14ac:dyDescent="0.3"/>
    <row r="25" spans="1:3" ht="15.75" customHeight="1" x14ac:dyDescent="0.3"/>
    <row r="26" spans="1:3" ht="15.75" customHeight="1" x14ac:dyDescent="0.3"/>
    <row r="27" spans="1:3" ht="15.75" customHeight="1" x14ac:dyDescent="0.3"/>
    <row r="28" spans="1:3" ht="15.75" customHeight="1" x14ac:dyDescent="0.3"/>
    <row r="29" spans="1:3" ht="15.75" customHeight="1" x14ac:dyDescent="0.3"/>
    <row r="30" spans="1:3" ht="15.75" customHeight="1" x14ac:dyDescent="0.3"/>
    <row r="31" spans="1:3" ht="15.75" customHeight="1" x14ac:dyDescent="0.3"/>
    <row r="32" spans="1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000"/>
  <sheetViews>
    <sheetView zoomScaleNormal="100" workbookViewId="0">
      <selection activeCell="E18" sqref="E18"/>
    </sheetView>
  </sheetViews>
  <sheetFormatPr defaultColWidth="12.88671875" defaultRowHeight="15" customHeight="1" x14ac:dyDescent="0.3"/>
  <cols>
    <col min="1" max="1" width="22.6640625" customWidth="1"/>
    <col min="2" max="2" width="12.88671875" customWidth="1"/>
    <col min="3" max="3" width="29.33203125" customWidth="1"/>
    <col min="4" max="4" width="14.33203125" customWidth="1"/>
    <col min="5" max="5" width="9.109375" customWidth="1"/>
    <col min="6" max="6" width="11.77734375" bestFit="1" customWidth="1"/>
    <col min="7" max="22" width="10.33203125" customWidth="1"/>
  </cols>
  <sheetData>
    <row r="1" spans="1:6" ht="14.4" x14ac:dyDescent="0.3">
      <c r="A1" s="9" t="s">
        <v>383</v>
      </c>
      <c r="B1" s="9" t="s">
        <v>300</v>
      </c>
      <c r="C1" s="9" t="s">
        <v>429</v>
      </c>
      <c r="D1" s="9" t="s">
        <v>386</v>
      </c>
      <c r="E1" s="64" t="s">
        <v>463</v>
      </c>
      <c r="F1" s="64"/>
    </row>
    <row r="2" spans="1:6" ht="14.4" x14ac:dyDescent="0.3">
      <c r="A2" s="55" t="s">
        <v>12</v>
      </c>
      <c r="B2" s="10">
        <v>0.75</v>
      </c>
      <c r="C2" s="10">
        <v>1800</v>
      </c>
      <c r="D2" s="10">
        <v>2000</v>
      </c>
      <c r="E2">
        <f>C2+D2</f>
        <v>3800</v>
      </c>
    </row>
    <row r="3" spans="1:6" ht="14.4" x14ac:dyDescent="0.3">
      <c r="A3" s="55" t="s">
        <v>14</v>
      </c>
      <c r="B3" s="10">
        <v>1.5</v>
      </c>
      <c r="C3" s="10">
        <v>2100</v>
      </c>
      <c r="D3" s="10">
        <v>2000</v>
      </c>
      <c r="E3">
        <f t="shared" ref="E3:E21" si="0">C3+D3</f>
        <v>4100</v>
      </c>
    </row>
    <row r="4" spans="1:6" ht="14.4" x14ac:dyDescent="0.3">
      <c r="A4" s="55" t="s">
        <v>227</v>
      </c>
      <c r="B4" s="10">
        <v>0.8</v>
      </c>
      <c r="C4" s="10">
        <v>2000</v>
      </c>
      <c r="D4" s="10">
        <v>2000</v>
      </c>
      <c r="E4">
        <f t="shared" si="0"/>
        <v>4000</v>
      </c>
    </row>
    <row r="5" spans="1:6" ht="14.4" x14ac:dyDescent="0.3">
      <c r="A5" s="55" t="s">
        <v>260</v>
      </c>
      <c r="B5" s="10">
        <v>1.5</v>
      </c>
      <c r="C5" s="10">
        <v>2000</v>
      </c>
      <c r="D5" s="10">
        <v>2000</v>
      </c>
      <c r="E5">
        <f t="shared" si="0"/>
        <v>4000</v>
      </c>
    </row>
    <row r="6" spans="1:6" ht="14.4" x14ac:dyDescent="0.3">
      <c r="A6" s="55" t="s">
        <v>269</v>
      </c>
      <c r="B6" s="10">
        <v>0.75</v>
      </c>
      <c r="C6" s="10">
        <v>2000</v>
      </c>
      <c r="D6" s="10">
        <v>2000</v>
      </c>
      <c r="E6">
        <f t="shared" si="0"/>
        <v>4000</v>
      </c>
    </row>
    <row r="7" spans="1:6" ht="14.4" x14ac:dyDescent="0.3">
      <c r="A7" s="55" t="s">
        <v>277</v>
      </c>
      <c r="B7" s="10">
        <v>1</v>
      </c>
      <c r="C7" s="10">
        <v>2000</v>
      </c>
      <c r="D7" s="10">
        <v>2000</v>
      </c>
      <c r="E7">
        <f t="shared" si="0"/>
        <v>4000</v>
      </c>
    </row>
    <row r="8" spans="1:6" ht="14.4" x14ac:dyDescent="0.3">
      <c r="A8" s="55" t="s">
        <v>284</v>
      </c>
      <c r="B8" s="10">
        <v>1.2</v>
      </c>
      <c r="C8" s="10">
        <v>2000</v>
      </c>
      <c r="D8" s="10">
        <v>2500</v>
      </c>
      <c r="E8">
        <f t="shared" si="0"/>
        <v>4500</v>
      </c>
    </row>
    <row r="9" spans="1:6" ht="14.4" x14ac:dyDescent="0.3">
      <c r="A9" s="55" t="s">
        <v>295</v>
      </c>
      <c r="B9" s="10">
        <v>1.25</v>
      </c>
      <c r="C9" s="10">
        <v>2000</v>
      </c>
      <c r="D9" s="10">
        <v>2500</v>
      </c>
      <c r="E9">
        <f t="shared" si="0"/>
        <v>4500</v>
      </c>
    </row>
    <row r="10" spans="1:6" ht="14.4" x14ac:dyDescent="0.3">
      <c r="A10" s="55" t="s">
        <v>113</v>
      </c>
      <c r="B10" s="10">
        <v>3.5</v>
      </c>
      <c r="C10" s="10">
        <v>2500</v>
      </c>
      <c r="D10" s="10">
        <v>2500</v>
      </c>
      <c r="E10">
        <f t="shared" si="0"/>
        <v>5000</v>
      </c>
    </row>
    <row r="11" spans="1:6" ht="14.4" x14ac:dyDescent="0.3">
      <c r="A11" s="55" t="s">
        <v>399</v>
      </c>
      <c r="B11" s="10">
        <v>6.5</v>
      </c>
      <c r="C11" s="10">
        <v>4500</v>
      </c>
      <c r="D11" s="10">
        <v>3000</v>
      </c>
      <c r="E11">
        <f t="shared" si="0"/>
        <v>7500</v>
      </c>
    </row>
    <row r="12" spans="1:6" ht="14.4" x14ac:dyDescent="0.3">
      <c r="A12" s="55" t="s">
        <v>396</v>
      </c>
      <c r="B12" s="10">
        <v>2.5</v>
      </c>
      <c r="C12" s="10">
        <v>4000</v>
      </c>
      <c r="D12" s="10">
        <v>3000</v>
      </c>
      <c r="E12">
        <f t="shared" si="0"/>
        <v>7000</v>
      </c>
    </row>
    <row r="13" spans="1:6" ht="14.4" x14ac:dyDescent="0.3">
      <c r="A13" s="55" t="s">
        <v>15</v>
      </c>
      <c r="B13" s="10">
        <v>2.5</v>
      </c>
      <c r="C13" s="10">
        <v>4000</v>
      </c>
      <c r="D13" s="10">
        <v>3000</v>
      </c>
      <c r="E13">
        <f t="shared" si="0"/>
        <v>7000</v>
      </c>
    </row>
    <row r="14" spans="1:6" ht="14.4" x14ac:dyDescent="0.3">
      <c r="A14" s="55" t="s">
        <v>292</v>
      </c>
      <c r="B14" s="10">
        <v>7.5</v>
      </c>
      <c r="C14" s="10">
        <v>4000</v>
      </c>
      <c r="D14" s="10">
        <v>3000</v>
      </c>
      <c r="E14">
        <f t="shared" si="0"/>
        <v>7000</v>
      </c>
    </row>
    <row r="15" spans="1:6" ht="14.4" x14ac:dyDescent="0.3">
      <c r="A15" s="55" t="s">
        <v>184</v>
      </c>
      <c r="B15" s="10">
        <v>6.8</v>
      </c>
      <c r="C15" s="10">
        <v>5000</v>
      </c>
      <c r="D15" s="10">
        <v>3000</v>
      </c>
      <c r="E15">
        <f t="shared" si="0"/>
        <v>8000</v>
      </c>
    </row>
    <row r="16" spans="1:6" ht="14.4" x14ac:dyDescent="0.3">
      <c r="A16" s="55" t="s">
        <v>397</v>
      </c>
      <c r="B16" s="10">
        <v>4.5</v>
      </c>
      <c r="C16" s="10">
        <v>5000</v>
      </c>
      <c r="D16" s="10">
        <v>3000</v>
      </c>
      <c r="E16">
        <f t="shared" si="0"/>
        <v>8000</v>
      </c>
    </row>
    <row r="17" spans="1:5" ht="14.4" x14ac:dyDescent="0.3">
      <c r="A17" s="55" t="s">
        <v>400</v>
      </c>
      <c r="B17" s="10">
        <v>6.5</v>
      </c>
      <c r="C17" s="10">
        <v>5000</v>
      </c>
      <c r="D17" s="10">
        <v>3000</v>
      </c>
      <c r="E17">
        <f t="shared" si="0"/>
        <v>8000</v>
      </c>
    </row>
    <row r="18" spans="1:5" ht="14.4" x14ac:dyDescent="0.3">
      <c r="A18" s="55">
        <v>909</v>
      </c>
      <c r="B18" s="10">
        <v>6.8</v>
      </c>
      <c r="C18" s="10">
        <v>5000</v>
      </c>
      <c r="D18" s="10">
        <v>3000</v>
      </c>
      <c r="E18">
        <f t="shared" si="0"/>
        <v>8000</v>
      </c>
    </row>
    <row r="19" spans="1:5" ht="14.4" x14ac:dyDescent="0.3">
      <c r="A19" s="55" t="s">
        <v>402</v>
      </c>
      <c r="B19" s="10">
        <v>8</v>
      </c>
      <c r="C19" s="10">
        <v>6000</v>
      </c>
      <c r="D19" s="10">
        <v>3000</v>
      </c>
      <c r="E19">
        <f t="shared" si="0"/>
        <v>9000</v>
      </c>
    </row>
    <row r="20" spans="1:5" ht="14.4" x14ac:dyDescent="0.3">
      <c r="A20" s="55">
        <v>1109</v>
      </c>
      <c r="B20" s="10">
        <v>7.5</v>
      </c>
      <c r="C20" s="10">
        <v>6000</v>
      </c>
      <c r="D20" s="10">
        <v>3000</v>
      </c>
      <c r="E20">
        <f t="shared" si="0"/>
        <v>9000</v>
      </c>
    </row>
    <row r="21" spans="1:5" ht="15.75" customHeight="1" x14ac:dyDescent="0.3">
      <c r="A21" s="55" t="s">
        <v>298</v>
      </c>
      <c r="B21" s="10">
        <v>16</v>
      </c>
      <c r="C21" s="10">
        <v>6000</v>
      </c>
      <c r="D21" s="10">
        <v>3000</v>
      </c>
      <c r="E21">
        <f t="shared" si="0"/>
        <v>9000</v>
      </c>
    </row>
    <row r="22" spans="1:5" ht="15.75" customHeight="1" x14ac:dyDescent="0.3">
      <c r="A22" s="12"/>
      <c r="B22" s="12"/>
      <c r="C22" s="12"/>
      <c r="D22" s="12"/>
    </row>
    <row r="23" spans="1:5" ht="15.75" customHeight="1" x14ac:dyDescent="0.3">
      <c r="A23" s="15" t="s">
        <v>427</v>
      </c>
      <c r="B23" s="21">
        <v>0.3</v>
      </c>
      <c r="C23" s="12"/>
      <c r="D23" s="12"/>
    </row>
    <row r="24" spans="1:5" ht="15.75" customHeight="1" x14ac:dyDescent="0.3">
      <c r="A24" s="15" t="s">
        <v>428</v>
      </c>
      <c r="B24" s="21">
        <v>1</v>
      </c>
      <c r="C24" s="12"/>
      <c r="D24" s="12"/>
    </row>
    <row r="25" spans="1:5" ht="15.75" customHeight="1" x14ac:dyDescent="0.3"/>
    <row r="26" spans="1:5" ht="15.75" customHeight="1" x14ac:dyDescent="0.3"/>
    <row r="27" spans="1:5" ht="15.75" customHeight="1" x14ac:dyDescent="0.3"/>
    <row r="28" spans="1:5" ht="15.75" customHeight="1" x14ac:dyDescent="0.3"/>
    <row r="29" spans="1:5" ht="15.75" customHeight="1" x14ac:dyDescent="0.3"/>
    <row r="30" spans="1:5" ht="15.75" customHeight="1" x14ac:dyDescent="0.3"/>
    <row r="31" spans="1:5" ht="15.75" customHeight="1" x14ac:dyDescent="0.3"/>
    <row r="32" spans="1: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02"/>
  <sheetViews>
    <sheetView workbookViewId="0">
      <selection activeCell="F4" sqref="F4"/>
    </sheetView>
  </sheetViews>
  <sheetFormatPr defaultColWidth="12.88671875" defaultRowHeight="15" customHeight="1" x14ac:dyDescent="0.3"/>
  <cols>
    <col min="1" max="1" width="18.33203125" style="12" customWidth="1"/>
    <col min="2" max="2" width="17.44140625" style="12" customWidth="1"/>
    <col min="3" max="3" width="16.88671875" style="12" customWidth="1"/>
    <col min="4" max="4" width="22.88671875" style="12" customWidth="1"/>
    <col min="5" max="5" width="15.33203125" style="12" customWidth="1"/>
    <col min="6" max="9" width="17.6640625" style="12" customWidth="1"/>
    <col min="10" max="10" width="13.88671875" style="12" customWidth="1"/>
    <col min="11" max="11" width="20.33203125" style="12" customWidth="1"/>
    <col min="12" max="12" width="13.88671875" style="12" customWidth="1"/>
    <col min="13" max="13" width="20.33203125" style="12" customWidth="1"/>
    <col min="14" max="14" width="13.5546875" style="12" bestFit="1" customWidth="1"/>
    <col min="15" max="15" width="5.88671875" style="12" customWidth="1"/>
    <col min="16" max="26" width="9.109375" style="12" customWidth="1"/>
    <col min="27" max="16384" width="12.88671875" style="12"/>
  </cols>
  <sheetData>
    <row r="1" spans="1:15" ht="15" customHeight="1" x14ac:dyDescent="0.3">
      <c r="E1" s="12" t="s">
        <v>431</v>
      </c>
      <c r="F1" s="12">
        <v>3</v>
      </c>
      <c r="G1" s="12">
        <v>4</v>
      </c>
      <c r="H1" s="12">
        <v>5</v>
      </c>
      <c r="I1" s="12">
        <v>8</v>
      </c>
    </row>
    <row r="2" spans="1:15" ht="15" customHeight="1" x14ac:dyDescent="0.3">
      <c r="E2" s="12" t="s">
        <v>432</v>
      </c>
      <c r="K2" s="12" t="s">
        <v>469</v>
      </c>
      <c r="L2" s="12">
        <v>2021</v>
      </c>
    </row>
    <row r="3" spans="1:15" ht="14.4" x14ac:dyDescent="0.3">
      <c r="A3" s="9" t="s">
        <v>383</v>
      </c>
      <c r="B3" s="9" t="s">
        <v>459</v>
      </c>
      <c r="C3" s="9" t="s">
        <v>384</v>
      </c>
      <c r="D3" s="9" t="s">
        <v>456</v>
      </c>
      <c r="E3" s="9" t="s">
        <v>385</v>
      </c>
      <c r="F3" t="s">
        <v>152</v>
      </c>
      <c r="G3" t="s">
        <v>133</v>
      </c>
      <c r="H3" t="s">
        <v>17</v>
      </c>
      <c r="I3" t="s">
        <v>168</v>
      </c>
    </row>
    <row r="4" spans="1:15" ht="14.4" x14ac:dyDescent="0.3">
      <c r="A4" s="55" t="s">
        <v>12</v>
      </c>
      <c r="B4" s="11">
        <v>400000</v>
      </c>
      <c r="C4" s="56">
        <v>0.2</v>
      </c>
      <c r="D4" s="11">
        <f>B4*(1-C4)</f>
        <v>320000</v>
      </c>
      <c r="E4" s="57">
        <v>0.105</v>
      </c>
      <c r="F4" s="58">
        <f>PMT($E4/12,F$1*12,$D4)</f>
        <v>-10400.781921499816</v>
      </c>
      <c r="G4" s="58">
        <f>PMT($E4/12,G$1*12,$D4)</f>
        <v>-8193.0815206092902</v>
      </c>
      <c r="H4" s="58">
        <f t="shared" ref="H4:I19" si="0">PMT($E4/12,H$1*12,$D4)</f>
        <v>-6878.0481209975869</v>
      </c>
      <c r="I4" s="58">
        <f t="shared" si="0"/>
        <v>-4940.8051853710622</v>
      </c>
      <c r="K4" s="12" t="s">
        <v>468</v>
      </c>
      <c r="L4" s="12" t="s">
        <v>470</v>
      </c>
    </row>
    <row r="5" spans="1:15" ht="14.4" x14ac:dyDescent="0.3">
      <c r="A5" s="55" t="s">
        <v>14</v>
      </c>
      <c r="B5" s="11">
        <v>650000</v>
      </c>
      <c r="C5" s="56">
        <v>0.2</v>
      </c>
      <c r="D5" s="11">
        <f t="shared" ref="D5:D23" si="1">B5*(1-C5)</f>
        <v>520000</v>
      </c>
      <c r="E5" s="57">
        <v>0.105</v>
      </c>
      <c r="F5" s="58">
        <f t="shared" ref="F5:F23" si="2">PMT($E5/12,F$1*12,$D5)</f>
        <v>-16901.270622437201</v>
      </c>
      <c r="G5" s="58">
        <f t="shared" ref="G5:G23" si="3">PMT($E5/12,G$1*12,$D5)</f>
        <v>-13313.757470990096</v>
      </c>
      <c r="H5" s="58">
        <f t="shared" si="0"/>
        <v>-11176.828196621078</v>
      </c>
      <c r="I5" s="58">
        <f t="shared" si="0"/>
        <v>-8028.8084262279763</v>
      </c>
      <c r="K5" s="12" t="s">
        <v>77</v>
      </c>
      <c r="L5" s="12">
        <v>2021</v>
      </c>
      <c r="N5" s="12" t="s">
        <v>472</v>
      </c>
      <c r="O5" s="12" t="s">
        <v>473</v>
      </c>
    </row>
    <row r="6" spans="1:15" ht="14.4" x14ac:dyDescent="0.3">
      <c r="A6" s="55" t="s">
        <v>113</v>
      </c>
      <c r="B6" s="11">
        <v>600000</v>
      </c>
      <c r="C6" s="56">
        <v>0.2</v>
      </c>
      <c r="D6" s="11">
        <f t="shared" si="1"/>
        <v>480000</v>
      </c>
      <c r="E6" s="57">
        <v>0.105</v>
      </c>
      <c r="F6" s="58">
        <f t="shared" si="2"/>
        <v>-15601.172882249726</v>
      </c>
      <c r="G6" s="58">
        <f t="shared" si="3"/>
        <v>-12289.622280913936</v>
      </c>
      <c r="H6" s="58">
        <f t="shared" si="0"/>
        <v>-10317.07218149638</v>
      </c>
      <c r="I6" s="58">
        <f t="shared" si="0"/>
        <v>-7411.2077780565942</v>
      </c>
      <c r="K6" s="12" t="s">
        <v>152</v>
      </c>
      <c r="L6" s="12">
        <v>2018</v>
      </c>
      <c r="N6" s="12" t="s">
        <v>19</v>
      </c>
      <c r="O6" s="12">
        <v>20000</v>
      </c>
    </row>
    <row r="7" spans="1:15" ht="14.4" x14ac:dyDescent="0.3">
      <c r="A7" s="55" t="s">
        <v>396</v>
      </c>
      <c r="B7" s="11">
        <v>750000</v>
      </c>
      <c r="C7" s="56">
        <v>0.2</v>
      </c>
      <c r="D7" s="11">
        <f t="shared" si="1"/>
        <v>600000</v>
      </c>
      <c r="E7" s="57">
        <v>0.105</v>
      </c>
      <c r="F7" s="58">
        <f t="shared" si="2"/>
        <v>-19501.466102812159</v>
      </c>
      <c r="G7" s="58">
        <f t="shared" si="3"/>
        <v>-15362.027851142419</v>
      </c>
      <c r="H7" s="58">
        <f t="shared" si="0"/>
        <v>-12896.340226870476</v>
      </c>
      <c r="I7" s="58">
        <f t="shared" si="0"/>
        <v>-9264.0097225707414</v>
      </c>
      <c r="K7" s="12" t="s">
        <v>133</v>
      </c>
      <c r="L7">
        <v>2017</v>
      </c>
      <c r="N7" s="12" t="s">
        <v>18</v>
      </c>
      <c r="O7" s="12">
        <v>30000</v>
      </c>
    </row>
    <row r="8" spans="1:15" ht="14.4" x14ac:dyDescent="0.3">
      <c r="A8" s="55" t="s">
        <v>397</v>
      </c>
      <c r="B8" s="11">
        <v>1150000</v>
      </c>
      <c r="C8" s="56">
        <v>0.2</v>
      </c>
      <c r="D8" s="11">
        <f t="shared" si="1"/>
        <v>920000</v>
      </c>
      <c r="E8" s="57">
        <v>0.105</v>
      </c>
      <c r="F8" s="58">
        <f t="shared" si="2"/>
        <v>-29902.248024311975</v>
      </c>
      <c r="G8" s="58">
        <f t="shared" si="3"/>
        <v>-23555.109371751707</v>
      </c>
      <c r="H8" s="58">
        <f t="shared" si="0"/>
        <v>-19774.388347868062</v>
      </c>
      <c r="I8" s="58">
        <f t="shared" si="0"/>
        <v>-14204.814907941805</v>
      </c>
      <c r="K8" s="12" t="s">
        <v>17</v>
      </c>
      <c r="L8">
        <v>2016</v>
      </c>
      <c r="N8" s="12" t="s">
        <v>213</v>
      </c>
      <c r="O8" s="12">
        <v>40000</v>
      </c>
    </row>
    <row r="9" spans="1:15" ht="14.4" x14ac:dyDescent="0.3">
      <c r="A9" s="55" t="s">
        <v>400</v>
      </c>
      <c r="B9" s="11">
        <v>1150000</v>
      </c>
      <c r="C9" s="56">
        <v>0.2</v>
      </c>
      <c r="D9" s="11">
        <f t="shared" si="1"/>
        <v>920000</v>
      </c>
      <c r="E9" s="57">
        <v>0.105</v>
      </c>
      <c r="F9" s="58">
        <f t="shared" si="2"/>
        <v>-29902.248024311975</v>
      </c>
      <c r="G9" s="58">
        <f t="shared" si="3"/>
        <v>-23555.109371751707</v>
      </c>
      <c r="H9" s="58">
        <f t="shared" si="0"/>
        <v>-19774.388347868062</v>
      </c>
      <c r="I9" s="58">
        <f t="shared" si="0"/>
        <v>-14204.814907941805</v>
      </c>
      <c r="K9" s="12" t="s">
        <v>168</v>
      </c>
      <c r="L9">
        <v>2013</v>
      </c>
      <c r="N9" s="12" t="s">
        <v>228</v>
      </c>
      <c r="O9" s="12">
        <v>50000</v>
      </c>
    </row>
    <row r="10" spans="1:15" ht="14.4" x14ac:dyDescent="0.3">
      <c r="A10" s="55" t="s">
        <v>184</v>
      </c>
      <c r="B10" s="11">
        <v>1400000</v>
      </c>
      <c r="C10" s="56">
        <v>0.2</v>
      </c>
      <c r="D10" s="11">
        <f t="shared" si="1"/>
        <v>1120000</v>
      </c>
      <c r="E10" s="57">
        <v>0.105</v>
      </c>
      <c r="F10" s="58">
        <f t="shared" si="2"/>
        <v>-36402.736725249364</v>
      </c>
      <c r="G10" s="58">
        <f t="shared" si="3"/>
        <v>-28675.785322132517</v>
      </c>
      <c r="H10" s="58">
        <f t="shared" si="0"/>
        <v>-24073.168423491556</v>
      </c>
      <c r="I10" s="58">
        <f t="shared" si="0"/>
        <v>-17292.818148798717</v>
      </c>
      <c r="K10" s="12" t="s">
        <v>19</v>
      </c>
      <c r="L10">
        <v>2021</v>
      </c>
      <c r="N10" s="12" t="s">
        <v>240</v>
      </c>
      <c r="O10" s="12">
        <v>60000</v>
      </c>
    </row>
    <row r="11" spans="1:15" ht="14.4" x14ac:dyDescent="0.3">
      <c r="A11" s="55" t="s">
        <v>399</v>
      </c>
      <c r="B11" s="11">
        <v>1250000</v>
      </c>
      <c r="C11" s="56">
        <v>0.2</v>
      </c>
      <c r="D11" s="11">
        <f t="shared" si="1"/>
        <v>1000000</v>
      </c>
      <c r="E11" s="57">
        <v>0.105</v>
      </c>
      <c r="F11" s="58">
        <f t="shared" si="2"/>
        <v>-32502.443504686929</v>
      </c>
      <c r="G11" s="58">
        <f t="shared" si="3"/>
        <v>-25603.379751904034</v>
      </c>
      <c r="H11" s="58">
        <f t="shared" si="0"/>
        <v>-21493.900378117458</v>
      </c>
      <c r="I11" s="58">
        <f t="shared" si="0"/>
        <v>-15440.01620428457</v>
      </c>
      <c r="K11" s="12" t="s">
        <v>18</v>
      </c>
      <c r="L11">
        <v>2021</v>
      </c>
      <c r="N11" s="12" t="s">
        <v>251</v>
      </c>
      <c r="O11" s="12">
        <v>70000</v>
      </c>
    </row>
    <row r="12" spans="1:15" ht="14.4" x14ac:dyDescent="0.3">
      <c r="A12" s="55" t="s">
        <v>402</v>
      </c>
      <c r="B12" s="11">
        <v>1450000</v>
      </c>
      <c r="C12" s="56">
        <v>0.2</v>
      </c>
      <c r="D12" s="11">
        <f t="shared" si="1"/>
        <v>1160000</v>
      </c>
      <c r="E12" s="57">
        <v>0.105</v>
      </c>
      <c r="F12" s="58">
        <f t="shared" si="2"/>
        <v>-37702.834465436841</v>
      </c>
      <c r="G12" s="58">
        <f t="shared" si="3"/>
        <v>-29699.920512208679</v>
      </c>
      <c r="H12" s="58">
        <f t="shared" si="0"/>
        <v>-24932.924438616254</v>
      </c>
      <c r="I12" s="58">
        <f t="shared" si="0"/>
        <v>-17910.418796970102</v>
      </c>
      <c r="K12" s="12" t="s">
        <v>213</v>
      </c>
      <c r="L12">
        <v>2021</v>
      </c>
      <c r="N12" s="12" t="s">
        <v>261</v>
      </c>
      <c r="O12" s="12">
        <v>80000</v>
      </c>
    </row>
    <row r="13" spans="1:15" ht="14.4" x14ac:dyDescent="0.3">
      <c r="A13" s="55" t="s">
        <v>227</v>
      </c>
      <c r="B13" s="11">
        <v>250000</v>
      </c>
      <c r="C13" s="56">
        <v>0.2</v>
      </c>
      <c r="D13" s="11">
        <f t="shared" si="1"/>
        <v>200000</v>
      </c>
      <c r="E13" s="57">
        <v>0.105</v>
      </c>
      <c r="F13" s="58">
        <f t="shared" si="2"/>
        <v>-6500.4887009373861</v>
      </c>
      <c r="G13" s="58">
        <f t="shared" si="3"/>
        <v>-5120.6759503808071</v>
      </c>
      <c r="H13" s="58">
        <f t="shared" si="0"/>
        <v>-4298.7800756234919</v>
      </c>
      <c r="I13" s="58">
        <f t="shared" si="0"/>
        <v>-3088.0032408569141</v>
      </c>
      <c r="K13" s="12" t="s">
        <v>228</v>
      </c>
      <c r="L13">
        <v>2021</v>
      </c>
    </row>
    <row r="14" spans="1:15" ht="14.4" x14ac:dyDescent="0.3">
      <c r="A14" s="55">
        <v>909</v>
      </c>
      <c r="B14" s="11">
        <v>1200000</v>
      </c>
      <c r="C14" s="56">
        <v>0.2</v>
      </c>
      <c r="D14" s="11">
        <f t="shared" si="1"/>
        <v>960000</v>
      </c>
      <c r="E14" s="57">
        <v>0.105</v>
      </c>
      <c r="F14" s="58">
        <f t="shared" si="2"/>
        <v>-31202.345764499452</v>
      </c>
      <c r="G14" s="58">
        <f t="shared" si="3"/>
        <v>-24579.244561827873</v>
      </c>
      <c r="H14" s="58">
        <f t="shared" si="0"/>
        <v>-20634.14436299276</v>
      </c>
      <c r="I14" s="58">
        <f t="shared" si="0"/>
        <v>-14822.415556113188</v>
      </c>
      <c r="K14" s="12" t="s">
        <v>240</v>
      </c>
      <c r="L14">
        <v>2021</v>
      </c>
    </row>
    <row r="15" spans="1:15" ht="14.4" x14ac:dyDescent="0.3">
      <c r="A15" s="55">
        <v>1109</v>
      </c>
      <c r="B15" s="11">
        <v>1400000</v>
      </c>
      <c r="C15" s="56">
        <v>0.2</v>
      </c>
      <c r="D15" s="11">
        <f t="shared" si="1"/>
        <v>1120000</v>
      </c>
      <c r="E15" s="57">
        <v>0.105</v>
      </c>
      <c r="F15" s="58">
        <f t="shared" si="2"/>
        <v>-36402.736725249364</v>
      </c>
      <c r="G15" s="58">
        <f t="shared" si="3"/>
        <v>-28675.785322132517</v>
      </c>
      <c r="H15" s="58">
        <f t="shared" si="0"/>
        <v>-24073.168423491556</v>
      </c>
      <c r="I15" s="58">
        <f t="shared" si="0"/>
        <v>-17292.818148798717</v>
      </c>
      <c r="K15" s="12" t="s">
        <v>251</v>
      </c>
      <c r="L15">
        <v>2021</v>
      </c>
    </row>
    <row r="16" spans="1:15" ht="14.4" x14ac:dyDescent="0.3">
      <c r="A16" s="55" t="s">
        <v>260</v>
      </c>
      <c r="B16" s="11">
        <v>750000</v>
      </c>
      <c r="C16" s="56">
        <v>0.2</v>
      </c>
      <c r="D16" s="11">
        <f t="shared" si="1"/>
        <v>600000</v>
      </c>
      <c r="E16" s="57">
        <v>0.105</v>
      </c>
      <c r="F16" s="58">
        <f t="shared" si="2"/>
        <v>-19501.466102812159</v>
      </c>
      <c r="G16" s="58">
        <f t="shared" si="3"/>
        <v>-15362.027851142419</v>
      </c>
      <c r="H16" s="58">
        <f t="shared" si="0"/>
        <v>-12896.340226870476</v>
      </c>
      <c r="I16" s="58">
        <f t="shared" si="0"/>
        <v>-9264.0097225707414</v>
      </c>
      <c r="K16" s="12" t="s">
        <v>261</v>
      </c>
      <c r="L16">
        <v>2021</v>
      </c>
    </row>
    <row r="17" spans="1:9" ht="14.4" x14ac:dyDescent="0.3">
      <c r="A17" s="55" t="s">
        <v>269</v>
      </c>
      <c r="B17" s="11">
        <v>300000</v>
      </c>
      <c r="C17" s="56">
        <v>0.2</v>
      </c>
      <c r="D17" s="11">
        <f t="shared" si="1"/>
        <v>240000</v>
      </c>
      <c r="E17" s="57">
        <v>0.105</v>
      </c>
      <c r="F17" s="58">
        <f t="shared" si="2"/>
        <v>-7800.5864411248631</v>
      </c>
      <c r="G17" s="58">
        <f t="shared" si="3"/>
        <v>-6144.8111404569681</v>
      </c>
      <c r="H17" s="58">
        <f t="shared" si="0"/>
        <v>-5158.53609074819</v>
      </c>
      <c r="I17" s="58">
        <f t="shared" si="0"/>
        <v>-3705.6038890282971</v>
      </c>
    </row>
    <row r="18" spans="1:9" ht="14.4" x14ac:dyDescent="0.3">
      <c r="A18" s="55" t="s">
        <v>277</v>
      </c>
      <c r="B18" s="11">
        <v>450000</v>
      </c>
      <c r="C18" s="56">
        <v>0.2</v>
      </c>
      <c r="D18" s="11">
        <f t="shared" si="1"/>
        <v>360000</v>
      </c>
      <c r="E18" s="57">
        <v>0.105</v>
      </c>
      <c r="F18" s="58">
        <f t="shared" si="2"/>
        <v>-11700.879661687295</v>
      </c>
      <c r="G18" s="58">
        <f t="shared" si="3"/>
        <v>-9217.2167106854522</v>
      </c>
      <c r="H18" s="58">
        <f t="shared" si="0"/>
        <v>-7737.8041361222849</v>
      </c>
      <c r="I18" s="58">
        <f t="shared" si="0"/>
        <v>-5558.4058335424452</v>
      </c>
    </row>
    <row r="19" spans="1:9" ht="14.4" x14ac:dyDescent="0.3">
      <c r="A19" s="55" t="s">
        <v>284</v>
      </c>
      <c r="B19" s="11">
        <v>550000</v>
      </c>
      <c r="C19" s="56">
        <v>0.2</v>
      </c>
      <c r="D19" s="11">
        <f t="shared" si="1"/>
        <v>440000</v>
      </c>
      <c r="E19" s="57">
        <v>0.105</v>
      </c>
      <c r="F19" s="58">
        <f t="shared" si="2"/>
        <v>-14301.075142062249</v>
      </c>
      <c r="G19" s="58">
        <f t="shared" si="3"/>
        <v>-11265.487090837774</v>
      </c>
      <c r="H19" s="58">
        <f t="shared" si="0"/>
        <v>-9457.3161663716819</v>
      </c>
      <c r="I19" s="58">
        <f t="shared" si="0"/>
        <v>-6793.6071298852112</v>
      </c>
    </row>
    <row r="20" spans="1:9" ht="14.4" x14ac:dyDescent="0.3">
      <c r="A20" s="55" t="s">
        <v>15</v>
      </c>
      <c r="B20" s="11">
        <v>700000</v>
      </c>
      <c r="C20" s="56">
        <v>0.2</v>
      </c>
      <c r="D20" s="11">
        <f t="shared" si="1"/>
        <v>560000</v>
      </c>
      <c r="E20" s="57">
        <v>0.105</v>
      </c>
      <c r="F20" s="58">
        <f t="shared" si="2"/>
        <v>-18201.368362624682</v>
      </c>
      <c r="G20" s="58">
        <f t="shared" si="3"/>
        <v>-14337.892661066258</v>
      </c>
      <c r="H20" s="58">
        <f t="shared" ref="H20:I23" si="4">PMT($E20/12,H$1*12,$D20)</f>
        <v>-12036.584211745778</v>
      </c>
      <c r="I20" s="58">
        <f t="shared" si="4"/>
        <v>-8646.4090743993584</v>
      </c>
    </row>
    <row r="21" spans="1:9" ht="14.4" x14ac:dyDescent="0.3">
      <c r="A21" s="55" t="s">
        <v>292</v>
      </c>
      <c r="B21" s="11">
        <v>1200000</v>
      </c>
      <c r="C21" s="56">
        <v>0.2</v>
      </c>
      <c r="D21" s="11">
        <f t="shared" si="1"/>
        <v>960000</v>
      </c>
      <c r="E21" s="57">
        <v>0.105</v>
      </c>
      <c r="F21" s="58">
        <f t="shared" si="2"/>
        <v>-31202.345764499452</v>
      </c>
      <c r="G21" s="58">
        <f t="shared" si="3"/>
        <v>-24579.244561827873</v>
      </c>
      <c r="H21" s="58">
        <f t="shared" si="4"/>
        <v>-20634.14436299276</v>
      </c>
      <c r="I21" s="58">
        <f t="shared" si="4"/>
        <v>-14822.415556113188</v>
      </c>
    </row>
    <row r="22" spans="1:9" ht="14.4" x14ac:dyDescent="0.3">
      <c r="A22" s="55" t="s">
        <v>295</v>
      </c>
      <c r="B22" s="11">
        <v>500000</v>
      </c>
      <c r="C22" s="56">
        <v>0.2</v>
      </c>
      <c r="D22" s="11">
        <f t="shared" si="1"/>
        <v>400000</v>
      </c>
      <c r="E22" s="57">
        <v>0.105</v>
      </c>
      <c r="F22" s="58">
        <f t="shared" si="2"/>
        <v>-13000.977401874772</v>
      </c>
      <c r="G22" s="58">
        <f t="shared" si="3"/>
        <v>-10241.351900761614</v>
      </c>
      <c r="H22" s="58">
        <f t="shared" si="4"/>
        <v>-8597.5601512469839</v>
      </c>
      <c r="I22" s="58">
        <f t="shared" si="4"/>
        <v>-6176.0064817138282</v>
      </c>
    </row>
    <row r="23" spans="1:9" ht="15.75" customHeight="1" x14ac:dyDescent="0.3">
      <c r="A23" s="55" t="s">
        <v>298</v>
      </c>
      <c r="B23" s="11">
        <v>2000000</v>
      </c>
      <c r="C23" s="56">
        <v>0.2</v>
      </c>
      <c r="D23" s="11">
        <f t="shared" si="1"/>
        <v>1600000</v>
      </c>
      <c r="E23" s="57">
        <v>0.105</v>
      </c>
      <c r="F23" s="58">
        <f t="shared" si="2"/>
        <v>-52003.909607499088</v>
      </c>
      <c r="G23" s="58">
        <f t="shared" si="3"/>
        <v>-40965.407603046457</v>
      </c>
      <c r="H23" s="58">
        <f t="shared" si="4"/>
        <v>-34390.240604987936</v>
      </c>
      <c r="I23" s="58">
        <f t="shared" si="4"/>
        <v>-24704.025926855313</v>
      </c>
    </row>
    <row r="24" spans="1:9" ht="15.75" customHeight="1" x14ac:dyDescent="0.3"/>
    <row r="25" spans="1:9" ht="15.75" customHeight="1" x14ac:dyDescent="0.3"/>
    <row r="26" spans="1:9" ht="15.75" customHeight="1" x14ac:dyDescent="0.3"/>
    <row r="27" spans="1:9" ht="15.75" customHeight="1" x14ac:dyDescent="0.3"/>
    <row r="28" spans="1:9" ht="15.75" customHeight="1" x14ac:dyDescent="0.3"/>
    <row r="29" spans="1:9" ht="15.75" customHeight="1" x14ac:dyDescent="0.3"/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999"/>
  <sheetViews>
    <sheetView workbookViewId="0">
      <selection activeCell="A2" sqref="A2:A21"/>
    </sheetView>
  </sheetViews>
  <sheetFormatPr defaultColWidth="12.88671875" defaultRowHeight="15" customHeight="1" x14ac:dyDescent="0.3"/>
  <cols>
    <col min="1" max="1" width="11.5546875" style="21" customWidth="1"/>
    <col min="2" max="3" width="9.33203125" style="21" customWidth="1"/>
    <col min="4" max="4" width="10.109375" style="21" customWidth="1"/>
    <col min="5" max="8" width="9.33203125" style="21" customWidth="1"/>
    <col min="9" max="9" width="10.44140625" style="21" customWidth="1"/>
    <col min="10" max="11" width="11.33203125" style="21" customWidth="1"/>
    <col min="12" max="17" width="9.33203125" style="21" customWidth="1"/>
    <col min="18" max="18" width="15.88671875" style="21" customWidth="1"/>
    <col min="19" max="19" width="10.6640625" style="21" customWidth="1"/>
    <col min="20" max="20" width="11.33203125" style="21" customWidth="1"/>
    <col min="21" max="21" width="13.109375" style="21" customWidth="1"/>
    <col min="22" max="22" width="9.109375" style="21" customWidth="1"/>
    <col min="23" max="23" width="9.109375" style="21" hidden="1" customWidth="1"/>
    <col min="24" max="24" width="29.33203125" style="21" hidden="1" customWidth="1"/>
    <col min="25" max="25" width="9.88671875" style="21" hidden="1" customWidth="1"/>
    <col min="26" max="16384" width="12.88671875" style="21"/>
  </cols>
  <sheetData>
    <row r="1" spans="1:24" ht="15" customHeight="1" x14ac:dyDescent="0.3">
      <c r="A1" s="60" t="s">
        <v>40</v>
      </c>
      <c r="B1" s="60" t="s">
        <v>55</v>
      </c>
      <c r="C1" s="60" t="s">
        <v>47</v>
      </c>
      <c r="D1" s="60" t="s">
        <v>44</v>
      </c>
      <c r="E1" s="60" t="s">
        <v>53</v>
      </c>
      <c r="F1" s="60" t="s">
        <v>45</v>
      </c>
      <c r="G1" s="60" t="s">
        <v>43</v>
      </c>
      <c r="H1" s="60" t="s">
        <v>57</v>
      </c>
      <c r="I1" s="60" t="s">
        <v>49</v>
      </c>
      <c r="J1" s="60" t="s">
        <v>46</v>
      </c>
      <c r="K1" s="60" t="s">
        <v>25</v>
      </c>
      <c r="L1" s="60" t="s">
        <v>58</v>
      </c>
      <c r="M1" s="60" t="s">
        <v>48</v>
      </c>
      <c r="N1" s="60" t="s">
        <v>50</v>
      </c>
      <c r="O1" s="60" t="s">
        <v>52</v>
      </c>
      <c r="P1" s="60" t="s">
        <v>51</v>
      </c>
      <c r="Q1" s="60" t="s">
        <v>54</v>
      </c>
      <c r="R1" s="60" t="s">
        <v>301</v>
      </c>
      <c r="S1" s="60" t="s">
        <v>418</v>
      </c>
      <c r="W1" s="21" t="s">
        <v>302</v>
      </c>
      <c r="X1" s="21" t="s">
        <v>303</v>
      </c>
    </row>
    <row r="2" spans="1:24" ht="14.4" x14ac:dyDescent="0.3">
      <c r="A2" s="61" t="s">
        <v>12</v>
      </c>
      <c r="B2" s="62">
        <v>14</v>
      </c>
      <c r="C2" s="62">
        <v>13</v>
      </c>
      <c r="D2" s="62">
        <v>15</v>
      </c>
      <c r="E2" s="62">
        <v>14</v>
      </c>
      <c r="F2" s="62">
        <v>14</v>
      </c>
      <c r="G2" s="62">
        <v>10</v>
      </c>
      <c r="H2" s="62">
        <v>14</v>
      </c>
      <c r="I2" s="62">
        <v>16</v>
      </c>
      <c r="J2" s="62"/>
      <c r="K2" s="62"/>
      <c r="L2" s="62"/>
      <c r="M2" s="62">
        <v>12</v>
      </c>
      <c r="N2" s="62">
        <v>12</v>
      </c>
      <c r="O2" s="62">
        <v>16</v>
      </c>
      <c r="P2" s="62"/>
      <c r="Q2" s="62">
        <v>13</v>
      </c>
      <c r="R2" s="63">
        <f>AVERAGE(B2:Q2)</f>
        <v>13.583333333333334</v>
      </c>
      <c r="S2" s="63">
        <f>FLOOR(R2,1)</f>
        <v>13</v>
      </c>
      <c r="W2" s="21" t="s">
        <v>304</v>
      </c>
      <c r="X2" s="21" t="s">
        <v>305</v>
      </c>
    </row>
    <row r="3" spans="1:24" ht="14.4" x14ac:dyDescent="0.3">
      <c r="A3" s="61" t="s">
        <v>14</v>
      </c>
      <c r="B3" s="62">
        <v>11</v>
      </c>
      <c r="C3" s="62">
        <v>12</v>
      </c>
      <c r="D3" s="62">
        <v>14</v>
      </c>
      <c r="E3" s="62">
        <v>14</v>
      </c>
      <c r="F3" s="62">
        <v>14</v>
      </c>
      <c r="G3" s="62"/>
      <c r="H3" s="62"/>
      <c r="I3" s="62">
        <v>12</v>
      </c>
      <c r="J3" s="62"/>
      <c r="K3" s="62"/>
      <c r="L3" s="62"/>
      <c r="M3" s="62">
        <v>10</v>
      </c>
      <c r="N3" s="62">
        <v>8</v>
      </c>
      <c r="O3" s="62">
        <v>14</v>
      </c>
      <c r="P3" s="62">
        <v>10</v>
      </c>
      <c r="Q3" s="62"/>
      <c r="R3" s="63">
        <f t="shared" ref="R3:R21" si="0">AVERAGE(B3:Q3)</f>
        <v>11.9</v>
      </c>
      <c r="S3" s="63">
        <f t="shared" ref="S3:S21" si="1">FLOOR(R3,1)</f>
        <v>11</v>
      </c>
      <c r="W3" s="21" t="s">
        <v>306</v>
      </c>
      <c r="X3" s="21" t="s">
        <v>307</v>
      </c>
    </row>
    <row r="4" spans="1:24" ht="14.4" x14ac:dyDescent="0.3">
      <c r="A4" s="61" t="s">
        <v>113</v>
      </c>
      <c r="B4" s="62">
        <v>7</v>
      </c>
      <c r="C4" s="62">
        <v>9</v>
      </c>
      <c r="D4" s="62">
        <v>10</v>
      </c>
      <c r="E4" s="62">
        <v>10</v>
      </c>
      <c r="F4" s="62">
        <v>10</v>
      </c>
      <c r="G4" s="62"/>
      <c r="H4" s="62"/>
      <c r="I4" s="62">
        <v>10</v>
      </c>
      <c r="J4" s="62"/>
      <c r="K4" s="62"/>
      <c r="L4" s="62"/>
      <c r="M4" s="62">
        <v>10</v>
      </c>
      <c r="N4" s="62"/>
      <c r="O4" s="62"/>
      <c r="P4" s="62">
        <v>9</v>
      </c>
      <c r="Q4" s="62"/>
      <c r="R4" s="63">
        <f t="shared" si="0"/>
        <v>9.375</v>
      </c>
      <c r="S4" s="63">
        <f t="shared" si="1"/>
        <v>9</v>
      </c>
      <c r="W4" s="21" t="s">
        <v>308</v>
      </c>
      <c r="X4" s="21" t="s">
        <v>309</v>
      </c>
    </row>
    <row r="5" spans="1:24" ht="14.4" x14ac:dyDescent="0.3">
      <c r="A5" s="61" t="s">
        <v>396</v>
      </c>
      <c r="B5" s="62">
        <v>9</v>
      </c>
      <c r="C5" s="62">
        <v>8</v>
      </c>
      <c r="D5" s="62">
        <v>9</v>
      </c>
      <c r="E5" s="62">
        <v>9</v>
      </c>
      <c r="F5" s="62">
        <v>9</v>
      </c>
      <c r="G5" s="62"/>
      <c r="H5" s="62">
        <v>7</v>
      </c>
      <c r="I5" s="62">
        <v>6</v>
      </c>
      <c r="J5" s="62"/>
      <c r="K5" s="62"/>
      <c r="L5" s="62"/>
      <c r="M5" s="62"/>
      <c r="N5" s="62">
        <v>7</v>
      </c>
      <c r="O5" s="62">
        <v>9</v>
      </c>
      <c r="P5" s="62">
        <v>7</v>
      </c>
      <c r="Q5" s="62">
        <v>9</v>
      </c>
      <c r="R5" s="63">
        <f t="shared" si="0"/>
        <v>8.0909090909090917</v>
      </c>
      <c r="S5" s="63">
        <f t="shared" si="1"/>
        <v>8</v>
      </c>
      <c r="W5" s="21" t="s">
        <v>310</v>
      </c>
      <c r="X5" s="21" t="s">
        <v>311</v>
      </c>
    </row>
    <row r="6" spans="1:24" ht="14.4" x14ac:dyDescent="0.3">
      <c r="A6" s="61" t="s">
        <v>397</v>
      </c>
      <c r="B6" s="62">
        <v>7</v>
      </c>
      <c r="C6" s="62">
        <v>7</v>
      </c>
      <c r="D6" s="62">
        <v>7</v>
      </c>
      <c r="E6" s="62">
        <v>7</v>
      </c>
      <c r="F6" s="62">
        <v>7</v>
      </c>
      <c r="G6" s="62">
        <v>8</v>
      </c>
      <c r="H6" s="62"/>
      <c r="I6" s="62">
        <v>6</v>
      </c>
      <c r="J6" s="62"/>
      <c r="K6" s="62"/>
      <c r="L6" s="62"/>
      <c r="M6" s="62"/>
      <c r="N6" s="62">
        <v>6</v>
      </c>
      <c r="O6" s="62"/>
      <c r="P6" s="62">
        <v>7</v>
      </c>
      <c r="Q6" s="62">
        <v>7</v>
      </c>
      <c r="R6" s="63">
        <f t="shared" si="0"/>
        <v>6.9</v>
      </c>
      <c r="S6" s="63">
        <f t="shared" si="1"/>
        <v>6</v>
      </c>
      <c r="W6" s="21" t="s">
        <v>312</v>
      </c>
      <c r="X6" s="21" t="s">
        <v>313</v>
      </c>
    </row>
    <row r="7" spans="1:24" ht="14.4" x14ac:dyDescent="0.3">
      <c r="A7" s="61" t="s">
        <v>400</v>
      </c>
      <c r="B7" s="62">
        <v>7</v>
      </c>
      <c r="C7" s="62">
        <v>7</v>
      </c>
      <c r="D7" s="62">
        <v>7</v>
      </c>
      <c r="E7" s="62">
        <v>7</v>
      </c>
      <c r="F7" s="62">
        <v>7</v>
      </c>
      <c r="G7" s="62"/>
      <c r="H7" s="62"/>
      <c r="I7" s="62">
        <v>6</v>
      </c>
      <c r="J7" s="62"/>
      <c r="K7" s="62"/>
      <c r="L7" s="62"/>
      <c r="M7" s="62">
        <v>7</v>
      </c>
      <c r="N7" s="62">
        <v>7</v>
      </c>
      <c r="O7" s="62">
        <v>7</v>
      </c>
      <c r="P7" s="62">
        <v>7</v>
      </c>
      <c r="Q7" s="62">
        <v>7</v>
      </c>
      <c r="R7" s="63">
        <f t="shared" si="0"/>
        <v>6.9090909090909092</v>
      </c>
      <c r="S7" s="63">
        <f t="shared" si="1"/>
        <v>6</v>
      </c>
      <c r="W7" s="21" t="s">
        <v>314</v>
      </c>
      <c r="X7" s="21" t="s">
        <v>303</v>
      </c>
    </row>
    <row r="8" spans="1:24" ht="14.4" x14ac:dyDescent="0.3">
      <c r="A8" s="61" t="s">
        <v>184</v>
      </c>
      <c r="B8" s="62">
        <v>5</v>
      </c>
      <c r="C8" s="62">
        <v>6</v>
      </c>
      <c r="D8" s="62">
        <v>6</v>
      </c>
      <c r="E8" s="62">
        <v>6</v>
      </c>
      <c r="F8" s="62">
        <v>6</v>
      </c>
      <c r="G8" s="62"/>
      <c r="H8" s="62">
        <v>6</v>
      </c>
      <c r="I8" s="62">
        <v>5</v>
      </c>
      <c r="J8" s="62"/>
      <c r="K8" s="62"/>
      <c r="L8" s="62"/>
      <c r="M8" s="62"/>
      <c r="N8" s="62">
        <v>6</v>
      </c>
      <c r="O8" s="62"/>
      <c r="P8" s="62">
        <v>6</v>
      </c>
      <c r="Q8" s="62"/>
      <c r="R8" s="63">
        <f t="shared" si="0"/>
        <v>5.7777777777777777</v>
      </c>
      <c r="S8" s="63">
        <f t="shared" si="1"/>
        <v>5</v>
      </c>
      <c r="W8" s="21" t="s">
        <v>315</v>
      </c>
      <c r="X8" s="21" t="s">
        <v>316</v>
      </c>
    </row>
    <row r="9" spans="1:24" ht="14.4" x14ac:dyDescent="0.3">
      <c r="A9" s="61" t="s">
        <v>399</v>
      </c>
      <c r="B9" s="62">
        <v>7</v>
      </c>
      <c r="C9" s="62">
        <v>7</v>
      </c>
      <c r="D9" s="62">
        <v>6</v>
      </c>
      <c r="E9" s="62">
        <v>6</v>
      </c>
      <c r="F9" s="62">
        <v>6</v>
      </c>
      <c r="G9" s="62">
        <v>7</v>
      </c>
      <c r="H9" s="62"/>
      <c r="I9" s="62"/>
      <c r="J9" s="62"/>
      <c r="K9" s="62"/>
      <c r="L9" s="62"/>
      <c r="M9" s="62">
        <v>7</v>
      </c>
      <c r="N9" s="62">
        <v>7</v>
      </c>
      <c r="O9" s="62">
        <v>6</v>
      </c>
      <c r="P9" s="62">
        <v>6</v>
      </c>
      <c r="Q9" s="62">
        <v>6</v>
      </c>
      <c r="R9" s="63">
        <f t="shared" si="0"/>
        <v>6.4545454545454541</v>
      </c>
      <c r="S9" s="63">
        <f t="shared" si="1"/>
        <v>6</v>
      </c>
      <c r="W9" s="21" t="s">
        <v>317</v>
      </c>
      <c r="X9" s="21" t="s">
        <v>318</v>
      </c>
    </row>
    <row r="10" spans="1:24" ht="14.4" x14ac:dyDescent="0.3">
      <c r="A10" s="61" t="s">
        <v>402</v>
      </c>
      <c r="B10" s="62">
        <v>3</v>
      </c>
      <c r="C10" s="62">
        <v>3</v>
      </c>
      <c r="D10" s="62">
        <v>3</v>
      </c>
      <c r="E10" s="62">
        <v>3</v>
      </c>
      <c r="F10" s="62">
        <v>3</v>
      </c>
      <c r="G10" s="62"/>
      <c r="H10" s="62"/>
      <c r="I10" s="62">
        <v>3</v>
      </c>
      <c r="J10" s="62"/>
      <c r="K10" s="62"/>
      <c r="L10" s="62"/>
      <c r="M10" s="62"/>
      <c r="N10" s="62">
        <v>3</v>
      </c>
      <c r="O10" s="62"/>
      <c r="P10" s="62"/>
      <c r="Q10" s="62"/>
      <c r="R10" s="63">
        <f t="shared" si="0"/>
        <v>3</v>
      </c>
      <c r="S10" s="63">
        <f t="shared" si="1"/>
        <v>3</v>
      </c>
      <c r="W10" s="21" t="s">
        <v>319</v>
      </c>
      <c r="X10" s="21" t="s">
        <v>320</v>
      </c>
    </row>
    <row r="11" spans="1:24" ht="14.4" x14ac:dyDescent="0.3">
      <c r="A11" s="61" t="s">
        <v>227</v>
      </c>
      <c r="B11" s="62">
        <v>10</v>
      </c>
      <c r="C11" s="62">
        <v>10</v>
      </c>
      <c r="D11" s="62">
        <v>10</v>
      </c>
      <c r="E11" s="62">
        <v>10</v>
      </c>
      <c r="F11" s="62">
        <v>10</v>
      </c>
      <c r="G11" s="62"/>
      <c r="H11" s="62"/>
      <c r="I11" s="62">
        <v>10</v>
      </c>
      <c r="J11" s="62"/>
      <c r="K11" s="62"/>
      <c r="L11" s="62"/>
      <c r="M11" s="62"/>
      <c r="N11" s="62">
        <v>10</v>
      </c>
      <c r="O11" s="62">
        <v>10</v>
      </c>
      <c r="P11" s="62">
        <v>10</v>
      </c>
      <c r="Q11" s="62"/>
      <c r="R11" s="63">
        <f t="shared" si="0"/>
        <v>10</v>
      </c>
      <c r="S11" s="63">
        <f t="shared" si="1"/>
        <v>10</v>
      </c>
      <c r="W11" s="21" t="s">
        <v>321</v>
      </c>
      <c r="X11" s="21" t="s">
        <v>322</v>
      </c>
    </row>
    <row r="12" spans="1:24" ht="14.4" x14ac:dyDescent="0.3">
      <c r="A12" s="61">
        <v>909</v>
      </c>
      <c r="B12" s="62">
        <v>7</v>
      </c>
      <c r="C12" s="62">
        <v>7</v>
      </c>
      <c r="D12" s="62">
        <v>7</v>
      </c>
      <c r="E12" s="62">
        <v>7</v>
      </c>
      <c r="F12" s="62">
        <v>7</v>
      </c>
      <c r="G12" s="62">
        <v>7</v>
      </c>
      <c r="H12" s="62">
        <v>7</v>
      </c>
      <c r="I12" s="62">
        <v>7</v>
      </c>
      <c r="J12" s="62">
        <v>7</v>
      </c>
      <c r="K12" s="62">
        <v>7</v>
      </c>
      <c r="L12" s="62">
        <v>7</v>
      </c>
      <c r="M12" s="62">
        <v>7</v>
      </c>
      <c r="N12" s="62">
        <v>7</v>
      </c>
      <c r="O12" s="62">
        <v>7</v>
      </c>
      <c r="P12" s="62">
        <v>7</v>
      </c>
      <c r="Q12" s="62">
        <v>7</v>
      </c>
      <c r="R12" s="63">
        <f t="shared" si="0"/>
        <v>7</v>
      </c>
      <c r="S12" s="63">
        <f t="shared" si="1"/>
        <v>7</v>
      </c>
      <c r="W12" s="21" t="s">
        <v>323</v>
      </c>
      <c r="X12" s="21" t="s">
        <v>324</v>
      </c>
    </row>
    <row r="13" spans="1:24" ht="14.4" x14ac:dyDescent="0.3">
      <c r="A13" s="61">
        <v>1109</v>
      </c>
      <c r="B13" s="62">
        <v>6</v>
      </c>
      <c r="C13" s="62">
        <v>6</v>
      </c>
      <c r="D13" s="62">
        <v>6</v>
      </c>
      <c r="E13" s="62">
        <v>6</v>
      </c>
      <c r="F13" s="62">
        <v>6</v>
      </c>
      <c r="G13" s="62">
        <v>6</v>
      </c>
      <c r="H13" s="62">
        <v>6</v>
      </c>
      <c r="I13" s="62">
        <v>6</v>
      </c>
      <c r="J13" s="62">
        <v>6</v>
      </c>
      <c r="K13" s="62">
        <v>6</v>
      </c>
      <c r="L13" s="62">
        <v>6</v>
      </c>
      <c r="M13" s="62">
        <v>8</v>
      </c>
      <c r="N13" s="62">
        <v>6</v>
      </c>
      <c r="O13" s="62">
        <v>6</v>
      </c>
      <c r="P13" s="62">
        <v>6</v>
      </c>
      <c r="Q13" s="62">
        <v>6</v>
      </c>
      <c r="R13" s="63">
        <f t="shared" si="0"/>
        <v>6.125</v>
      </c>
      <c r="S13" s="63">
        <f t="shared" si="1"/>
        <v>6</v>
      </c>
      <c r="W13" s="21" t="s">
        <v>325</v>
      </c>
      <c r="X13" s="21" t="s">
        <v>326</v>
      </c>
    </row>
    <row r="14" spans="1:24" ht="14.4" x14ac:dyDescent="0.3">
      <c r="A14" s="61" t="s">
        <v>260</v>
      </c>
      <c r="B14" s="62">
        <v>12</v>
      </c>
      <c r="C14" s="62">
        <v>12</v>
      </c>
      <c r="D14" s="62">
        <v>12</v>
      </c>
      <c r="E14" s="62">
        <v>12</v>
      </c>
      <c r="F14" s="62">
        <v>12</v>
      </c>
      <c r="G14" s="62"/>
      <c r="H14" s="62"/>
      <c r="I14" s="62">
        <v>12</v>
      </c>
      <c r="J14" s="62"/>
      <c r="K14" s="62"/>
      <c r="L14" s="62"/>
      <c r="M14" s="62"/>
      <c r="N14" s="62">
        <v>12</v>
      </c>
      <c r="O14" s="62">
        <v>12</v>
      </c>
      <c r="P14" s="62">
        <v>12</v>
      </c>
      <c r="Q14" s="62"/>
      <c r="R14" s="63">
        <f t="shared" si="0"/>
        <v>12</v>
      </c>
      <c r="S14" s="63">
        <f t="shared" si="1"/>
        <v>12</v>
      </c>
      <c r="W14" s="21" t="s">
        <v>327</v>
      </c>
      <c r="X14" s="21" t="s">
        <v>328</v>
      </c>
    </row>
    <row r="15" spans="1:24" ht="14.4" x14ac:dyDescent="0.3">
      <c r="A15" s="61" t="s">
        <v>269</v>
      </c>
      <c r="B15" s="62">
        <v>10</v>
      </c>
      <c r="C15" s="62">
        <v>10</v>
      </c>
      <c r="D15" s="62">
        <v>10</v>
      </c>
      <c r="E15" s="62">
        <v>10</v>
      </c>
      <c r="F15" s="62">
        <v>10</v>
      </c>
      <c r="G15" s="62"/>
      <c r="H15" s="62"/>
      <c r="I15" s="62">
        <v>10</v>
      </c>
      <c r="J15" s="62"/>
      <c r="K15" s="62"/>
      <c r="L15" s="62"/>
      <c r="M15" s="62"/>
      <c r="N15" s="62">
        <v>10</v>
      </c>
      <c r="O15" s="62">
        <v>10</v>
      </c>
      <c r="P15" s="62">
        <v>10</v>
      </c>
      <c r="Q15" s="62"/>
      <c r="R15" s="63">
        <f t="shared" si="0"/>
        <v>10</v>
      </c>
      <c r="S15" s="63">
        <f t="shared" si="1"/>
        <v>10</v>
      </c>
      <c r="W15" s="21" t="s">
        <v>329</v>
      </c>
      <c r="X15" s="21" t="s">
        <v>330</v>
      </c>
    </row>
    <row r="16" spans="1:24" ht="14.4" x14ac:dyDescent="0.3">
      <c r="A16" s="61" t="s">
        <v>277</v>
      </c>
      <c r="B16" s="62">
        <v>15</v>
      </c>
      <c r="C16" s="62">
        <v>15</v>
      </c>
      <c r="D16" s="62">
        <v>15</v>
      </c>
      <c r="E16" s="62">
        <v>15</v>
      </c>
      <c r="F16" s="62">
        <v>15</v>
      </c>
      <c r="G16" s="62"/>
      <c r="H16" s="62">
        <v>15</v>
      </c>
      <c r="I16" s="62">
        <v>15</v>
      </c>
      <c r="J16" s="62">
        <v>15</v>
      </c>
      <c r="K16" s="62">
        <v>15</v>
      </c>
      <c r="L16" s="62"/>
      <c r="M16" s="62"/>
      <c r="N16" s="62">
        <v>15</v>
      </c>
      <c r="O16" s="62">
        <v>15</v>
      </c>
      <c r="P16" s="62">
        <v>15</v>
      </c>
      <c r="Q16" s="62"/>
      <c r="R16" s="63">
        <f t="shared" si="0"/>
        <v>15</v>
      </c>
      <c r="S16" s="63">
        <f t="shared" si="1"/>
        <v>15</v>
      </c>
      <c r="W16" s="21" t="s">
        <v>331</v>
      </c>
      <c r="X16" s="21" t="s">
        <v>332</v>
      </c>
    </row>
    <row r="17" spans="1:25" ht="14.4" x14ac:dyDescent="0.3">
      <c r="A17" s="61" t="s">
        <v>284</v>
      </c>
      <c r="B17" s="62">
        <v>15</v>
      </c>
      <c r="C17" s="62">
        <v>15</v>
      </c>
      <c r="D17" s="62">
        <v>15</v>
      </c>
      <c r="E17" s="62">
        <v>15</v>
      </c>
      <c r="F17" s="62">
        <v>15</v>
      </c>
      <c r="G17" s="62"/>
      <c r="H17" s="62">
        <v>15</v>
      </c>
      <c r="I17" s="62">
        <v>15</v>
      </c>
      <c r="J17" s="62">
        <v>15</v>
      </c>
      <c r="K17" s="62">
        <v>15</v>
      </c>
      <c r="L17" s="62"/>
      <c r="M17" s="62">
        <v>13</v>
      </c>
      <c r="N17" s="62">
        <v>15</v>
      </c>
      <c r="O17" s="62">
        <v>15</v>
      </c>
      <c r="P17" s="62">
        <v>15</v>
      </c>
      <c r="Q17" s="62"/>
      <c r="R17" s="63">
        <f t="shared" si="0"/>
        <v>14.846153846153847</v>
      </c>
      <c r="S17" s="63">
        <f t="shared" si="1"/>
        <v>14</v>
      </c>
      <c r="W17" s="21" t="s">
        <v>333</v>
      </c>
      <c r="X17" s="21" t="s">
        <v>334</v>
      </c>
    </row>
    <row r="18" spans="1:25" ht="14.4" x14ac:dyDescent="0.3">
      <c r="A18" s="61" t="s">
        <v>15</v>
      </c>
      <c r="B18" s="62">
        <v>10</v>
      </c>
      <c r="C18" s="62">
        <v>10</v>
      </c>
      <c r="D18" s="62">
        <v>10</v>
      </c>
      <c r="E18" s="62">
        <v>10</v>
      </c>
      <c r="F18" s="62">
        <v>10</v>
      </c>
      <c r="G18" s="62"/>
      <c r="H18" s="62">
        <v>10</v>
      </c>
      <c r="I18" s="62">
        <v>10</v>
      </c>
      <c r="J18" s="62">
        <v>10</v>
      </c>
      <c r="K18" s="62">
        <v>10</v>
      </c>
      <c r="L18" s="62"/>
      <c r="M18" s="62"/>
      <c r="N18" s="62">
        <v>10</v>
      </c>
      <c r="O18" s="62">
        <v>10</v>
      </c>
      <c r="P18" s="62">
        <v>10</v>
      </c>
      <c r="Q18" s="62"/>
      <c r="R18" s="63">
        <f t="shared" si="0"/>
        <v>10</v>
      </c>
      <c r="S18" s="63">
        <f t="shared" si="1"/>
        <v>10</v>
      </c>
      <c r="W18" s="21" t="s">
        <v>335</v>
      </c>
      <c r="X18" s="21" t="s">
        <v>336</v>
      </c>
    </row>
    <row r="19" spans="1:25" ht="14.4" x14ac:dyDescent="0.3">
      <c r="A19" s="61" t="s">
        <v>292</v>
      </c>
      <c r="B19" s="62">
        <v>4</v>
      </c>
      <c r="C19" s="62">
        <v>4</v>
      </c>
      <c r="D19" s="62">
        <v>4</v>
      </c>
      <c r="E19" s="62">
        <v>4</v>
      </c>
      <c r="F19" s="62">
        <v>4</v>
      </c>
      <c r="G19" s="62">
        <v>4</v>
      </c>
      <c r="H19" s="62">
        <v>4</v>
      </c>
      <c r="I19" s="62"/>
      <c r="J19" s="62">
        <v>4</v>
      </c>
      <c r="K19" s="62">
        <v>4</v>
      </c>
      <c r="L19" s="62"/>
      <c r="M19" s="62"/>
      <c r="N19" s="62">
        <v>4</v>
      </c>
      <c r="O19" s="62">
        <v>4</v>
      </c>
      <c r="P19" s="62">
        <v>4</v>
      </c>
      <c r="Q19" s="62"/>
      <c r="R19" s="63">
        <f t="shared" si="0"/>
        <v>4</v>
      </c>
      <c r="S19" s="63">
        <f t="shared" si="1"/>
        <v>4</v>
      </c>
      <c r="W19" s="21" t="s">
        <v>337</v>
      </c>
      <c r="X19" s="21" t="s">
        <v>338</v>
      </c>
    </row>
    <row r="20" spans="1:25" ht="15.75" customHeight="1" x14ac:dyDescent="0.3">
      <c r="A20" s="61" t="s">
        <v>295</v>
      </c>
      <c r="B20" s="62">
        <v>12</v>
      </c>
      <c r="C20" s="62">
        <v>12</v>
      </c>
      <c r="D20" s="62">
        <v>12</v>
      </c>
      <c r="E20" s="62">
        <v>12</v>
      </c>
      <c r="F20" s="62">
        <v>12</v>
      </c>
      <c r="G20" s="62">
        <v>12</v>
      </c>
      <c r="H20" s="62">
        <v>12</v>
      </c>
      <c r="I20" s="62"/>
      <c r="J20" s="62">
        <v>12</v>
      </c>
      <c r="K20" s="62">
        <v>12</v>
      </c>
      <c r="L20" s="62"/>
      <c r="M20" s="62"/>
      <c r="N20" s="62">
        <v>12</v>
      </c>
      <c r="O20" s="62">
        <v>12</v>
      </c>
      <c r="P20" s="62">
        <v>12</v>
      </c>
      <c r="Q20" s="62"/>
      <c r="R20" s="63">
        <f t="shared" si="0"/>
        <v>12</v>
      </c>
      <c r="S20" s="63">
        <f t="shared" si="1"/>
        <v>12</v>
      </c>
      <c r="W20" s="21" t="s">
        <v>339</v>
      </c>
      <c r="X20" s="21" t="s">
        <v>340</v>
      </c>
    </row>
    <row r="21" spans="1:25" ht="15.75" customHeight="1" x14ac:dyDescent="0.3">
      <c r="A21" s="61" t="s">
        <v>298</v>
      </c>
      <c r="B21" s="62"/>
      <c r="C21" s="62">
        <v>6</v>
      </c>
      <c r="D21" s="62"/>
      <c r="E21" s="62"/>
      <c r="F21" s="62"/>
      <c r="G21" s="62">
        <v>6</v>
      </c>
      <c r="H21" s="62"/>
      <c r="I21" s="62"/>
      <c r="J21" s="62"/>
      <c r="K21" s="62"/>
      <c r="L21" s="62"/>
      <c r="M21" s="62"/>
      <c r="N21" s="62">
        <v>6</v>
      </c>
      <c r="O21" s="62"/>
      <c r="P21" s="62"/>
      <c r="Q21" s="62"/>
      <c r="R21" s="63">
        <f t="shared" si="0"/>
        <v>6</v>
      </c>
      <c r="S21" s="63">
        <f t="shared" si="1"/>
        <v>6</v>
      </c>
      <c r="W21" s="21" t="s">
        <v>341</v>
      </c>
      <c r="X21" s="21" t="s">
        <v>342</v>
      </c>
    </row>
    <row r="22" spans="1:25" ht="15.75" customHeight="1" x14ac:dyDescent="0.3">
      <c r="X22" s="21" t="s">
        <v>343</v>
      </c>
      <c r="Y22" s="21" t="s">
        <v>344</v>
      </c>
    </row>
    <row r="23" spans="1:25" ht="15.75" customHeight="1" x14ac:dyDescent="0.3">
      <c r="X23" s="21" t="s">
        <v>345</v>
      </c>
      <c r="Y23" s="21" t="s">
        <v>346</v>
      </c>
    </row>
    <row r="24" spans="1:25" ht="15.75" customHeight="1" x14ac:dyDescent="0.3">
      <c r="X24" s="21" t="s">
        <v>347</v>
      </c>
      <c r="Y24" s="21" t="s">
        <v>348</v>
      </c>
    </row>
    <row r="25" spans="1:25" ht="15.75" customHeight="1" x14ac:dyDescent="0.3">
      <c r="X25" s="21" t="s">
        <v>349</v>
      </c>
      <c r="Y25" s="21" t="s">
        <v>350</v>
      </c>
    </row>
    <row r="26" spans="1:25" ht="15.75" customHeight="1" x14ac:dyDescent="0.3">
      <c r="X26" s="21" t="s">
        <v>351</v>
      </c>
      <c r="Y26" s="21" t="s">
        <v>352</v>
      </c>
    </row>
    <row r="27" spans="1:25" ht="15.75" customHeight="1" x14ac:dyDescent="0.3">
      <c r="X27" s="21" t="s">
        <v>353</v>
      </c>
      <c r="Y27" s="21" t="s">
        <v>354</v>
      </c>
    </row>
    <row r="28" spans="1:25" ht="15.75" customHeight="1" x14ac:dyDescent="0.3">
      <c r="X28" s="21" t="s">
        <v>355</v>
      </c>
      <c r="Y28" s="21" t="s">
        <v>356</v>
      </c>
    </row>
    <row r="29" spans="1:25" ht="15.75" customHeight="1" x14ac:dyDescent="0.3">
      <c r="X29" s="21" t="s">
        <v>357</v>
      </c>
      <c r="Y29" s="21" t="s">
        <v>358</v>
      </c>
    </row>
    <row r="30" spans="1:25" ht="15.75" customHeight="1" x14ac:dyDescent="0.3">
      <c r="X30" s="21" t="s">
        <v>359</v>
      </c>
      <c r="Y30" s="21" t="s">
        <v>360</v>
      </c>
    </row>
    <row r="31" spans="1:25" ht="15.75" customHeight="1" x14ac:dyDescent="0.3"/>
    <row r="32" spans="1:2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workbookViewId="0">
      <selection activeCell="K26" sqref="K26"/>
    </sheetView>
  </sheetViews>
  <sheetFormatPr defaultColWidth="12.88671875" defaultRowHeight="15" customHeight="1" x14ac:dyDescent="0.3"/>
  <cols>
    <col min="1" max="1" width="9.109375" style="12" customWidth="1"/>
    <col min="2" max="2" width="15.88671875" style="12" customWidth="1"/>
    <col min="3" max="3" width="12.88671875" style="12" customWidth="1"/>
    <col min="4" max="4" width="9.33203125" style="12" customWidth="1"/>
    <col min="5" max="5" width="14.33203125" style="12" customWidth="1"/>
    <col min="6" max="6" width="12.33203125" style="12" customWidth="1"/>
    <col min="7" max="7" width="13.109375" style="12" customWidth="1"/>
    <col min="8" max="8" width="15.33203125" style="12" customWidth="1"/>
    <col min="9" max="9" width="9.109375" style="12" customWidth="1"/>
    <col min="10" max="10" width="49.33203125" style="12" customWidth="1"/>
    <col min="11" max="25" width="9.109375" style="12" customWidth="1"/>
    <col min="26" max="16384" width="12.88671875" style="12"/>
  </cols>
  <sheetData>
    <row r="1" spans="1:10" ht="14.4" x14ac:dyDescent="0.3">
      <c r="A1" s="9" t="s">
        <v>22</v>
      </c>
      <c r="B1" s="9" t="s">
        <v>362</v>
      </c>
      <c r="C1" s="9" t="s">
        <v>363</v>
      </c>
      <c r="D1" s="9" t="s">
        <v>364</v>
      </c>
      <c r="E1" s="9" t="s">
        <v>365</v>
      </c>
      <c r="F1" s="9" t="s">
        <v>366</v>
      </c>
      <c r="G1" s="9" t="s">
        <v>422</v>
      </c>
      <c r="H1" s="9" t="s">
        <v>367</v>
      </c>
    </row>
    <row r="2" spans="1:10" ht="14.4" x14ac:dyDescent="0.3">
      <c r="A2" s="9" t="s">
        <v>42</v>
      </c>
      <c r="B2" s="10" t="s">
        <v>368</v>
      </c>
      <c r="C2" s="10">
        <v>10809.6</v>
      </c>
      <c r="D2" s="10">
        <v>11917.8</v>
      </c>
      <c r="E2" s="10">
        <v>12513.6</v>
      </c>
      <c r="F2" s="10">
        <f>CEILING(C2,100)+1000</f>
        <v>11900</v>
      </c>
      <c r="G2" s="10">
        <f>CEILING(D2,100)+1000</f>
        <v>13000</v>
      </c>
      <c r="H2" s="10">
        <f>CEILING(E2,100)+1000</f>
        <v>13600</v>
      </c>
      <c r="J2" s="12" t="s">
        <v>369</v>
      </c>
    </row>
    <row r="3" spans="1:10" ht="14.4" x14ac:dyDescent="0.3">
      <c r="A3" s="9" t="s">
        <v>61</v>
      </c>
      <c r="B3" s="10" t="s">
        <v>370</v>
      </c>
      <c r="C3" s="10">
        <v>9972.3000000000011</v>
      </c>
      <c r="D3" s="10">
        <v>11007.300000000001</v>
      </c>
      <c r="E3" s="10">
        <v>12198.300000000001</v>
      </c>
      <c r="F3" s="10">
        <f t="shared" ref="F3:F19" si="0">CEILING(C3,100)+1000</f>
        <v>11000</v>
      </c>
      <c r="G3" s="10">
        <f t="shared" ref="G3:G19" si="1">CEILING(D3,100)+1000</f>
        <v>12100</v>
      </c>
      <c r="H3" s="10">
        <f t="shared" ref="H3:H19" si="2">CEILING(E3,100)+1000</f>
        <v>13200</v>
      </c>
      <c r="J3" s="12" t="s">
        <v>403</v>
      </c>
    </row>
    <row r="4" spans="1:10" ht="14.4" x14ac:dyDescent="0.3">
      <c r="A4" s="9" t="s">
        <v>202</v>
      </c>
      <c r="B4" s="10" t="s">
        <v>371</v>
      </c>
      <c r="C4" s="10">
        <v>13429.41</v>
      </c>
      <c r="D4" s="10">
        <v>14704.07</v>
      </c>
      <c r="E4" s="10">
        <v>16106.2</v>
      </c>
      <c r="F4" s="10">
        <f t="shared" si="0"/>
        <v>14500</v>
      </c>
      <c r="G4" s="10">
        <f t="shared" si="1"/>
        <v>15800</v>
      </c>
      <c r="H4" s="10">
        <f t="shared" si="2"/>
        <v>17200</v>
      </c>
      <c r="J4" s="12" t="s">
        <v>372</v>
      </c>
    </row>
    <row r="5" spans="1:10" ht="14.4" x14ac:dyDescent="0.3">
      <c r="A5" s="9" t="s">
        <v>99</v>
      </c>
      <c r="B5" s="10" t="s">
        <v>373</v>
      </c>
      <c r="C5" s="10">
        <v>13429.41</v>
      </c>
      <c r="D5" s="10">
        <v>14704.07</v>
      </c>
      <c r="E5" s="10">
        <v>16106.2</v>
      </c>
      <c r="F5" s="10">
        <f t="shared" si="0"/>
        <v>14500</v>
      </c>
      <c r="G5" s="10">
        <f t="shared" si="1"/>
        <v>15800</v>
      </c>
      <c r="H5" s="10">
        <f t="shared" si="2"/>
        <v>17200</v>
      </c>
    </row>
    <row r="6" spans="1:10" ht="14.4" x14ac:dyDescent="0.3">
      <c r="A6" s="9" t="s">
        <v>119</v>
      </c>
      <c r="B6" s="10" t="s">
        <v>373</v>
      </c>
      <c r="C6" s="10">
        <v>13429.41</v>
      </c>
      <c r="D6" s="10">
        <v>14704.07</v>
      </c>
      <c r="E6" s="10">
        <v>16106.2</v>
      </c>
      <c r="F6" s="10">
        <f t="shared" si="0"/>
        <v>14500</v>
      </c>
      <c r="G6" s="10">
        <f t="shared" si="1"/>
        <v>15800</v>
      </c>
      <c r="H6" s="10">
        <f t="shared" si="2"/>
        <v>17200</v>
      </c>
      <c r="J6" s="12" t="s">
        <v>374</v>
      </c>
    </row>
    <row r="7" spans="1:10" ht="14.4" x14ac:dyDescent="0.3">
      <c r="A7" s="9" t="s">
        <v>281</v>
      </c>
      <c r="B7" s="10" t="s">
        <v>47</v>
      </c>
      <c r="C7" s="10">
        <v>15296</v>
      </c>
      <c r="D7" s="10">
        <v>16858</v>
      </c>
      <c r="E7" s="10">
        <v>18332</v>
      </c>
      <c r="F7" s="10">
        <f t="shared" si="0"/>
        <v>16300</v>
      </c>
      <c r="G7" s="10">
        <f t="shared" si="1"/>
        <v>17900</v>
      </c>
      <c r="H7" s="10">
        <f t="shared" si="2"/>
        <v>19400</v>
      </c>
    </row>
    <row r="8" spans="1:10" ht="14.4" x14ac:dyDescent="0.3">
      <c r="A8" s="9" t="s">
        <v>102</v>
      </c>
      <c r="B8" s="10" t="s">
        <v>375</v>
      </c>
      <c r="C8" s="10">
        <v>8700</v>
      </c>
      <c r="D8" s="10">
        <v>11100</v>
      </c>
      <c r="E8" s="10">
        <v>13800</v>
      </c>
      <c r="F8" s="10">
        <f t="shared" si="0"/>
        <v>9700</v>
      </c>
      <c r="G8" s="10">
        <f t="shared" si="1"/>
        <v>12100</v>
      </c>
      <c r="H8" s="10">
        <f t="shared" si="2"/>
        <v>14800</v>
      </c>
    </row>
    <row r="9" spans="1:10" ht="14.4" x14ac:dyDescent="0.3">
      <c r="A9" s="9" t="s">
        <v>175</v>
      </c>
      <c r="B9" s="10" t="s">
        <v>376</v>
      </c>
      <c r="C9" s="10">
        <v>8366</v>
      </c>
      <c r="D9" s="10">
        <v>9618</v>
      </c>
      <c r="E9" s="10">
        <v>10037</v>
      </c>
      <c r="F9" s="10">
        <f t="shared" si="0"/>
        <v>9400</v>
      </c>
      <c r="G9" s="10">
        <f t="shared" si="1"/>
        <v>10700</v>
      </c>
      <c r="H9" s="10">
        <f t="shared" si="2"/>
        <v>11100</v>
      </c>
      <c r="J9" s="12" t="s">
        <v>447</v>
      </c>
    </row>
    <row r="10" spans="1:10" ht="14.4" x14ac:dyDescent="0.3">
      <c r="A10" s="9" t="s">
        <v>142</v>
      </c>
      <c r="B10" s="10" t="s">
        <v>377</v>
      </c>
      <c r="C10" s="10">
        <v>8182</v>
      </c>
      <c r="D10" s="10">
        <v>9560</v>
      </c>
      <c r="E10" s="10">
        <v>10860</v>
      </c>
      <c r="F10" s="10">
        <f t="shared" si="0"/>
        <v>9200</v>
      </c>
      <c r="G10" s="10">
        <f t="shared" si="1"/>
        <v>10600</v>
      </c>
      <c r="H10" s="10">
        <f t="shared" si="2"/>
        <v>11900</v>
      </c>
      <c r="J10" s="12" t="s">
        <v>448</v>
      </c>
    </row>
    <row r="11" spans="1:10" ht="14.4" x14ac:dyDescent="0.3">
      <c r="A11" s="9" t="s">
        <v>105</v>
      </c>
      <c r="B11" s="10" t="s">
        <v>378</v>
      </c>
      <c r="C11" s="10">
        <v>5798</v>
      </c>
      <c r="D11" s="10">
        <v>6058</v>
      </c>
      <c r="E11" s="10">
        <v>7358</v>
      </c>
      <c r="F11" s="10">
        <f t="shared" si="0"/>
        <v>6800</v>
      </c>
      <c r="G11" s="10">
        <f t="shared" si="1"/>
        <v>7100</v>
      </c>
      <c r="H11" s="10">
        <f t="shared" si="2"/>
        <v>8400</v>
      </c>
      <c r="J11" s="12" t="s">
        <v>451</v>
      </c>
    </row>
    <row r="12" spans="1:10" ht="14.4" x14ac:dyDescent="0.3">
      <c r="A12" s="9" t="s">
        <v>193</v>
      </c>
      <c r="B12" s="10" t="s">
        <v>379</v>
      </c>
      <c r="C12" s="10">
        <v>6465.88</v>
      </c>
      <c r="D12" s="10">
        <v>8523.2099999999991</v>
      </c>
      <c r="E12" s="10">
        <v>9845.7800000000007</v>
      </c>
      <c r="F12" s="10">
        <f t="shared" si="0"/>
        <v>7500</v>
      </c>
      <c r="G12" s="10">
        <f t="shared" si="1"/>
        <v>9600</v>
      </c>
      <c r="H12" s="10">
        <f t="shared" si="2"/>
        <v>10900</v>
      </c>
      <c r="J12" s="12" t="s">
        <v>449</v>
      </c>
    </row>
    <row r="13" spans="1:10" ht="14.4" x14ac:dyDescent="0.3">
      <c r="A13" s="9" t="s">
        <v>179</v>
      </c>
      <c r="B13" s="10" t="s">
        <v>380</v>
      </c>
      <c r="C13" s="10">
        <v>7030</v>
      </c>
      <c r="D13" s="10">
        <v>7038</v>
      </c>
      <c r="E13" s="10">
        <v>7109</v>
      </c>
      <c r="F13" s="10">
        <f t="shared" si="0"/>
        <v>8100</v>
      </c>
      <c r="G13" s="10">
        <f t="shared" si="1"/>
        <v>8100</v>
      </c>
      <c r="H13" s="10">
        <f t="shared" si="2"/>
        <v>8200</v>
      </c>
      <c r="J13" s="12" t="s">
        <v>450</v>
      </c>
    </row>
    <row r="14" spans="1:10" ht="14.4" x14ac:dyDescent="0.3">
      <c r="A14" s="9" t="s">
        <v>195</v>
      </c>
      <c r="B14" s="10" t="s">
        <v>381</v>
      </c>
      <c r="C14" s="10">
        <v>8374.77</v>
      </c>
      <c r="D14" s="10">
        <v>9381.06</v>
      </c>
      <c r="E14" s="10">
        <v>14000</v>
      </c>
      <c r="F14" s="10">
        <f t="shared" si="0"/>
        <v>9400</v>
      </c>
      <c r="G14" s="10">
        <f t="shared" si="1"/>
        <v>10400</v>
      </c>
      <c r="H14" s="10">
        <f t="shared" si="2"/>
        <v>15000</v>
      </c>
      <c r="J14" s="12" t="s">
        <v>452</v>
      </c>
    </row>
    <row r="15" spans="1:10" ht="14.4" x14ac:dyDescent="0.3">
      <c r="A15" s="9" t="s">
        <v>196</v>
      </c>
      <c r="B15" s="10" t="s">
        <v>382</v>
      </c>
      <c r="C15" s="10">
        <v>8527</v>
      </c>
      <c r="D15" s="10">
        <v>9627</v>
      </c>
      <c r="E15" s="10">
        <v>14000</v>
      </c>
      <c r="F15" s="10">
        <f t="shared" si="0"/>
        <v>9600</v>
      </c>
      <c r="G15" s="10">
        <f t="shared" si="1"/>
        <v>10700</v>
      </c>
      <c r="H15" s="10">
        <f t="shared" si="2"/>
        <v>15000</v>
      </c>
    </row>
    <row r="16" spans="1:10" ht="14.4" x14ac:dyDescent="0.3">
      <c r="A16" s="9" t="s">
        <v>129</v>
      </c>
      <c r="B16" s="10" t="s">
        <v>382</v>
      </c>
      <c r="C16" s="10">
        <v>8527</v>
      </c>
      <c r="D16" s="10">
        <v>9627</v>
      </c>
      <c r="E16" s="10">
        <v>14000</v>
      </c>
      <c r="F16" s="10">
        <f t="shared" si="0"/>
        <v>9600</v>
      </c>
      <c r="G16" s="10">
        <f t="shared" si="1"/>
        <v>10700</v>
      </c>
      <c r="H16" s="10">
        <f t="shared" si="2"/>
        <v>15000</v>
      </c>
      <c r="J16" s="12" t="s">
        <v>453</v>
      </c>
    </row>
    <row r="17" spans="1:10" ht="14.4" x14ac:dyDescent="0.3">
      <c r="A17" s="9" t="s">
        <v>237</v>
      </c>
      <c r="B17" s="10" t="s">
        <v>381</v>
      </c>
      <c r="C17" s="10">
        <v>8374.77</v>
      </c>
      <c r="D17" s="10">
        <v>9381.06</v>
      </c>
      <c r="E17" s="10">
        <v>14000</v>
      </c>
      <c r="F17" s="10">
        <f t="shared" si="0"/>
        <v>9400</v>
      </c>
      <c r="G17" s="10">
        <f t="shared" si="1"/>
        <v>10400</v>
      </c>
      <c r="H17" s="10">
        <f t="shared" si="2"/>
        <v>15000</v>
      </c>
      <c r="J17" s="12" t="s">
        <v>454</v>
      </c>
    </row>
    <row r="18" spans="1:10" ht="14.4" x14ac:dyDescent="0.3">
      <c r="A18" s="9" t="s">
        <v>276</v>
      </c>
      <c r="B18" s="10" t="s">
        <v>382</v>
      </c>
      <c r="C18" s="10">
        <v>8527</v>
      </c>
      <c r="D18" s="10">
        <v>9627</v>
      </c>
      <c r="E18" s="10">
        <v>14000</v>
      </c>
      <c r="F18" s="10">
        <f t="shared" si="0"/>
        <v>9600</v>
      </c>
      <c r="G18" s="10">
        <f t="shared" si="1"/>
        <v>10700</v>
      </c>
      <c r="H18" s="10">
        <f t="shared" si="2"/>
        <v>15000</v>
      </c>
      <c r="J18" s="12" t="s">
        <v>455</v>
      </c>
    </row>
    <row r="19" spans="1:10" ht="14.4" x14ac:dyDescent="0.3">
      <c r="A19" s="9" t="s">
        <v>283</v>
      </c>
      <c r="B19" s="10" t="s">
        <v>382</v>
      </c>
      <c r="C19" s="10">
        <v>8527</v>
      </c>
      <c r="D19" s="10">
        <v>9627</v>
      </c>
      <c r="E19" s="10">
        <v>14000</v>
      </c>
      <c r="F19" s="10">
        <f t="shared" si="0"/>
        <v>9600</v>
      </c>
      <c r="G19" s="10">
        <f t="shared" si="1"/>
        <v>10700</v>
      </c>
      <c r="H19" s="10">
        <f t="shared" si="2"/>
        <v>15000</v>
      </c>
    </row>
    <row r="21" spans="1:10" ht="15.75" customHeight="1" x14ac:dyDescent="0.3"/>
    <row r="22" spans="1:10" ht="15.75" customHeight="1" x14ac:dyDescent="0.3"/>
    <row r="23" spans="1:10" ht="15.75" customHeight="1" x14ac:dyDescent="0.3"/>
    <row r="24" spans="1:10" ht="15.75" customHeight="1" x14ac:dyDescent="0.3"/>
    <row r="25" spans="1:10" ht="15.75" customHeight="1" x14ac:dyDescent="0.3"/>
    <row r="26" spans="1:10" ht="15.75" customHeight="1" x14ac:dyDescent="0.3"/>
    <row r="27" spans="1:10" ht="15.75" customHeight="1" x14ac:dyDescent="0.3"/>
    <row r="28" spans="1:10" ht="15.75" customHeight="1" x14ac:dyDescent="0.3"/>
    <row r="29" spans="1:10" ht="15.75" customHeight="1" x14ac:dyDescent="0.3"/>
    <row r="30" spans="1:10" ht="15.75" customHeight="1" x14ac:dyDescent="0.3"/>
    <row r="31" spans="1:10" ht="15.75" customHeight="1" x14ac:dyDescent="0.3"/>
    <row r="32" spans="1:1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K1000"/>
  <sheetViews>
    <sheetView workbookViewId="0"/>
  </sheetViews>
  <sheetFormatPr defaultColWidth="12.88671875" defaultRowHeight="15" customHeight="1" x14ac:dyDescent="0.3"/>
  <cols>
    <col min="1" max="1" width="12.109375" customWidth="1"/>
    <col min="2" max="2" width="15.88671875" customWidth="1"/>
    <col min="3" max="3" width="10.109375" customWidth="1"/>
    <col min="4" max="4" width="12.33203125" customWidth="1"/>
    <col min="5" max="5" width="10.33203125" customWidth="1"/>
    <col min="6" max="6" width="11.33203125" customWidth="1"/>
    <col min="7" max="7" width="12.88671875" customWidth="1"/>
    <col min="8" max="8" width="11.33203125" customWidth="1"/>
    <col min="9" max="9" width="11.88671875" customWidth="1"/>
    <col min="10" max="12" width="9.109375" customWidth="1"/>
    <col min="13" max="26" width="10.33203125" customWidth="1"/>
  </cols>
  <sheetData>
    <row r="3" spans="1:11" ht="14.4" x14ac:dyDescent="0.3">
      <c r="A3" s="1" t="s">
        <v>39</v>
      </c>
      <c r="B3" s="4" t="s">
        <v>29</v>
      </c>
      <c r="C3" s="4" t="s">
        <v>30</v>
      </c>
      <c r="D3" s="4" t="s">
        <v>387</v>
      </c>
      <c r="E3" s="4" t="s">
        <v>31</v>
      </c>
      <c r="F3" s="4" t="s">
        <v>33</v>
      </c>
      <c r="G3" s="4" t="s">
        <v>388</v>
      </c>
      <c r="H3" s="4" t="s">
        <v>389</v>
      </c>
      <c r="I3" s="4" t="s">
        <v>390</v>
      </c>
      <c r="K3" s="1"/>
    </row>
    <row r="4" spans="1:11" ht="14.4" x14ac:dyDescent="0.3">
      <c r="A4" s="2" t="s">
        <v>26</v>
      </c>
      <c r="B4" s="3" t="e">
        <f>SUMIFS(#REF!,#REF!,'(Inc) OU Profitability'!A4)</f>
        <v>#REF!</v>
      </c>
      <c r="C4" s="3" t="e">
        <f>SUMIFS(#REF!,#REF!,'(Inc) OU Profitability'!A4)</f>
        <v>#REF!</v>
      </c>
      <c r="D4" s="3" t="e">
        <f>SUMIFS(#REF!,#REF!,'(Inc) OU Profitability'!A4)</f>
        <v>#REF!</v>
      </c>
      <c r="E4" s="3" t="e">
        <f>SUMIFS(#REF!,#REF!,'(Inc) OU Profitability'!A4)</f>
        <v>#REF!</v>
      </c>
      <c r="F4" s="3" t="e">
        <f t="shared" ref="F4:F17" si="0">SUM(B4:E4)</f>
        <v>#REF!</v>
      </c>
      <c r="G4" s="3" t="e">
        <f>SUMIFS(#REF!,#REF!,'(Inc) OU Profitability'!A4)</f>
        <v>#REF!</v>
      </c>
      <c r="H4" s="3" t="e">
        <f t="shared" ref="H4:H17" si="1">G4-F4</f>
        <v>#REF!</v>
      </c>
      <c r="I4" s="5" t="str">
        <f t="shared" ref="I4:I18" si="2">IFERROR(H4/F4,"-")</f>
        <v>-</v>
      </c>
      <c r="K4" s="1"/>
    </row>
    <row r="5" spans="1:11" ht="14.4" x14ac:dyDescent="0.3">
      <c r="A5" s="2" t="s">
        <v>96</v>
      </c>
      <c r="B5" s="3" t="e">
        <f>SUMIFS(#REF!,#REF!,'(Inc) OU Profitability'!A5)</f>
        <v>#REF!</v>
      </c>
      <c r="C5" s="3" t="e">
        <f>SUMIFS(#REF!,#REF!,'(Inc) OU Profitability'!A5)</f>
        <v>#REF!</v>
      </c>
      <c r="D5" s="3" t="e">
        <f>SUMIFS(#REF!,#REF!,'(Inc) OU Profitability'!A5)</f>
        <v>#REF!</v>
      </c>
      <c r="E5" s="3" t="e">
        <f>SUMIFS(#REF!,#REF!,'(Inc) OU Profitability'!A5)</f>
        <v>#REF!</v>
      </c>
      <c r="F5" s="3" t="e">
        <f t="shared" si="0"/>
        <v>#REF!</v>
      </c>
      <c r="G5" s="3" t="e">
        <f>SUMIFS(#REF!,#REF!,'(Inc) OU Profitability'!A5)</f>
        <v>#REF!</v>
      </c>
      <c r="H5" s="3" t="e">
        <f t="shared" si="1"/>
        <v>#REF!</v>
      </c>
      <c r="I5" s="5" t="str">
        <f t="shared" si="2"/>
        <v>-</v>
      </c>
      <c r="K5" s="1"/>
    </row>
    <row r="6" spans="1:11" ht="14.4" x14ac:dyDescent="0.3">
      <c r="A6" s="2" t="s">
        <v>115</v>
      </c>
      <c r="B6" s="3" t="e">
        <f>SUMIFS(#REF!,#REF!,'(Inc) OU Profitability'!A6)</f>
        <v>#REF!</v>
      </c>
      <c r="C6" s="3" t="e">
        <f>SUMIFS(#REF!,#REF!,'(Inc) OU Profitability'!A6)</f>
        <v>#REF!</v>
      </c>
      <c r="D6" s="3" t="e">
        <f>SUMIFS(#REF!,#REF!,'(Inc) OU Profitability'!A6)</f>
        <v>#REF!</v>
      </c>
      <c r="E6" s="3" t="e">
        <f>SUMIFS(#REF!,#REF!,'(Inc) OU Profitability'!A6)</f>
        <v>#REF!</v>
      </c>
      <c r="F6" s="3" t="e">
        <f t="shared" si="0"/>
        <v>#REF!</v>
      </c>
      <c r="G6" s="3" t="e">
        <f>SUMIFS(#REF!,#REF!,'(Inc) OU Profitability'!A6)</f>
        <v>#REF!</v>
      </c>
      <c r="H6" s="3" t="e">
        <f t="shared" si="1"/>
        <v>#REF!</v>
      </c>
      <c r="I6" s="5" t="str">
        <f t="shared" si="2"/>
        <v>-</v>
      </c>
      <c r="K6" s="1"/>
    </row>
    <row r="7" spans="1:11" ht="14.4" x14ac:dyDescent="0.3">
      <c r="A7" s="2" t="s">
        <v>134</v>
      </c>
      <c r="B7" s="3" t="e">
        <f>SUMIFS(#REF!,#REF!,'(Inc) OU Profitability'!A7)</f>
        <v>#REF!</v>
      </c>
      <c r="C7" s="3" t="e">
        <f>SUMIFS(#REF!,#REF!,'(Inc) OU Profitability'!A7)</f>
        <v>#REF!</v>
      </c>
      <c r="D7" s="3" t="e">
        <f>SUMIFS(#REF!,#REF!,'(Inc) OU Profitability'!A7)</f>
        <v>#REF!</v>
      </c>
      <c r="E7" s="3" t="e">
        <f>SUMIFS(#REF!,#REF!,'(Inc) OU Profitability'!A7)</f>
        <v>#REF!</v>
      </c>
      <c r="F7" s="3" t="e">
        <f t="shared" si="0"/>
        <v>#REF!</v>
      </c>
      <c r="G7" s="3" t="e">
        <f>SUMIFS(#REF!,#REF!,'(Inc) OU Profitability'!A7)</f>
        <v>#REF!</v>
      </c>
      <c r="H7" s="3" t="e">
        <f t="shared" si="1"/>
        <v>#REF!</v>
      </c>
      <c r="I7" s="5" t="str">
        <f t="shared" si="2"/>
        <v>-</v>
      </c>
      <c r="K7" s="1"/>
    </row>
    <row r="8" spans="1:11" ht="14.4" x14ac:dyDescent="0.3">
      <c r="A8" s="2" t="s">
        <v>42</v>
      </c>
      <c r="B8" s="3" t="e">
        <f>SUMIFS(#REF!,#REF!,'(Inc) OU Profitability'!A8)</f>
        <v>#REF!</v>
      </c>
      <c r="C8" s="3" t="e">
        <f>SUMIFS(#REF!,#REF!,'(Inc) OU Profitability'!A8)</f>
        <v>#REF!</v>
      </c>
      <c r="D8" s="3" t="e">
        <f>SUMIFS(#REF!,#REF!,'(Inc) OU Profitability'!A8)</f>
        <v>#REF!</v>
      </c>
      <c r="E8" s="3" t="e">
        <f>SUMIFS(#REF!,#REF!,'(Inc) OU Profitability'!A8)</f>
        <v>#REF!</v>
      </c>
      <c r="F8" s="3" t="e">
        <f t="shared" si="0"/>
        <v>#REF!</v>
      </c>
      <c r="G8" s="3" t="e">
        <f>SUMIFS(#REF!,#REF!,'(Inc) OU Profitability'!A8)</f>
        <v>#REF!</v>
      </c>
      <c r="H8" s="3" t="e">
        <f t="shared" si="1"/>
        <v>#REF!</v>
      </c>
      <c r="I8" s="5" t="str">
        <f t="shared" si="2"/>
        <v>-</v>
      </c>
      <c r="K8" s="1"/>
    </row>
    <row r="9" spans="1:11" ht="14.4" x14ac:dyDescent="0.3">
      <c r="A9" s="2" t="s">
        <v>169</v>
      </c>
      <c r="B9" s="3" t="e">
        <f>SUMIFS(#REF!,#REF!,'(Inc) OU Profitability'!A9)</f>
        <v>#REF!</v>
      </c>
      <c r="C9" s="3" t="e">
        <f>SUMIFS(#REF!,#REF!,'(Inc) OU Profitability'!A9)</f>
        <v>#REF!</v>
      </c>
      <c r="D9" s="3" t="e">
        <f>SUMIFS(#REF!,#REF!,'(Inc) OU Profitability'!A9)</f>
        <v>#REF!</v>
      </c>
      <c r="E9" s="3" t="e">
        <f>SUMIFS(#REF!,#REF!,'(Inc) OU Profitability'!A9)</f>
        <v>#REF!</v>
      </c>
      <c r="F9" s="3" t="e">
        <f t="shared" si="0"/>
        <v>#REF!</v>
      </c>
      <c r="G9" s="3" t="e">
        <f>SUMIFS(#REF!,#REF!,'(Inc) OU Profitability'!A9)</f>
        <v>#REF!</v>
      </c>
      <c r="H9" s="3" t="e">
        <f t="shared" si="1"/>
        <v>#REF!</v>
      </c>
      <c r="I9" s="5" t="str">
        <f t="shared" si="2"/>
        <v>-</v>
      </c>
      <c r="K9" s="1"/>
    </row>
    <row r="10" spans="1:11" ht="14.4" x14ac:dyDescent="0.3">
      <c r="A10" s="2" t="s">
        <v>185</v>
      </c>
      <c r="B10" s="3" t="e">
        <f>SUMIFS(#REF!,#REF!,'(Inc) OU Profitability'!A10)</f>
        <v>#REF!</v>
      </c>
      <c r="C10" s="3" t="e">
        <f>SUMIFS(#REF!,#REF!,'(Inc) OU Profitability'!A10)</f>
        <v>#REF!</v>
      </c>
      <c r="D10" s="3" t="e">
        <f>SUMIFS(#REF!,#REF!,'(Inc) OU Profitability'!A10)</f>
        <v>#REF!</v>
      </c>
      <c r="E10" s="3" t="e">
        <f>SUMIFS(#REF!,#REF!,'(Inc) OU Profitability'!A10)</f>
        <v>#REF!</v>
      </c>
      <c r="F10" s="3" t="e">
        <f t="shared" si="0"/>
        <v>#REF!</v>
      </c>
      <c r="G10" s="3" t="e">
        <f>SUMIFS(#REF!,#REF!,'(Inc) OU Profitability'!A10)</f>
        <v>#REF!</v>
      </c>
      <c r="H10" s="3" t="e">
        <f t="shared" si="1"/>
        <v>#REF!</v>
      </c>
      <c r="I10" s="5" t="str">
        <f t="shared" si="2"/>
        <v>-</v>
      </c>
      <c r="K10" s="1"/>
    </row>
    <row r="11" spans="1:11" ht="14.4" x14ac:dyDescent="0.3">
      <c r="A11" s="2" t="s">
        <v>200</v>
      </c>
      <c r="B11" s="3" t="e">
        <f>SUMIFS(#REF!,#REF!,'(Inc) OU Profitability'!A11)</f>
        <v>#REF!</v>
      </c>
      <c r="C11" s="3" t="e">
        <f>SUMIFS(#REF!,#REF!,'(Inc) OU Profitability'!A11)</f>
        <v>#REF!</v>
      </c>
      <c r="D11" s="3" t="e">
        <f>SUMIFS(#REF!,#REF!,'(Inc) OU Profitability'!A11)</f>
        <v>#REF!</v>
      </c>
      <c r="E11" s="3" t="e">
        <f>SUMIFS(#REF!,#REF!,'(Inc) OU Profitability'!A11)</f>
        <v>#REF!</v>
      </c>
      <c r="F11" s="3" t="e">
        <f t="shared" si="0"/>
        <v>#REF!</v>
      </c>
      <c r="G11" s="3" t="e">
        <f>SUMIFS(#REF!,#REF!,'(Inc) OU Profitability'!A11)</f>
        <v>#REF!</v>
      </c>
      <c r="H11" s="3" t="e">
        <f t="shared" si="1"/>
        <v>#REF!</v>
      </c>
      <c r="I11" s="5" t="str">
        <f t="shared" si="2"/>
        <v>-</v>
      </c>
    </row>
    <row r="12" spans="1:11" ht="14.4" x14ac:dyDescent="0.3">
      <c r="A12" s="2" t="s">
        <v>229</v>
      </c>
      <c r="B12" s="3" t="e">
        <f>SUMIFS(#REF!,#REF!,'(Inc) OU Profitability'!A12)</f>
        <v>#REF!</v>
      </c>
      <c r="C12" s="3" t="e">
        <f>SUMIFS(#REF!,#REF!,'(Inc) OU Profitability'!A12)</f>
        <v>#REF!</v>
      </c>
      <c r="D12" s="3" t="e">
        <f>SUMIFS(#REF!,#REF!,'(Inc) OU Profitability'!A12)</f>
        <v>#REF!</v>
      </c>
      <c r="E12" s="3" t="e">
        <f>SUMIFS(#REF!,#REF!,'(Inc) OU Profitability'!A12)</f>
        <v>#REF!</v>
      </c>
      <c r="F12" s="3" t="e">
        <f t="shared" si="0"/>
        <v>#REF!</v>
      </c>
      <c r="G12" s="3" t="e">
        <f>SUMIFS(#REF!,#REF!,'(Inc) OU Profitability'!A12)</f>
        <v>#REF!</v>
      </c>
      <c r="H12" s="3" t="e">
        <f t="shared" si="1"/>
        <v>#REF!</v>
      </c>
      <c r="I12" s="5" t="str">
        <f t="shared" si="2"/>
        <v>-</v>
      </c>
    </row>
    <row r="13" spans="1:11" ht="14.4" x14ac:dyDescent="0.3">
      <c r="A13" s="2" t="s">
        <v>241</v>
      </c>
      <c r="B13" s="3" t="e">
        <f>SUMIFS(#REF!,#REF!,'(Inc) OU Profitability'!A13)</f>
        <v>#REF!</v>
      </c>
      <c r="C13" s="3" t="e">
        <f>SUMIFS(#REF!,#REF!,'(Inc) OU Profitability'!A13)</f>
        <v>#REF!</v>
      </c>
      <c r="D13" s="3" t="e">
        <f>SUMIFS(#REF!,#REF!,'(Inc) OU Profitability'!A13)</f>
        <v>#REF!</v>
      </c>
      <c r="E13" s="3" t="e">
        <f>SUMIFS(#REF!,#REF!,'(Inc) OU Profitability'!A13)</f>
        <v>#REF!</v>
      </c>
      <c r="F13" s="3" t="e">
        <f t="shared" si="0"/>
        <v>#REF!</v>
      </c>
      <c r="G13" s="3" t="e">
        <f>SUMIFS(#REF!,#REF!,'(Inc) OU Profitability'!A13)</f>
        <v>#REF!</v>
      </c>
      <c r="H13" s="3" t="e">
        <f t="shared" si="1"/>
        <v>#REF!</v>
      </c>
      <c r="I13" s="5" t="str">
        <f t="shared" si="2"/>
        <v>-</v>
      </c>
    </row>
    <row r="14" spans="1:11" ht="14.4" x14ac:dyDescent="0.3">
      <c r="A14" s="2" t="s">
        <v>252</v>
      </c>
      <c r="B14" s="3" t="e">
        <f>SUMIFS(#REF!,#REF!,'(Inc) OU Profitability'!A14)</f>
        <v>#REF!</v>
      </c>
      <c r="C14" s="3" t="e">
        <f>SUMIFS(#REF!,#REF!,'(Inc) OU Profitability'!A14)</f>
        <v>#REF!</v>
      </c>
      <c r="D14" s="3" t="e">
        <f>SUMIFS(#REF!,#REF!,'(Inc) OU Profitability'!A14)</f>
        <v>#REF!</v>
      </c>
      <c r="E14" s="3" t="e">
        <f>SUMIFS(#REF!,#REF!,'(Inc) OU Profitability'!A14)</f>
        <v>#REF!</v>
      </c>
      <c r="F14" s="3" t="e">
        <f t="shared" si="0"/>
        <v>#REF!</v>
      </c>
      <c r="G14" s="3" t="e">
        <f>SUMIFS(#REF!,#REF!,'(Inc) OU Profitability'!A14)</f>
        <v>#REF!</v>
      </c>
      <c r="H14" s="3" t="e">
        <f t="shared" si="1"/>
        <v>#REF!</v>
      </c>
      <c r="I14" s="5" t="str">
        <f t="shared" si="2"/>
        <v>-</v>
      </c>
    </row>
    <row r="15" spans="1:11" ht="14.4" x14ac:dyDescent="0.3">
      <c r="A15" s="2" t="s">
        <v>262</v>
      </c>
      <c r="B15" s="3" t="e">
        <f>SUMIFS(#REF!,#REF!,'(Inc) OU Profitability'!A15)</f>
        <v>#REF!</v>
      </c>
      <c r="C15" s="3" t="e">
        <f>SUMIFS(#REF!,#REF!,'(Inc) OU Profitability'!A15)</f>
        <v>#REF!</v>
      </c>
      <c r="D15" s="3" t="e">
        <f>SUMIFS(#REF!,#REF!,'(Inc) OU Profitability'!A15)</f>
        <v>#REF!</v>
      </c>
      <c r="E15" s="3" t="e">
        <f>SUMIFS(#REF!,#REF!,'(Inc) OU Profitability'!A15)</f>
        <v>#REF!</v>
      </c>
      <c r="F15" s="3" t="e">
        <f t="shared" si="0"/>
        <v>#REF!</v>
      </c>
      <c r="G15" s="3" t="e">
        <f>SUMIFS(#REF!,#REF!,'(Inc) OU Profitability'!A15)</f>
        <v>#REF!</v>
      </c>
      <c r="H15" s="3" t="e">
        <f t="shared" si="1"/>
        <v>#REF!</v>
      </c>
      <c r="I15" s="5" t="str">
        <f t="shared" si="2"/>
        <v>-</v>
      </c>
    </row>
    <row r="16" spans="1:11" ht="14.4" x14ac:dyDescent="0.3">
      <c r="A16" s="2" t="s">
        <v>270</v>
      </c>
      <c r="B16" s="3" t="e">
        <f>SUMIFS(#REF!,#REF!,'(Inc) OU Profitability'!A16)</f>
        <v>#REF!</v>
      </c>
      <c r="C16" s="3" t="e">
        <f>SUMIFS(#REF!,#REF!,'(Inc) OU Profitability'!A16)</f>
        <v>#REF!</v>
      </c>
      <c r="D16" s="3" t="e">
        <f>SUMIFS(#REF!,#REF!,'(Inc) OU Profitability'!A16)</f>
        <v>#REF!</v>
      </c>
      <c r="E16" s="3" t="e">
        <f>SUMIFS(#REF!,#REF!,'(Inc) OU Profitability'!A16)</f>
        <v>#REF!</v>
      </c>
      <c r="F16" s="3" t="e">
        <f t="shared" si="0"/>
        <v>#REF!</v>
      </c>
      <c r="G16" s="3" t="e">
        <f>SUMIFS(#REF!,#REF!,'(Inc) OU Profitability'!A16)</f>
        <v>#REF!</v>
      </c>
      <c r="H16" s="3" t="e">
        <f t="shared" si="1"/>
        <v>#REF!</v>
      </c>
      <c r="I16" s="5" t="str">
        <f t="shared" si="2"/>
        <v>-</v>
      </c>
    </row>
    <row r="17" spans="1:9" ht="14.4" x14ac:dyDescent="0.3">
      <c r="A17" s="2" t="s">
        <v>278</v>
      </c>
      <c r="B17" s="3" t="e">
        <f>SUMIFS(#REF!,#REF!,'(Inc) OU Profitability'!A17)</f>
        <v>#REF!</v>
      </c>
      <c r="C17" s="3" t="e">
        <f>SUMIFS(#REF!,#REF!,'(Inc) OU Profitability'!A17)</f>
        <v>#REF!</v>
      </c>
      <c r="D17" s="3" t="e">
        <f>SUMIFS(#REF!,#REF!,'(Inc) OU Profitability'!A17)</f>
        <v>#REF!</v>
      </c>
      <c r="E17" s="3" t="e">
        <f>SUMIFS(#REF!,#REF!,'(Inc) OU Profitability'!A17)</f>
        <v>#REF!</v>
      </c>
      <c r="F17" s="3" t="e">
        <f t="shared" si="0"/>
        <v>#REF!</v>
      </c>
      <c r="G17" s="3" t="e">
        <f>SUMIFS(#REF!,#REF!,'(Inc) OU Profitability'!A17)</f>
        <v>#REF!</v>
      </c>
      <c r="H17" s="3" t="e">
        <f t="shared" si="1"/>
        <v>#REF!</v>
      </c>
      <c r="I17" s="5" t="str">
        <f t="shared" si="2"/>
        <v>-</v>
      </c>
    </row>
    <row r="18" spans="1:9" ht="14.4" x14ac:dyDescent="0.3">
      <c r="A18" s="2" t="s">
        <v>391</v>
      </c>
      <c r="B18" s="6" t="e">
        <f t="shared" ref="B18:H18" si="3">SUM(B3:B17)</f>
        <v>#REF!</v>
      </c>
      <c r="C18" s="6" t="e">
        <f t="shared" si="3"/>
        <v>#REF!</v>
      </c>
      <c r="D18" s="6" t="e">
        <f t="shared" si="3"/>
        <v>#REF!</v>
      </c>
      <c r="E18" s="6" t="e">
        <f t="shared" si="3"/>
        <v>#REF!</v>
      </c>
      <c r="F18" s="6" t="e">
        <f t="shared" si="3"/>
        <v>#REF!</v>
      </c>
      <c r="G18" s="6" t="e">
        <f t="shared" si="3"/>
        <v>#REF!</v>
      </c>
      <c r="H18" s="6" t="e">
        <f t="shared" si="3"/>
        <v>#REF!</v>
      </c>
      <c r="I18" s="7" t="str">
        <f t="shared" si="2"/>
        <v>-</v>
      </c>
    </row>
    <row r="19" spans="1:9" ht="14.4" x14ac:dyDescent="0.3">
      <c r="B19" s="8" t="e">
        <f t="shared" ref="B19:E19" si="4">B18/$F$18</f>
        <v>#REF!</v>
      </c>
      <c r="C19" s="8" t="e">
        <f t="shared" si="4"/>
        <v>#REF!</v>
      </c>
      <c r="D19" s="8" t="e">
        <f t="shared" si="4"/>
        <v>#REF!</v>
      </c>
      <c r="E19" s="8" t="e">
        <f t="shared" si="4"/>
        <v>#REF!</v>
      </c>
      <c r="F19" s="8">
        <v>1</v>
      </c>
      <c r="G19" s="3"/>
      <c r="H19" s="3"/>
      <c r="I19" s="3"/>
    </row>
    <row r="21" spans="1:9" ht="15.75" customHeight="1" x14ac:dyDescent="0.3"/>
    <row r="22" spans="1:9" ht="15.75" customHeight="1" x14ac:dyDescent="0.3"/>
    <row r="23" spans="1:9" ht="15.75" customHeight="1" x14ac:dyDescent="0.3"/>
    <row r="24" spans="1:9" ht="15.75" customHeight="1" x14ac:dyDescent="0.3"/>
    <row r="25" spans="1:9" ht="15.75" customHeight="1" x14ac:dyDescent="0.3"/>
    <row r="26" spans="1:9" ht="15.75" customHeight="1" x14ac:dyDescent="0.3"/>
    <row r="27" spans="1:9" ht="15.75" customHeight="1" x14ac:dyDescent="0.3"/>
    <row r="28" spans="1:9" ht="15.75" customHeight="1" x14ac:dyDescent="0.3"/>
    <row r="29" spans="1:9" ht="15.75" customHeight="1" x14ac:dyDescent="0.3"/>
    <row r="30" spans="1:9" ht="15.75" customHeight="1" x14ac:dyDescent="0.3"/>
    <row r="31" spans="1:9" ht="15.75" customHeight="1" x14ac:dyDescent="0.3"/>
    <row r="32" spans="1:9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21</vt:i4>
      </vt:variant>
    </vt:vector>
  </HeadingPairs>
  <TitlesOfParts>
    <vt:vector size="32" baseType="lpstr">
      <vt:lpstr>Drop Down Lists</vt:lpstr>
      <vt:lpstr>Cost Calculator</vt:lpstr>
      <vt:lpstr>Calculator Raw</vt:lpstr>
      <vt:lpstr>Assumption_Distance</vt:lpstr>
      <vt:lpstr>Vehicle_Maintenance</vt:lpstr>
      <vt:lpstr>Vehicle EMI Sheet</vt:lpstr>
      <vt:lpstr>Assumption_Mileage</vt:lpstr>
      <vt:lpstr>Assumption_Salary</vt:lpstr>
      <vt:lpstr>(Inc) OU Profitability</vt:lpstr>
      <vt:lpstr>Cluster Mapping</vt:lpstr>
      <vt:lpstr>Vehicle Mapping</vt:lpstr>
      <vt:lpstr>Ahmedabad</vt:lpstr>
      <vt:lpstr>Ambala</vt:lpstr>
      <vt:lpstr>Bangalore</vt:lpstr>
      <vt:lpstr>Chennai</vt:lpstr>
      <vt:lpstr>Cluster</vt:lpstr>
      <vt:lpstr>Coimbatore</vt:lpstr>
      <vt:lpstr>Delhi</vt:lpstr>
      <vt:lpstr>Guwahati</vt:lpstr>
      <vt:lpstr>Hyderabad</vt:lpstr>
      <vt:lpstr>Indore</vt:lpstr>
      <vt:lpstr>Jaipur</vt:lpstr>
      <vt:lpstr>Jamshedpur</vt:lpstr>
      <vt:lpstr>Kolkata</vt:lpstr>
      <vt:lpstr>Lucknow</vt:lpstr>
      <vt:lpstr>Mumbai</vt:lpstr>
      <vt:lpstr>Nagpur</vt:lpstr>
      <vt:lpstr>Noida</vt:lpstr>
      <vt:lpstr>Pune</vt:lpstr>
      <vt:lpstr>Veh_Cat</vt:lpstr>
      <vt:lpstr>Vehicle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Jhurani</dc:creator>
  <cp:lastModifiedBy>HP</cp:lastModifiedBy>
  <dcterms:created xsi:type="dcterms:W3CDTF">2021-09-26T05:08:58Z</dcterms:created>
  <dcterms:modified xsi:type="dcterms:W3CDTF">2023-07-29T17:52:38Z</dcterms:modified>
</cp:coreProperties>
</file>