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etsuji\"/>
    </mc:Choice>
  </mc:AlternateContent>
  <xr:revisionPtr revIDLastSave="0" documentId="8_{C207E5B0-2C54-488B-84D7-2118877CBC80}" xr6:coauthVersionLast="47" xr6:coauthVersionMax="47" xr10:uidLastSave="{00000000-0000-0000-0000-000000000000}"/>
  <bookViews>
    <workbookView xWindow="14295" yWindow="0" windowWidth="14610" windowHeight="15585" tabRatio="689" activeTab="1" xr2:uid="{10453DA3-7B45-4E20-B8A3-0F56375BEF52}"/>
  </bookViews>
  <sheets>
    <sheet name="売上仕入総利益" sheetId="4" r:id="rId1"/>
    <sheet name="一般販管費（管理可能項目）" sheetId="9" r:id="rId2"/>
    <sheet name="単価" sheetId="3" r:id="rId3"/>
    <sheet name="運賃" sheetId="7" r:id="rId4"/>
    <sheet name="苦情関連費用" sheetId="6" r:id="rId5"/>
    <sheet name="試作・新規・失注管理" sheetId="2" r:id="rId6"/>
    <sheet name="月次纏め資料" sheetId="8" r:id="rId7"/>
  </sheets>
  <definedNames>
    <definedName name="_xlnm.Print_Area" localSheetId="1">'一般販管費（管理可能項目）'!$A$71:$AB$192</definedName>
    <definedName name="_xlnm.Print_Area" localSheetId="5">試作・新規・失注管理!$B$1:$Q$28</definedName>
    <definedName name="_xlnm.Print_Area" localSheetId="0">売上仕入総利益!$A$36:$Q$135</definedName>
    <definedName name="_xlnm.Print_Titles" localSheetId="5">試作・新規・失注管理!$1:$18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3" i="4" l="1"/>
  <c r="N133" i="4"/>
  <c r="M133" i="4"/>
  <c r="L133" i="4"/>
  <c r="K133" i="4"/>
  <c r="J133" i="4"/>
  <c r="I133" i="4"/>
  <c r="H133" i="4"/>
  <c r="G133" i="4"/>
  <c r="F133" i="4"/>
  <c r="E133" i="4"/>
  <c r="D133" i="4"/>
  <c r="Q132" i="4"/>
  <c r="Q133" i="4" s="1"/>
  <c r="P132" i="4"/>
  <c r="O78" i="3" l="1"/>
  <c r="N78" i="3"/>
  <c r="M78" i="3"/>
  <c r="L78" i="3"/>
  <c r="K78" i="3"/>
  <c r="J78" i="3"/>
  <c r="I78" i="3"/>
  <c r="H78" i="3"/>
  <c r="G78" i="3"/>
  <c r="F78" i="3"/>
  <c r="E78" i="3"/>
  <c r="D78" i="3"/>
  <c r="O69" i="3"/>
  <c r="N69" i="3"/>
  <c r="M69" i="3"/>
  <c r="L69" i="3"/>
  <c r="K69" i="3"/>
  <c r="J69" i="3"/>
  <c r="I69" i="3"/>
  <c r="H69" i="3"/>
  <c r="G69" i="3"/>
  <c r="F69" i="3"/>
  <c r="E69" i="3"/>
  <c r="D69" i="3"/>
  <c r="O60" i="3"/>
  <c r="N60" i="3"/>
  <c r="M60" i="3"/>
  <c r="L60" i="3"/>
  <c r="K60" i="3"/>
  <c r="J60" i="3"/>
  <c r="I60" i="3"/>
  <c r="H60" i="3"/>
  <c r="G60" i="3"/>
  <c r="F60" i="3"/>
  <c r="E60" i="3"/>
  <c r="D60" i="3"/>
  <c r="O51" i="3"/>
  <c r="N51" i="3"/>
  <c r="M51" i="3"/>
  <c r="L51" i="3"/>
  <c r="K51" i="3"/>
  <c r="J51" i="3"/>
  <c r="I51" i="3"/>
  <c r="H51" i="3"/>
  <c r="G51" i="3"/>
  <c r="F51" i="3"/>
  <c r="E51" i="3"/>
  <c r="D51" i="3"/>
  <c r="P31" i="3"/>
  <c r="P30" i="3"/>
  <c r="P25" i="3"/>
  <c r="P24" i="3"/>
  <c r="P19" i="3"/>
  <c r="P18" i="3"/>
  <c r="P13" i="3"/>
  <c r="P12" i="3"/>
  <c r="P7" i="3"/>
  <c r="P6" i="3"/>
  <c r="R15" i="4" l="1"/>
  <c r="O32" i="3" l="1"/>
  <c r="N32" i="3"/>
  <c r="M32" i="3"/>
  <c r="L32" i="3"/>
  <c r="K32" i="3"/>
  <c r="J32" i="3"/>
  <c r="I32" i="3"/>
  <c r="H32" i="3"/>
  <c r="G32" i="3"/>
  <c r="F32" i="3"/>
  <c r="E32" i="3"/>
  <c r="D32" i="3"/>
  <c r="D26" i="3"/>
  <c r="E26" i="3"/>
  <c r="F26" i="3"/>
  <c r="G26" i="3"/>
  <c r="H26" i="3"/>
  <c r="I26" i="3"/>
  <c r="J26" i="3"/>
  <c r="K26" i="3"/>
  <c r="L26" i="3"/>
  <c r="M26" i="3"/>
  <c r="N26" i="3"/>
  <c r="N21" i="3"/>
  <c r="N15" i="3"/>
  <c r="N9" i="3"/>
  <c r="O20" i="3" l="1"/>
  <c r="N20" i="3"/>
  <c r="M20" i="3"/>
  <c r="L20" i="3"/>
  <c r="K20" i="3"/>
  <c r="J20" i="3"/>
  <c r="I20" i="3"/>
  <c r="H20" i="3"/>
  <c r="G20" i="3"/>
  <c r="F20" i="3"/>
  <c r="E20" i="3"/>
  <c r="D20" i="3"/>
  <c r="O14" i="3"/>
  <c r="N14" i="3"/>
  <c r="M14" i="3"/>
  <c r="L14" i="3"/>
  <c r="K14" i="3"/>
  <c r="J14" i="3"/>
  <c r="I14" i="3"/>
  <c r="H14" i="3"/>
  <c r="G14" i="3"/>
  <c r="F14" i="3"/>
  <c r="E14" i="3"/>
  <c r="D14" i="3"/>
  <c r="N8" i="3" l="1"/>
  <c r="E8" i="3"/>
  <c r="F8" i="3"/>
  <c r="G8" i="3"/>
  <c r="H8" i="3"/>
  <c r="D8" i="3"/>
  <c r="V174" i="9" l="1"/>
  <c r="W173" i="9"/>
  <c r="V173" i="9"/>
  <c r="U173" i="9"/>
  <c r="R173" i="9"/>
  <c r="O173" i="9"/>
  <c r="L173" i="9"/>
  <c r="I173" i="9"/>
  <c r="F173" i="9"/>
  <c r="X173" i="9" s="1"/>
  <c r="W172" i="9"/>
  <c r="V172" i="9"/>
  <c r="U172" i="9"/>
  <c r="R172" i="9"/>
  <c r="O172" i="9"/>
  <c r="L172" i="9"/>
  <c r="I172" i="9"/>
  <c r="F172" i="9"/>
  <c r="X172" i="9" s="1"/>
  <c r="W171" i="9"/>
  <c r="V171" i="9"/>
  <c r="U171" i="9"/>
  <c r="R171" i="9"/>
  <c r="O171" i="9"/>
  <c r="L171" i="9"/>
  <c r="I171" i="9"/>
  <c r="F171" i="9"/>
  <c r="X171" i="9" s="1"/>
  <c r="W170" i="9"/>
  <c r="V170" i="9"/>
  <c r="U170" i="9"/>
  <c r="R170" i="9"/>
  <c r="O170" i="9"/>
  <c r="L170" i="9"/>
  <c r="I170" i="9"/>
  <c r="F170" i="9"/>
  <c r="X170" i="9" s="1"/>
  <c r="W169" i="9"/>
  <c r="V169" i="9"/>
  <c r="U169" i="9"/>
  <c r="R169" i="9"/>
  <c r="O169" i="9"/>
  <c r="L169" i="9"/>
  <c r="I169" i="9"/>
  <c r="F169" i="9"/>
  <c r="X169" i="9" s="1"/>
  <c r="W168" i="9"/>
  <c r="V168" i="9"/>
  <c r="U168" i="9"/>
  <c r="R168" i="9"/>
  <c r="O168" i="9"/>
  <c r="L168" i="9"/>
  <c r="I168" i="9"/>
  <c r="F168" i="9"/>
  <c r="X168" i="9" s="1"/>
  <c r="W167" i="9"/>
  <c r="Z167" i="9" s="1"/>
  <c r="V167" i="9"/>
  <c r="Z166" i="9"/>
  <c r="W166" i="9"/>
  <c r="W165" i="9"/>
  <c r="V165" i="9"/>
  <c r="T164" i="9"/>
  <c r="U164" i="9" s="1"/>
  <c r="S164" i="9"/>
  <c r="Q164" i="9"/>
  <c r="R164" i="9" s="1"/>
  <c r="P164" i="9"/>
  <c r="V164" i="9" s="1"/>
  <c r="N164" i="9"/>
  <c r="O164" i="9" s="1"/>
  <c r="M164" i="9"/>
  <c r="K164" i="9"/>
  <c r="L164" i="9" s="1"/>
  <c r="J164" i="9"/>
  <c r="H164" i="9"/>
  <c r="I164" i="9" s="1"/>
  <c r="G164" i="9"/>
  <c r="F164" i="9"/>
  <c r="E164" i="9"/>
  <c r="D164" i="9"/>
  <c r="X163" i="9"/>
  <c r="W163" i="9"/>
  <c r="V163" i="9"/>
  <c r="U163" i="9"/>
  <c r="R163" i="9"/>
  <c r="O163" i="9"/>
  <c r="L163" i="9"/>
  <c r="I163" i="9"/>
  <c r="F163" i="9"/>
  <c r="W162" i="9"/>
  <c r="Z162" i="9" s="1"/>
  <c r="V162" i="9"/>
  <c r="U162" i="9"/>
  <c r="R162" i="9"/>
  <c r="O162" i="9"/>
  <c r="L162" i="9"/>
  <c r="I162" i="9"/>
  <c r="F162" i="9"/>
  <c r="Z161" i="9"/>
  <c r="W161" i="9"/>
  <c r="V161" i="9"/>
  <c r="U161" i="9"/>
  <c r="R161" i="9"/>
  <c r="O161" i="9"/>
  <c r="L161" i="9"/>
  <c r="I161" i="9"/>
  <c r="F161" i="9"/>
  <c r="W160" i="9"/>
  <c r="Z160" i="9" s="1"/>
  <c r="V160" i="9"/>
  <c r="U160" i="9"/>
  <c r="R160" i="9"/>
  <c r="O160" i="9"/>
  <c r="L160" i="9"/>
  <c r="I160" i="9"/>
  <c r="F160" i="9"/>
  <c r="W159" i="9"/>
  <c r="U159" i="9"/>
  <c r="R159" i="9"/>
  <c r="O159" i="9"/>
  <c r="L159" i="9"/>
  <c r="I159" i="9"/>
  <c r="F159" i="9"/>
  <c r="W158" i="9"/>
  <c r="V158" i="9"/>
  <c r="U158" i="9"/>
  <c r="R158" i="9"/>
  <c r="O158" i="9"/>
  <c r="L158" i="9"/>
  <c r="I158" i="9"/>
  <c r="F158" i="9"/>
  <c r="W157" i="9"/>
  <c r="V157" i="9"/>
  <c r="U157" i="9"/>
  <c r="R157" i="9"/>
  <c r="O157" i="9"/>
  <c r="L157" i="9"/>
  <c r="I157" i="9"/>
  <c r="F157" i="9"/>
  <c r="W156" i="9"/>
  <c r="V156" i="9"/>
  <c r="U156" i="9"/>
  <c r="R156" i="9"/>
  <c r="O156" i="9"/>
  <c r="L156" i="9"/>
  <c r="I156" i="9"/>
  <c r="F156" i="9"/>
  <c r="U155" i="9"/>
  <c r="T155" i="9"/>
  <c r="S155" i="9"/>
  <c r="R155" i="9"/>
  <c r="Q155" i="9"/>
  <c r="P155" i="9"/>
  <c r="N155" i="9"/>
  <c r="O155" i="9" s="1"/>
  <c r="M155" i="9"/>
  <c r="K155" i="9"/>
  <c r="L155" i="9" s="1"/>
  <c r="J155" i="9"/>
  <c r="H155" i="9"/>
  <c r="I155" i="9" s="1"/>
  <c r="G155" i="9"/>
  <c r="E155" i="9"/>
  <c r="W155" i="9" s="1"/>
  <c r="Z155" i="9" s="1"/>
  <c r="D155" i="9"/>
  <c r="V155" i="9" s="1"/>
  <c r="Z154" i="9"/>
  <c r="W154" i="9"/>
  <c r="V154" i="9"/>
  <c r="U154" i="9"/>
  <c r="R154" i="9"/>
  <c r="O154" i="9"/>
  <c r="L154" i="9"/>
  <c r="I154" i="9"/>
  <c r="F154" i="9"/>
  <c r="X154" i="9" s="1"/>
  <c r="W153" i="9"/>
  <c r="V153" i="9"/>
  <c r="U153" i="9"/>
  <c r="R153" i="9"/>
  <c r="O153" i="9"/>
  <c r="L153" i="9"/>
  <c r="I153" i="9"/>
  <c r="F153" i="9"/>
  <c r="X153" i="9" s="1"/>
  <c r="W152" i="9"/>
  <c r="Z152" i="9" s="1"/>
  <c r="V152" i="9"/>
  <c r="Z151" i="9"/>
  <c r="W151" i="9"/>
  <c r="V151" i="9"/>
  <c r="W150" i="9"/>
  <c r="V150" i="9"/>
  <c r="U149" i="9"/>
  <c r="T149" i="9"/>
  <c r="S149" i="9"/>
  <c r="R149" i="9"/>
  <c r="Q149" i="9"/>
  <c r="P149" i="9"/>
  <c r="O149" i="9"/>
  <c r="N149" i="9"/>
  <c r="M149" i="9"/>
  <c r="L149" i="9"/>
  <c r="K149" i="9"/>
  <c r="K174" i="9" s="1"/>
  <c r="L174" i="9" s="1"/>
  <c r="J149" i="9"/>
  <c r="I149" i="9"/>
  <c r="H149" i="9"/>
  <c r="G149" i="9"/>
  <c r="F149" i="9"/>
  <c r="X149" i="9" s="1"/>
  <c r="E149" i="9"/>
  <c r="W149" i="9" s="1"/>
  <c r="D149" i="9"/>
  <c r="V149" i="9" s="1"/>
  <c r="Y149" i="9" s="1"/>
  <c r="W148" i="9"/>
  <c r="Z148" i="9" s="1"/>
  <c r="V148" i="9"/>
  <c r="U148" i="9"/>
  <c r="R148" i="9"/>
  <c r="O148" i="9"/>
  <c r="L148" i="9"/>
  <c r="I148" i="9"/>
  <c r="F148" i="9"/>
  <c r="X148" i="9" s="1"/>
  <c r="AA148" i="9" s="1"/>
  <c r="W147" i="9"/>
  <c r="Z147" i="9" s="1"/>
  <c r="V147" i="9"/>
  <c r="Y147" i="9" s="1"/>
  <c r="U147" i="9"/>
  <c r="R147" i="9"/>
  <c r="O147" i="9"/>
  <c r="L147" i="9"/>
  <c r="I147" i="9"/>
  <c r="F147" i="9"/>
  <c r="X147" i="9" s="1"/>
  <c r="AA147" i="9" s="1"/>
  <c r="W146" i="9"/>
  <c r="U146" i="9"/>
  <c r="R146" i="9"/>
  <c r="O146" i="9"/>
  <c r="L146" i="9"/>
  <c r="I146" i="9"/>
  <c r="F146" i="9"/>
  <c r="W145" i="9"/>
  <c r="U145" i="9"/>
  <c r="R145" i="9"/>
  <c r="O145" i="9"/>
  <c r="L145" i="9"/>
  <c r="I145" i="9"/>
  <c r="F145" i="9"/>
  <c r="W144" i="9"/>
  <c r="S144" i="9"/>
  <c r="S136" i="9" s="1"/>
  <c r="S175" i="9" s="1"/>
  <c r="P144" i="9"/>
  <c r="R144" i="9" s="1"/>
  <c r="M144" i="9"/>
  <c r="O144" i="9" s="1"/>
  <c r="J144" i="9"/>
  <c r="L144" i="9" s="1"/>
  <c r="G144" i="9"/>
  <c r="I144" i="9" s="1"/>
  <c r="D144" i="9"/>
  <c r="F144" i="9" s="1"/>
  <c r="W143" i="9"/>
  <c r="U143" i="9"/>
  <c r="R143" i="9"/>
  <c r="O143" i="9"/>
  <c r="L143" i="9"/>
  <c r="I143" i="9"/>
  <c r="F143" i="9"/>
  <c r="W142" i="9"/>
  <c r="U142" i="9"/>
  <c r="R142" i="9"/>
  <c r="O142" i="9"/>
  <c r="L142" i="9"/>
  <c r="I142" i="9"/>
  <c r="F142" i="9"/>
  <c r="U141" i="9"/>
  <c r="R141" i="9"/>
  <c r="O141" i="9"/>
  <c r="L141" i="9"/>
  <c r="I141" i="9"/>
  <c r="F141" i="9"/>
  <c r="W140" i="9"/>
  <c r="U140" i="9"/>
  <c r="R140" i="9"/>
  <c r="O140" i="9"/>
  <c r="L140" i="9"/>
  <c r="I140" i="9"/>
  <c r="F140" i="9"/>
  <c r="W139" i="9"/>
  <c r="U139" i="9"/>
  <c r="R139" i="9"/>
  <c r="O139" i="9"/>
  <c r="L139" i="9"/>
  <c r="I139" i="9"/>
  <c r="F139" i="9"/>
  <c r="W138" i="9"/>
  <c r="U138" i="9"/>
  <c r="R138" i="9"/>
  <c r="O138" i="9"/>
  <c r="L138" i="9"/>
  <c r="I138" i="9"/>
  <c r="F138" i="9"/>
  <c r="W137" i="9"/>
  <c r="U137" i="9"/>
  <c r="R137" i="9"/>
  <c r="O137" i="9"/>
  <c r="L137" i="9"/>
  <c r="I137" i="9"/>
  <c r="F137" i="9"/>
  <c r="T136" i="9"/>
  <c r="R136" i="9"/>
  <c r="Q136" i="9"/>
  <c r="Q174" i="9" s="1"/>
  <c r="R174" i="9" s="1"/>
  <c r="P136" i="9"/>
  <c r="P175" i="9" s="1"/>
  <c r="N136" i="9"/>
  <c r="M136" i="9"/>
  <c r="M175" i="9" s="1"/>
  <c r="K136" i="9"/>
  <c r="J136" i="9"/>
  <c r="J175" i="9" s="1"/>
  <c r="H136" i="9"/>
  <c r="F136" i="9"/>
  <c r="E136" i="9"/>
  <c r="E174" i="9" s="1"/>
  <c r="D136" i="9"/>
  <c r="D175" i="9" s="1"/>
  <c r="W135" i="9"/>
  <c r="V135" i="9"/>
  <c r="U135" i="9"/>
  <c r="R135" i="9"/>
  <c r="O135" i="9"/>
  <c r="L135" i="9"/>
  <c r="I135" i="9"/>
  <c r="F135" i="9"/>
  <c r="X135" i="9" s="1"/>
  <c r="Z134" i="9"/>
  <c r="W134" i="9"/>
  <c r="V134" i="9"/>
  <c r="U134" i="9"/>
  <c r="R134" i="9"/>
  <c r="O134" i="9"/>
  <c r="L134" i="9"/>
  <c r="I134" i="9"/>
  <c r="F134" i="9"/>
  <c r="X134" i="9" s="1"/>
  <c r="V132" i="9"/>
  <c r="T132" i="9"/>
  <c r="U132" i="9" s="1"/>
  <c r="S132" i="9"/>
  <c r="Q132" i="9"/>
  <c r="R132" i="9" s="1"/>
  <c r="P132" i="9"/>
  <c r="N132" i="9"/>
  <c r="O132" i="9" s="1"/>
  <c r="M132" i="9"/>
  <c r="L132" i="9"/>
  <c r="K132" i="9"/>
  <c r="W132" i="9" s="1"/>
  <c r="J132" i="9"/>
  <c r="I132" i="9"/>
  <c r="H132" i="9"/>
  <c r="G132" i="9"/>
  <c r="F132" i="9"/>
  <c r="E132" i="9"/>
  <c r="D132" i="9"/>
  <c r="W131" i="9"/>
  <c r="V131" i="9"/>
  <c r="U131" i="9"/>
  <c r="R131" i="9"/>
  <c r="O131" i="9"/>
  <c r="L131" i="9"/>
  <c r="I131" i="9"/>
  <c r="F131" i="9"/>
  <c r="X131" i="9" s="1"/>
  <c r="W130" i="9"/>
  <c r="V130" i="9"/>
  <c r="U130" i="9"/>
  <c r="R130" i="9"/>
  <c r="O130" i="9"/>
  <c r="L130" i="9"/>
  <c r="I130" i="9"/>
  <c r="F130" i="9"/>
  <c r="X130" i="9" s="1"/>
  <c r="V129" i="9"/>
  <c r="T129" i="9"/>
  <c r="U129" i="9" s="1"/>
  <c r="S129" i="9"/>
  <c r="S133" i="9" s="1"/>
  <c r="R129" i="9"/>
  <c r="Q129" i="9"/>
  <c r="Q133" i="9" s="1"/>
  <c r="P129" i="9"/>
  <c r="P133" i="9" s="1"/>
  <c r="N129" i="9"/>
  <c r="O129" i="9" s="1"/>
  <c r="M129" i="9"/>
  <c r="M133" i="9" s="1"/>
  <c r="M176" i="9" s="1"/>
  <c r="L129" i="9"/>
  <c r="K129" i="9"/>
  <c r="K133" i="9" s="1"/>
  <c r="J129" i="9"/>
  <c r="J133" i="9" s="1"/>
  <c r="J176" i="9" s="1"/>
  <c r="H129" i="9"/>
  <c r="H133" i="9" s="1"/>
  <c r="G129" i="9"/>
  <c r="I129" i="9" s="1"/>
  <c r="F129" i="9"/>
  <c r="E129" i="9"/>
  <c r="E133" i="9" s="1"/>
  <c r="D129" i="9"/>
  <c r="D133" i="9" s="1"/>
  <c r="W128" i="9"/>
  <c r="V128" i="9"/>
  <c r="U128" i="9"/>
  <c r="R128" i="9"/>
  <c r="O128" i="9"/>
  <c r="L128" i="9"/>
  <c r="I128" i="9"/>
  <c r="F128" i="9"/>
  <c r="X128" i="9" s="1"/>
  <c r="Z127" i="9"/>
  <c r="W127" i="9"/>
  <c r="V127" i="9"/>
  <c r="U127" i="9"/>
  <c r="R127" i="9"/>
  <c r="O127" i="9"/>
  <c r="L127" i="9"/>
  <c r="I127" i="9"/>
  <c r="F127" i="9"/>
  <c r="X127" i="9" s="1"/>
  <c r="P122" i="9"/>
  <c r="H122" i="9"/>
  <c r="W121" i="9"/>
  <c r="V121" i="9"/>
  <c r="Y174" i="9" s="1"/>
  <c r="U121" i="9"/>
  <c r="R121" i="9"/>
  <c r="O121" i="9"/>
  <c r="L121" i="9"/>
  <c r="I121" i="9"/>
  <c r="F121" i="9"/>
  <c r="X121" i="9" s="1"/>
  <c r="W120" i="9"/>
  <c r="Z173" i="9" s="1"/>
  <c r="V120" i="9"/>
  <c r="Y173" i="9" s="1"/>
  <c r="U120" i="9"/>
  <c r="R120" i="9"/>
  <c r="O120" i="9"/>
  <c r="L120" i="9"/>
  <c r="I120" i="9"/>
  <c r="F120" i="9"/>
  <c r="X120" i="9" s="1"/>
  <c r="AA173" i="9" s="1"/>
  <c r="W119" i="9"/>
  <c r="Z172" i="9" s="1"/>
  <c r="V119" i="9"/>
  <c r="Y172" i="9" s="1"/>
  <c r="U119" i="9"/>
  <c r="R119" i="9"/>
  <c r="O119" i="9"/>
  <c r="L119" i="9"/>
  <c r="I119" i="9"/>
  <c r="F119" i="9"/>
  <c r="X119" i="9" s="1"/>
  <c r="AA172" i="9" s="1"/>
  <c r="W118" i="9"/>
  <c r="Z171" i="9" s="1"/>
  <c r="V118" i="9"/>
  <c r="Y171" i="9" s="1"/>
  <c r="U118" i="9"/>
  <c r="R118" i="9"/>
  <c r="O118" i="9"/>
  <c r="L118" i="9"/>
  <c r="I118" i="9"/>
  <c r="F118" i="9"/>
  <c r="X118" i="9" s="1"/>
  <c r="AA171" i="9" s="1"/>
  <c r="W117" i="9"/>
  <c r="Z170" i="9" s="1"/>
  <c r="V117" i="9"/>
  <c r="Y170" i="9" s="1"/>
  <c r="U117" i="9"/>
  <c r="R117" i="9"/>
  <c r="O117" i="9"/>
  <c r="L117" i="9"/>
  <c r="I117" i="9"/>
  <c r="F117" i="9"/>
  <c r="X117" i="9" s="1"/>
  <c r="AA170" i="9" s="1"/>
  <c r="W116" i="9"/>
  <c r="Z169" i="9" s="1"/>
  <c r="V116" i="9"/>
  <c r="Y169" i="9" s="1"/>
  <c r="U116" i="9"/>
  <c r="R116" i="9"/>
  <c r="O116" i="9"/>
  <c r="L116" i="9"/>
  <c r="I116" i="9"/>
  <c r="F116" i="9"/>
  <c r="X116" i="9" s="1"/>
  <c r="AA169" i="9" s="1"/>
  <c r="W115" i="9"/>
  <c r="Z168" i="9" s="1"/>
  <c r="V115" i="9"/>
  <c r="Y168" i="9" s="1"/>
  <c r="U115" i="9"/>
  <c r="R115" i="9"/>
  <c r="O115" i="9"/>
  <c r="L115" i="9"/>
  <c r="I115" i="9"/>
  <c r="F115" i="9"/>
  <c r="X115" i="9" s="1"/>
  <c r="AA168" i="9" s="1"/>
  <c r="W113" i="9"/>
  <c r="W112" i="9"/>
  <c r="W111" i="9" s="1"/>
  <c r="V111" i="9"/>
  <c r="Y164" i="9" s="1"/>
  <c r="T111" i="9"/>
  <c r="U111" i="9" s="1"/>
  <c r="S111" i="9"/>
  <c r="R111" i="9"/>
  <c r="Q111" i="9"/>
  <c r="P111" i="9"/>
  <c r="N111" i="9"/>
  <c r="O111" i="9" s="1"/>
  <c r="M111" i="9"/>
  <c r="K111" i="9"/>
  <c r="L111" i="9" s="1"/>
  <c r="J111" i="9"/>
  <c r="I111" i="9"/>
  <c r="H111" i="9"/>
  <c r="G111" i="9"/>
  <c r="F111" i="9"/>
  <c r="E111" i="9"/>
  <c r="D111" i="9"/>
  <c r="W110" i="9"/>
  <c r="Z163" i="9" s="1"/>
  <c r="V110" i="9"/>
  <c r="Y163" i="9" s="1"/>
  <c r="U110" i="9"/>
  <c r="R110" i="9"/>
  <c r="O110" i="9"/>
  <c r="L110" i="9"/>
  <c r="I110" i="9"/>
  <c r="F110" i="9"/>
  <c r="X110" i="9" s="1"/>
  <c r="AA163" i="9" s="1"/>
  <c r="W109" i="9"/>
  <c r="U109" i="9"/>
  <c r="R109" i="9"/>
  <c r="O109" i="9"/>
  <c r="L109" i="9"/>
  <c r="I109" i="9"/>
  <c r="F109" i="9"/>
  <c r="U108" i="9"/>
  <c r="R108" i="9"/>
  <c r="O108" i="9"/>
  <c r="L108" i="9"/>
  <c r="I108" i="9"/>
  <c r="F108" i="9"/>
  <c r="U107" i="9"/>
  <c r="R107" i="9"/>
  <c r="O107" i="9"/>
  <c r="L107" i="9"/>
  <c r="I107" i="9"/>
  <c r="F107" i="9"/>
  <c r="W106" i="9"/>
  <c r="Z159" i="9" s="1"/>
  <c r="U106" i="9"/>
  <c r="R106" i="9"/>
  <c r="O106" i="9"/>
  <c r="L106" i="9"/>
  <c r="I106" i="9"/>
  <c r="F106" i="9"/>
  <c r="W105" i="9"/>
  <c r="Z158" i="9" s="1"/>
  <c r="U105" i="9"/>
  <c r="R105" i="9"/>
  <c r="O105" i="9"/>
  <c r="L105" i="9"/>
  <c r="I105" i="9"/>
  <c r="F105" i="9"/>
  <c r="W104" i="9"/>
  <c r="Z157" i="9" s="1"/>
  <c r="U104" i="9"/>
  <c r="R104" i="9"/>
  <c r="O104" i="9"/>
  <c r="L104" i="9"/>
  <c r="I104" i="9"/>
  <c r="F104" i="9"/>
  <c r="W103" i="9"/>
  <c r="Z156" i="9" s="1"/>
  <c r="U103" i="9"/>
  <c r="R103" i="9"/>
  <c r="O103" i="9"/>
  <c r="L103" i="9"/>
  <c r="I103" i="9"/>
  <c r="F103" i="9"/>
  <c r="W102" i="9"/>
  <c r="T102" i="9"/>
  <c r="U102" i="9" s="1"/>
  <c r="S102" i="9"/>
  <c r="Q102" i="9"/>
  <c r="R102" i="9" s="1"/>
  <c r="P102" i="9"/>
  <c r="O102" i="9"/>
  <c r="N102" i="9"/>
  <c r="M102" i="9"/>
  <c r="K102" i="9"/>
  <c r="L102" i="9" s="1"/>
  <c r="J102" i="9"/>
  <c r="H102" i="9"/>
  <c r="I102" i="9" s="1"/>
  <c r="G102" i="9"/>
  <c r="F102" i="9"/>
  <c r="E102" i="9"/>
  <c r="D102" i="9"/>
  <c r="V102" i="9" s="1"/>
  <c r="Y155" i="9" s="1"/>
  <c r="W101" i="9"/>
  <c r="V101" i="9"/>
  <c r="Y154" i="9" s="1"/>
  <c r="U101" i="9"/>
  <c r="R101" i="9"/>
  <c r="O101" i="9"/>
  <c r="L101" i="9"/>
  <c r="I101" i="9"/>
  <c r="F101" i="9"/>
  <c r="X101" i="9" s="1"/>
  <c r="AA154" i="9" s="1"/>
  <c r="W100" i="9"/>
  <c r="Z153" i="9" s="1"/>
  <c r="V100" i="9"/>
  <c r="Y153" i="9" s="1"/>
  <c r="U100" i="9"/>
  <c r="R100" i="9"/>
  <c r="O100" i="9"/>
  <c r="L100" i="9"/>
  <c r="I100" i="9"/>
  <c r="F100" i="9"/>
  <c r="X100" i="9" s="1"/>
  <c r="AA153" i="9" s="1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V96" i="9" s="1"/>
  <c r="F96" i="9"/>
  <c r="X96" i="9" s="1"/>
  <c r="E96" i="9"/>
  <c r="W96" i="9" s="1"/>
  <c r="Z150" i="9" s="1"/>
  <c r="D96" i="9"/>
  <c r="W95" i="9"/>
  <c r="V95" i="9"/>
  <c r="Y148" i="9" s="1"/>
  <c r="U95" i="9"/>
  <c r="R95" i="9"/>
  <c r="O95" i="9"/>
  <c r="L95" i="9"/>
  <c r="I95" i="9"/>
  <c r="F95" i="9"/>
  <c r="X95" i="9" s="1"/>
  <c r="X94" i="9"/>
  <c r="W94" i="9"/>
  <c r="V94" i="9"/>
  <c r="U94" i="9"/>
  <c r="R94" i="9"/>
  <c r="O94" i="9"/>
  <c r="L94" i="9"/>
  <c r="I94" i="9"/>
  <c r="F94" i="9"/>
  <c r="W93" i="9"/>
  <c r="U93" i="9"/>
  <c r="R93" i="9"/>
  <c r="O93" i="9"/>
  <c r="L93" i="9"/>
  <c r="I93" i="9"/>
  <c r="F93" i="9"/>
  <c r="W92" i="9"/>
  <c r="U92" i="9"/>
  <c r="R92" i="9"/>
  <c r="O92" i="9"/>
  <c r="L92" i="9"/>
  <c r="I92" i="9"/>
  <c r="F92" i="9"/>
  <c r="W91" i="9"/>
  <c r="U91" i="9"/>
  <c r="S91" i="9"/>
  <c r="P91" i="9"/>
  <c r="R91" i="9" s="1"/>
  <c r="O91" i="9"/>
  <c r="M91" i="9"/>
  <c r="J91" i="9"/>
  <c r="L91" i="9" s="1"/>
  <c r="I91" i="9"/>
  <c r="G91" i="9"/>
  <c r="D91" i="9"/>
  <c r="F91" i="9" s="1"/>
  <c r="W90" i="9"/>
  <c r="U90" i="9"/>
  <c r="R90" i="9"/>
  <c r="O90" i="9"/>
  <c r="L90" i="9"/>
  <c r="I90" i="9"/>
  <c r="F90" i="9"/>
  <c r="W89" i="9"/>
  <c r="U89" i="9"/>
  <c r="R89" i="9"/>
  <c r="O89" i="9"/>
  <c r="L89" i="9"/>
  <c r="I89" i="9"/>
  <c r="F89" i="9"/>
  <c r="W88" i="9"/>
  <c r="U88" i="9"/>
  <c r="R88" i="9"/>
  <c r="O88" i="9"/>
  <c r="L88" i="9"/>
  <c r="I88" i="9"/>
  <c r="F88" i="9"/>
  <c r="W87" i="9"/>
  <c r="U87" i="9"/>
  <c r="R87" i="9"/>
  <c r="O87" i="9"/>
  <c r="L87" i="9"/>
  <c r="I87" i="9"/>
  <c r="F87" i="9"/>
  <c r="W86" i="9"/>
  <c r="U86" i="9"/>
  <c r="R86" i="9"/>
  <c r="O86" i="9"/>
  <c r="L86" i="9"/>
  <c r="I86" i="9"/>
  <c r="F86" i="9"/>
  <c r="W85" i="9"/>
  <c r="U85" i="9"/>
  <c r="R85" i="9"/>
  <c r="O85" i="9"/>
  <c r="L85" i="9"/>
  <c r="I85" i="9"/>
  <c r="F85" i="9"/>
  <c r="W84" i="9"/>
  <c r="U84" i="9"/>
  <c r="R84" i="9"/>
  <c r="O84" i="9"/>
  <c r="L84" i="9"/>
  <c r="I84" i="9"/>
  <c r="F84" i="9"/>
  <c r="U83" i="9"/>
  <c r="T83" i="9"/>
  <c r="T122" i="9" s="1"/>
  <c r="U122" i="9" s="1"/>
  <c r="S83" i="9"/>
  <c r="S122" i="9" s="1"/>
  <c r="Q83" i="9"/>
  <c r="R83" i="9" s="1"/>
  <c r="P83" i="9"/>
  <c r="N83" i="9"/>
  <c r="O83" i="9" s="1"/>
  <c r="M83" i="9"/>
  <c r="M122" i="9" s="1"/>
  <c r="K83" i="9"/>
  <c r="K122" i="9" s="1"/>
  <c r="L122" i="9" s="1"/>
  <c r="J83" i="9"/>
  <c r="J122" i="9" s="1"/>
  <c r="I83" i="9"/>
  <c r="H83" i="9"/>
  <c r="G83" i="9"/>
  <c r="G122" i="9" s="1"/>
  <c r="E83" i="9"/>
  <c r="E122" i="9" s="1"/>
  <c r="D83" i="9"/>
  <c r="D122" i="9" s="1"/>
  <c r="W82" i="9"/>
  <c r="Z135" i="9" s="1"/>
  <c r="V82" i="9"/>
  <c r="Y135" i="9" s="1"/>
  <c r="U82" i="9"/>
  <c r="R82" i="9"/>
  <c r="O82" i="9"/>
  <c r="L82" i="9"/>
  <c r="I82" i="9"/>
  <c r="F82" i="9"/>
  <c r="X82" i="9" s="1"/>
  <c r="W81" i="9"/>
  <c r="V81" i="9"/>
  <c r="Y134" i="9" s="1"/>
  <c r="U81" i="9"/>
  <c r="R81" i="9"/>
  <c r="O81" i="9"/>
  <c r="L81" i="9"/>
  <c r="I81" i="9"/>
  <c r="F81" i="9"/>
  <c r="X81" i="9" s="1"/>
  <c r="AA134" i="9" s="1"/>
  <c r="T80" i="9"/>
  <c r="T123" i="9" s="1"/>
  <c r="U123" i="9" s="1"/>
  <c r="D80" i="9"/>
  <c r="U79" i="9"/>
  <c r="T79" i="9"/>
  <c r="S79" i="9"/>
  <c r="Q79" i="9"/>
  <c r="R79" i="9" s="1"/>
  <c r="P79" i="9"/>
  <c r="N79" i="9"/>
  <c r="O79" i="9" s="1"/>
  <c r="M79" i="9"/>
  <c r="V79" i="9" s="1"/>
  <c r="Y132" i="9" s="1"/>
  <c r="L79" i="9"/>
  <c r="K79" i="9"/>
  <c r="J79" i="9"/>
  <c r="I79" i="9"/>
  <c r="H79" i="9"/>
  <c r="G79" i="9"/>
  <c r="E79" i="9"/>
  <c r="F79" i="9" s="1"/>
  <c r="X79" i="9" s="1"/>
  <c r="D79" i="9"/>
  <c r="W78" i="9"/>
  <c r="Z131" i="9" s="1"/>
  <c r="V78" i="9"/>
  <c r="Y131" i="9" s="1"/>
  <c r="U78" i="9"/>
  <c r="R78" i="9"/>
  <c r="O78" i="9"/>
  <c r="L78" i="9"/>
  <c r="I78" i="9"/>
  <c r="F78" i="9"/>
  <c r="X78" i="9" s="1"/>
  <c r="AA131" i="9" s="1"/>
  <c r="W77" i="9"/>
  <c r="Z130" i="9" s="1"/>
  <c r="V77" i="9"/>
  <c r="Y130" i="9" s="1"/>
  <c r="U77" i="9"/>
  <c r="R77" i="9"/>
  <c r="O77" i="9"/>
  <c r="L77" i="9"/>
  <c r="I77" i="9"/>
  <c r="F77" i="9"/>
  <c r="X77" i="9" s="1"/>
  <c r="AA130" i="9" s="1"/>
  <c r="T76" i="9"/>
  <c r="U76" i="9" s="1"/>
  <c r="S76" i="9"/>
  <c r="S80" i="9" s="1"/>
  <c r="S123" i="9" s="1"/>
  <c r="Q76" i="9"/>
  <c r="Q80" i="9" s="1"/>
  <c r="P76" i="9"/>
  <c r="P80" i="9" s="1"/>
  <c r="P123" i="9" s="1"/>
  <c r="N76" i="9"/>
  <c r="N80" i="9" s="1"/>
  <c r="M76" i="9"/>
  <c r="M80" i="9" s="1"/>
  <c r="L76" i="9"/>
  <c r="K76" i="9"/>
  <c r="K80" i="9" s="1"/>
  <c r="J76" i="9"/>
  <c r="J80" i="9" s="1"/>
  <c r="J123" i="9" s="1"/>
  <c r="H76" i="9"/>
  <c r="H80" i="9" s="1"/>
  <c r="G76" i="9"/>
  <c r="G80" i="9" s="1"/>
  <c r="E76" i="9"/>
  <c r="E80" i="9" s="1"/>
  <c r="D76" i="9"/>
  <c r="V76" i="9" s="1"/>
  <c r="Y129" i="9" s="1"/>
  <c r="W75" i="9"/>
  <c r="Z128" i="9" s="1"/>
  <c r="V75" i="9"/>
  <c r="Y128" i="9" s="1"/>
  <c r="U75" i="9"/>
  <c r="R75" i="9"/>
  <c r="O75" i="9"/>
  <c r="L75" i="9"/>
  <c r="I75" i="9"/>
  <c r="F75" i="9"/>
  <c r="X75" i="9" s="1"/>
  <c r="AA128" i="9" s="1"/>
  <c r="W74" i="9"/>
  <c r="V74" i="9"/>
  <c r="Y127" i="9" s="1"/>
  <c r="U74" i="9"/>
  <c r="R74" i="9"/>
  <c r="O74" i="9"/>
  <c r="L74" i="9"/>
  <c r="I74" i="9"/>
  <c r="F74" i="9"/>
  <c r="X74" i="9" s="1"/>
  <c r="AA127" i="9" s="1"/>
  <c r="Q68" i="9"/>
  <c r="P68" i="9"/>
  <c r="Q67" i="9"/>
  <c r="P67" i="9"/>
  <c r="O66" i="9"/>
  <c r="Q66" i="9" s="1"/>
  <c r="Q65" i="9"/>
  <c r="P65" i="9"/>
  <c r="Q64" i="9"/>
  <c r="P64" i="9"/>
  <c r="Q63" i="9"/>
  <c r="P63" i="9"/>
  <c r="J62" i="9"/>
  <c r="Q62" i="9" s="1"/>
  <c r="Q61" i="9"/>
  <c r="P61" i="9"/>
  <c r="Q60" i="9"/>
  <c r="P60" i="9"/>
  <c r="Q59" i="9"/>
  <c r="P59" i="9"/>
  <c r="Q58" i="9"/>
  <c r="P58" i="9"/>
  <c r="O57" i="9"/>
  <c r="N57" i="9"/>
  <c r="M57" i="9"/>
  <c r="L57" i="9"/>
  <c r="K57" i="9"/>
  <c r="J57" i="9"/>
  <c r="I57" i="9"/>
  <c r="H57" i="9"/>
  <c r="G57" i="9"/>
  <c r="Q57" i="9" s="1"/>
  <c r="F57" i="9"/>
  <c r="E57" i="9"/>
  <c r="D57" i="9"/>
  <c r="Q56" i="9"/>
  <c r="P56" i="9"/>
  <c r="Q55" i="9"/>
  <c r="P55" i="9"/>
  <c r="Q54" i="9"/>
  <c r="P54" i="9"/>
  <c r="Q53" i="9"/>
  <c r="P53" i="9"/>
  <c r="Q52" i="9"/>
  <c r="P52" i="9"/>
  <c r="Q51" i="9"/>
  <c r="P51" i="9"/>
  <c r="Q50" i="9"/>
  <c r="P50" i="9"/>
  <c r="Q49" i="9"/>
  <c r="P49" i="9"/>
  <c r="Q48" i="9"/>
  <c r="P48" i="9"/>
  <c r="Q47" i="9"/>
  <c r="P47" i="9"/>
  <c r="Q46" i="9"/>
  <c r="P46" i="9"/>
  <c r="Q45" i="9"/>
  <c r="P45" i="9"/>
  <c r="Q44" i="9"/>
  <c r="P44" i="9"/>
  <c r="Q43" i="9"/>
  <c r="P43" i="9"/>
  <c r="O42" i="9"/>
  <c r="N42" i="9"/>
  <c r="M42" i="9"/>
  <c r="L42" i="9"/>
  <c r="K42" i="9"/>
  <c r="J42" i="9"/>
  <c r="I42" i="9"/>
  <c r="Q42" i="9" s="1"/>
  <c r="H42" i="9"/>
  <c r="G42" i="9"/>
  <c r="F42" i="9"/>
  <c r="E42" i="9"/>
  <c r="D42" i="9"/>
  <c r="P42" i="9" s="1"/>
  <c r="Q41" i="9"/>
  <c r="P41" i="9"/>
  <c r="Q40" i="9"/>
  <c r="P40" i="9"/>
  <c r="P39" i="9"/>
  <c r="P38" i="9"/>
  <c r="P37" i="9"/>
  <c r="O36" i="9"/>
  <c r="Q36" i="9" s="1"/>
  <c r="N35" i="9"/>
  <c r="M35" i="9"/>
  <c r="L35" i="9"/>
  <c r="L69" i="9" s="1"/>
  <c r="K35" i="9"/>
  <c r="J35" i="9"/>
  <c r="J69" i="9" s="1"/>
  <c r="I35" i="9"/>
  <c r="H35" i="9"/>
  <c r="G35" i="9"/>
  <c r="F35" i="9"/>
  <c r="E35" i="9"/>
  <c r="D35" i="9"/>
  <c r="D69" i="9" s="1"/>
  <c r="Q34" i="9"/>
  <c r="P34" i="9"/>
  <c r="Q33" i="9"/>
  <c r="P33" i="9"/>
  <c r="Q32" i="9"/>
  <c r="P32" i="9"/>
  <c r="Q31" i="9"/>
  <c r="P31" i="9"/>
  <c r="Q30" i="9"/>
  <c r="P30" i="9"/>
  <c r="Q29" i="9"/>
  <c r="P29" i="9"/>
  <c r="Q28" i="9"/>
  <c r="P28" i="9"/>
  <c r="Q27" i="9"/>
  <c r="P27" i="9"/>
  <c r="Q26" i="9"/>
  <c r="P26" i="9"/>
  <c r="Q25" i="9"/>
  <c r="P25" i="9"/>
  <c r="Q24" i="9"/>
  <c r="P24" i="9"/>
  <c r="Q23" i="9"/>
  <c r="P23" i="9"/>
  <c r="Q22" i="9"/>
  <c r="P22" i="9"/>
  <c r="Q21" i="9"/>
  <c r="P21" i="9"/>
  <c r="Q20" i="9"/>
  <c r="P20" i="9"/>
  <c r="Q19" i="9"/>
  <c r="P19" i="9"/>
  <c r="Q18" i="9"/>
  <c r="P18" i="9"/>
  <c r="O17" i="9"/>
  <c r="N17" i="9"/>
  <c r="N69" i="9" s="1"/>
  <c r="M17" i="9"/>
  <c r="M69" i="9" s="1"/>
  <c r="L17" i="9"/>
  <c r="K17" i="9"/>
  <c r="K69" i="9" s="1"/>
  <c r="J17" i="9"/>
  <c r="I17" i="9"/>
  <c r="H17" i="9"/>
  <c r="H69" i="9" s="1"/>
  <c r="G17" i="9"/>
  <c r="G69" i="9" s="1"/>
  <c r="F17" i="9"/>
  <c r="F69" i="9" s="1"/>
  <c r="E17" i="9"/>
  <c r="E69" i="9" s="1"/>
  <c r="D17" i="9"/>
  <c r="Q16" i="9"/>
  <c r="P16" i="9"/>
  <c r="Q15" i="9"/>
  <c r="P15" i="9"/>
  <c r="Q14" i="9"/>
  <c r="Q13" i="9"/>
  <c r="Q12" i="9"/>
  <c r="P12" i="9"/>
  <c r="Q11" i="9"/>
  <c r="P11" i="9"/>
  <c r="P13" i="9" s="1"/>
  <c r="Q10" i="9"/>
  <c r="P9" i="9"/>
  <c r="Q8" i="9"/>
  <c r="P8" i="9"/>
  <c r="Q7" i="9"/>
  <c r="P7" i="9"/>
  <c r="P10" i="9" s="1"/>
  <c r="G123" i="9" l="1"/>
  <c r="R80" i="9"/>
  <c r="X102" i="9"/>
  <c r="AA155" i="9" s="1"/>
  <c r="X164" i="9"/>
  <c r="V80" i="9"/>
  <c r="X129" i="9"/>
  <c r="X132" i="9"/>
  <c r="AA135" i="9"/>
  <c r="H123" i="9"/>
  <c r="I123" i="9" s="1"/>
  <c r="I80" i="9"/>
  <c r="D176" i="9"/>
  <c r="V122" i="9"/>
  <c r="R133" i="9"/>
  <c r="Q176" i="9"/>
  <c r="Z149" i="9"/>
  <c r="M123" i="9"/>
  <c r="W122" i="9"/>
  <c r="F122" i="9"/>
  <c r="R175" i="9"/>
  <c r="I136" i="9"/>
  <c r="I175" i="9" s="1"/>
  <c r="U136" i="9"/>
  <c r="AA149" i="9"/>
  <c r="F174" i="9"/>
  <c r="X111" i="9"/>
  <c r="I122" i="9"/>
  <c r="S176" i="9"/>
  <c r="U175" i="9"/>
  <c r="F133" i="9"/>
  <c r="L80" i="9"/>
  <c r="K123" i="9"/>
  <c r="L123" i="9" s="1"/>
  <c r="P176" i="9"/>
  <c r="AA132" i="9"/>
  <c r="O80" i="9"/>
  <c r="W80" i="9"/>
  <c r="E123" i="9"/>
  <c r="F80" i="9"/>
  <c r="X80" i="9" s="1"/>
  <c r="L133" i="9"/>
  <c r="K175" i="9"/>
  <c r="K176" i="9" s="1"/>
  <c r="L176" i="9" s="1"/>
  <c r="N133" i="9"/>
  <c r="F76" i="9"/>
  <c r="W79" i="9"/>
  <c r="Z132" i="9" s="1"/>
  <c r="N122" i="9"/>
  <c r="O122" i="9" s="1"/>
  <c r="T133" i="9"/>
  <c r="W133" i="9" s="1"/>
  <c r="L136" i="9"/>
  <c r="L175" i="9" s="1"/>
  <c r="Z165" i="9"/>
  <c r="H174" i="9"/>
  <c r="I174" i="9" s="1"/>
  <c r="T174" i="9"/>
  <c r="U174" i="9" s="1"/>
  <c r="T175" i="9"/>
  <c r="F175" i="9"/>
  <c r="O76" i="9"/>
  <c r="W76" i="9"/>
  <c r="L83" i="9"/>
  <c r="W164" i="9"/>
  <c r="Z164" i="9" s="1"/>
  <c r="E175" i="9"/>
  <c r="I76" i="9"/>
  <c r="U80" i="9"/>
  <c r="F83" i="9"/>
  <c r="V83" i="9"/>
  <c r="Q122" i="9"/>
  <c r="R122" i="9" s="1"/>
  <c r="D123" i="9"/>
  <c r="W129" i="9"/>
  <c r="G133" i="9"/>
  <c r="I133" i="9" s="1"/>
  <c r="G136" i="9"/>
  <c r="O136" i="9"/>
  <c r="W136" i="9"/>
  <c r="U144" i="9"/>
  <c r="R76" i="9"/>
  <c r="W83" i="9"/>
  <c r="Z136" i="9" s="1"/>
  <c r="N174" i="9"/>
  <c r="O174" i="9" s="1"/>
  <c r="O175" i="9" s="1"/>
  <c r="H175" i="9"/>
  <c r="H176" i="9" s="1"/>
  <c r="Q175" i="9"/>
  <c r="F155" i="9"/>
  <c r="X155" i="9" s="1"/>
  <c r="P14" i="9"/>
  <c r="P57" i="9"/>
  <c r="P36" i="9"/>
  <c r="P35" i="9" s="1"/>
  <c r="P62" i="9"/>
  <c r="I69" i="9"/>
  <c r="P66" i="9"/>
  <c r="Q17" i="9"/>
  <c r="O35" i="9"/>
  <c r="O69" i="9" s="1"/>
  <c r="N175" i="9" l="1"/>
  <c r="W175" i="9" s="1"/>
  <c r="Y133" i="9"/>
  <c r="V123" i="9"/>
  <c r="Z129" i="9"/>
  <c r="AA164" i="9"/>
  <c r="Z133" i="9"/>
  <c r="W123" i="9"/>
  <c r="X136" i="9"/>
  <c r="V133" i="9"/>
  <c r="Y136" i="9"/>
  <c r="F123" i="9"/>
  <c r="X83" i="9"/>
  <c r="W174" i="9"/>
  <c r="Z174" i="9" s="1"/>
  <c r="R176" i="9"/>
  <c r="X76" i="9"/>
  <c r="AA129" i="9" s="1"/>
  <c r="X174" i="9"/>
  <c r="AA174" i="9" s="1"/>
  <c r="Q123" i="9"/>
  <c r="R123" i="9" s="1"/>
  <c r="U133" i="9"/>
  <c r="T176" i="9"/>
  <c r="U176" i="9" s="1"/>
  <c r="X175" i="9"/>
  <c r="E176" i="9"/>
  <c r="F176" i="9" s="1"/>
  <c r="V136" i="9"/>
  <c r="G175" i="9"/>
  <c r="V175" i="9" s="1"/>
  <c r="Y175" i="9" s="1"/>
  <c r="O133" i="9"/>
  <c r="X133" i="9" s="1"/>
  <c r="AA133" i="9" s="1"/>
  <c r="N176" i="9"/>
  <c r="O176" i="9" s="1"/>
  <c r="N123" i="9"/>
  <c r="O123" i="9" s="1"/>
  <c r="X122" i="9"/>
  <c r="AA175" i="9" s="1"/>
  <c r="P69" i="9"/>
  <c r="Q69" i="9"/>
  <c r="Q35" i="9"/>
  <c r="W176" i="9" l="1"/>
  <c r="Z175" i="9"/>
  <c r="Z176" i="9" s="1"/>
  <c r="G176" i="9"/>
  <c r="I176" i="9" s="1"/>
  <c r="X123" i="9"/>
  <c r="V176" i="9"/>
  <c r="Y176" i="9" s="1"/>
  <c r="AA136" i="9"/>
  <c r="AA176" i="9" l="1"/>
  <c r="X176" i="9"/>
  <c r="O130" i="4" l="1"/>
  <c r="N130" i="4"/>
  <c r="M130" i="4"/>
  <c r="L130" i="4"/>
  <c r="K130" i="4"/>
  <c r="J130" i="4"/>
  <c r="I130" i="4"/>
  <c r="H130" i="4"/>
  <c r="G130" i="4"/>
  <c r="F130" i="4"/>
  <c r="E130" i="4"/>
  <c r="D130" i="4"/>
  <c r="O101" i="4" l="1"/>
  <c r="N101" i="4"/>
  <c r="M101" i="4"/>
  <c r="L101" i="4"/>
  <c r="K101" i="4"/>
  <c r="J101" i="4"/>
  <c r="I101" i="4"/>
  <c r="H101" i="4"/>
  <c r="G101" i="4"/>
  <c r="F101" i="4"/>
  <c r="E101" i="4"/>
  <c r="D101" i="4"/>
  <c r="O99" i="4"/>
  <c r="N99" i="4"/>
  <c r="M99" i="4"/>
  <c r="L99" i="4"/>
  <c r="G99" i="4"/>
  <c r="F99" i="4"/>
  <c r="E99" i="4"/>
  <c r="D99" i="4"/>
  <c r="O97" i="4"/>
  <c r="N97" i="4"/>
  <c r="M97" i="4"/>
  <c r="L97" i="4"/>
  <c r="K97" i="4"/>
  <c r="K99" i="4" s="1"/>
  <c r="J97" i="4"/>
  <c r="J99" i="4" s="1"/>
  <c r="I97" i="4"/>
  <c r="I99" i="4" s="1"/>
  <c r="H97" i="4"/>
  <c r="H99" i="4" s="1"/>
  <c r="G97" i="4"/>
  <c r="F97" i="4"/>
  <c r="E97" i="4"/>
  <c r="D97" i="4"/>
  <c r="O96" i="4"/>
  <c r="N96" i="4"/>
  <c r="M96" i="4"/>
  <c r="L96" i="4"/>
  <c r="G96" i="4"/>
  <c r="F96" i="4"/>
  <c r="E96" i="4"/>
  <c r="D96" i="4"/>
  <c r="O94" i="4"/>
  <c r="N94" i="4"/>
  <c r="M94" i="4"/>
  <c r="L94" i="4"/>
  <c r="K94" i="4"/>
  <c r="K96" i="4" s="1"/>
  <c r="J94" i="4"/>
  <c r="J96" i="4" s="1"/>
  <c r="I94" i="4"/>
  <c r="I96" i="4" s="1"/>
  <c r="H94" i="4"/>
  <c r="H96" i="4" s="1"/>
  <c r="G94" i="4"/>
  <c r="F94" i="4"/>
  <c r="E94" i="4"/>
  <c r="D94" i="4"/>
  <c r="O93" i="4"/>
  <c r="N93" i="4"/>
  <c r="M93" i="4"/>
  <c r="L93" i="4"/>
  <c r="G93" i="4"/>
  <c r="F93" i="4"/>
  <c r="E93" i="4"/>
  <c r="D93" i="4"/>
  <c r="O91" i="4"/>
  <c r="N91" i="4"/>
  <c r="M91" i="4"/>
  <c r="L91" i="4"/>
  <c r="K91" i="4"/>
  <c r="K93" i="4" s="1"/>
  <c r="J91" i="4"/>
  <c r="J93" i="4" s="1"/>
  <c r="I91" i="4"/>
  <c r="I93" i="4" s="1"/>
  <c r="H91" i="4"/>
  <c r="H93" i="4" s="1"/>
  <c r="G91" i="4"/>
  <c r="F91" i="4"/>
  <c r="E91" i="4"/>
  <c r="D91" i="4"/>
  <c r="O90" i="4"/>
  <c r="N90" i="4"/>
  <c r="M90" i="4"/>
  <c r="L90" i="4"/>
  <c r="G90" i="4"/>
  <c r="F90" i="4"/>
  <c r="E90" i="4"/>
  <c r="D90" i="4"/>
  <c r="O88" i="4"/>
  <c r="O100" i="4" s="1"/>
  <c r="N88" i="4"/>
  <c r="N100" i="4" s="1"/>
  <c r="M88" i="4"/>
  <c r="M100" i="4" s="1"/>
  <c r="L88" i="4"/>
  <c r="L100" i="4" s="1"/>
  <c r="K88" i="4"/>
  <c r="K90" i="4" s="1"/>
  <c r="J88" i="4"/>
  <c r="J90" i="4" s="1"/>
  <c r="I88" i="4"/>
  <c r="I90" i="4" s="1"/>
  <c r="H88" i="4"/>
  <c r="H100" i="4" s="1"/>
  <c r="H102" i="4" s="1"/>
  <c r="G88" i="4"/>
  <c r="G100" i="4" s="1"/>
  <c r="F88" i="4"/>
  <c r="F100" i="4" s="1"/>
  <c r="E88" i="4"/>
  <c r="E100" i="4" s="1"/>
  <c r="D88" i="4"/>
  <c r="D100" i="4" s="1"/>
  <c r="E102" i="4" l="1"/>
  <c r="M102" i="4"/>
  <c r="D102" i="4"/>
  <c r="F102" i="4"/>
  <c r="N102" i="4"/>
  <c r="L102" i="4"/>
  <c r="G102" i="4"/>
  <c r="O102" i="4"/>
  <c r="H90" i="4"/>
  <c r="J100" i="4"/>
  <c r="J102" i="4" s="1"/>
  <c r="I100" i="4"/>
  <c r="I102" i="4" s="1"/>
  <c r="K100" i="4"/>
  <c r="K102" i="4" s="1"/>
  <c r="O83" i="4" l="1"/>
  <c r="N83" i="4"/>
  <c r="M83" i="4"/>
  <c r="L83" i="4"/>
  <c r="K83" i="4"/>
  <c r="J83" i="4"/>
  <c r="I83" i="4"/>
  <c r="H83" i="4"/>
  <c r="G83" i="4"/>
  <c r="F83" i="4"/>
  <c r="E83" i="4"/>
  <c r="D83" i="4"/>
  <c r="N81" i="4"/>
  <c r="Q80" i="4"/>
  <c r="P80" i="4"/>
  <c r="O79" i="4"/>
  <c r="O81" i="4" s="1"/>
  <c r="N79" i="4"/>
  <c r="M79" i="4"/>
  <c r="M81" i="4" s="1"/>
  <c r="L79" i="4"/>
  <c r="L81" i="4" s="1"/>
  <c r="K79" i="4"/>
  <c r="K81" i="4" s="1"/>
  <c r="J79" i="4"/>
  <c r="J81" i="4" s="1"/>
  <c r="I79" i="4"/>
  <c r="I81" i="4" s="1"/>
  <c r="H79" i="4"/>
  <c r="H81" i="4" s="1"/>
  <c r="G79" i="4"/>
  <c r="G81" i="4" s="1"/>
  <c r="F79" i="4"/>
  <c r="F81" i="4" s="1"/>
  <c r="E79" i="4"/>
  <c r="E81" i="4" s="1"/>
  <c r="D79" i="4"/>
  <c r="Q79" i="4" s="1"/>
  <c r="Q77" i="4"/>
  <c r="P77" i="4"/>
  <c r="O76" i="4"/>
  <c r="O78" i="4" s="1"/>
  <c r="N76" i="4"/>
  <c r="N78" i="4" s="1"/>
  <c r="M76" i="4"/>
  <c r="M78" i="4" s="1"/>
  <c r="L76" i="4"/>
  <c r="L78" i="4" s="1"/>
  <c r="K76" i="4"/>
  <c r="K78" i="4" s="1"/>
  <c r="J76" i="4"/>
  <c r="J78" i="4" s="1"/>
  <c r="I76" i="4"/>
  <c r="I78" i="4" s="1"/>
  <c r="H76" i="4"/>
  <c r="H78" i="4" s="1"/>
  <c r="G76" i="4"/>
  <c r="G78" i="4" s="1"/>
  <c r="F76" i="4"/>
  <c r="F78" i="4" s="1"/>
  <c r="E76" i="4"/>
  <c r="E78" i="4" s="1"/>
  <c r="D76" i="4"/>
  <c r="Q76" i="4" s="1"/>
  <c r="K75" i="4"/>
  <c r="Q74" i="4"/>
  <c r="P74" i="4"/>
  <c r="O73" i="4"/>
  <c r="O75" i="4" s="1"/>
  <c r="N73" i="4"/>
  <c r="N75" i="4" s="1"/>
  <c r="M73" i="4"/>
  <c r="M75" i="4" s="1"/>
  <c r="L73" i="4"/>
  <c r="L75" i="4" s="1"/>
  <c r="K73" i="4"/>
  <c r="J73" i="4"/>
  <c r="J75" i="4" s="1"/>
  <c r="I73" i="4"/>
  <c r="I75" i="4" s="1"/>
  <c r="H73" i="4"/>
  <c r="H75" i="4" s="1"/>
  <c r="G73" i="4"/>
  <c r="G75" i="4" s="1"/>
  <c r="F73" i="4"/>
  <c r="F75" i="4" s="1"/>
  <c r="E73" i="4"/>
  <c r="E75" i="4" s="1"/>
  <c r="D73" i="4"/>
  <c r="D75" i="4" s="1"/>
  <c r="Q75" i="4" s="1"/>
  <c r="Q71" i="4"/>
  <c r="P71" i="4"/>
  <c r="Q50" i="4"/>
  <c r="L64" i="4"/>
  <c r="I64" i="4"/>
  <c r="O63" i="4"/>
  <c r="O64" i="4" s="1"/>
  <c r="N63" i="4"/>
  <c r="N64" i="4" s="1"/>
  <c r="M63" i="4"/>
  <c r="M64" i="4" s="1"/>
  <c r="L63" i="4"/>
  <c r="K63" i="4"/>
  <c r="K64" i="4" s="1"/>
  <c r="J63" i="4"/>
  <c r="J64" i="4" s="1"/>
  <c r="I63" i="4"/>
  <c r="H63" i="4"/>
  <c r="H64" i="4" s="1"/>
  <c r="G63" i="4"/>
  <c r="G64" i="4" s="1"/>
  <c r="F63" i="4"/>
  <c r="E63" i="4"/>
  <c r="E64" i="4" s="1"/>
  <c r="D63" i="4"/>
  <c r="O62" i="4"/>
  <c r="N62" i="4"/>
  <c r="M62" i="4"/>
  <c r="L62" i="4"/>
  <c r="K62" i="4"/>
  <c r="J62" i="4"/>
  <c r="I62" i="4"/>
  <c r="H62" i="4"/>
  <c r="G62" i="4"/>
  <c r="F62" i="4"/>
  <c r="F64" i="4" s="1"/>
  <c r="E62" i="4"/>
  <c r="Q62" i="4" s="1"/>
  <c r="D62" i="4"/>
  <c r="O61" i="4"/>
  <c r="N61" i="4"/>
  <c r="M61" i="4"/>
  <c r="L61" i="4"/>
  <c r="K61" i="4"/>
  <c r="J61" i="4"/>
  <c r="I61" i="4"/>
  <c r="H61" i="4"/>
  <c r="G61" i="4"/>
  <c r="F61" i="4"/>
  <c r="E61" i="4"/>
  <c r="D61" i="4"/>
  <c r="Q61" i="4" s="1"/>
  <c r="Q60" i="4"/>
  <c r="P60" i="4"/>
  <c r="P61" i="4" s="1"/>
  <c r="Q59" i="4"/>
  <c r="P59" i="4"/>
  <c r="O58" i="4"/>
  <c r="N58" i="4"/>
  <c r="M58" i="4"/>
  <c r="L58" i="4"/>
  <c r="K58" i="4"/>
  <c r="J58" i="4"/>
  <c r="I58" i="4"/>
  <c r="H58" i="4"/>
  <c r="G58" i="4"/>
  <c r="F58" i="4"/>
  <c r="E58" i="4"/>
  <c r="D58" i="4"/>
  <c r="Q57" i="4"/>
  <c r="P57" i="4"/>
  <c r="Q56" i="4"/>
  <c r="P56" i="4"/>
  <c r="O55" i="4"/>
  <c r="N55" i="4"/>
  <c r="M55" i="4"/>
  <c r="L55" i="4"/>
  <c r="K55" i="4"/>
  <c r="J55" i="4"/>
  <c r="I55" i="4"/>
  <c r="H55" i="4"/>
  <c r="G55" i="4"/>
  <c r="F55" i="4"/>
  <c r="E55" i="4"/>
  <c r="D55" i="4"/>
  <c r="Q54" i="4"/>
  <c r="P54" i="4"/>
  <c r="Q53" i="4"/>
  <c r="P53" i="4"/>
  <c r="P55" i="4" s="1"/>
  <c r="O52" i="4"/>
  <c r="N52" i="4"/>
  <c r="M52" i="4"/>
  <c r="L52" i="4"/>
  <c r="K52" i="4"/>
  <c r="J52" i="4"/>
  <c r="I52" i="4"/>
  <c r="H52" i="4"/>
  <c r="G52" i="4"/>
  <c r="F52" i="4"/>
  <c r="E52" i="4"/>
  <c r="D52" i="4"/>
  <c r="Q51" i="4"/>
  <c r="P51" i="4"/>
  <c r="P52" i="4" s="1"/>
  <c r="P50" i="4"/>
  <c r="E44" i="4"/>
  <c r="D44" i="4"/>
  <c r="F44" i="4" s="1"/>
  <c r="D40" i="4"/>
  <c r="E40" i="4"/>
  <c r="D41" i="4"/>
  <c r="E41" i="4"/>
  <c r="F41" i="4" s="1"/>
  <c r="D42" i="4"/>
  <c r="E42" i="4"/>
  <c r="F42" i="4" s="1"/>
  <c r="D43" i="4"/>
  <c r="E43" i="4"/>
  <c r="F43" i="4"/>
  <c r="O35" i="4"/>
  <c r="N35" i="4"/>
  <c r="M35" i="4"/>
  <c r="L35" i="4"/>
  <c r="K35" i="4"/>
  <c r="J35" i="4"/>
  <c r="I35" i="4"/>
  <c r="H35" i="4"/>
  <c r="G35" i="4"/>
  <c r="F35" i="4"/>
  <c r="E35" i="4"/>
  <c r="D35" i="4"/>
  <c r="Q35" i="4" s="1"/>
  <c r="Q34" i="4"/>
  <c r="P34" i="4"/>
  <c r="Q33" i="4"/>
  <c r="P33" i="4"/>
  <c r="Q32" i="4"/>
  <c r="P32" i="4"/>
  <c r="Q31" i="4"/>
  <c r="P31" i="4"/>
  <c r="O27" i="4"/>
  <c r="N27" i="4"/>
  <c r="M27" i="4"/>
  <c r="L27" i="4"/>
  <c r="K27" i="4"/>
  <c r="J27" i="4"/>
  <c r="I27" i="4"/>
  <c r="H27" i="4"/>
  <c r="P27" i="4" s="1"/>
  <c r="G27" i="4"/>
  <c r="F27" i="4"/>
  <c r="E27" i="4"/>
  <c r="D27" i="4"/>
  <c r="Q27" i="4" s="1"/>
  <c r="Q26" i="4"/>
  <c r="P26" i="4"/>
  <c r="Q25" i="4"/>
  <c r="P25" i="4"/>
  <c r="Q24" i="4"/>
  <c r="P24" i="4"/>
  <c r="Q23" i="4"/>
  <c r="P23" i="4"/>
  <c r="O19" i="4"/>
  <c r="N19" i="4"/>
  <c r="M19" i="4"/>
  <c r="L19" i="4"/>
  <c r="K19" i="4"/>
  <c r="J19" i="4"/>
  <c r="I19" i="4"/>
  <c r="H19" i="4"/>
  <c r="G19" i="4"/>
  <c r="F19" i="4"/>
  <c r="E19" i="4"/>
  <c r="D19" i="4"/>
  <c r="Q19" i="4" s="1"/>
  <c r="Q18" i="4"/>
  <c r="P18" i="4"/>
  <c r="Q17" i="4"/>
  <c r="P17" i="4"/>
  <c r="Q16" i="4"/>
  <c r="P16" i="4"/>
  <c r="Q15" i="4"/>
  <c r="P15" i="4"/>
  <c r="Q10" i="4"/>
  <c r="O10" i="4"/>
  <c r="N10" i="4"/>
  <c r="M10" i="4"/>
  <c r="L10" i="4"/>
  <c r="K10" i="4"/>
  <c r="J10" i="4"/>
  <c r="I10" i="4"/>
  <c r="H10" i="4"/>
  <c r="G10" i="4"/>
  <c r="F10" i="4"/>
  <c r="E10" i="4"/>
  <c r="D10" i="4"/>
  <c r="P10" i="4" s="1"/>
  <c r="Q9" i="4"/>
  <c r="P9" i="4"/>
  <c r="Q8" i="4"/>
  <c r="P8" i="4"/>
  <c r="Q7" i="4"/>
  <c r="P7" i="4"/>
  <c r="Q6" i="4"/>
  <c r="P6" i="4"/>
  <c r="Q52" i="4" l="1"/>
  <c r="Q63" i="4"/>
  <c r="Q58" i="4"/>
  <c r="P58" i="4"/>
  <c r="D64" i="4"/>
  <c r="Q55" i="4"/>
  <c r="F40" i="4"/>
  <c r="K70" i="4"/>
  <c r="K82" i="4" s="1"/>
  <c r="K84" i="4" s="1"/>
  <c r="L70" i="4"/>
  <c r="L82" i="4" s="1"/>
  <c r="L84" i="4" s="1"/>
  <c r="H70" i="4"/>
  <c r="H72" i="4" s="1"/>
  <c r="I70" i="4"/>
  <c r="I72" i="4" s="1"/>
  <c r="G70" i="4"/>
  <c r="G82" i="4" s="1"/>
  <c r="G84" i="4" s="1"/>
  <c r="M70" i="4"/>
  <c r="M82" i="4" s="1"/>
  <c r="M84" i="4" s="1"/>
  <c r="N70" i="4"/>
  <c r="N82" i="4" s="1"/>
  <c r="N84" i="4" s="1"/>
  <c r="D70" i="4"/>
  <c r="O70" i="4"/>
  <c r="O82" i="4" s="1"/>
  <c r="J70" i="4"/>
  <c r="J82" i="4" s="1"/>
  <c r="E70" i="4"/>
  <c r="E82" i="4" s="1"/>
  <c r="E84" i="4" s="1"/>
  <c r="F70" i="4"/>
  <c r="F82" i="4" s="1"/>
  <c r="J84" i="4"/>
  <c r="P75" i="4"/>
  <c r="O84" i="4"/>
  <c r="P73" i="4"/>
  <c r="D81" i="4"/>
  <c r="Q81" i="4" s="1"/>
  <c r="P83" i="4"/>
  <c r="O72" i="4"/>
  <c r="Q73" i="4"/>
  <c r="Q83" i="4"/>
  <c r="P70" i="4"/>
  <c r="P72" i="4" s="1"/>
  <c r="H82" i="4"/>
  <c r="H84" i="4" s="1"/>
  <c r="P79" i="4"/>
  <c r="P81" i="4" s="1"/>
  <c r="D78" i="4"/>
  <c r="Q78" i="4" s="1"/>
  <c r="K72" i="4"/>
  <c r="D72" i="4"/>
  <c r="L72" i="4"/>
  <c r="P76" i="4"/>
  <c r="P78" i="4" s="1"/>
  <c r="Q64" i="4"/>
  <c r="P63" i="4"/>
  <c r="P62" i="4"/>
  <c r="P35" i="4"/>
  <c r="P19" i="4"/>
  <c r="N72" i="4" l="1"/>
  <c r="F72" i="4"/>
  <c r="J72" i="4"/>
  <c r="G72" i="4"/>
  <c r="M72" i="4"/>
  <c r="E72" i="4"/>
  <c r="Q72" i="4" s="1"/>
  <c r="I82" i="4"/>
  <c r="I84" i="4" s="1"/>
  <c r="Q84" i="4" s="1"/>
  <c r="Q70" i="4"/>
  <c r="D82" i="4"/>
  <c r="D84" i="4" s="1"/>
  <c r="F84" i="4"/>
  <c r="P64" i="4"/>
  <c r="P82" i="4" l="1"/>
  <c r="P84" i="4" s="1"/>
  <c r="Q82" i="4"/>
  <c r="P129" i="4"/>
  <c r="W181" i="9" l="1"/>
  <c r="K179" i="9"/>
  <c r="W180" i="9"/>
  <c r="V180" i="9"/>
  <c r="W182" i="9"/>
  <c r="Z182" i="9" s="1"/>
  <c r="V182" i="9"/>
  <c r="Z181" i="9"/>
  <c r="Z180" i="9"/>
  <c r="W177" i="9" l="1"/>
  <c r="Z177" i="9" s="1"/>
  <c r="W190" i="9"/>
  <c r="W189" i="9"/>
  <c r="W187" i="9"/>
  <c r="W186" i="9"/>
  <c r="W185" i="9"/>
  <c r="W183" i="9"/>
  <c r="W178" i="9"/>
  <c r="Z178" i="9" s="1"/>
  <c r="V177" i="9"/>
  <c r="V178" i="9"/>
  <c r="V179" i="9"/>
  <c r="V183" i="9"/>
  <c r="V184" i="9"/>
  <c r="V185" i="9"/>
  <c r="V186" i="9"/>
  <c r="V187" i="9"/>
  <c r="V188" i="9"/>
  <c r="V189" i="9"/>
  <c r="V190" i="9"/>
  <c r="U190" i="9"/>
  <c r="U189" i="9"/>
  <c r="U187" i="9"/>
  <c r="U186" i="9"/>
  <c r="U185" i="9"/>
  <c r="U184" i="9"/>
  <c r="U183" i="9"/>
  <c r="U178" i="9"/>
  <c r="R190" i="9"/>
  <c r="R189" i="9"/>
  <c r="R188" i="9"/>
  <c r="R187" i="9"/>
  <c r="R186" i="9"/>
  <c r="R185" i="9"/>
  <c r="R184" i="9"/>
  <c r="R183" i="9"/>
  <c r="R179" i="9"/>
  <c r="R178" i="9"/>
  <c r="O190" i="9"/>
  <c r="O189" i="9"/>
  <c r="O188" i="9"/>
  <c r="O187" i="9"/>
  <c r="O186" i="9"/>
  <c r="O185" i="9"/>
  <c r="O184" i="9"/>
  <c r="O183" i="9"/>
  <c r="O178" i="9"/>
  <c r="L190" i="9"/>
  <c r="L189" i="9"/>
  <c r="L188" i="9"/>
  <c r="L187" i="9"/>
  <c r="L186" i="9"/>
  <c r="L185" i="9"/>
  <c r="L184" i="9"/>
  <c r="L183" i="9"/>
  <c r="L178" i="9"/>
  <c r="F190" i="9"/>
  <c r="F189" i="9"/>
  <c r="F188" i="9"/>
  <c r="F187" i="9"/>
  <c r="F186" i="9"/>
  <c r="F185" i="9"/>
  <c r="F183" i="9"/>
  <c r="F179" i="9"/>
  <c r="F178" i="9"/>
  <c r="Z190" i="9"/>
  <c r="Z189" i="9"/>
  <c r="Z187" i="9"/>
  <c r="Z183" i="9"/>
  <c r="N179" i="9"/>
  <c r="O179" i="9" s="1"/>
  <c r="S191" i="9"/>
  <c r="S192" i="9" s="1"/>
  <c r="P191" i="9"/>
  <c r="M191" i="9"/>
  <c r="J191" i="9"/>
  <c r="T179" i="9"/>
  <c r="U179" i="9" s="1"/>
  <c r="T188" i="9"/>
  <c r="W188" i="9" s="1"/>
  <c r="Z185" i="9" l="1"/>
  <c r="Z186" i="9"/>
  <c r="Z188" i="9"/>
  <c r="Y187" i="9"/>
  <c r="Y183" i="9"/>
  <c r="Y186" i="9"/>
  <c r="Y188" i="9"/>
  <c r="Y189" i="9"/>
  <c r="Y179" i="9"/>
  <c r="Y185" i="9"/>
  <c r="Y190" i="9"/>
  <c r="M192" i="9"/>
  <c r="Y178" i="9"/>
  <c r="J192" i="9"/>
  <c r="U188" i="9"/>
  <c r="P192" i="9"/>
  <c r="I184" i="9" l="1"/>
  <c r="E184" i="9"/>
  <c r="H191" i="9"/>
  <c r="H192" i="9" s="1"/>
  <c r="F184" i="9" l="1"/>
  <c r="X184" i="9" s="1"/>
  <c r="W184" i="9"/>
  <c r="Z184" i="9" s="1"/>
  <c r="L179" i="9" l="1"/>
  <c r="W179" i="9"/>
  <c r="Z179" i="9" l="1"/>
  <c r="AC75" i="9"/>
  <c r="E191" i="9"/>
  <c r="G191" i="9"/>
  <c r="G192" i="9" s="1"/>
  <c r="I192" i="9" s="1"/>
  <c r="T191" i="9"/>
  <c r="T192" i="9" s="1"/>
  <c r="U192" i="9" s="1"/>
  <c r="I178" i="9"/>
  <c r="X178" i="9" s="1"/>
  <c r="I179" i="9"/>
  <c r="X179" i="9" s="1"/>
  <c r="I183" i="9"/>
  <c r="X183" i="9" s="1"/>
  <c r="I185" i="9"/>
  <c r="X185" i="9" s="1"/>
  <c r="I186" i="9"/>
  <c r="X186" i="9" s="1"/>
  <c r="I187" i="9"/>
  <c r="X187" i="9" s="1"/>
  <c r="I188" i="9"/>
  <c r="X188" i="9" s="1"/>
  <c r="I189" i="9"/>
  <c r="X189" i="9" s="1"/>
  <c r="I190" i="9"/>
  <c r="X190" i="9" s="1"/>
  <c r="AA179" i="9" l="1"/>
  <c r="AA183" i="9"/>
  <c r="AA188" i="9"/>
  <c r="AA189" i="9"/>
  <c r="U191" i="9"/>
  <c r="Q191" i="9"/>
  <c r="Q192" i="9" s="1"/>
  <c r="R192" i="9" s="1"/>
  <c r="R191" i="9"/>
  <c r="AA178" i="9"/>
  <c r="L191" i="9"/>
  <c r="K191" i="9"/>
  <c r="K192" i="9" s="1"/>
  <c r="L192" i="9" s="1"/>
  <c r="AA187" i="9"/>
  <c r="AA184" i="9"/>
  <c r="Y184" i="9"/>
  <c r="D191" i="9"/>
  <c r="AA190" i="9"/>
  <c r="AA186" i="9"/>
  <c r="O191" i="9"/>
  <c r="N191" i="9"/>
  <c r="N192" i="9" s="1"/>
  <c r="O192" i="9" s="1"/>
  <c r="AA185" i="9"/>
  <c r="I191" i="9"/>
  <c r="V191" i="9" l="1"/>
  <c r="V192" i="9" s="1"/>
  <c r="D192" i="9"/>
  <c r="W191" i="9"/>
  <c r="W192" i="9" s="1"/>
  <c r="X192" i="9" s="1"/>
  <c r="E192" i="9"/>
  <c r="F191" i="9"/>
  <c r="X191" i="9" s="1"/>
  <c r="Z191" i="9" l="1"/>
  <c r="Z192" i="9" s="1"/>
  <c r="AA191" i="9"/>
  <c r="Y191" i="9"/>
  <c r="Y192" i="9"/>
  <c r="F192" i="9"/>
  <c r="P98" i="4"/>
  <c r="P95" i="4"/>
  <c r="P92" i="4"/>
  <c r="P89" i="4"/>
  <c r="R129" i="4"/>
  <c r="AA192" i="9" l="1"/>
  <c r="Q129" i="4"/>
  <c r="Q130" i="4" s="1"/>
  <c r="Q98" i="4" l="1"/>
  <c r="Q95" i="4"/>
  <c r="Q92" i="4"/>
  <c r="Q89" i="4"/>
  <c r="M116" i="4" l="1"/>
  <c r="N116" i="4"/>
  <c r="O116" i="4"/>
  <c r="O113" i="4"/>
  <c r="M113" i="4"/>
  <c r="N113" i="4"/>
  <c r="M110" i="4"/>
  <c r="N110" i="4"/>
  <c r="O110" i="4"/>
  <c r="M107" i="4"/>
  <c r="N107" i="4"/>
  <c r="O107" i="4"/>
  <c r="M119" i="4"/>
  <c r="O119" i="4" l="1"/>
  <c r="N119" i="4"/>
  <c r="P68" i="3" l="1"/>
  <c r="P48" i="3"/>
  <c r="P41" i="3"/>
  <c r="P39" i="3"/>
  <c r="O52" i="3" l="1"/>
  <c r="P57" i="3"/>
  <c r="P66" i="3"/>
  <c r="P50" i="3"/>
  <c r="P59" i="3"/>
  <c r="O61" i="3"/>
  <c r="O43" i="3"/>
  <c r="O70" i="3"/>
  <c r="N70" i="3"/>
  <c r="N43" i="3"/>
  <c r="N61" i="3"/>
  <c r="N79" i="3"/>
  <c r="N52" i="3"/>
  <c r="M70" i="3"/>
  <c r="M43" i="3"/>
  <c r="M79" i="3"/>
  <c r="M61" i="3"/>
  <c r="M52" i="3"/>
  <c r="O79" i="3"/>
  <c r="O122" i="4" l="1"/>
  <c r="N122" i="4"/>
  <c r="M122" i="4"/>
  <c r="L70" i="3"/>
  <c r="L61" i="3"/>
  <c r="L52" i="3"/>
  <c r="L43" i="3"/>
  <c r="L116" i="4" l="1"/>
  <c r="L113" i="4"/>
  <c r="L110" i="4"/>
  <c r="L107" i="4"/>
  <c r="K107" i="4"/>
  <c r="P77" i="3"/>
  <c r="L22" i="7" l="1"/>
  <c r="K22" i="7"/>
  <c r="L122" i="4" l="1"/>
  <c r="L79" i="3"/>
  <c r="P75" i="3"/>
  <c r="L119" i="4"/>
  <c r="K79" i="3" l="1"/>
  <c r="K70" i="3"/>
  <c r="K61" i="3"/>
  <c r="K52" i="3"/>
  <c r="J52" i="3"/>
  <c r="K43" i="3"/>
  <c r="K116" i="4"/>
  <c r="K113" i="4"/>
  <c r="K110" i="4"/>
  <c r="J107" i="4"/>
  <c r="K119" i="4"/>
  <c r="K122" i="4" l="1"/>
  <c r="I116" i="4"/>
  <c r="I113" i="4"/>
  <c r="I110" i="4"/>
  <c r="I107" i="4"/>
  <c r="J79" i="3"/>
  <c r="J70" i="3"/>
  <c r="J61" i="3"/>
  <c r="J43" i="3"/>
  <c r="J116" i="4"/>
  <c r="J113" i="4"/>
  <c r="J110" i="4"/>
  <c r="J119" i="4"/>
  <c r="J122" i="4" l="1"/>
  <c r="I119" i="4"/>
  <c r="J22" i="7" l="1"/>
  <c r="I79" i="3" l="1"/>
  <c r="I70" i="3"/>
  <c r="I61" i="3"/>
  <c r="I52" i="3"/>
  <c r="I43" i="3"/>
  <c r="I122" i="4" l="1"/>
  <c r="H107" i="4"/>
  <c r="I22" i="7" l="1"/>
  <c r="H79" i="3" l="1"/>
  <c r="H70" i="3"/>
  <c r="H61" i="3"/>
  <c r="H52" i="3"/>
  <c r="H42" i="3"/>
  <c r="H43" i="3"/>
  <c r="H116" i="4"/>
  <c r="H113" i="4"/>
  <c r="H110" i="4"/>
  <c r="H119" i="4" l="1"/>
  <c r="H122" i="4"/>
  <c r="H22" i="7" l="1"/>
  <c r="G22" i="7"/>
  <c r="F22" i="7"/>
  <c r="G79" i="3" l="1"/>
  <c r="G70" i="3"/>
  <c r="G61" i="3"/>
  <c r="G52" i="3"/>
  <c r="G43" i="3"/>
  <c r="F43" i="3"/>
  <c r="G116" i="4"/>
  <c r="G113" i="4"/>
  <c r="G110" i="4"/>
  <c r="G107" i="4"/>
  <c r="F107" i="4"/>
  <c r="G122" i="4" l="1"/>
  <c r="G119" i="4"/>
  <c r="L5" i="7"/>
  <c r="N9" i="7"/>
  <c r="K5" i="7"/>
  <c r="F79" i="3" l="1"/>
  <c r="F80" i="3"/>
  <c r="F70" i="3"/>
  <c r="F71" i="3" s="1"/>
  <c r="F61" i="3"/>
  <c r="F52" i="3"/>
  <c r="F116" i="4" l="1"/>
  <c r="F113" i="4"/>
  <c r="F110" i="4"/>
  <c r="F119" i="4"/>
  <c r="F122" i="4" l="1"/>
  <c r="G80" i="3"/>
  <c r="H80" i="3"/>
  <c r="I80" i="3"/>
  <c r="J80" i="3"/>
  <c r="K80" i="3"/>
  <c r="L80" i="3"/>
  <c r="M80" i="3"/>
  <c r="N80" i="3"/>
  <c r="O80" i="3"/>
  <c r="G71" i="3"/>
  <c r="H71" i="3"/>
  <c r="I71" i="3"/>
  <c r="J71" i="3"/>
  <c r="K71" i="3"/>
  <c r="L71" i="3"/>
  <c r="M71" i="3"/>
  <c r="N71" i="3"/>
  <c r="O71" i="3"/>
  <c r="O62" i="3"/>
  <c r="N62" i="3"/>
  <c r="M62" i="3"/>
  <c r="L62" i="3"/>
  <c r="K62" i="3"/>
  <c r="J62" i="3"/>
  <c r="I62" i="3"/>
  <c r="H62" i="3"/>
  <c r="G62" i="3"/>
  <c r="F62" i="3"/>
  <c r="E116" i="4" l="1"/>
  <c r="E113" i="4"/>
  <c r="E110" i="4"/>
  <c r="E107" i="4"/>
  <c r="R23" i="4"/>
  <c r="E79" i="3"/>
  <c r="E80" i="3" s="1"/>
  <c r="E43" i="3"/>
  <c r="E52" i="3"/>
  <c r="E61" i="3"/>
  <c r="E62" i="3" s="1"/>
  <c r="D61" i="3"/>
  <c r="D62" i="3" s="1"/>
  <c r="E70" i="3"/>
  <c r="E71" i="3" s="1"/>
  <c r="D70" i="3"/>
  <c r="D71" i="3" s="1"/>
  <c r="Q101" i="4" l="1"/>
  <c r="P101" i="4"/>
  <c r="E119" i="4"/>
  <c r="E122" i="4"/>
  <c r="R24" i="4"/>
  <c r="R25" i="4"/>
  <c r="R26" i="4"/>
  <c r="R16" i="4"/>
  <c r="D81" i="3" l="1"/>
  <c r="D79" i="3"/>
  <c r="D80" i="3" s="1"/>
  <c r="D116" i="4"/>
  <c r="D113" i="4"/>
  <c r="D110" i="4"/>
  <c r="D107" i="4"/>
  <c r="Q110" i="4" l="1"/>
  <c r="P110" i="4"/>
  <c r="Q116" i="4"/>
  <c r="P116" i="4"/>
  <c r="Q113" i="4"/>
  <c r="P113" i="4"/>
  <c r="D119" i="4"/>
  <c r="P119" i="4" s="1"/>
  <c r="Q107" i="4"/>
  <c r="P107" i="4"/>
  <c r="R119" i="4" l="1"/>
  <c r="Q119" i="4"/>
  <c r="D52" i="3"/>
  <c r="D43" i="3"/>
  <c r="I8" i="3"/>
  <c r="O53" i="3" l="1"/>
  <c r="N53" i="3"/>
  <c r="M53" i="3"/>
  <c r="L53" i="3"/>
  <c r="K53" i="3"/>
  <c r="J53" i="3"/>
  <c r="I53" i="3"/>
  <c r="H53" i="3"/>
  <c r="G53" i="3"/>
  <c r="F53" i="3"/>
  <c r="E53" i="3"/>
  <c r="D53" i="3"/>
  <c r="E42" i="3"/>
  <c r="E44" i="3" s="1"/>
  <c r="E123" i="4" s="1"/>
  <c r="E124" i="4" s="1"/>
  <c r="F42" i="3"/>
  <c r="F44" i="3" s="1"/>
  <c r="G42" i="3"/>
  <c r="G44" i="3" s="1"/>
  <c r="H44" i="3"/>
  <c r="H123" i="4" s="1"/>
  <c r="H124" i="4" s="1"/>
  <c r="I42" i="3"/>
  <c r="I44" i="3" s="1"/>
  <c r="J42" i="3"/>
  <c r="J44" i="3" s="1"/>
  <c r="K42" i="3"/>
  <c r="K44" i="3" s="1"/>
  <c r="L42" i="3"/>
  <c r="L44" i="3" s="1"/>
  <c r="M42" i="3"/>
  <c r="M44" i="3" s="1"/>
  <c r="N42" i="3"/>
  <c r="N44" i="3" s="1"/>
  <c r="O42" i="3"/>
  <c r="O44" i="3" s="1"/>
  <c r="D42" i="3"/>
  <c r="D44" i="3" s="1"/>
  <c r="I123" i="4" l="1"/>
  <c r="I124" i="4" s="1"/>
  <c r="K123" i="4"/>
  <c r="K124" i="4" s="1"/>
  <c r="J123" i="4"/>
  <c r="J124" i="4" s="1"/>
  <c r="G123" i="4"/>
  <c r="G124" i="4" s="1"/>
  <c r="L123" i="4"/>
  <c r="L124" i="4" s="1"/>
  <c r="O123" i="4"/>
  <c r="O124" i="4" s="1"/>
  <c r="N123" i="4"/>
  <c r="N124" i="4" s="1"/>
  <c r="M123" i="4"/>
  <c r="M124" i="4" s="1"/>
  <c r="D123" i="4"/>
  <c r="F123" i="4"/>
  <c r="F124" i="4" s="1"/>
  <c r="O26" i="3" l="1"/>
  <c r="J8" i="3"/>
  <c r="K8" i="3"/>
  <c r="L8" i="3"/>
  <c r="M8" i="3"/>
  <c r="O8" i="3"/>
  <c r="R18" i="4" l="1"/>
  <c r="R17" i="4" l="1"/>
  <c r="I115" i="4" l="1"/>
  <c r="I117" i="4" s="1"/>
  <c r="I106" i="4"/>
  <c r="I108" i="4" s="1"/>
  <c r="R27" i="4"/>
  <c r="R19" i="4"/>
  <c r="E17" i="7"/>
  <c r="E22" i="7" s="1"/>
  <c r="P88" i="4" l="1"/>
  <c r="P90" i="4" s="1"/>
  <c r="Q88" i="4"/>
  <c r="I109" i="4"/>
  <c r="I111" i="4" s="1"/>
  <c r="M106" i="4"/>
  <c r="M108" i="4" s="1"/>
  <c r="H106" i="4"/>
  <c r="H108" i="4" s="1"/>
  <c r="E106" i="4"/>
  <c r="E108" i="4" s="1"/>
  <c r="L106" i="4"/>
  <c r="L108" i="4" s="1"/>
  <c r="O106" i="4"/>
  <c r="O108" i="4" s="1"/>
  <c r="J106" i="4"/>
  <c r="J108" i="4" s="1"/>
  <c r="G106" i="4"/>
  <c r="G108" i="4" s="1"/>
  <c r="D106" i="4"/>
  <c r="N106" i="4"/>
  <c r="N108" i="4" s="1"/>
  <c r="K106" i="4"/>
  <c r="K108" i="4" s="1"/>
  <c r="F106" i="4"/>
  <c r="F108" i="4" s="1"/>
  <c r="I112" i="4" l="1"/>
  <c r="I114" i="4" s="1"/>
  <c r="P106" i="4"/>
  <c r="P108" i="4" s="1"/>
  <c r="Q90" i="4"/>
  <c r="P91" i="4"/>
  <c r="P93" i="4" s="1"/>
  <c r="I118" i="4"/>
  <c r="I120" i="4" s="1"/>
  <c r="P97" i="4"/>
  <c r="P99" i="4" s="1"/>
  <c r="P94" i="4"/>
  <c r="P96" i="4" s="1"/>
  <c r="Q97" i="4"/>
  <c r="M109" i="4"/>
  <c r="M111" i="4" s="1"/>
  <c r="O112" i="4"/>
  <c r="O114" i="4" s="1"/>
  <c r="M115" i="4"/>
  <c r="M117" i="4" s="1"/>
  <c r="Q91" i="4"/>
  <c r="M112" i="4"/>
  <c r="M114" i="4" s="1"/>
  <c r="O115" i="4"/>
  <c r="O117" i="4" s="1"/>
  <c r="N115" i="4"/>
  <c r="N117" i="4" s="1"/>
  <c r="O109" i="4"/>
  <c r="O111" i="4" s="1"/>
  <c r="Q94" i="4"/>
  <c r="D108" i="4"/>
  <c r="Q108" i="4" s="1"/>
  <c r="Q106" i="4"/>
  <c r="N112" i="4"/>
  <c r="N114" i="4" s="1"/>
  <c r="N109" i="4"/>
  <c r="N111" i="4" s="1"/>
  <c r="L115" i="4"/>
  <c r="L117" i="4" s="1"/>
  <c r="K115" i="4"/>
  <c r="K117" i="4" s="1"/>
  <c r="L109" i="4"/>
  <c r="L111" i="4" s="1"/>
  <c r="K112" i="4"/>
  <c r="K114" i="4" s="1"/>
  <c r="L112" i="4"/>
  <c r="L114" i="4" s="1"/>
  <c r="J115" i="4"/>
  <c r="J117" i="4" s="1"/>
  <c r="J112" i="4"/>
  <c r="J109" i="4"/>
  <c r="D112" i="4"/>
  <c r="H115" i="4"/>
  <c r="H117" i="4" s="1"/>
  <c r="H109" i="4"/>
  <c r="H111" i="4" s="1"/>
  <c r="G112" i="4"/>
  <c r="G114" i="4" s="1"/>
  <c r="D122" i="4"/>
  <c r="D124" i="4" s="1"/>
  <c r="H112" i="4"/>
  <c r="H114" i="4" s="1"/>
  <c r="G115" i="4"/>
  <c r="G117" i="4" s="1"/>
  <c r="G109" i="4"/>
  <c r="G111" i="4" s="1"/>
  <c r="F112" i="4"/>
  <c r="F114" i="4" s="1"/>
  <c r="F109" i="4"/>
  <c r="F111" i="4" s="1"/>
  <c r="E109" i="4"/>
  <c r="E111" i="4" s="1"/>
  <c r="E112" i="4"/>
  <c r="E114" i="4" s="1"/>
  <c r="E115" i="4"/>
  <c r="E117" i="4" s="1"/>
  <c r="D109" i="4"/>
  <c r="F115" i="4"/>
  <c r="F117" i="4" s="1"/>
  <c r="K109" i="4"/>
  <c r="K111" i="4" s="1"/>
  <c r="D115" i="4"/>
  <c r="P100" i="4" l="1"/>
  <c r="P102" i="4" s="1"/>
  <c r="P109" i="4"/>
  <c r="P111" i="4" s="1"/>
  <c r="P112" i="4"/>
  <c r="P114" i="4" s="1"/>
  <c r="P115" i="4"/>
  <c r="P117" i="4" s="1"/>
  <c r="D114" i="4"/>
  <c r="Q112" i="4"/>
  <c r="D111" i="4"/>
  <c r="Q109" i="4"/>
  <c r="Q96" i="4"/>
  <c r="Q93" i="4"/>
  <c r="D117" i="4"/>
  <c r="Q117" i="4" s="1"/>
  <c r="Q115" i="4"/>
  <c r="Q99" i="4"/>
  <c r="M118" i="4"/>
  <c r="M120" i="4" s="1"/>
  <c r="Q100" i="4"/>
  <c r="O118" i="4"/>
  <c r="O120" i="4" s="1"/>
  <c r="N118" i="4"/>
  <c r="N120" i="4" s="1"/>
  <c r="L118" i="4"/>
  <c r="L120" i="4" s="1"/>
  <c r="K118" i="4"/>
  <c r="K120" i="4" s="1"/>
  <c r="J114" i="4"/>
  <c r="J118" i="4"/>
  <c r="J111" i="4"/>
  <c r="F118" i="4"/>
  <c r="F120" i="4" s="1"/>
  <c r="G118" i="4"/>
  <c r="G120" i="4" s="1"/>
  <c r="H118" i="4"/>
  <c r="H120" i="4" s="1"/>
  <c r="E118" i="4"/>
  <c r="E120" i="4" s="1"/>
  <c r="D118" i="4"/>
  <c r="P118" i="4" l="1"/>
  <c r="P120" i="4" s="1"/>
  <c r="D120" i="4"/>
  <c r="Q118" i="4"/>
  <c r="Q111" i="4"/>
  <c r="Q114" i="4"/>
  <c r="Q102" i="4"/>
  <c r="J120" i="4"/>
  <c r="Q12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KYOYU</author>
  </authors>
  <commentList>
    <comment ref="N6" authorId="0" shapeId="0" xr:uid="{5E84F092-35AD-45C9-9763-3BD5B8828736}">
      <text>
        <r>
          <rPr>
            <b/>
            <sz val="9"/>
            <color indexed="81"/>
            <rFont val="MS P ゴシック"/>
            <family val="3"/>
            <charset val="128"/>
          </rPr>
          <t>KYOYU:</t>
        </r>
        <r>
          <rPr>
            <sz val="9"/>
            <color indexed="81"/>
            <rFont val="MS P ゴシック"/>
            <family val="3"/>
            <charset val="128"/>
          </rPr>
          <t xml:space="preserve">
288.46</t>
        </r>
      </text>
    </comment>
    <comment ref="N7" authorId="0" shapeId="0" xr:uid="{76425629-CE70-4850-A943-AF2FBC85EC32}">
      <text>
        <r>
          <rPr>
            <b/>
            <sz val="9"/>
            <color indexed="81"/>
            <rFont val="MS P ゴシック"/>
            <family val="3"/>
            <charset val="128"/>
          </rPr>
          <t>KYOYU:</t>
        </r>
        <r>
          <rPr>
            <sz val="9"/>
            <color indexed="81"/>
            <rFont val="MS P ゴシック"/>
            <family val="3"/>
            <charset val="128"/>
          </rPr>
          <t xml:space="preserve">
244.99</t>
        </r>
      </text>
    </comment>
    <comment ref="N8" authorId="0" shapeId="0" xr:uid="{2B293B08-5599-4144-B028-FD7711E94244}">
      <text>
        <r>
          <rPr>
            <b/>
            <sz val="9"/>
            <color indexed="81"/>
            <rFont val="MS P ゴシック"/>
            <family val="3"/>
            <charset val="128"/>
          </rPr>
          <t>KYOYU:</t>
        </r>
        <r>
          <rPr>
            <sz val="9"/>
            <color indexed="81"/>
            <rFont val="MS P ゴシック"/>
            <family val="3"/>
            <charset val="128"/>
          </rPr>
          <t xml:space="preserve">
43.47</t>
        </r>
      </text>
    </comment>
    <comment ref="N12" authorId="0" shapeId="0" xr:uid="{EB4D7BBB-414D-4189-9A71-6C5ACF8DB55C}">
      <text>
        <r>
          <rPr>
            <b/>
            <sz val="9"/>
            <color indexed="81"/>
            <rFont val="MS P ゴシック"/>
            <family val="3"/>
            <charset val="128"/>
          </rPr>
          <t>KYOYU:</t>
        </r>
        <r>
          <rPr>
            <sz val="9"/>
            <color indexed="81"/>
            <rFont val="MS P ゴシック"/>
            <family val="3"/>
            <charset val="128"/>
          </rPr>
          <t xml:space="preserve">
313.78</t>
        </r>
      </text>
    </comment>
    <comment ref="N13" authorId="0" shapeId="0" xr:uid="{EFB26C2A-6C03-44AF-9905-0C7559C47E9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KYOYU:290.9
</t>
        </r>
      </text>
    </comment>
    <comment ref="N14" authorId="0" shapeId="0" xr:uid="{B29B33C0-EFBA-4611-AD2D-B69D49F097C9}">
      <text>
        <r>
          <rPr>
            <b/>
            <sz val="9"/>
            <color indexed="81"/>
            <rFont val="MS P ゴシック"/>
            <family val="3"/>
            <charset val="128"/>
          </rPr>
          <t>KYOYU:</t>
        </r>
        <r>
          <rPr>
            <sz val="9"/>
            <color indexed="81"/>
            <rFont val="MS P ゴシック"/>
            <family val="3"/>
            <charset val="128"/>
          </rPr>
          <t xml:space="preserve">
22.88</t>
        </r>
      </text>
    </comment>
    <comment ref="N18" authorId="0" shapeId="0" xr:uid="{32825CD6-3521-4CF6-9498-7EF1A60F396F}">
      <text>
        <r>
          <rPr>
            <b/>
            <sz val="9"/>
            <color indexed="81"/>
            <rFont val="MS P ゴシック"/>
            <family val="3"/>
            <charset val="128"/>
          </rPr>
          <t>KYOYU:</t>
        </r>
        <r>
          <rPr>
            <sz val="9"/>
            <color indexed="81"/>
            <rFont val="MS P ゴシック"/>
            <family val="3"/>
            <charset val="128"/>
          </rPr>
          <t xml:space="preserve">
144.82</t>
        </r>
      </text>
    </comment>
    <comment ref="N19" authorId="0" shapeId="0" xr:uid="{D267A0D0-5876-4177-A4D9-08E763BCFE63}">
      <text>
        <r>
          <rPr>
            <b/>
            <sz val="9"/>
            <color indexed="81"/>
            <rFont val="MS P ゴシック"/>
            <family val="3"/>
            <charset val="128"/>
          </rPr>
          <t>KYOYU:</t>
        </r>
        <r>
          <rPr>
            <sz val="9"/>
            <color indexed="81"/>
            <rFont val="MS P ゴシック"/>
            <family val="3"/>
            <charset val="128"/>
          </rPr>
          <t xml:space="preserve">
135.74</t>
        </r>
      </text>
    </comment>
    <comment ref="N20" authorId="0" shapeId="0" xr:uid="{15A1646F-AB88-4E85-B84D-40FF5A38160A}">
      <text>
        <r>
          <rPr>
            <b/>
            <sz val="9"/>
            <color indexed="81"/>
            <rFont val="MS P ゴシック"/>
            <family val="3"/>
            <charset val="128"/>
          </rPr>
          <t>KYOYU:</t>
        </r>
        <r>
          <rPr>
            <sz val="9"/>
            <color indexed="81"/>
            <rFont val="MS P ゴシック"/>
            <family val="3"/>
            <charset val="128"/>
          </rPr>
          <t xml:space="preserve">
9.08</t>
        </r>
      </text>
    </comment>
  </commentList>
</comments>
</file>

<file path=xl/sharedStrings.xml><?xml version="1.0" encoding="utf-8"?>
<sst xmlns="http://schemas.openxmlformats.org/spreadsheetml/2006/main" count="993" uniqueCount="197">
  <si>
    <t>売上・仕入・売上総利益管理</t>
    <rPh sb="0" eb="2">
      <t>ウリアゲ</t>
    </rPh>
    <rPh sb="3" eb="5">
      <t>シイ</t>
    </rPh>
    <rPh sb="6" eb="8">
      <t>ウリアゲ</t>
    </rPh>
    <rPh sb="8" eb="11">
      <t>ソウリエキ</t>
    </rPh>
    <rPh sb="11" eb="13">
      <t>カンリ</t>
    </rPh>
    <phoneticPr fontId="2"/>
  </si>
  <si>
    <t>第2期（2021年1月～12月）</t>
    <rPh sb="0" eb="1">
      <t>ダイ</t>
    </rPh>
    <rPh sb="2" eb="3">
      <t>キ</t>
    </rPh>
    <rPh sb="8" eb="9">
      <t>ネン</t>
    </rPh>
    <rPh sb="10" eb="11">
      <t>ガツ</t>
    </rPh>
    <rPh sb="14" eb="15">
      <t>ガツ</t>
    </rPh>
    <phoneticPr fontId="2"/>
  </si>
  <si>
    <t>1.数量</t>
    <rPh sb="2" eb="4">
      <t>スウリョウ</t>
    </rPh>
    <phoneticPr fontId="2"/>
  </si>
  <si>
    <t>項目</t>
    <rPh sb="0" eb="2">
      <t>コウモク</t>
    </rPh>
    <phoneticPr fontId="2"/>
  </si>
  <si>
    <t>分類</t>
    <rPh sb="0" eb="2">
      <t>ブンルイ</t>
    </rPh>
    <phoneticPr fontId="2"/>
  </si>
  <si>
    <t>1月</t>
    <rPh sb="1" eb="2">
      <t>ガツ</t>
    </rPh>
    <phoneticPr fontId="2"/>
  </si>
  <si>
    <t>2月</t>
    <rPh sb="1" eb="2">
      <t>ガツ</t>
    </rPh>
    <phoneticPr fontId="2"/>
  </si>
  <si>
    <t>3月</t>
    <rPh sb="1" eb="2">
      <t>ガツ</t>
    </rPh>
    <phoneticPr fontId="2"/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</si>
  <si>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</si>
  <si>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</si>
  <si>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</si>
  <si>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</si>
  <si>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</si>
  <si>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</si>
  <si>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</si>
  <si>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</si>
  <si>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</si>
  <si>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平均</t>
    <rPh sb="0" eb="2">
      <t>ヘイキン</t>
    </rPh>
    <phoneticPr fontId="2"/>
  </si>
  <si>
    <t>血液回路一般</t>
    <rPh sb="0" eb="2">
      <t>ケツエキ</t>
    </rPh>
    <rPh sb="2" eb="4">
      <t>カイロ</t>
    </rPh>
    <rPh sb="4" eb="6">
      <t>イッパン</t>
    </rPh>
    <phoneticPr fontId="2"/>
  </si>
  <si>
    <t>実績</t>
    <rPh sb="0" eb="2">
      <t>ジッセキ</t>
    </rPh>
    <phoneticPr fontId="2"/>
  </si>
  <si>
    <t>血液回路逆濾過</t>
    <rPh sb="0" eb="2">
      <t>ケツエキ</t>
    </rPh>
    <rPh sb="2" eb="4">
      <t>カイロ</t>
    </rPh>
    <rPh sb="4" eb="7">
      <t>ギャクロカ</t>
    </rPh>
    <phoneticPr fontId="2"/>
  </si>
  <si>
    <t>補助回路</t>
    <rPh sb="0" eb="2">
      <t>ホジョ</t>
    </rPh>
    <rPh sb="2" eb="4">
      <t>カイロ</t>
    </rPh>
    <phoneticPr fontId="2"/>
  </si>
  <si>
    <t>補液回路</t>
    <rPh sb="0" eb="2">
      <t>ホエキ</t>
    </rPh>
    <rPh sb="2" eb="4">
      <t>カイロ</t>
    </rPh>
    <phoneticPr fontId="2"/>
  </si>
  <si>
    <t>全体</t>
    <rPh sb="0" eb="2">
      <t>ゼンタイ</t>
    </rPh>
    <phoneticPr fontId="2"/>
  </si>
  <si>
    <t>2.売上</t>
    <rPh sb="2" eb="4">
      <t>ウリアゲ</t>
    </rPh>
    <phoneticPr fontId="2"/>
  </si>
  <si>
    <t>2-1　売上（金額）</t>
    <rPh sb="4" eb="6">
      <t>ウリアゲ</t>
    </rPh>
    <rPh sb="7" eb="9">
      <t>キンガク</t>
    </rPh>
    <phoneticPr fontId="2"/>
  </si>
  <si>
    <t>税抜き</t>
    <rPh sb="0" eb="2">
      <t>ゼイヌ</t>
    </rPh>
    <phoneticPr fontId="2"/>
  </si>
  <si>
    <t>2-2　仕入（金額）</t>
    <rPh sb="4" eb="6">
      <t>シイ</t>
    </rPh>
    <rPh sb="7" eb="9">
      <t>キンガク</t>
    </rPh>
    <phoneticPr fontId="2"/>
  </si>
  <si>
    <t>2-3　売上総利益（金額）</t>
    <rPh sb="4" eb="9">
      <t>ウリアゲソウリエキ</t>
    </rPh>
    <rPh sb="10" eb="12">
      <t>キンガク</t>
    </rPh>
    <phoneticPr fontId="2"/>
  </si>
  <si>
    <t>【単価情報：予算】</t>
    <rPh sb="6" eb="8">
      <t>ヨサン</t>
    </rPh>
    <phoneticPr fontId="2"/>
  </si>
  <si>
    <t>仕入単価</t>
    <rPh sb="0" eb="2">
      <t>シイレ</t>
    </rPh>
    <rPh sb="2" eb="4">
      <t>タンカ</t>
    </rPh>
    <phoneticPr fontId="2"/>
  </si>
  <si>
    <t>売上単価</t>
    <rPh sb="0" eb="2">
      <t>ウリアゲ</t>
    </rPh>
    <rPh sb="2" eb="4">
      <t>タンカ</t>
    </rPh>
    <phoneticPr fontId="2"/>
  </si>
  <si>
    <t>粗利</t>
    <rPh sb="0" eb="2">
      <t>アラリ</t>
    </rPh>
    <phoneticPr fontId="2"/>
  </si>
  <si>
    <t>・補助入り数48セット/箱</t>
    <rPh sb="1" eb="3">
      <t>ホジョ</t>
    </rPh>
    <rPh sb="3" eb="4">
      <t>イ</t>
    </rPh>
    <rPh sb="5" eb="6">
      <t>スウ</t>
    </rPh>
    <rPh sb="12" eb="13">
      <t>ハコ</t>
    </rPh>
    <phoneticPr fontId="2"/>
  </si>
  <si>
    <t>1.数量（セット）</t>
    <rPh sb="2" eb="4">
      <t>スウリョウ</t>
    </rPh>
    <phoneticPr fontId="2"/>
  </si>
  <si>
    <t>1　数量</t>
    <rPh sb="2" eb="4">
      <t>スウリョウ</t>
    </rPh>
    <phoneticPr fontId="2"/>
  </si>
  <si>
    <t>予算</t>
    <rPh sb="0" eb="2">
      <t>ヨサン</t>
    </rPh>
    <phoneticPr fontId="2"/>
  </si>
  <si>
    <t>差異</t>
    <rPh sb="0" eb="2">
      <t>サイ</t>
    </rPh>
    <phoneticPr fontId="2"/>
  </si>
  <si>
    <t>補液</t>
    <rPh sb="0" eb="2">
      <t>ホエキ</t>
    </rPh>
    <phoneticPr fontId="2"/>
  </si>
  <si>
    <t>2-3　売上総利益（金額）</t>
    <rPh sb="4" eb="6">
      <t>ウリアゲ</t>
    </rPh>
    <rPh sb="6" eb="9">
      <t>ソウリエキ</t>
    </rPh>
    <rPh sb="10" eb="12">
      <t>キンガク</t>
    </rPh>
    <phoneticPr fontId="2"/>
  </si>
  <si>
    <t>数量差</t>
    <rPh sb="0" eb="2">
      <t>スウリョウ</t>
    </rPh>
    <rPh sb="2" eb="3">
      <t>サ</t>
    </rPh>
    <phoneticPr fontId="2"/>
  </si>
  <si>
    <t>差</t>
    <rPh sb="0" eb="1">
      <t>サ</t>
    </rPh>
    <phoneticPr fontId="2"/>
  </si>
  <si>
    <t>単価差</t>
    <rPh sb="0" eb="2">
      <t>タンカ</t>
    </rPh>
    <rPh sb="2" eb="3">
      <t>サ</t>
    </rPh>
    <phoneticPr fontId="2"/>
  </si>
  <si>
    <t>差分析</t>
    <rPh sb="0" eb="1">
      <t>サ</t>
    </rPh>
    <rPh sb="1" eb="3">
      <t>ブンセキ</t>
    </rPh>
    <phoneticPr fontId="2"/>
  </si>
  <si>
    <t>部材輸出</t>
    <rPh sb="0" eb="2">
      <t>ブザイ</t>
    </rPh>
    <rPh sb="2" eb="4">
      <t>ユシュツ</t>
    </rPh>
    <phoneticPr fontId="2"/>
  </si>
  <si>
    <t>部材売り（輸出）</t>
    <rPh sb="0" eb="2">
      <t>ブザイ</t>
    </rPh>
    <rPh sb="2" eb="3">
      <t>ウ</t>
    </rPh>
    <rPh sb="5" eb="7">
      <t>ユシュツ</t>
    </rPh>
    <phoneticPr fontId="2"/>
  </si>
  <si>
    <t>回路単価管理</t>
    <rPh sb="0" eb="2">
      <t>カイロ</t>
    </rPh>
    <rPh sb="2" eb="4">
      <t>タンカ</t>
    </rPh>
    <rPh sb="4" eb="6">
      <t>カンリ</t>
    </rPh>
    <phoneticPr fontId="2"/>
  </si>
  <si>
    <t>売り</t>
    <rPh sb="0" eb="1">
      <t>ウ</t>
    </rPh>
    <phoneticPr fontId="2"/>
  </si>
  <si>
    <t>仕入</t>
    <rPh sb="0" eb="2">
      <t>シイ</t>
    </rPh>
    <phoneticPr fontId="2"/>
  </si>
  <si>
    <t>第3期（2022年1月～12月）</t>
    <rPh sb="0" eb="1">
      <t>ダイ</t>
    </rPh>
    <rPh sb="2" eb="3">
      <t>キ</t>
    </rPh>
    <rPh sb="8" eb="9">
      <t>ネン</t>
    </rPh>
    <rPh sb="10" eb="11">
      <t>ガツ</t>
    </rPh>
    <rPh sb="14" eb="15">
      <t>ガツ</t>
    </rPh>
    <phoneticPr fontId="2"/>
  </si>
  <si>
    <t>差異分析</t>
    <rPh sb="0" eb="2">
      <t>サイ</t>
    </rPh>
    <rPh sb="2" eb="4">
      <t>ブンセキ</t>
    </rPh>
    <phoneticPr fontId="2"/>
  </si>
  <si>
    <t>4月</t>
    <rPh sb="1" eb="2">
      <t>ガツ</t>
    </rPh>
    <phoneticPr fontId="2"/>
  </si>
  <si>
    <t>☆</t>
    <phoneticPr fontId="2"/>
  </si>
  <si>
    <t>管理可能費用</t>
    <rPh sb="0" eb="2">
      <t>カンリ</t>
    </rPh>
    <rPh sb="2" eb="4">
      <t>カノウ</t>
    </rPh>
    <rPh sb="4" eb="6">
      <t>ヒヨウ</t>
    </rPh>
    <phoneticPr fontId="2"/>
  </si>
  <si>
    <t>1.日本国内売上高・4.日本国内仕入高：税抜き/その他費用：税込み</t>
    <rPh sb="2" eb="6">
      <t>ニホンコクナイ</t>
    </rPh>
    <rPh sb="6" eb="9">
      <t>ウリアゲダカ</t>
    </rPh>
    <rPh sb="12" eb="16">
      <t>ニホンコクナイ</t>
    </rPh>
    <rPh sb="16" eb="19">
      <t>シイレダカ</t>
    </rPh>
    <rPh sb="20" eb="22">
      <t>ゼイヌ</t>
    </rPh>
    <rPh sb="26" eb="27">
      <t>タ</t>
    </rPh>
    <rPh sb="27" eb="29">
      <t>ヒヨウ</t>
    </rPh>
    <rPh sb="30" eb="32">
      <t>ゼイコミ</t>
    </rPh>
    <phoneticPr fontId="2"/>
  </si>
  <si>
    <t>科　　目</t>
  </si>
  <si>
    <t>5月</t>
    <rPh sb="1" eb="2">
      <t>ガツ</t>
    </rPh>
    <phoneticPr fontId="2"/>
  </si>
  <si>
    <t>合計</t>
    <rPh sb="0" eb="2">
      <t>ゴウケイ</t>
    </rPh>
    <phoneticPr fontId="2"/>
  </si>
  <si>
    <t>☆</t>
  </si>
  <si>
    <t>日本国内売上高（税抜）</t>
    <rPh sb="0" eb="4">
      <t>ニホンコクナイ</t>
    </rPh>
    <rPh sb="4" eb="6">
      <t>ウリアゲ</t>
    </rPh>
    <rPh sb="6" eb="7">
      <t>ダカ</t>
    </rPh>
    <rPh sb="8" eb="10">
      <t>ゼイヌキ</t>
    </rPh>
    <phoneticPr fontId="2"/>
  </si>
  <si>
    <t>海外輸出売上高</t>
    <rPh sb="0" eb="2">
      <t>カイガイ</t>
    </rPh>
    <rPh sb="2" eb="4">
      <t>ユシュツ</t>
    </rPh>
    <rPh sb="4" eb="6">
      <t>ウリアゲ</t>
    </rPh>
    <rPh sb="6" eb="7">
      <t>ダカ</t>
    </rPh>
    <phoneticPr fontId="2"/>
  </si>
  <si>
    <t>消費税還付金</t>
    <rPh sb="0" eb="3">
      <t>ショウヒゼイ</t>
    </rPh>
    <rPh sb="3" eb="6">
      <t>カンプキン</t>
    </rPh>
    <phoneticPr fontId="2"/>
  </si>
  <si>
    <t>売上高合計</t>
    <rPh sb="0" eb="3">
      <t>ウリアゲダカ</t>
    </rPh>
    <rPh sb="3" eb="5">
      <t>ゴウケイ</t>
    </rPh>
    <phoneticPr fontId="2"/>
  </si>
  <si>
    <t>日本国内仕入高（税抜）</t>
    <rPh sb="0" eb="4">
      <t>ニホンコクナイ</t>
    </rPh>
    <rPh sb="4" eb="7">
      <t>シイレダカ</t>
    </rPh>
    <phoneticPr fontId="2"/>
  </si>
  <si>
    <t>海外輸入仕入高</t>
    <rPh sb="0" eb="4">
      <t>カイガイユニュウ</t>
    </rPh>
    <rPh sb="4" eb="7">
      <t>シイレダカ</t>
    </rPh>
    <phoneticPr fontId="2"/>
  </si>
  <si>
    <t>仕入高合計</t>
    <rPh sb="0" eb="3">
      <t>シイレダカ</t>
    </rPh>
    <rPh sb="3" eb="5">
      <t>ゴウケイ</t>
    </rPh>
    <phoneticPr fontId="2"/>
  </si>
  <si>
    <t>売上総利益</t>
    <rPh sb="0" eb="2">
      <t>ウリアゲ</t>
    </rPh>
    <rPh sb="2" eb="5">
      <t>ソウリエキ</t>
    </rPh>
    <phoneticPr fontId="2"/>
  </si>
  <si>
    <t>役員報酬</t>
    <rPh sb="0" eb="2">
      <t>ヤクイン</t>
    </rPh>
    <rPh sb="2" eb="4">
      <t>ホウシュウ</t>
    </rPh>
    <phoneticPr fontId="2"/>
  </si>
  <si>
    <t>給与</t>
    <rPh sb="0" eb="2">
      <t>キュウヨ</t>
    </rPh>
    <phoneticPr fontId="2"/>
  </si>
  <si>
    <t>荷造運賃（税込）</t>
    <rPh sb="0" eb="4">
      <t>ニヅクリウンチン</t>
    </rPh>
    <rPh sb="5" eb="7">
      <t>ゼイコミ</t>
    </rPh>
    <phoneticPr fontId="2"/>
  </si>
  <si>
    <t>新聞図書費（税込）</t>
    <rPh sb="0" eb="5">
      <t>シンブントショヒ</t>
    </rPh>
    <phoneticPr fontId="2"/>
  </si>
  <si>
    <t>賃貸料（税込）</t>
    <rPh sb="0" eb="3">
      <t>チンタイリョウ</t>
    </rPh>
    <phoneticPr fontId="2"/>
  </si>
  <si>
    <t>薬事申請費用（税込）</t>
    <rPh sb="0" eb="2">
      <t>ヤクジ</t>
    </rPh>
    <rPh sb="2" eb="4">
      <t>シンセイ</t>
    </rPh>
    <rPh sb="4" eb="6">
      <t>ヒヨウ</t>
    </rPh>
    <phoneticPr fontId="2"/>
  </si>
  <si>
    <t>会議費（税込）</t>
    <rPh sb="0" eb="3">
      <t>カイギヒ</t>
    </rPh>
    <rPh sb="4" eb="6">
      <t>ゼイコミ</t>
    </rPh>
    <phoneticPr fontId="2"/>
  </si>
  <si>
    <t>講習会費用（税込）</t>
    <rPh sb="0" eb="3">
      <t>コウシュウカイ</t>
    </rPh>
    <rPh sb="3" eb="5">
      <t>ヒヨウ</t>
    </rPh>
    <phoneticPr fontId="2"/>
  </si>
  <si>
    <t>支払報酬（税込）</t>
    <rPh sb="0" eb="4">
      <t>シハライホウシュウ</t>
    </rPh>
    <rPh sb="5" eb="7">
      <t>ゼイコミ</t>
    </rPh>
    <phoneticPr fontId="2"/>
  </si>
  <si>
    <t>上期計</t>
    <rPh sb="0" eb="2">
      <t>カミキ</t>
    </rPh>
    <rPh sb="2" eb="3">
      <t>ケイ</t>
    </rPh>
    <phoneticPr fontId="2"/>
  </si>
  <si>
    <t>日本国内売上高</t>
    <rPh sb="0" eb="2">
      <t>ニホン</t>
    </rPh>
    <rPh sb="2" eb="4">
      <t>コクナイ</t>
    </rPh>
    <rPh sb="4" eb="6">
      <t>ウリアゲ</t>
    </rPh>
    <rPh sb="6" eb="7">
      <t>ダカ</t>
    </rPh>
    <phoneticPr fontId="2"/>
  </si>
  <si>
    <t>海外輸出売上高</t>
    <rPh sb="0" eb="4">
      <t>カイガイユシュツ</t>
    </rPh>
    <rPh sb="4" eb="6">
      <t>ウリアゲ</t>
    </rPh>
    <rPh sb="6" eb="7">
      <t>ダカ</t>
    </rPh>
    <phoneticPr fontId="2"/>
  </si>
  <si>
    <t>日本国内仕入高</t>
    <rPh sb="0" eb="4">
      <t>ニホンコクナイ</t>
    </rPh>
    <rPh sb="4" eb="7">
      <t>シイレダカ</t>
    </rPh>
    <phoneticPr fontId="2"/>
  </si>
  <si>
    <t>旅費交通費（税込）</t>
    <phoneticPr fontId="2"/>
  </si>
  <si>
    <t>通信費（税込）</t>
    <phoneticPr fontId="2"/>
  </si>
  <si>
    <t>消耗品費（税込）</t>
    <phoneticPr fontId="2"/>
  </si>
  <si>
    <t>金型修繕費（税込）</t>
    <rPh sb="0" eb="5">
      <t>カナガタシュウゼンヒ</t>
    </rPh>
    <rPh sb="6" eb="8">
      <t>ゼイコミ</t>
    </rPh>
    <phoneticPr fontId="2"/>
  </si>
  <si>
    <t>水道光熱費（税込）</t>
    <phoneticPr fontId="2"/>
  </si>
  <si>
    <t>地代家賃（税込）</t>
    <phoneticPr fontId="2"/>
  </si>
  <si>
    <t>保険料（税込）</t>
    <phoneticPr fontId="2"/>
  </si>
  <si>
    <t>法人税等</t>
    <rPh sb="0" eb="3">
      <t>ホウジンゼイ</t>
    </rPh>
    <rPh sb="3" eb="4">
      <t>トウ</t>
    </rPh>
    <phoneticPr fontId="2"/>
  </si>
  <si>
    <t>租税公課（税込）</t>
    <phoneticPr fontId="2"/>
  </si>
  <si>
    <t>売上総利益－販管費</t>
    <rPh sb="0" eb="2">
      <t>ウリアゲ</t>
    </rPh>
    <rPh sb="2" eb="5">
      <t>ソウリエキ</t>
    </rPh>
    <rPh sb="6" eb="9">
      <t>ハンカンヒ</t>
    </rPh>
    <phoneticPr fontId="2"/>
  </si>
  <si>
    <t>下期計</t>
    <rPh sb="0" eb="2">
      <t>シモキ</t>
    </rPh>
    <rPh sb="2" eb="3">
      <t>ケイ</t>
    </rPh>
    <phoneticPr fontId="2"/>
  </si>
  <si>
    <t>支払手数料（税込）</t>
    <phoneticPr fontId="2"/>
  </si>
  <si>
    <t>法定福利費</t>
    <rPh sb="0" eb="5">
      <t>ホウテイフクリヒ</t>
    </rPh>
    <phoneticPr fontId="2"/>
  </si>
  <si>
    <t>苦情関連費用管理</t>
    <rPh sb="0" eb="2">
      <t>クジョウ</t>
    </rPh>
    <rPh sb="2" eb="4">
      <t>カンレン</t>
    </rPh>
    <rPh sb="4" eb="6">
      <t>ヒヨウ</t>
    </rPh>
    <rPh sb="6" eb="8">
      <t>カンリ</t>
    </rPh>
    <phoneticPr fontId="2"/>
  </si>
  <si>
    <t>確認中</t>
    <rPh sb="0" eb="2">
      <t>カクニン</t>
    </rPh>
    <rPh sb="2" eb="3">
      <t>ナカ</t>
    </rPh>
    <phoneticPr fontId="3"/>
  </si>
  <si>
    <t>項目</t>
    <rPh sb="0" eb="2">
      <t>コウモク</t>
    </rPh>
    <phoneticPr fontId="3"/>
  </si>
  <si>
    <t>合計</t>
    <rPh sb="0" eb="2">
      <t>ゴウケイ</t>
    </rPh>
    <phoneticPr fontId="3"/>
  </si>
  <si>
    <t>輸入費用（通関・デバン・国内輸送）</t>
    <rPh sb="0" eb="2">
      <t>ユニュウ</t>
    </rPh>
    <rPh sb="2" eb="4">
      <t>ヒヨウ</t>
    </rPh>
    <rPh sb="5" eb="7">
      <t>ツウカン</t>
    </rPh>
    <rPh sb="12" eb="14">
      <t>コクナイ</t>
    </rPh>
    <rPh sb="14" eb="16">
      <t>ユソウ</t>
    </rPh>
    <phoneticPr fontId="2"/>
  </si>
  <si>
    <t>三井倉庫デバン費用</t>
    <rPh sb="0" eb="4">
      <t>ミツイソウコ</t>
    </rPh>
    <rPh sb="7" eb="9">
      <t>ヒヨウ</t>
    </rPh>
    <phoneticPr fontId="2"/>
  </si>
  <si>
    <t>円/セット</t>
    <rPh sb="0" eb="1">
      <t>エン</t>
    </rPh>
    <phoneticPr fontId="2"/>
  </si>
  <si>
    <t>輸入エア便</t>
    <rPh sb="0" eb="2">
      <t>ユニュウ</t>
    </rPh>
    <rPh sb="4" eb="5">
      <t>ビン</t>
    </rPh>
    <phoneticPr fontId="2"/>
  </si>
  <si>
    <t>輸出エア便</t>
    <rPh sb="0" eb="2">
      <t>ユシュツ</t>
    </rPh>
    <rPh sb="4" eb="5">
      <t>ビン</t>
    </rPh>
    <phoneticPr fontId="2"/>
  </si>
  <si>
    <t>箱不良関連費用</t>
    <rPh sb="0" eb="1">
      <t>ハコ</t>
    </rPh>
    <rPh sb="1" eb="3">
      <t>フリョウ</t>
    </rPh>
    <rPh sb="3" eb="5">
      <t>カンレン</t>
    </rPh>
    <rPh sb="5" eb="7">
      <t>ヒヨウ</t>
    </rPh>
    <phoneticPr fontId="2"/>
  </si>
  <si>
    <t>試作品発送費用</t>
    <rPh sb="0" eb="3">
      <t>シサクヒン</t>
    </rPh>
    <rPh sb="3" eb="5">
      <t>ハッソウ</t>
    </rPh>
    <rPh sb="5" eb="7">
      <t>ヒヨウ</t>
    </rPh>
    <phoneticPr fontId="2"/>
  </si>
  <si>
    <t>輸出費用</t>
    <rPh sb="0" eb="2">
      <t>ユシュツ</t>
    </rPh>
    <rPh sb="2" eb="4">
      <t>ヒヨウ</t>
    </rPh>
    <phoneticPr fontId="2"/>
  </si>
  <si>
    <t>苦情（回収）</t>
    <rPh sb="0" eb="2">
      <t>クジョウ</t>
    </rPh>
    <rPh sb="3" eb="5">
      <t>カイシュウ</t>
    </rPh>
    <phoneticPr fontId="2"/>
  </si>
  <si>
    <t>苦情品製品費用</t>
    <rPh sb="0" eb="2">
      <t>クジョウ</t>
    </rPh>
    <rPh sb="2" eb="3">
      <t>ヒン</t>
    </rPh>
    <rPh sb="3" eb="5">
      <t>セイヒン</t>
    </rPh>
    <rPh sb="5" eb="7">
      <t>ヒヨウ</t>
    </rPh>
    <phoneticPr fontId="3"/>
  </si>
  <si>
    <t>苦情返送運賃（着払い・その他）</t>
    <rPh sb="0" eb="2">
      <t>クジョウ</t>
    </rPh>
    <rPh sb="2" eb="4">
      <t>ヘンソウ</t>
    </rPh>
    <rPh sb="4" eb="6">
      <t>ウンチン</t>
    </rPh>
    <rPh sb="7" eb="9">
      <t>チャクバラ</t>
    </rPh>
    <rPh sb="13" eb="14">
      <t>タ</t>
    </rPh>
    <phoneticPr fontId="2"/>
  </si>
  <si>
    <t>苦情代替製品費用</t>
    <rPh sb="0" eb="2">
      <t>クジョウ</t>
    </rPh>
    <rPh sb="2" eb="4">
      <t>ダイガエ</t>
    </rPh>
    <rPh sb="4" eb="6">
      <t>セイヒン</t>
    </rPh>
    <rPh sb="6" eb="8">
      <t>ヒヨウ</t>
    </rPh>
    <phoneticPr fontId="2"/>
  </si>
  <si>
    <t>苦情代替品運賃</t>
    <rPh sb="0" eb="2">
      <t>クジョウ</t>
    </rPh>
    <rPh sb="2" eb="5">
      <t>ダイガエヒン</t>
    </rPh>
    <rPh sb="5" eb="7">
      <t>ウンチン</t>
    </rPh>
    <phoneticPr fontId="2"/>
  </si>
  <si>
    <t>検品費用（人件費）</t>
    <rPh sb="0" eb="2">
      <t>ケンピン</t>
    </rPh>
    <rPh sb="2" eb="4">
      <t>ヒヨウ</t>
    </rPh>
    <rPh sb="5" eb="8">
      <t>ジンケンヒ</t>
    </rPh>
    <phoneticPr fontId="2"/>
  </si>
  <si>
    <t>検品返送運賃</t>
    <rPh sb="0" eb="2">
      <t>ケンピン</t>
    </rPh>
    <rPh sb="2" eb="4">
      <t>ヘンソウ</t>
    </rPh>
    <rPh sb="4" eb="6">
      <t>ウンチン</t>
    </rPh>
    <phoneticPr fontId="2"/>
  </si>
  <si>
    <t>検品出荷運賃</t>
    <rPh sb="0" eb="2">
      <t>ケンピン</t>
    </rPh>
    <rPh sb="2" eb="4">
      <t>シュッカ</t>
    </rPh>
    <rPh sb="4" eb="6">
      <t>ウンチン</t>
    </rPh>
    <phoneticPr fontId="2"/>
  </si>
  <si>
    <t>廃棄費用</t>
    <rPh sb="0" eb="2">
      <t>ハイキ</t>
    </rPh>
    <rPh sb="2" eb="4">
      <t>ヒヨウ</t>
    </rPh>
    <phoneticPr fontId="2"/>
  </si>
  <si>
    <t>社外分析費用
(試験機関）</t>
    <rPh sb="0" eb="2">
      <t>シャガイ</t>
    </rPh>
    <rPh sb="2" eb="4">
      <t>ブンセキ</t>
    </rPh>
    <rPh sb="4" eb="6">
      <t>ヒヨウ</t>
    </rPh>
    <rPh sb="8" eb="10">
      <t>シケン</t>
    </rPh>
    <rPh sb="10" eb="12">
      <t>キカン</t>
    </rPh>
    <phoneticPr fontId="3"/>
  </si>
  <si>
    <t>施設訪問等
関連処理費用</t>
    <rPh sb="0" eb="2">
      <t>シセツ</t>
    </rPh>
    <rPh sb="2" eb="4">
      <t>ホウモン</t>
    </rPh>
    <rPh sb="4" eb="5">
      <t>トウ</t>
    </rPh>
    <rPh sb="6" eb="8">
      <t>カンレン</t>
    </rPh>
    <rPh sb="8" eb="10">
      <t>ショリ</t>
    </rPh>
    <rPh sb="10" eb="12">
      <t>ヒヨウ</t>
    </rPh>
    <phoneticPr fontId="3"/>
  </si>
  <si>
    <t>回路試作・新規・失注管理</t>
    <rPh sb="0" eb="2">
      <t>カイロ</t>
    </rPh>
    <rPh sb="2" eb="4">
      <t>シサク</t>
    </rPh>
    <rPh sb="5" eb="7">
      <t>シンキ</t>
    </rPh>
    <rPh sb="8" eb="9">
      <t>シツ</t>
    </rPh>
    <rPh sb="9" eb="10">
      <t>チュウ</t>
    </rPh>
    <rPh sb="10" eb="12">
      <t>カンリ</t>
    </rPh>
    <phoneticPr fontId="3"/>
  </si>
  <si>
    <t>分類</t>
    <rPh sb="0" eb="2">
      <t>ブンルイ</t>
    </rPh>
    <phoneticPr fontId="3"/>
  </si>
  <si>
    <t>TMC NO.</t>
    <phoneticPr fontId="3"/>
  </si>
  <si>
    <t>品番</t>
    <rPh sb="0" eb="2">
      <t>ヒンバン</t>
    </rPh>
    <phoneticPr fontId="3"/>
  </si>
  <si>
    <t>ユーザー</t>
    <phoneticPr fontId="3"/>
  </si>
  <si>
    <t>担当課</t>
    <rPh sb="0" eb="3">
      <t>タントウカ</t>
    </rPh>
    <phoneticPr fontId="3"/>
  </si>
  <si>
    <t>担当者</t>
    <rPh sb="0" eb="3">
      <t>タントウシャ</t>
    </rPh>
    <phoneticPr fontId="3"/>
  </si>
  <si>
    <t>使用/月</t>
    <rPh sb="0" eb="2">
      <t>シヨウ</t>
    </rPh>
    <rPh sb="3" eb="4">
      <t>ツキ</t>
    </rPh>
    <phoneticPr fontId="3"/>
  </si>
  <si>
    <t>売り＠</t>
    <rPh sb="0" eb="1">
      <t>ウ</t>
    </rPh>
    <phoneticPr fontId="3"/>
  </si>
  <si>
    <t>仕入＠</t>
    <rPh sb="0" eb="2">
      <t>シイレ</t>
    </rPh>
    <phoneticPr fontId="3"/>
  </si>
  <si>
    <t>粗利</t>
    <rPh sb="0" eb="1">
      <t>アラ</t>
    </rPh>
    <rPh sb="1" eb="2">
      <t>リ</t>
    </rPh>
    <phoneticPr fontId="3"/>
  </si>
  <si>
    <t>粗利/月</t>
    <rPh sb="0" eb="1">
      <t>アラ</t>
    </rPh>
    <rPh sb="1" eb="2">
      <t>リ</t>
    </rPh>
    <rPh sb="3" eb="4">
      <t>ツキ</t>
    </rPh>
    <phoneticPr fontId="3"/>
  </si>
  <si>
    <t>納期</t>
    <rPh sb="0" eb="2">
      <t>ノウキ</t>
    </rPh>
    <phoneticPr fontId="3"/>
  </si>
  <si>
    <t>切替前回路</t>
    <rPh sb="0" eb="2">
      <t>キリカエ</t>
    </rPh>
    <rPh sb="2" eb="3">
      <t>マエ</t>
    </rPh>
    <rPh sb="3" eb="5">
      <t>カイロ</t>
    </rPh>
    <phoneticPr fontId="3"/>
  </si>
  <si>
    <t>依頼書コメント</t>
    <rPh sb="0" eb="2">
      <t>イライ</t>
    </rPh>
    <rPh sb="2" eb="3">
      <t>ショ</t>
    </rPh>
    <phoneticPr fontId="3"/>
  </si>
  <si>
    <t>分類欄：試作・新規・失注</t>
    <rPh sb="0" eb="2">
      <t>ブンルイ</t>
    </rPh>
    <rPh sb="2" eb="3">
      <t>ラン</t>
    </rPh>
    <rPh sb="4" eb="6">
      <t>シサク</t>
    </rPh>
    <rPh sb="7" eb="9">
      <t>シンキ</t>
    </rPh>
    <rPh sb="10" eb="12">
      <t>シッチュウ</t>
    </rPh>
    <phoneticPr fontId="2"/>
  </si>
  <si>
    <t>月次纏め資料</t>
  </si>
  <si>
    <t>左のシートの纏めマトリックス</t>
    <rPh sb="0" eb="1">
      <t>ヒダリ</t>
    </rPh>
    <rPh sb="6" eb="7">
      <t>マト</t>
    </rPh>
    <phoneticPr fontId="2"/>
  </si>
  <si>
    <t>グラフ等</t>
    <rPh sb="3" eb="4">
      <t>トウ</t>
    </rPh>
    <phoneticPr fontId="2"/>
  </si>
  <si>
    <t>今後の対応（対社内、対TMC、対天津哈娜好医材有限公司）</t>
    <rPh sb="0" eb="2">
      <t>コンゴ</t>
    </rPh>
    <rPh sb="3" eb="5">
      <t>タイオウ</t>
    </rPh>
    <rPh sb="6" eb="7">
      <t>タイ</t>
    </rPh>
    <rPh sb="7" eb="9">
      <t>シャナイ</t>
    </rPh>
    <rPh sb="10" eb="11">
      <t>タイ</t>
    </rPh>
    <rPh sb="15" eb="16">
      <t>タイ</t>
    </rPh>
    <rPh sb="16" eb="27">
      <t>テンシンハナコ</t>
    </rPh>
    <phoneticPr fontId="2"/>
  </si>
  <si>
    <t>上記をＡ４　１枚程度に纏める雛形検討（今後）</t>
    <rPh sb="0" eb="2">
      <t>ジョウキ</t>
    </rPh>
    <rPh sb="7" eb="8">
      <t>マイ</t>
    </rPh>
    <rPh sb="8" eb="10">
      <t>テイド</t>
    </rPh>
    <rPh sb="11" eb="12">
      <t>マト</t>
    </rPh>
    <rPh sb="14" eb="16">
      <t>ヒナガタ</t>
    </rPh>
    <rPh sb="16" eb="18">
      <t>ケントウ</t>
    </rPh>
    <rPh sb="19" eb="21">
      <t>コンゴ</t>
    </rPh>
    <phoneticPr fontId="2"/>
  </si>
  <si>
    <t>平均（年間）</t>
    <rPh sb="0" eb="2">
      <t>ヘイキン</t>
    </rPh>
    <rPh sb="3" eb="5">
      <t>ネンカン</t>
    </rPh>
    <phoneticPr fontId="2"/>
  </si>
  <si>
    <t>9月</t>
    <phoneticPr fontId="2"/>
  </si>
  <si>
    <t>8月</t>
    <phoneticPr fontId="2"/>
  </si>
  <si>
    <t>7月</t>
    <phoneticPr fontId="2"/>
  </si>
  <si>
    <t>日本郵便㈱</t>
    <rPh sb="0" eb="4">
      <t>ﾆﾎﾝﾕｳﾋﾞﾝ</t>
    </rPh>
    <phoneticPr fontId="2" type="noConversion"/>
  </si>
  <si>
    <t>ヤマト運輸㈱</t>
    <rPh sb="3" eb="5">
      <t>ｳﾝﾕ</t>
    </rPh>
    <phoneticPr fontId="2" type="noConversion"/>
  </si>
  <si>
    <t>佐川急便</t>
    <rPh sb="0" eb="4">
      <t>ｻｶﾞﾜｷｭｳﾋﾞﾝ</t>
    </rPh>
    <phoneticPr fontId="2" type="noConversion"/>
  </si>
  <si>
    <t>小口</t>
    <rPh sb="0" eb="2">
      <t>コグチ</t>
    </rPh>
    <phoneticPr fontId="5"/>
  </si>
  <si>
    <t>東レ・メディカル㈱</t>
    <rPh sb="0" eb="1">
      <t>トウ</t>
    </rPh>
    <phoneticPr fontId="3"/>
  </si>
  <si>
    <t>信州)名鉄運輸㈱</t>
    <rPh sb="0" eb="2">
      <t>シンシュウ</t>
    </rPh>
    <rPh sb="3" eb="5">
      <t>メイテツ</t>
    </rPh>
    <rPh sb="5" eb="7">
      <t>ウンユ</t>
    </rPh>
    <phoneticPr fontId="3"/>
  </si>
  <si>
    <t>東港丸楽海運（輸入）</t>
    <rPh sb="0" eb="2">
      <t>トウコウ</t>
    </rPh>
    <rPh sb="2" eb="3">
      <t>マル</t>
    </rPh>
    <rPh sb="3" eb="4">
      <t>ラク</t>
    </rPh>
    <rPh sb="4" eb="6">
      <t>カイウン</t>
    </rPh>
    <rPh sb="7" eb="9">
      <t>ユニュウ</t>
    </rPh>
    <phoneticPr fontId="3"/>
  </si>
  <si>
    <t>東港丸楽海運（輸出）</t>
    <rPh sb="0" eb="2">
      <t>トウコウ</t>
    </rPh>
    <rPh sb="2" eb="3">
      <t>マル</t>
    </rPh>
    <rPh sb="3" eb="4">
      <t>ラク</t>
    </rPh>
    <rPh sb="4" eb="6">
      <t>カイウン</t>
    </rPh>
    <rPh sb="7" eb="9">
      <t>ユシュツ</t>
    </rPh>
    <phoneticPr fontId="3"/>
  </si>
  <si>
    <t>安田倉庫（輸入）</t>
    <rPh sb="0" eb="4">
      <t>ヤスダソウコ</t>
    </rPh>
    <rPh sb="5" eb="7">
      <t>ユニュウ</t>
    </rPh>
    <phoneticPr fontId="3"/>
  </si>
  <si>
    <t>安田倉庫（輸出）</t>
    <rPh sb="0" eb="4">
      <t>ヤスダソウコ</t>
    </rPh>
    <rPh sb="5" eb="7">
      <t>ユシュツ</t>
    </rPh>
    <phoneticPr fontId="3"/>
  </si>
  <si>
    <t>西日本鉄道（輸出）</t>
    <rPh sb="0" eb="3">
      <t>ニシニホン</t>
    </rPh>
    <rPh sb="3" eb="5">
      <t>テツドウ</t>
    </rPh>
    <phoneticPr fontId="2"/>
  </si>
  <si>
    <t>ヤマトボックスチャーター</t>
    <phoneticPr fontId="2"/>
  </si>
  <si>
    <t>赤帽</t>
    <rPh sb="0" eb="2">
      <t>アカボウ</t>
    </rPh>
    <phoneticPr fontId="2"/>
  </si>
  <si>
    <t>三井倉庫㈱</t>
    <rPh sb="0" eb="4">
      <t>ミツイソウコ</t>
    </rPh>
    <phoneticPr fontId="4"/>
  </si>
  <si>
    <t>電ペイ</t>
    <rPh sb="0" eb="1">
      <t>デン</t>
    </rPh>
    <phoneticPr fontId="5"/>
  </si>
  <si>
    <t>みずほ銀行</t>
    <rPh sb="3" eb="5">
      <t>ギンコウ</t>
    </rPh>
    <phoneticPr fontId="5"/>
  </si>
  <si>
    <t>楽天銀行</t>
    <rPh sb="0" eb="4">
      <t>ラクテンギンコウ</t>
    </rPh>
    <phoneticPr fontId="5"/>
  </si>
  <si>
    <t>ハナコメディカル回路関連知的財産権</t>
    <rPh sb="8" eb="12">
      <t>ｶｲﾛｶﾝﾚﾝ</t>
    </rPh>
    <rPh sb="12" eb="17">
      <t>ﾁﾃｷｻﾞｲｻﾝｹﾝ</t>
    </rPh>
    <phoneticPr fontId="2" type="noConversion"/>
  </si>
  <si>
    <t>三井倉庫㈱</t>
    <rPh sb="0" eb="4">
      <t>ミツイソウコ</t>
    </rPh>
    <phoneticPr fontId="5"/>
  </si>
  <si>
    <t>セルリムーバー一変申請コンサルティング費用</t>
    <rPh sb="7" eb="9">
      <t>イッペン</t>
    </rPh>
    <rPh sb="9" eb="11">
      <t>シンセイ</t>
    </rPh>
    <rPh sb="19" eb="21">
      <t>ヒヨウ</t>
    </rPh>
    <phoneticPr fontId="5"/>
  </si>
  <si>
    <t>海上保険</t>
    <rPh sb="0" eb="4">
      <t>カイジョウホケン</t>
    </rPh>
    <phoneticPr fontId="4"/>
  </si>
  <si>
    <t>賠償責任保険</t>
    <rPh sb="0" eb="6">
      <t>バイショウセキニンホケン</t>
    </rPh>
    <phoneticPr fontId="4"/>
  </si>
  <si>
    <t>PMDA（安全対策等拠出金）</t>
    <phoneticPr fontId="5"/>
  </si>
  <si>
    <t>(一社)医療情報ｼｽﾃﾑ開発ｾﾝﾀｰ（医療機器DB維持管理費）</t>
    <rPh sb="1" eb="3">
      <t>イッシャ</t>
    </rPh>
    <rPh sb="4" eb="6">
      <t>イリョウ</t>
    </rPh>
    <rPh sb="6" eb="8">
      <t>ジョウホウ</t>
    </rPh>
    <rPh sb="12" eb="14">
      <t>カイハツ</t>
    </rPh>
    <phoneticPr fontId="5"/>
  </si>
  <si>
    <t>異物総研（形態観察コース）</t>
    <rPh sb="0" eb="4">
      <t>イブツソウケン</t>
    </rPh>
    <phoneticPr fontId="5"/>
  </si>
  <si>
    <t>せたがや（軽微変更届作成変更）</t>
    <rPh sb="5" eb="7">
      <t>ケイビ</t>
    </rPh>
    <rPh sb="7" eb="9">
      <t>ヘンコウ</t>
    </rPh>
    <rPh sb="9" eb="10">
      <t>トドケ</t>
    </rPh>
    <rPh sb="10" eb="12">
      <t>サクセイ</t>
    </rPh>
    <rPh sb="12" eb="14">
      <t>ヘンコウ</t>
    </rPh>
    <phoneticPr fontId="3"/>
  </si>
  <si>
    <t>テュフ（製品認証申請書類の審査）</t>
    <phoneticPr fontId="5"/>
  </si>
  <si>
    <t>海上保険</t>
    <rPh sb="0" eb="4">
      <t>カイジョウホケン</t>
    </rPh>
    <phoneticPr fontId="5"/>
  </si>
  <si>
    <t>消耗品</t>
    <phoneticPr fontId="5"/>
  </si>
  <si>
    <t>貨物保険（2022年7月～2023年6月）</t>
    <rPh sb="0" eb="2">
      <t>カモツ</t>
    </rPh>
    <rPh sb="2" eb="4">
      <t>ホケン</t>
    </rPh>
    <rPh sb="9" eb="10">
      <t>ネン</t>
    </rPh>
    <rPh sb="11" eb="12">
      <t>ガツ</t>
    </rPh>
    <rPh sb="17" eb="18">
      <t>ネン</t>
    </rPh>
    <rPh sb="19" eb="20">
      <t>ガツ</t>
    </rPh>
    <phoneticPr fontId="5"/>
  </si>
  <si>
    <t>せたがや（医療機器製造業登録申請サポート）</t>
    <rPh sb="5" eb="9">
      <t>イリョウキキ</t>
    </rPh>
    <rPh sb="9" eb="12">
      <t>セイゾウギョウ</t>
    </rPh>
    <rPh sb="12" eb="16">
      <t>トウロクシンセイ</t>
    </rPh>
    <phoneticPr fontId="3"/>
  </si>
  <si>
    <t>廃棄物処理（年2回）</t>
    <rPh sb="0" eb="3">
      <t>ハイキブツ</t>
    </rPh>
    <rPh sb="3" eb="5">
      <t>ショリ</t>
    </rPh>
    <rPh sb="6" eb="7">
      <t>ネン</t>
    </rPh>
    <rPh sb="8" eb="9">
      <t>カイ</t>
    </rPh>
    <phoneticPr fontId="5"/>
  </si>
  <si>
    <t>テュフ（医薬品医療機器等法による適合性調査）</t>
    <rPh sb="4" eb="11">
      <t>イヤクヒンイリョウキキ</t>
    </rPh>
    <rPh sb="11" eb="12">
      <t>トウ</t>
    </rPh>
    <rPh sb="12" eb="13">
      <t>ホウ</t>
    </rPh>
    <rPh sb="16" eb="21">
      <t>テキゴウセイチョウサ</t>
    </rPh>
    <phoneticPr fontId="3"/>
  </si>
  <si>
    <t>(一社)医療情報ｼｽﾃﾑ開発ｾﾝﾀｰ（Medicertifiedサービス電子証明書申請費用）</t>
    <phoneticPr fontId="5"/>
  </si>
  <si>
    <t>第4期（2023年1月～12月）</t>
    <rPh sb="0" eb="1">
      <t>ダイ</t>
    </rPh>
    <rPh sb="2" eb="3">
      <t>キ</t>
    </rPh>
    <rPh sb="8" eb="9">
      <t>ネン</t>
    </rPh>
    <rPh sb="10" eb="11">
      <t>ガツ</t>
    </rPh>
    <rPh sb="14" eb="15">
      <t>ガツ</t>
    </rPh>
    <phoneticPr fontId="2"/>
  </si>
  <si>
    <t>2022年度実績</t>
    <rPh sb="4" eb="5">
      <t>ネン</t>
    </rPh>
    <rPh sb="5" eb="6">
      <t>ド</t>
    </rPh>
    <rPh sb="6" eb="8">
      <t>ジッセキ</t>
    </rPh>
    <phoneticPr fontId="2"/>
  </si>
  <si>
    <t>2023年度</t>
    <rPh sb="4" eb="5">
      <t>ネン</t>
    </rPh>
    <rPh sb="5" eb="6">
      <t>ド</t>
    </rPh>
    <phoneticPr fontId="2"/>
  </si>
  <si>
    <t>運賃/SET</t>
    <rPh sb="0" eb="2">
      <t>ウンチン</t>
    </rPh>
    <phoneticPr fontId="2"/>
  </si>
  <si>
    <t>ソフト</t>
    <phoneticPr fontId="5"/>
  </si>
  <si>
    <t>廃棄物処理</t>
    <rPh sb="0" eb="3">
      <t>ハイキブツ</t>
    </rPh>
    <rPh sb="3" eb="5">
      <t>ショリ</t>
    </rPh>
    <phoneticPr fontId="5"/>
  </si>
  <si>
    <t>回路4品目売上数量</t>
    <rPh sb="0" eb="2">
      <t>カイロ</t>
    </rPh>
    <rPh sb="3" eb="5">
      <t>ヒンモク</t>
    </rPh>
    <rPh sb="5" eb="7">
      <t>ウリアゲ</t>
    </rPh>
    <rPh sb="7" eb="9">
      <t>スウリョウ</t>
    </rPh>
    <phoneticPr fontId="2"/>
  </si>
  <si>
    <t>4月</t>
    <phoneticPr fontId="2"/>
  </si>
  <si>
    <t>5月</t>
    <phoneticPr fontId="2"/>
  </si>
  <si>
    <t>6月</t>
    <phoneticPr fontId="2"/>
  </si>
  <si>
    <t>東レ・メディカル㈱（苦情関連費用）</t>
    <rPh sb="0" eb="1">
      <t>トウ</t>
    </rPh>
    <rPh sb="10" eb="12">
      <t>クジョウ</t>
    </rPh>
    <rPh sb="12" eb="14">
      <t>カンレン</t>
    </rPh>
    <rPh sb="14" eb="16">
      <t>ヒヨウ</t>
    </rPh>
    <phoneticPr fontId="3"/>
  </si>
  <si>
    <t>消耗品</t>
    <rPh sb="0" eb="3">
      <t>ショウモウヒン</t>
    </rPh>
    <phoneticPr fontId="2"/>
  </si>
  <si>
    <t>ソフト</t>
    <phoneticPr fontId="2"/>
  </si>
  <si>
    <t>廃棄物処理</t>
    <rPh sb="0" eb="3">
      <t>ハイキブツ</t>
    </rPh>
    <rPh sb="3" eb="5">
      <t>ショリ</t>
    </rPh>
    <phoneticPr fontId="2"/>
  </si>
  <si>
    <t>PMDA（安全対策等拠出金）</t>
  </si>
  <si>
    <t>貨物保険（2023年7月～2024年6月）</t>
    <rPh sb="0" eb="2">
      <t>カモツ</t>
    </rPh>
    <rPh sb="2" eb="4">
      <t>ホケン</t>
    </rPh>
    <rPh sb="9" eb="10">
      <t>ネン</t>
    </rPh>
    <rPh sb="11" eb="12">
      <t>ガツ</t>
    </rPh>
    <rPh sb="17" eb="18">
      <t>ネン</t>
    </rPh>
    <rPh sb="19" eb="20">
      <t>ガツ</t>
    </rPh>
    <phoneticPr fontId="5"/>
  </si>
  <si>
    <t>回路4品目売上数量予測</t>
    <rPh sb="0" eb="2">
      <t>カイロ</t>
    </rPh>
    <rPh sb="3" eb="5">
      <t>ヒンモク</t>
    </rPh>
    <rPh sb="5" eb="7">
      <t>ウリアゲ</t>
    </rPh>
    <rPh sb="7" eb="9">
      <t>スウリョウ</t>
    </rPh>
    <rPh sb="9" eb="11">
      <t>ヨソク</t>
    </rPh>
    <phoneticPr fontId="2"/>
  </si>
  <si>
    <t>10月</t>
    <phoneticPr fontId="2"/>
  </si>
  <si>
    <t>11月</t>
    <phoneticPr fontId="2"/>
  </si>
  <si>
    <t>12月</t>
    <phoneticPr fontId="2"/>
  </si>
  <si>
    <t>その他（輸出）</t>
    <rPh sb="2" eb="3">
      <t>タ</t>
    </rPh>
    <rPh sb="4" eb="6">
      <t>ユシュツ</t>
    </rPh>
    <phoneticPr fontId="2"/>
  </si>
  <si>
    <t>回路返品</t>
    <rPh sb="0" eb="2">
      <t>カイロ</t>
    </rPh>
    <rPh sb="2" eb="4">
      <t>ヘンピン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</si>
</sst>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¥&quot;#,##0;[Red]&quot;¥&quot;\-#,##0"/>
    <numFmt numFmtId="7" formatCode="&quot;¥&quot;#,##0.00;&quot;¥&quot;\-#,##0.00"/>
    <numFmt numFmtId="176" formatCode="yyyy&quot;年&quot;m&quot;月&quot;d&quot;日&quot;;@"/>
    <numFmt numFmtId="177" formatCode="0.00_ "/>
    <numFmt numFmtId="178" formatCode="#,##0_ "/>
    <numFmt numFmtId="179" formatCode="0.00_);[Red]\(0.00\)"/>
    <numFmt numFmtId="180" formatCode="0.00;&quot;△ &quot;0.00"/>
    <numFmt numFmtId="181" formatCode="#,##0_);[Red]\(#,##0\)"/>
    <numFmt numFmtId="182" formatCode="#,##0.00_ "/>
    <numFmt numFmtId="183" formatCode="#,##0_ ;[Red]\-#,##0\ "/>
  </numFmts>
  <fonts count="1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0.5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0.5"/>
      <name val="ＭＳ ゴシック"/>
      <family val="3"/>
      <charset val="128"/>
    </font>
    <font>
      <b/>
      <sz val="10.5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9"/>
      <name val="ＭＳ ゴシック"/>
      <family val="3"/>
      <charset val="128"/>
    </font>
    <font>
      <sz val="10.5"/>
      <color theme="1"/>
      <name val="BIZ UDゴシック"/>
      <family val="3"/>
      <charset val="128"/>
    </font>
    <font>
      <sz val="10.5"/>
      <color rgb="FFFF0000"/>
      <name val="ＭＳ 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4" fillId="0" borderId="0"/>
    <xf numFmtId="6" fontId="4" fillId="0" borderId="0" applyFont="0" applyFill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5" fillId="0" borderId="0" xfId="2" applyFont="1">
      <alignment vertical="center"/>
    </xf>
    <xf numFmtId="49" fontId="5" fillId="0" borderId="0" xfId="2" applyNumberFormat="1" applyFont="1">
      <alignment vertical="center"/>
    </xf>
    <xf numFmtId="176" fontId="5" fillId="0" borderId="0" xfId="3" applyNumberFormat="1" applyFont="1" applyBorder="1" applyAlignment="1">
      <alignment vertical="center"/>
    </xf>
    <xf numFmtId="38" fontId="5" fillId="0" borderId="0" xfId="3" applyFont="1" applyBorder="1">
      <alignment vertical="center"/>
    </xf>
    <xf numFmtId="38" fontId="5" fillId="0" borderId="0" xfId="3" applyFont="1" applyBorder="1" applyAlignment="1">
      <alignment vertical="center" wrapText="1"/>
    </xf>
    <xf numFmtId="0" fontId="5" fillId="0" borderId="5" xfId="2" applyFont="1" applyBorder="1">
      <alignment vertical="center"/>
    </xf>
    <xf numFmtId="0" fontId="5" fillId="0" borderId="5" xfId="2" applyFont="1" applyBorder="1" applyAlignment="1">
      <alignment horizontal="right" vertical="center"/>
    </xf>
    <xf numFmtId="0" fontId="5" fillId="0" borderId="0" xfId="2" applyFont="1" applyAlignment="1">
      <alignment horizontal="center" vertical="center"/>
    </xf>
    <xf numFmtId="0" fontId="5" fillId="0" borderId="4" xfId="2" applyFont="1" applyBorder="1" applyAlignment="1">
      <alignment horizontal="center" vertical="center" shrinkToFit="1"/>
    </xf>
    <xf numFmtId="0" fontId="5" fillId="0" borderId="4" xfId="2" applyFont="1" applyBorder="1">
      <alignment vertical="center"/>
    </xf>
    <xf numFmtId="0" fontId="5" fillId="0" borderId="4" xfId="2" applyFont="1" applyBorder="1" applyAlignment="1">
      <alignment vertical="center" shrinkToFit="1"/>
    </xf>
    <xf numFmtId="38" fontId="5" fillId="0" borderId="4" xfId="3" applyFont="1" applyFill="1" applyBorder="1">
      <alignment vertical="center"/>
    </xf>
    <xf numFmtId="31" fontId="5" fillId="0" borderId="4" xfId="4" applyNumberFormat="1" applyFont="1" applyBorder="1" applyAlignment="1">
      <alignment horizontal="left" vertical="center"/>
    </xf>
    <xf numFmtId="38" fontId="5" fillId="0" borderId="4" xfId="3" applyFont="1" applyFill="1" applyBorder="1" applyAlignment="1">
      <alignment vertical="center" wrapText="1"/>
    </xf>
    <xf numFmtId="0" fontId="5" fillId="0" borderId="0" xfId="2" applyFont="1" applyAlignment="1">
      <alignment vertical="center" shrinkToFit="1"/>
    </xf>
    <xf numFmtId="0" fontId="5" fillId="0" borderId="4" xfId="2" applyFont="1" applyBorder="1" applyAlignment="1">
      <alignment horizontal="center" vertical="center"/>
    </xf>
    <xf numFmtId="38" fontId="5" fillId="0" borderId="4" xfId="3" applyFont="1" applyFill="1" applyBorder="1" applyAlignment="1">
      <alignment horizontal="center" vertical="center" shrinkToFit="1"/>
    </xf>
    <xf numFmtId="38" fontId="5" fillId="0" borderId="4" xfId="3" applyFont="1" applyFill="1" applyBorder="1" applyAlignment="1">
      <alignment horizontal="center" vertical="center"/>
    </xf>
    <xf numFmtId="38" fontId="5" fillId="0" borderId="4" xfId="3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7" fillId="0" borderId="4" xfId="0" applyFont="1" applyBorder="1">
      <alignment vertical="center"/>
    </xf>
    <xf numFmtId="0" fontId="8" fillId="0" borderId="0" xfId="0" applyFont="1">
      <alignment vertical="center"/>
    </xf>
    <xf numFmtId="49" fontId="5" fillId="0" borderId="4" xfId="2" applyNumberFormat="1" applyFont="1" applyBorder="1">
      <alignment vertical="center"/>
    </xf>
    <xf numFmtId="176" fontId="5" fillId="0" borderId="4" xfId="3" applyNumberFormat="1" applyFont="1" applyBorder="1" applyAlignment="1">
      <alignment vertical="center"/>
    </xf>
    <xf numFmtId="38" fontId="5" fillId="0" borderId="4" xfId="3" applyFont="1" applyBorder="1">
      <alignment vertical="center"/>
    </xf>
    <xf numFmtId="38" fontId="5" fillId="0" borderId="4" xfId="3" applyFont="1" applyBorder="1" applyAlignment="1">
      <alignment vertical="center" wrapText="1"/>
    </xf>
    <xf numFmtId="0" fontId="6" fillId="0" borderId="0" xfId="2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4" xfId="2" applyFont="1" applyBorder="1" applyAlignment="1">
      <alignment horizontal="left" vertical="center" shrinkToFit="1"/>
    </xf>
    <xf numFmtId="0" fontId="5" fillId="0" borderId="4" xfId="2" applyFont="1" applyBorder="1" applyAlignment="1">
      <alignment horizontal="left" vertical="center"/>
    </xf>
    <xf numFmtId="0" fontId="5" fillId="0" borderId="5" xfId="2" applyFont="1" applyBorder="1" applyAlignment="1">
      <alignment horizontal="left" vertical="center" shrinkToFit="1"/>
    </xf>
    <xf numFmtId="0" fontId="5" fillId="0" borderId="0" xfId="2" applyFont="1" applyAlignment="1">
      <alignment horizontal="left" vertical="center" shrinkToFit="1"/>
    </xf>
    <xf numFmtId="0" fontId="9" fillId="0" borderId="0" xfId="0" applyFont="1">
      <alignment vertical="center"/>
    </xf>
    <xf numFmtId="38" fontId="7" fillId="0" borderId="0" xfId="1" applyFont="1" applyFill="1">
      <alignment vertical="center"/>
    </xf>
    <xf numFmtId="55" fontId="7" fillId="0" borderId="4" xfId="0" applyNumberFormat="1" applyFont="1" applyBorder="1" applyAlignment="1">
      <alignment horizontal="center" vertical="center"/>
    </xf>
    <xf numFmtId="38" fontId="7" fillId="0" borderId="4" xfId="1" applyFont="1" applyFill="1" applyBorder="1">
      <alignment vertical="center"/>
    </xf>
    <xf numFmtId="178" fontId="7" fillId="0" borderId="4" xfId="0" applyNumberFormat="1" applyFont="1" applyBorder="1">
      <alignment vertical="center"/>
    </xf>
    <xf numFmtId="178" fontId="9" fillId="0" borderId="0" xfId="0" applyNumberFormat="1" applyFont="1">
      <alignment vertical="center"/>
    </xf>
    <xf numFmtId="38" fontId="7" fillId="0" borderId="0" xfId="1" applyFont="1">
      <alignment vertical="center"/>
    </xf>
    <xf numFmtId="7" fontId="7" fillId="0" borderId="0" xfId="0" applyNumberFormat="1" applyFont="1">
      <alignment vertical="center"/>
    </xf>
    <xf numFmtId="38" fontId="7" fillId="0" borderId="0" xfId="0" applyNumberFormat="1" applyFont="1">
      <alignment vertical="center"/>
    </xf>
    <xf numFmtId="0" fontId="7" fillId="0" borderId="4" xfId="0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3" fillId="0" borderId="4" xfId="2" applyFont="1" applyBorder="1">
      <alignment vertical="center"/>
    </xf>
    <xf numFmtId="0" fontId="11" fillId="0" borderId="4" xfId="2" applyFont="1" applyBorder="1">
      <alignment vertical="center"/>
    </xf>
    <xf numFmtId="0" fontId="11" fillId="0" borderId="0" xfId="2" applyFont="1">
      <alignment vertical="center"/>
    </xf>
    <xf numFmtId="38" fontId="11" fillId="0" borderId="0" xfId="2" applyNumberFormat="1" applyFont="1">
      <alignment vertical="center"/>
    </xf>
    <xf numFmtId="55" fontId="11" fillId="0" borderId="7" xfId="2" applyNumberFormat="1" applyFont="1" applyBorder="1" applyAlignment="1">
      <alignment horizontal="center" vertical="center"/>
    </xf>
    <xf numFmtId="38" fontId="12" fillId="0" borderId="4" xfId="3" applyFont="1" applyFill="1" applyBorder="1" applyAlignment="1">
      <alignment vertical="center"/>
    </xf>
    <xf numFmtId="38" fontId="11" fillId="0" borderId="4" xfId="3" applyFont="1" applyFill="1" applyBorder="1" applyAlignment="1">
      <alignment vertical="center"/>
    </xf>
    <xf numFmtId="38" fontId="11" fillId="0" borderId="7" xfId="3" applyFont="1" applyFill="1" applyBorder="1" applyAlignment="1">
      <alignment vertical="center"/>
    </xf>
    <xf numFmtId="38" fontId="11" fillId="0" borderId="8" xfId="2" applyNumberFormat="1" applyFont="1" applyBorder="1">
      <alignment vertical="center"/>
    </xf>
    <xf numFmtId="38" fontId="11" fillId="0" borderId="9" xfId="2" applyNumberFormat="1" applyFont="1" applyBorder="1">
      <alignment vertical="center"/>
    </xf>
    <xf numFmtId="38" fontId="11" fillId="0" borderId="3" xfId="2" applyNumberFormat="1" applyFont="1" applyBorder="1">
      <alignment vertical="center"/>
    </xf>
    <xf numFmtId="0" fontId="6" fillId="0" borderId="0" xfId="2" applyFont="1">
      <alignment vertical="center"/>
    </xf>
    <xf numFmtId="0" fontId="13" fillId="0" borderId="1" xfId="2" applyFont="1" applyBorder="1">
      <alignment vertical="center"/>
    </xf>
    <xf numFmtId="0" fontId="11" fillId="0" borderId="1" xfId="2" applyFont="1" applyBorder="1">
      <alignment vertical="center"/>
    </xf>
    <xf numFmtId="0" fontId="11" fillId="0" borderId="2" xfId="2" applyFont="1" applyBorder="1">
      <alignment vertical="center"/>
    </xf>
    <xf numFmtId="0" fontId="11" fillId="0" borderId="2" xfId="2" applyFont="1" applyBorder="1" applyAlignment="1">
      <alignment horizontal="right" vertical="center"/>
    </xf>
    <xf numFmtId="178" fontId="9" fillId="0" borderId="4" xfId="0" applyNumberFormat="1" applyFont="1" applyBorder="1">
      <alignment vertical="center"/>
    </xf>
    <xf numFmtId="0" fontId="10" fillId="0" borderId="4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7" xfId="0" applyFont="1" applyBorder="1">
      <alignment vertical="center"/>
    </xf>
    <xf numFmtId="177" fontId="7" fillId="0" borderId="4" xfId="0" applyNumberFormat="1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178" fontId="7" fillId="0" borderId="0" xfId="0" applyNumberFormat="1" applyFont="1">
      <alignment vertical="center"/>
    </xf>
    <xf numFmtId="0" fontId="12" fillId="0" borderId="0" xfId="0" applyFont="1">
      <alignment vertical="center"/>
    </xf>
    <xf numFmtId="38" fontId="12" fillId="0" borderId="4" xfId="3" applyFont="1" applyFill="1" applyBorder="1" applyAlignment="1">
      <alignment vertical="center" shrinkToFit="1"/>
    </xf>
    <xf numFmtId="38" fontId="11" fillId="0" borderId="4" xfId="3" applyFont="1" applyFill="1" applyBorder="1" applyAlignment="1">
      <alignment vertical="center" shrinkToFit="1"/>
    </xf>
    <xf numFmtId="177" fontId="7" fillId="0" borderId="0" xfId="0" applyNumberFormat="1" applyFont="1">
      <alignment vertical="center"/>
    </xf>
    <xf numFmtId="179" fontId="7" fillId="0" borderId="4" xfId="1" applyNumberFormat="1" applyFont="1" applyFill="1" applyBorder="1">
      <alignment vertical="center"/>
    </xf>
    <xf numFmtId="178" fontId="10" fillId="0" borderId="4" xfId="0" applyNumberFormat="1" applyFont="1" applyBorder="1">
      <alignment vertical="center"/>
    </xf>
    <xf numFmtId="177" fontId="7" fillId="0" borderId="7" xfId="0" applyNumberFormat="1" applyFont="1" applyBorder="1">
      <alignment vertical="center"/>
    </xf>
    <xf numFmtId="40" fontId="7" fillId="0" borderId="0" xfId="1" applyNumberFormat="1" applyFont="1" applyFill="1">
      <alignment vertical="center"/>
    </xf>
    <xf numFmtId="38" fontId="11" fillId="0" borderId="4" xfId="1" applyFont="1" applyFill="1" applyBorder="1" applyAlignment="1">
      <alignment vertical="center"/>
    </xf>
    <xf numFmtId="40" fontId="11" fillId="0" borderId="4" xfId="3" applyNumberFormat="1" applyFont="1" applyFill="1" applyBorder="1" applyAlignment="1">
      <alignment vertical="center" shrinkToFit="1"/>
    </xf>
    <xf numFmtId="0" fontId="7" fillId="0" borderId="10" xfId="0" applyFont="1" applyBorder="1">
      <alignment vertical="center"/>
    </xf>
    <xf numFmtId="38" fontId="7" fillId="0" borderId="10" xfId="1" applyFont="1" applyFill="1" applyBorder="1">
      <alignment vertical="center"/>
    </xf>
    <xf numFmtId="178" fontId="7" fillId="0" borderId="10" xfId="0" applyNumberFormat="1" applyFont="1" applyBorder="1">
      <alignment vertical="center"/>
    </xf>
    <xf numFmtId="180" fontId="14" fillId="2" borderId="0" xfId="1" applyNumberFormat="1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3" borderId="4" xfId="0" applyFont="1" applyFill="1" applyBorder="1">
      <alignment vertical="center"/>
    </xf>
    <xf numFmtId="4" fontId="7" fillId="3" borderId="4" xfId="0" applyNumberFormat="1" applyFont="1" applyFill="1" applyBorder="1">
      <alignment vertical="center"/>
    </xf>
    <xf numFmtId="177" fontId="7" fillId="3" borderId="4" xfId="0" applyNumberFormat="1" applyFont="1" applyFill="1" applyBorder="1">
      <alignment vertical="center"/>
    </xf>
    <xf numFmtId="0" fontId="7" fillId="4" borderId="4" xfId="0" applyFont="1" applyFill="1" applyBorder="1">
      <alignment vertical="center"/>
    </xf>
    <xf numFmtId="4" fontId="7" fillId="4" borderId="4" xfId="0" applyNumberFormat="1" applyFont="1" applyFill="1" applyBorder="1">
      <alignment vertical="center"/>
    </xf>
    <xf numFmtId="177" fontId="7" fillId="4" borderId="4" xfId="0" applyNumberFormat="1" applyFont="1" applyFill="1" applyBorder="1">
      <alignment vertical="center"/>
    </xf>
    <xf numFmtId="38" fontId="11" fillId="0" borderId="7" xfId="3" applyFont="1" applyFill="1" applyBorder="1" applyAlignment="1">
      <alignment vertical="center" shrinkToFit="1"/>
    </xf>
    <xf numFmtId="38" fontId="11" fillId="5" borderId="4" xfId="3" applyFont="1" applyFill="1" applyBorder="1" applyAlignment="1">
      <alignment vertical="center"/>
    </xf>
    <xf numFmtId="0" fontId="7" fillId="0" borderId="11" xfId="0" applyFont="1" applyBorder="1">
      <alignment vertical="center"/>
    </xf>
    <xf numFmtId="38" fontId="7" fillId="0" borderId="11" xfId="1" applyFont="1" applyFill="1" applyBorder="1">
      <alignment vertical="center"/>
    </xf>
    <xf numFmtId="0" fontId="7" fillId="0" borderId="13" xfId="0" applyFont="1" applyBorder="1">
      <alignment vertical="center"/>
    </xf>
    <xf numFmtId="38" fontId="7" fillId="0" borderId="13" xfId="1" applyFont="1" applyFill="1" applyBorder="1">
      <alignment vertical="center"/>
    </xf>
    <xf numFmtId="0" fontId="10" fillId="0" borderId="12" xfId="0" applyFont="1" applyBorder="1">
      <alignment vertical="center"/>
    </xf>
    <xf numFmtId="38" fontId="10" fillId="0" borderId="12" xfId="1" applyFont="1" applyFill="1" applyBorder="1">
      <alignment vertical="center"/>
    </xf>
    <xf numFmtId="179" fontId="10" fillId="0" borderId="4" xfId="1" applyNumberFormat="1" applyFont="1" applyFill="1" applyBorder="1">
      <alignment vertical="center"/>
    </xf>
    <xf numFmtId="179" fontId="10" fillId="0" borderId="4" xfId="0" applyNumberFormat="1" applyFont="1" applyBorder="1">
      <alignment vertical="center"/>
    </xf>
    <xf numFmtId="179" fontId="7" fillId="0" borderId="0" xfId="0" applyNumberFormat="1" applyFont="1">
      <alignment vertical="center"/>
    </xf>
    <xf numFmtId="181" fontId="7" fillId="0" borderId="11" xfId="0" applyNumberFormat="1" applyFont="1" applyBorder="1">
      <alignment vertical="center"/>
    </xf>
    <xf numFmtId="181" fontId="7" fillId="0" borderId="11" xfId="1" applyNumberFormat="1" applyFont="1" applyFill="1" applyBorder="1">
      <alignment vertical="center"/>
    </xf>
    <xf numFmtId="181" fontId="10" fillId="0" borderId="12" xfId="0" applyNumberFormat="1" applyFont="1" applyBorder="1">
      <alignment vertical="center"/>
    </xf>
    <xf numFmtId="181" fontId="10" fillId="0" borderId="12" xfId="1" applyNumberFormat="1" applyFont="1" applyFill="1" applyBorder="1">
      <alignment vertical="center"/>
    </xf>
    <xf numFmtId="181" fontId="7" fillId="0" borderId="13" xfId="0" applyNumberFormat="1" applyFont="1" applyBorder="1">
      <alignment vertical="center"/>
    </xf>
    <xf numFmtId="181" fontId="7" fillId="0" borderId="13" xfId="1" applyNumberFormat="1" applyFont="1" applyFill="1" applyBorder="1">
      <alignment vertical="center"/>
    </xf>
    <xf numFmtId="178" fontId="7" fillId="6" borderId="4" xfId="0" applyNumberFormat="1" applyFont="1" applyFill="1" applyBorder="1">
      <alignment vertical="center"/>
    </xf>
    <xf numFmtId="0" fontId="7" fillId="7" borderId="4" xfId="0" applyFont="1" applyFill="1" applyBorder="1" applyAlignment="1">
      <alignment horizontal="center" vertical="center" shrinkToFit="1"/>
    </xf>
    <xf numFmtId="178" fontId="10" fillId="0" borderId="4" xfId="0" applyNumberFormat="1" applyFont="1" applyBorder="1" applyAlignment="1">
      <alignment vertical="center" shrinkToFit="1"/>
    </xf>
    <xf numFmtId="0" fontId="7" fillId="3" borderId="4" xfId="0" applyFont="1" applyFill="1" applyBorder="1" applyAlignment="1">
      <alignment horizontal="center" vertical="center" shrinkToFit="1"/>
    </xf>
    <xf numFmtId="38" fontId="7" fillId="3" borderId="4" xfId="1" applyFont="1" applyFill="1" applyBorder="1">
      <alignment vertical="center"/>
    </xf>
    <xf numFmtId="178" fontId="7" fillId="3" borderId="4" xfId="0" applyNumberFormat="1" applyFont="1" applyFill="1" applyBorder="1">
      <alignment vertical="center"/>
    </xf>
    <xf numFmtId="178" fontId="9" fillId="3" borderId="4" xfId="0" applyNumberFormat="1" applyFont="1" applyFill="1" applyBorder="1">
      <alignment vertical="center"/>
    </xf>
    <xf numFmtId="178" fontId="7" fillId="0" borderId="4" xfId="0" applyNumberFormat="1" applyFont="1" applyBorder="1" applyAlignment="1">
      <alignment vertical="center" shrinkToFit="1"/>
    </xf>
    <xf numFmtId="38" fontId="7" fillId="0" borderId="4" xfId="1" applyFont="1" applyFill="1" applyBorder="1" applyAlignment="1">
      <alignment vertical="center" shrinkToFit="1"/>
    </xf>
    <xf numFmtId="38" fontId="7" fillId="0" borderId="11" xfId="1" applyFont="1" applyFill="1" applyBorder="1" applyAlignment="1">
      <alignment vertical="center" shrinkToFit="1"/>
    </xf>
    <xf numFmtId="38" fontId="10" fillId="0" borderId="12" xfId="1" applyFont="1" applyFill="1" applyBorder="1" applyAlignment="1">
      <alignment vertical="center" shrinkToFit="1"/>
    </xf>
    <xf numFmtId="38" fontId="7" fillId="0" borderId="13" xfId="1" applyFont="1" applyFill="1" applyBorder="1" applyAlignment="1">
      <alignment vertical="center" shrinkToFit="1"/>
    </xf>
    <xf numFmtId="182" fontId="7" fillId="0" borderId="4" xfId="0" applyNumberFormat="1" applyFont="1" applyBorder="1" applyAlignment="1">
      <alignment vertical="center" shrinkToFit="1"/>
    </xf>
    <xf numFmtId="0" fontId="7" fillId="0" borderId="4" xfId="0" applyFont="1" applyBorder="1" applyAlignment="1">
      <alignment horizontal="center" vertical="center" shrinkToFit="1"/>
    </xf>
    <xf numFmtId="0" fontId="15" fillId="0" borderId="4" xfId="0" applyFont="1" applyBorder="1" applyAlignment="1">
      <alignment horizontal="center" vertical="center" shrinkToFit="1"/>
    </xf>
    <xf numFmtId="0" fontId="15" fillId="0" borderId="4" xfId="0" applyFont="1" applyBorder="1">
      <alignment vertical="center"/>
    </xf>
    <xf numFmtId="183" fontId="7" fillId="0" borderId="0" xfId="1" applyNumberFormat="1" applyFont="1" applyFill="1">
      <alignment vertical="center"/>
    </xf>
    <xf numFmtId="55" fontId="7" fillId="0" borderId="14" xfId="0" applyNumberFormat="1" applyFont="1" applyBorder="1" applyAlignment="1">
      <alignment horizontal="center" vertical="center" shrinkToFit="1"/>
    </xf>
    <xf numFmtId="55" fontId="7" fillId="0" borderId="15" xfId="0" applyNumberFormat="1" applyFont="1" applyBorder="1" applyAlignment="1">
      <alignment horizontal="center" vertical="center" shrinkToFit="1"/>
    </xf>
    <xf numFmtId="55" fontId="7" fillId="0" borderId="16" xfId="0" applyNumberFormat="1" applyFont="1" applyBorder="1" applyAlignment="1">
      <alignment horizontal="center" vertical="center" shrinkToFit="1"/>
    </xf>
    <xf numFmtId="38" fontId="7" fillId="0" borderId="14" xfId="1" applyFont="1" applyFill="1" applyBorder="1" applyAlignment="1">
      <alignment vertical="center" shrinkToFit="1"/>
    </xf>
    <xf numFmtId="178" fontId="7" fillId="0" borderId="15" xfId="0" applyNumberFormat="1" applyFont="1" applyBorder="1" applyAlignment="1">
      <alignment vertical="center" shrinkToFit="1"/>
    </xf>
    <xf numFmtId="178" fontId="7" fillId="0" borderId="16" xfId="0" applyNumberFormat="1" applyFont="1" applyBorder="1" applyAlignment="1">
      <alignment vertical="center" shrinkToFit="1"/>
    </xf>
    <xf numFmtId="178" fontId="7" fillId="0" borderId="14" xfId="0" applyNumberFormat="1" applyFont="1" applyBorder="1" applyAlignment="1">
      <alignment vertical="center" shrinkToFit="1"/>
    </xf>
    <xf numFmtId="178" fontId="10" fillId="0" borderId="14" xfId="0" applyNumberFormat="1" applyFont="1" applyBorder="1" applyAlignment="1">
      <alignment vertical="center" shrinkToFit="1"/>
    </xf>
    <xf numFmtId="178" fontId="10" fillId="0" borderId="15" xfId="0" applyNumberFormat="1" applyFont="1" applyBorder="1" applyAlignment="1">
      <alignment vertical="center" shrinkToFit="1"/>
    </xf>
    <xf numFmtId="178" fontId="10" fillId="0" borderId="16" xfId="0" applyNumberFormat="1" applyFont="1" applyBorder="1" applyAlignment="1">
      <alignment vertical="center" shrinkToFit="1"/>
    </xf>
    <xf numFmtId="0" fontId="7" fillId="6" borderId="4" xfId="0" applyFont="1" applyFill="1" applyBorder="1">
      <alignment vertical="center"/>
    </xf>
    <xf numFmtId="0" fontId="7" fillId="6" borderId="4" xfId="0" applyFont="1" applyFill="1" applyBorder="1" applyAlignment="1">
      <alignment horizontal="center" vertical="center" shrinkToFit="1"/>
    </xf>
    <xf numFmtId="178" fontId="7" fillId="6" borderId="14" xfId="0" applyNumberFormat="1" applyFont="1" applyFill="1" applyBorder="1" applyAlignment="1">
      <alignment vertical="center" shrinkToFit="1"/>
    </xf>
    <xf numFmtId="178" fontId="7" fillId="6" borderId="15" xfId="0" applyNumberFormat="1" applyFont="1" applyFill="1" applyBorder="1" applyAlignment="1">
      <alignment vertical="center" shrinkToFit="1"/>
    </xf>
    <xf numFmtId="178" fontId="7" fillId="6" borderId="16" xfId="0" applyNumberFormat="1" applyFont="1" applyFill="1" applyBorder="1" applyAlignment="1">
      <alignment vertical="center" shrinkToFit="1"/>
    </xf>
    <xf numFmtId="0" fontId="7" fillId="6" borderId="4" xfId="0" applyFont="1" applyFill="1" applyBorder="1" applyAlignment="1">
      <alignment horizontal="center" vertical="center"/>
    </xf>
    <xf numFmtId="38" fontId="7" fillId="6" borderId="14" xfId="1" applyFont="1" applyFill="1" applyBorder="1" applyAlignment="1">
      <alignment vertical="center" shrinkToFit="1"/>
    </xf>
    <xf numFmtId="38" fontId="7" fillId="0" borderId="15" xfId="1" applyFont="1" applyFill="1" applyBorder="1" applyAlignment="1">
      <alignment vertical="center" shrinkToFit="1"/>
    </xf>
    <xf numFmtId="178" fontId="7" fillId="0" borderId="0" xfId="0" applyNumberFormat="1" applyFont="1" applyAlignment="1">
      <alignment vertical="center" shrinkToFit="1"/>
    </xf>
    <xf numFmtId="38" fontId="7" fillId="0" borderId="0" xfId="0" applyNumberFormat="1" applyFont="1" applyAlignment="1">
      <alignment vertical="center" shrinkToFit="1"/>
    </xf>
    <xf numFmtId="0" fontId="7" fillId="0" borderId="6" xfId="0" applyFont="1" applyBorder="1" applyAlignment="1">
      <alignment horizontal="center" vertical="center"/>
    </xf>
    <xf numFmtId="0" fontId="10" fillId="0" borderId="6" xfId="0" applyFont="1" applyBorder="1">
      <alignment vertical="center"/>
    </xf>
    <xf numFmtId="0" fontId="7" fillId="6" borderId="6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/>
    </xf>
    <xf numFmtId="179" fontId="7" fillId="3" borderId="4" xfId="0" applyNumberFormat="1" applyFont="1" applyFill="1" applyBorder="1">
      <alignment vertical="center"/>
    </xf>
    <xf numFmtId="179" fontId="7" fillId="4" borderId="4" xfId="0" applyNumberFormat="1" applyFont="1" applyFill="1" applyBorder="1">
      <alignment vertical="center"/>
    </xf>
    <xf numFmtId="55" fontId="7" fillId="0" borderId="14" xfId="0" applyNumberFormat="1" applyFont="1" applyBorder="1" applyAlignment="1">
      <alignment horizontal="center" vertical="center" shrinkToFit="1"/>
    </xf>
    <xf numFmtId="55" fontId="7" fillId="0" borderId="15" xfId="0" applyNumberFormat="1" applyFont="1" applyBorder="1" applyAlignment="1">
      <alignment horizontal="center" vertical="center" shrinkToFit="1"/>
    </xf>
    <xf numFmtId="55" fontId="7" fillId="0" borderId="16" xfId="0" applyNumberFormat="1" applyFont="1" applyBorder="1" applyAlignment="1">
      <alignment horizontal="center" vertical="center" shrinkToFit="1"/>
    </xf>
    <xf numFmtId="0" fontId="7" fillId="0" borderId="4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11" fillId="0" borderId="4" xfId="2" applyFont="1" applyBorder="1">
      <alignment vertical="center"/>
    </xf>
    <xf numFmtId="0" fontId="13" fillId="0" borderId="4" xfId="2" applyFont="1" applyBorder="1">
      <alignment vertical="center"/>
    </xf>
    <xf numFmtId="0" fontId="11" fillId="0" borderId="1" xfId="2" applyFont="1" applyBorder="1">
      <alignment vertical="center"/>
    </xf>
    <xf numFmtId="0" fontId="11" fillId="0" borderId="2" xfId="2" applyFont="1" applyBorder="1">
      <alignment vertical="center"/>
    </xf>
    <xf numFmtId="0" fontId="11" fillId="0" borderId="3" xfId="2" applyFont="1" applyBorder="1">
      <alignment vertical="center"/>
    </xf>
    <xf numFmtId="0" fontId="11" fillId="0" borderId="1" xfId="2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3" fillId="0" borderId="1" xfId="2" applyFont="1" applyBorder="1">
      <alignment vertical="center"/>
    </xf>
    <xf numFmtId="0" fontId="13" fillId="0" borderId="2" xfId="2" applyFont="1" applyBorder="1">
      <alignment vertical="center"/>
    </xf>
    <xf numFmtId="0" fontId="5" fillId="0" borderId="4" xfId="2" applyFont="1" applyBorder="1" applyAlignment="1">
      <alignment horizontal="center" vertical="center"/>
    </xf>
  </cellXfs>
  <cellStyles count="6">
    <cellStyle name="桁区切り" xfId="1" builtinId="6"/>
    <cellStyle name="桁区切り 2" xfId="3" xr:uid="{C861D6C8-78A7-4119-A3A9-EB86092CBBCA}"/>
    <cellStyle name="通貨 2" xfId="5" xr:uid="{394F31C7-1C78-4166-A768-06CDD72DD179}"/>
    <cellStyle name="標準" xfId="0" builtinId="0"/>
    <cellStyle name="標準 2" xfId="2" xr:uid="{C4FA46BB-1C56-43CC-AD44-6A599CA473B0}"/>
    <cellStyle name="標準_Sheet3" xfId="4" xr:uid="{4E2FEE72-BE2E-4184-951D-011772DDAE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C821B-ADD0-482B-8F3C-102CC8F58952}">
  <dimension ref="B1:R135"/>
  <sheetViews>
    <sheetView topLeftCell="A73" zoomScale="85" zoomScaleNormal="85" zoomScaleSheetLayoutView="90" workbookViewId="0">
      <selection activeCell="D134" sqref="D134"/>
    </sheetView>
  </sheetViews>
  <sheetFormatPr defaultColWidth="9" defaultRowHeight="12.75"/>
  <cols>
    <col min="1" max="1" width="1" style="20" customWidth="1"/>
    <col min="2" max="2" width="15.125" style="20" bestFit="1" customWidth="1"/>
    <col min="3" max="3" width="4.75" style="20" bestFit="1" customWidth="1"/>
    <col min="4" max="15" width="10.75" style="20" customWidth="1"/>
    <col min="16" max="16" width="12.625" style="20" bestFit="1" customWidth="1"/>
    <col min="17" max="17" width="10.75" style="20" customWidth="1"/>
    <col min="18" max="18" width="16.25" style="34" bestFit="1" customWidth="1"/>
    <col min="19" max="19" width="15.125" style="20" customWidth="1"/>
    <col min="20" max="25" width="11.25" style="20" customWidth="1"/>
    <col min="26" max="16384" width="9" style="20"/>
  </cols>
  <sheetData>
    <row r="1" spans="2:18">
      <c r="B1" s="20" t="s">
        <v>0</v>
      </c>
    </row>
    <row r="3" spans="2:18" s="22" customFormat="1" ht="14.25">
      <c r="B3" s="29" t="s">
        <v>49</v>
      </c>
    </row>
    <row r="4" spans="2:18">
      <c r="B4" s="20" t="s">
        <v>2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</row>
    <row r="5" spans="2:18">
      <c r="B5" s="21" t="s">
        <v>3</v>
      </c>
      <c r="C5" s="21" t="s">
        <v>4</v>
      </c>
      <c r="D5" s="36" t="s">
        <v>5</v>
      </c>
      <c r="E5" s="36" t="s">
        <v>6</v>
      </c>
      <c r="F5" s="36" t="s">
        <v>7</v>
      </c>
      <c r="G5" s="36" t="s">
        <v>8</v>
      </c>
      <c r="H5" s="36" t="s">
        <v>9</v>
      </c>
      <c r="I5" s="36" t="s">
        <v>10</v>
      </c>
      <c r="J5" s="36" t="s">
        <v>11</v>
      </c>
      <c r="K5" s="36" t="s">
        <v>12</v>
      </c>
      <c r="L5" s="36" t="s">
        <v>13</v>
      </c>
      <c r="M5" s="36" t="s">
        <v>14</v>
      </c>
      <c r="N5" s="36" t="s">
        <v>15</v>
      </c>
      <c r="O5" s="36" t="s">
        <v>16</v>
      </c>
      <c r="P5" s="36" t="s">
        <v>57</v>
      </c>
      <c r="Q5" s="36" t="s">
        <v>17</v>
      </c>
      <c r="R5" s="20"/>
    </row>
    <row r="6" spans="2:18">
      <c r="B6" s="64" t="s">
        <v>18</v>
      </c>
      <c r="C6" s="21" t="s">
        <v>19</v>
      </c>
      <c r="D6" s="37">
        <v>73128</v>
      </c>
      <c r="E6" s="37">
        <v>68454</v>
      </c>
      <c r="F6" s="37">
        <v>37680</v>
      </c>
      <c r="G6" s="37">
        <v>78203</v>
      </c>
      <c r="H6" s="37">
        <v>53718</v>
      </c>
      <c r="I6" s="37">
        <v>54423</v>
      </c>
      <c r="J6" s="37">
        <v>59880</v>
      </c>
      <c r="K6" s="37">
        <v>50044</v>
      </c>
      <c r="L6" s="37">
        <v>45438</v>
      </c>
      <c r="M6" s="37">
        <v>62475</v>
      </c>
      <c r="N6" s="37">
        <v>54204</v>
      </c>
      <c r="O6" s="37">
        <v>59208</v>
      </c>
      <c r="P6" s="37">
        <f>SUM(D6:O6)</f>
        <v>696855</v>
      </c>
      <c r="Q6" s="37">
        <f>AVERAGE(D6:O6)</f>
        <v>58071.25</v>
      </c>
      <c r="R6" s="20">
        <v>78000</v>
      </c>
    </row>
    <row r="7" spans="2:18">
      <c r="B7" s="64" t="s">
        <v>20</v>
      </c>
      <c r="C7" s="21" t="s">
        <v>19</v>
      </c>
      <c r="D7" s="37">
        <v>97500</v>
      </c>
      <c r="E7" s="37">
        <v>90384</v>
      </c>
      <c r="F7" s="37">
        <v>39744</v>
      </c>
      <c r="G7" s="37">
        <v>123509</v>
      </c>
      <c r="H7" s="37">
        <v>115353</v>
      </c>
      <c r="I7" s="37">
        <v>106113</v>
      </c>
      <c r="J7" s="37">
        <v>127536</v>
      </c>
      <c r="K7" s="37">
        <v>69020</v>
      </c>
      <c r="L7" s="37">
        <v>91275</v>
      </c>
      <c r="M7" s="37">
        <v>98817</v>
      </c>
      <c r="N7" s="37">
        <v>85092</v>
      </c>
      <c r="O7" s="37">
        <v>68448</v>
      </c>
      <c r="P7" s="37">
        <f t="shared" ref="P7:P10" si="0">SUM(D7:O7)</f>
        <v>1112791</v>
      </c>
      <c r="Q7" s="37">
        <f t="shared" ref="Q7:Q10" si="1">AVERAGE(D7:O7)</f>
        <v>92732.583333333328</v>
      </c>
      <c r="R7" s="20">
        <v>92000</v>
      </c>
    </row>
    <row r="8" spans="2:18">
      <c r="B8" s="64" t="s">
        <v>21</v>
      </c>
      <c r="C8" s="21" t="s">
        <v>19</v>
      </c>
      <c r="D8" s="37">
        <v>35820</v>
      </c>
      <c r="E8" s="37">
        <v>57780</v>
      </c>
      <c r="F8" s="37">
        <v>65640</v>
      </c>
      <c r="G8" s="37">
        <v>131340</v>
      </c>
      <c r="H8" s="37">
        <v>91740</v>
      </c>
      <c r="I8" s="37">
        <v>53740</v>
      </c>
      <c r="J8" s="37">
        <v>94500</v>
      </c>
      <c r="K8" s="37">
        <v>85860</v>
      </c>
      <c r="L8" s="37">
        <v>63780</v>
      </c>
      <c r="M8" s="37">
        <v>82200</v>
      </c>
      <c r="N8" s="37">
        <v>87576</v>
      </c>
      <c r="O8" s="37">
        <v>18780</v>
      </c>
      <c r="P8" s="37">
        <f t="shared" si="0"/>
        <v>868756</v>
      </c>
      <c r="Q8" s="37">
        <f t="shared" si="1"/>
        <v>72396.333333333328</v>
      </c>
      <c r="R8" s="20"/>
    </row>
    <row r="9" spans="2:18">
      <c r="B9" s="21" t="s">
        <v>22</v>
      </c>
      <c r="C9" s="21" t="s">
        <v>19</v>
      </c>
      <c r="D9" s="37">
        <v>1800</v>
      </c>
      <c r="E9" s="37">
        <v>2400</v>
      </c>
      <c r="F9" s="37">
        <v>1800</v>
      </c>
      <c r="G9" s="37">
        <v>2880</v>
      </c>
      <c r="H9" s="37">
        <v>1560</v>
      </c>
      <c r="I9" s="37">
        <v>3000</v>
      </c>
      <c r="J9" s="37">
        <v>1584</v>
      </c>
      <c r="K9" s="37">
        <v>1476</v>
      </c>
      <c r="L9" s="37">
        <v>1944</v>
      </c>
      <c r="M9" s="37">
        <v>1620</v>
      </c>
      <c r="N9" s="37">
        <v>2880</v>
      </c>
      <c r="O9" s="37">
        <v>2880</v>
      </c>
      <c r="P9" s="37">
        <f t="shared" si="0"/>
        <v>25824</v>
      </c>
      <c r="Q9" s="37">
        <f t="shared" si="1"/>
        <v>2152</v>
      </c>
      <c r="R9" s="20"/>
    </row>
    <row r="10" spans="2:18">
      <c r="B10" s="21" t="s">
        <v>23</v>
      </c>
      <c r="C10" s="21" t="s">
        <v>19</v>
      </c>
      <c r="D10" s="37">
        <f t="shared" ref="D10:O10" si="2">SUM(D6:D9)</f>
        <v>208248</v>
      </c>
      <c r="E10" s="37">
        <f t="shared" si="2"/>
        <v>219018</v>
      </c>
      <c r="F10" s="37">
        <f t="shared" si="2"/>
        <v>144864</v>
      </c>
      <c r="G10" s="37">
        <f t="shared" si="2"/>
        <v>335932</v>
      </c>
      <c r="H10" s="37">
        <f t="shared" si="2"/>
        <v>262371</v>
      </c>
      <c r="I10" s="37">
        <f t="shared" si="2"/>
        <v>217276</v>
      </c>
      <c r="J10" s="37">
        <f t="shared" si="2"/>
        <v>283500</v>
      </c>
      <c r="K10" s="37">
        <f t="shared" si="2"/>
        <v>206400</v>
      </c>
      <c r="L10" s="37">
        <f t="shared" si="2"/>
        <v>202437</v>
      </c>
      <c r="M10" s="37">
        <f t="shared" si="2"/>
        <v>245112</v>
      </c>
      <c r="N10" s="37">
        <f t="shared" si="2"/>
        <v>229752</v>
      </c>
      <c r="O10" s="37">
        <f t="shared" si="2"/>
        <v>149316</v>
      </c>
      <c r="P10" s="37">
        <f t="shared" si="0"/>
        <v>2704226</v>
      </c>
      <c r="Q10" s="37">
        <f t="shared" si="1"/>
        <v>225352.16666666666</v>
      </c>
      <c r="R10" s="20"/>
    </row>
    <row r="11" spans="2:18"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4"/>
      <c r="R11" s="20"/>
    </row>
    <row r="12" spans="2:18">
      <c r="B12" s="20" t="s">
        <v>24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r="13" spans="2:18">
      <c r="B13" s="20" t="s">
        <v>25</v>
      </c>
      <c r="C13" s="20" t="s">
        <v>26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</row>
    <row r="14" spans="2:18">
      <c r="B14" s="21" t="s">
        <v>3</v>
      </c>
      <c r="C14" s="21" t="s">
        <v>4</v>
      </c>
      <c r="D14" s="36" t="s">
        <v>5</v>
      </c>
      <c r="E14" s="36" t="s">
        <v>6</v>
      </c>
      <c r="F14" s="36" t="s">
        <v>7</v>
      </c>
      <c r="G14" s="36" t="s">
        <v>8</v>
      </c>
      <c r="H14" s="36" t="s">
        <v>9</v>
      </c>
      <c r="I14" s="36" t="s">
        <v>10</v>
      </c>
      <c r="J14" s="36" t="s">
        <v>11</v>
      </c>
      <c r="K14" s="36" t="s">
        <v>12</v>
      </c>
      <c r="L14" s="36" t="s">
        <v>13</v>
      </c>
      <c r="M14" s="36" t="s">
        <v>14</v>
      </c>
      <c r="N14" s="36" t="s">
        <v>15</v>
      </c>
      <c r="O14" s="36" t="s">
        <v>16</v>
      </c>
      <c r="P14" s="36" t="s">
        <v>57</v>
      </c>
      <c r="Q14" s="36" t="s">
        <v>17</v>
      </c>
      <c r="R14" s="20"/>
    </row>
    <row r="15" spans="2:18">
      <c r="B15" s="64" t="s">
        <v>18</v>
      </c>
      <c r="C15" s="21" t="s">
        <v>19</v>
      </c>
      <c r="D15" s="37">
        <v>20643006</v>
      </c>
      <c r="E15" s="37">
        <v>19273164</v>
      </c>
      <c r="F15" s="37">
        <v>10646232</v>
      </c>
      <c r="G15" s="37">
        <v>21913762</v>
      </c>
      <c r="H15" s="37">
        <v>15222156</v>
      </c>
      <c r="I15" s="37">
        <v>14946810</v>
      </c>
      <c r="J15" s="37">
        <v>16598160</v>
      </c>
      <c r="K15" s="37">
        <v>13906184</v>
      </c>
      <c r="L15" s="37">
        <v>12701556</v>
      </c>
      <c r="M15" s="37">
        <v>17726442</v>
      </c>
      <c r="N15" s="37">
        <v>15952416</v>
      </c>
      <c r="O15" s="37">
        <v>17141928</v>
      </c>
      <c r="P15" s="37">
        <f>SUM(D15:O15)</f>
        <v>196671816</v>
      </c>
      <c r="Q15" s="37">
        <f>AVERAGE(D15:O15)</f>
        <v>16389318</v>
      </c>
      <c r="R15" s="20">
        <f>ROUND(Q15/Q6,2)</f>
        <v>282.23</v>
      </c>
    </row>
    <row r="16" spans="2:18">
      <c r="B16" s="64" t="s">
        <v>20</v>
      </c>
      <c r="C16" s="21" t="s">
        <v>19</v>
      </c>
      <c r="D16" s="37">
        <v>30041706</v>
      </c>
      <c r="E16" s="37">
        <v>28314432</v>
      </c>
      <c r="F16" s="37">
        <v>12187320</v>
      </c>
      <c r="G16" s="37">
        <v>38172186</v>
      </c>
      <c r="H16" s="37">
        <v>36018294</v>
      </c>
      <c r="I16" s="37">
        <v>32885142</v>
      </c>
      <c r="J16" s="37">
        <v>39530760</v>
      </c>
      <c r="K16" s="37">
        <v>21977464</v>
      </c>
      <c r="L16" s="37">
        <v>28537722</v>
      </c>
      <c r="M16" s="37">
        <v>30055206</v>
      </c>
      <c r="N16" s="37">
        <v>26432520</v>
      </c>
      <c r="O16" s="37">
        <v>21645168</v>
      </c>
      <c r="P16" s="37">
        <f t="shared" ref="P16:P19" si="3">SUM(D16:O16)</f>
        <v>345797920</v>
      </c>
      <c r="Q16" s="37">
        <f t="shared" ref="Q16:Q19" si="4">AVERAGE(D16:O16)</f>
        <v>28816493.333333332</v>
      </c>
      <c r="R16" s="20">
        <f>ROUND(Q16/Q7,2)</f>
        <v>310.75</v>
      </c>
    </row>
    <row r="17" spans="2:18">
      <c r="B17" s="64" t="s">
        <v>21</v>
      </c>
      <c r="C17" s="21" t="s">
        <v>19</v>
      </c>
      <c r="D17" s="37">
        <v>5350560</v>
      </c>
      <c r="E17" s="37">
        <v>8398320</v>
      </c>
      <c r="F17" s="37">
        <v>9452160</v>
      </c>
      <c r="G17" s="37">
        <v>19017360</v>
      </c>
      <c r="H17" s="37">
        <v>13246860</v>
      </c>
      <c r="I17" s="37">
        <v>7626960</v>
      </c>
      <c r="J17" s="37">
        <v>13676220</v>
      </c>
      <c r="K17" s="37">
        <v>12407880</v>
      </c>
      <c r="L17" s="37">
        <v>9238860</v>
      </c>
      <c r="M17" s="37">
        <v>12022764</v>
      </c>
      <c r="N17" s="37">
        <v>12720312</v>
      </c>
      <c r="O17" s="37">
        <v>2663520</v>
      </c>
      <c r="P17" s="37">
        <f t="shared" si="3"/>
        <v>125821776</v>
      </c>
      <c r="Q17" s="37">
        <f t="shared" si="4"/>
        <v>10485148</v>
      </c>
      <c r="R17" s="20">
        <f>ROUND(Q17/Q8,2)</f>
        <v>144.83000000000001</v>
      </c>
    </row>
    <row r="18" spans="2:18">
      <c r="B18" s="21" t="s">
        <v>22</v>
      </c>
      <c r="C18" s="21" t="s">
        <v>19</v>
      </c>
      <c r="D18" s="37">
        <v>579600</v>
      </c>
      <c r="E18" s="37">
        <v>769200</v>
      </c>
      <c r="F18" s="37">
        <v>574200</v>
      </c>
      <c r="G18" s="37">
        <v>934920</v>
      </c>
      <c r="H18" s="37">
        <v>504840</v>
      </c>
      <c r="I18" s="37">
        <v>975000</v>
      </c>
      <c r="J18" s="37">
        <v>490176</v>
      </c>
      <c r="K18" s="37">
        <v>475164</v>
      </c>
      <c r="L18" s="37">
        <v>626616</v>
      </c>
      <c r="M18" s="37">
        <v>524880</v>
      </c>
      <c r="N18" s="37">
        <v>927900</v>
      </c>
      <c r="O18" s="37">
        <v>931140</v>
      </c>
      <c r="P18" s="37">
        <f t="shared" si="3"/>
        <v>8313636</v>
      </c>
      <c r="Q18" s="37">
        <f t="shared" si="4"/>
        <v>692803</v>
      </c>
      <c r="R18" s="20">
        <f>ROUND(Q18/Q9,2)</f>
        <v>321.93</v>
      </c>
    </row>
    <row r="19" spans="2:18">
      <c r="B19" s="21" t="s">
        <v>23</v>
      </c>
      <c r="C19" s="21" t="s">
        <v>19</v>
      </c>
      <c r="D19" s="37">
        <f t="shared" ref="D19:M19" si="5">SUM(D15:D18)</f>
        <v>56614872</v>
      </c>
      <c r="E19" s="37">
        <f t="shared" si="5"/>
        <v>56755116</v>
      </c>
      <c r="F19" s="37">
        <f t="shared" si="5"/>
        <v>32859912</v>
      </c>
      <c r="G19" s="37">
        <f t="shared" si="5"/>
        <v>80038228</v>
      </c>
      <c r="H19" s="37">
        <f t="shared" si="5"/>
        <v>64992150</v>
      </c>
      <c r="I19" s="37">
        <f t="shared" si="5"/>
        <v>56433912</v>
      </c>
      <c r="J19" s="37">
        <f t="shared" si="5"/>
        <v>70295316</v>
      </c>
      <c r="K19" s="37">
        <f t="shared" si="5"/>
        <v>48766692</v>
      </c>
      <c r="L19" s="37">
        <f t="shared" si="5"/>
        <v>51104754</v>
      </c>
      <c r="M19" s="37">
        <f t="shared" si="5"/>
        <v>60329292</v>
      </c>
      <c r="N19" s="37">
        <f t="shared" ref="N19:O19" si="6">SUM(N15:N18)</f>
        <v>56033148</v>
      </c>
      <c r="O19" s="37">
        <f t="shared" si="6"/>
        <v>42381756</v>
      </c>
      <c r="P19" s="37">
        <f t="shared" si="3"/>
        <v>676605148</v>
      </c>
      <c r="Q19" s="37">
        <f t="shared" si="4"/>
        <v>56383762.333333336</v>
      </c>
      <c r="R19" s="20">
        <f>ROUND(Q19/Q10,2)</f>
        <v>250.2</v>
      </c>
    </row>
    <row r="20" spans="2:18"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4"/>
      <c r="R20" s="20"/>
    </row>
    <row r="21" spans="2:18">
      <c r="B21" s="20" t="s">
        <v>27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</row>
    <row r="22" spans="2:18">
      <c r="B22" s="21" t="s">
        <v>3</v>
      </c>
      <c r="C22" s="21" t="s">
        <v>4</v>
      </c>
      <c r="D22" s="36" t="s">
        <v>5</v>
      </c>
      <c r="E22" s="36" t="s">
        <v>6</v>
      </c>
      <c r="F22" s="36" t="s">
        <v>7</v>
      </c>
      <c r="G22" s="36" t="s">
        <v>8</v>
      </c>
      <c r="H22" s="36" t="s">
        <v>9</v>
      </c>
      <c r="I22" s="36" t="s">
        <v>10</v>
      </c>
      <c r="J22" s="36" t="s">
        <v>11</v>
      </c>
      <c r="K22" s="36" t="s">
        <v>12</v>
      </c>
      <c r="L22" s="36" t="s">
        <v>13</v>
      </c>
      <c r="M22" s="36" t="s">
        <v>14</v>
      </c>
      <c r="N22" s="36" t="s">
        <v>15</v>
      </c>
      <c r="O22" s="36" t="s">
        <v>16</v>
      </c>
      <c r="P22" s="36" t="s">
        <v>57</v>
      </c>
      <c r="Q22" s="36" t="s">
        <v>17</v>
      </c>
      <c r="R22" s="20"/>
    </row>
    <row r="23" spans="2:18">
      <c r="B23" s="64" t="s">
        <v>18</v>
      </c>
      <c r="C23" s="21" t="s">
        <v>19</v>
      </c>
      <c r="D23" s="37">
        <v>19029900</v>
      </c>
      <c r="E23" s="37">
        <v>17722272</v>
      </c>
      <c r="F23" s="37">
        <v>9759192</v>
      </c>
      <c r="G23" s="37">
        <v>20107404</v>
      </c>
      <c r="H23" s="37">
        <v>14007168</v>
      </c>
      <c r="I23" s="37">
        <v>13643268</v>
      </c>
      <c r="J23" s="37">
        <v>15182448</v>
      </c>
      <c r="K23" s="37">
        <v>12756888</v>
      </c>
      <c r="L23" s="37">
        <v>11655552</v>
      </c>
      <c r="M23" s="37">
        <v>16239036</v>
      </c>
      <c r="N23" s="37">
        <v>12371160</v>
      </c>
      <c r="O23" s="37">
        <v>15725952</v>
      </c>
      <c r="P23" s="37">
        <f>SUM(D23:O23)</f>
        <v>178200240</v>
      </c>
      <c r="Q23" s="37">
        <f>AVERAGE(D23:O23)</f>
        <v>14850020</v>
      </c>
      <c r="R23" s="20">
        <f>ROUND(Q23/Q6,2)</f>
        <v>255.72</v>
      </c>
    </row>
    <row r="24" spans="2:18">
      <c r="B24" s="64" t="s">
        <v>20</v>
      </c>
      <c r="C24" s="21" t="s">
        <v>19</v>
      </c>
      <c r="D24" s="37">
        <v>27633756</v>
      </c>
      <c r="E24" s="37">
        <v>26041128</v>
      </c>
      <c r="F24" s="37">
        <v>11211720</v>
      </c>
      <c r="G24" s="37">
        <v>34725576</v>
      </c>
      <c r="H24" s="37">
        <v>33080676</v>
      </c>
      <c r="I24" s="37">
        <v>30228636</v>
      </c>
      <c r="J24" s="37">
        <v>36370104</v>
      </c>
      <c r="K24" s="37">
        <v>20214944</v>
      </c>
      <c r="L24" s="37">
        <v>26258076</v>
      </c>
      <c r="M24" s="37">
        <v>27490116</v>
      </c>
      <c r="N24" s="37">
        <v>25699224</v>
      </c>
      <c r="O24" s="37">
        <v>19939848</v>
      </c>
      <c r="P24" s="37">
        <f>SUM(D24:O24)</f>
        <v>318893804</v>
      </c>
      <c r="Q24" s="37">
        <f t="shared" ref="Q24:Q27" si="7">AVERAGE(D24:O24)</f>
        <v>26574483.666666668</v>
      </c>
      <c r="R24" s="20">
        <f>ROUND(Q24/Q7,2)</f>
        <v>286.57</v>
      </c>
    </row>
    <row r="25" spans="2:18">
      <c r="B25" s="64" t="s">
        <v>21</v>
      </c>
      <c r="C25" s="21" t="s">
        <v>19</v>
      </c>
      <c r="D25" s="37">
        <v>4896420</v>
      </c>
      <c r="E25" s="37">
        <v>7702920</v>
      </c>
      <c r="F25" s="37">
        <v>8664480</v>
      </c>
      <c r="G25" s="37">
        <v>17432580</v>
      </c>
      <c r="H25" s="37">
        <v>12138780</v>
      </c>
      <c r="I25" s="37">
        <v>6992280</v>
      </c>
      <c r="J25" s="37">
        <v>12527040</v>
      </c>
      <c r="K25" s="37">
        <v>11370240</v>
      </c>
      <c r="L25" s="37">
        <v>8467500</v>
      </c>
      <c r="M25" s="37">
        <v>11235480</v>
      </c>
      <c r="N25" s="37">
        <v>12042180</v>
      </c>
      <c r="O25" s="37">
        <v>2442360</v>
      </c>
      <c r="P25" s="37">
        <f t="shared" ref="P25:P27" si="8">SUM(D25:O25)</f>
        <v>115912260</v>
      </c>
      <c r="Q25" s="37">
        <f t="shared" si="7"/>
        <v>9659355</v>
      </c>
      <c r="R25" s="20">
        <f>ROUND(Q25/Q8,2)</f>
        <v>133.41999999999999</v>
      </c>
    </row>
    <row r="26" spans="2:18">
      <c r="B26" s="21" t="s">
        <v>22</v>
      </c>
      <c r="C26" s="21" t="s">
        <v>19</v>
      </c>
      <c r="D26" s="37">
        <v>530640</v>
      </c>
      <c r="E26" s="37">
        <v>704160</v>
      </c>
      <c r="F26" s="37">
        <v>525600</v>
      </c>
      <c r="G26" s="37">
        <v>856080</v>
      </c>
      <c r="H26" s="37">
        <v>462240</v>
      </c>
      <c r="I26" s="37">
        <v>892800</v>
      </c>
      <c r="J26" s="37">
        <v>448416</v>
      </c>
      <c r="K26" s="37">
        <v>435024</v>
      </c>
      <c r="L26" s="37">
        <v>573696</v>
      </c>
      <c r="M26" s="37">
        <v>480600</v>
      </c>
      <c r="N26" s="37">
        <v>849528</v>
      </c>
      <c r="O26" s="37">
        <v>852552</v>
      </c>
      <c r="P26" s="37">
        <f t="shared" si="8"/>
        <v>7611336</v>
      </c>
      <c r="Q26" s="37">
        <f t="shared" si="7"/>
        <v>634278</v>
      </c>
      <c r="R26" s="20">
        <f>ROUND(Q26/Q9,2)</f>
        <v>294.74</v>
      </c>
    </row>
    <row r="27" spans="2:18">
      <c r="B27" s="21" t="s">
        <v>23</v>
      </c>
      <c r="C27" s="21" t="s">
        <v>19</v>
      </c>
      <c r="D27" s="37">
        <f t="shared" ref="D27:M27" si="9">SUM(D23:D26)</f>
        <v>52090716</v>
      </c>
      <c r="E27" s="37">
        <f t="shared" si="9"/>
        <v>52170480</v>
      </c>
      <c r="F27" s="37">
        <f t="shared" si="9"/>
        <v>30160992</v>
      </c>
      <c r="G27" s="37">
        <f t="shared" si="9"/>
        <v>73121640</v>
      </c>
      <c r="H27" s="37">
        <f t="shared" si="9"/>
        <v>59688864</v>
      </c>
      <c r="I27" s="37">
        <f t="shared" si="9"/>
        <v>51756984</v>
      </c>
      <c r="J27" s="37">
        <f t="shared" si="9"/>
        <v>64528008</v>
      </c>
      <c r="K27" s="37">
        <f t="shared" si="9"/>
        <v>44777096</v>
      </c>
      <c r="L27" s="37">
        <f t="shared" si="9"/>
        <v>46954824</v>
      </c>
      <c r="M27" s="37">
        <f t="shared" si="9"/>
        <v>55445232</v>
      </c>
      <c r="N27" s="37">
        <f t="shared" ref="N27:O27" si="10">SUM(N23:N26)</f>
        <v>50962092</v>
      </c>
      <c r="O27" s="37">
        <f t="shared" si="10"/>
        <v>38960712</v>
      </c>
      <c r="P27" s="37">
        <f t="shared" si="8"/>
        <v>620617640</v>
      </c>
      <c r="Q27" s="37">
        <f t="shared" si="7"/>
        <v>51718136.666666664</v>
      </c>
      <c r="R27" s="20">
        <f>ROUND(Q27/Q10,2)</f>
        <v>229.5</v>
      </c>
    </row>
    <row r="28" spans="2:18"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4"/>
      <c r="R28" s="20"/>
    </row>
    <row r="29" spans="2:18">
      <c r="B29" s="20" t="s">
        <v>28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</row>
    <row r="30" spans="2:18">
      <c r="B30" s="21" t="s">
        <v>3</v>
      </c>
      <c r="C30" s="21" t="s">
        <v>4</v>
      </c>
      <c r="D30" s="36" t="s">
        <v>5</v>
      </c>
      <c r="E30" s="36" t="s">
        <v>6</v>
      </c>
      <c r="F30" s="36" t="s">
        <v>7</v>
      </c>
      <c r="G30" s="36" t="s">
        <v>8</v>
      </c>
      <c r="H30" s="36" t="s">
        <v>9</v>
      </c>
      <c r="I30" s="36" t="s">
        <v>10</v>
      </c>
      <c r="J30" s="36" t="s">
        <v>11</v>
      </c>
      <c r="K30" s="36" t="s">
        <v>12</v>
      </c>
      <c r="L30" s="36" t="s">
        <v>13</v>
      </c>
      <c r="M30" s="36" t="s">
        <v>14</v>
      </c>
      <c r="N30" s="36" t="s">
        <v>15</v>
      </c>
      <c r="O30" s="36" t="s">
        <v>16</v>
      </c>
      <c r="P30" s="36" t="s">
        <v>57</v>
      </c>
      <c r="Q30" s="36" t="s">
        <v>17</v>
      </c>
      <c r="R30" s="20"/>
    </row>
    <row r="31" spans="2:18">
      <c r="B31" s="64" t="s">
        <v>18</v>
      </c>
      <c r="C31" s="21" t="s">
        <v>19</v>
      </c>
      <c r="D31" s="37">
        <v>1613106</v>
      </c>
      <c r="E31" s="37">
        <v>1550892</v>
      </c>
      <c r="F31" s="37">
        <v>887040</v>
      </c>
      <c r="G31" s="37">
        <v>1806358</v>
      </c>
      <c r="H31" s="37">
        <v>1214988</v>
      </c>
      <c r="I31" s="37">
        <v>1303542</v>
      </c>
      <c r="J31" s="37">
        <v>1415712</v>
      </c>
      <c r="K31" s="37">
        <v>1149296</v>
      </c>
      <c r="L31" s="37">
        <v>1046004</v>
      </c>
      <c r="M31" s="37">
        <v>1487406</v>
      </c>
      <c r="N31" s="37">
        <v>3581256</v>
      </c>
      <c r="O31" s="37">
        <v>1415976</v>
      </c>
      <c r="P31" s="37">
        <f>SUM(D31:O31)</f>
        <v>18471576</v>
      </c>
      <c r="Q31" s="37">
        <f>AVERAGE(D31:O31)</f>
        <v>1539298</v>
      </c>
      <c r="R31" s="20"/>
    </row>
    <row r="32" spans="2:18">
      <c r="B32" s="64" t="s">
        <v>20</v>
      </c>
      <c r="C32" s="21" t="s">
        <v>19</v>
      </c>
      <c r="D32" s="37">
        <v>2407950</v>
      </c>
      <c r="E32" s="37">
        <v>2273304</v>
      </c>
      <c r="F32" s="37">
        <v>975600</v>
      </c>
      <c r="G32" s="37">
        <v>3446610</v>
      </c>
      <c r="H32" s="37">
        <v>2937618</v>
      </c>
      <c r="I32" s="37">
        <v>2656506</v>
      </c>
      <c r="J32" s="37">
        <v>3160656</v>
      </c>
      <c r="K32" s="37">
        <v>1762520</v>
      </c>
      <c r="L32" s="37">
        <v>2279646</v>
      </c>
      <c r="M32" s="37">
        <v>2565090</v>
      </c>
      <c r="N32" s="37">
        <v>733296</v>
      </c>
      <c r="O32" s="37">
        <v>1705320</v>
      </c>
      <c r="P32" s="37">
        <f t="shared" ref="P32:P35" si="11">SUM(D32:O32)</f>
        <v>26904116</v>
      </c>
      <c r="Q32" s="37">
        <f t="shared" ref="Q32:Q34" si="12">AVERAGE(D32:O32)</f>
        <v>2242009.6666666665</v>
      </c>
      <c r="R32" s="20"/>
    </row>
    <row r="33" spans="2:18">
      <c r="B33" s="64" t="s">
        <v>21</v>
      </c>
      <c r="C33" s="21" t="s">
        <v>19</v>
      </c>
      <c r="D33" s="37">
        <v>454140</v>
      </c>
      <c r="E33" s="37">
        <v>695400</v>
      </c>
      <c r="F33" s="37">
        <v>787680</v>
      </c>
      <c r="G33" s="37">
        <v>1584780</v>
      </c>
      <c r="H33" s="37">
        <v>1108080</v>
      </c>
      <c r="I33" s="37">
        <v>634680</v>
      </c>
      <c r="J33" s="37">
        <v>1149180</v>
      </c>
      <c r="K33" s="37">
        <v>1037640</v>
      </c>
      <c r="L33" s="37">
        <v>771360</v>
      </c>
      <c r="M33" s="37">
        <v>787284</v>
      </c>
      <c r="N33" s="37">
        <v>678132</v>
      </c>
      <c r="O33" s="37">
        <v>221160</v>
      </c>
      <c r="P33" s="37">
        <f t="shared" si="11"/>
        <v>9909516</v>
      </c>
      <c r="Q33" s="37">
        <f t="shared" si="12"/>
        <v>825793</v>
      </c>
      <c r="R33" s="20"/>
    </row>
    <row r="34" spans="2:18">
      <c r="B34" s="21" t="s">
        <v>22</v>
      </c>
      <c r="C34" s="21" t="s">
        <v>19</v>
      </c>
      <c r="D34" s="37">
        <v>48960</v>
      </c>
      <c r="E34" s="37">
        <v>65040</v>
      </c>
      <c r="F34" s="37">
        <v>48600</v>
      </c>
      <c r="G34" s="37">
        <v>78840</v>
      </c>
      <c r="H34" s="37">
        <v>42600</v>
      </c>
      <c r="I34" s="37">
        <v>82200</v>
      </c>
      <c r="J34" s="37">
        <v>41760</v>
      </c>
      <c r="K34" s="37">
        <v>40140</v>
      </c>
      <c r="L34" s="37">
        <v>52920</v>
      </c>
      <c r="M34" s="37">
        <v>44280</v>
      </c>
      <c r="N34" s="37">
        <v>78372</v>
      </c>
      <c r="O34" s="37">
        <v>78588</v>
      </c>
      <c r="P34" s="37">
        <f t="shared" si="11"/>
        <v>702300</v>
      </c>
      <c r="Q34" s="37">
        <f t="shared" si="12"/>
        <v>58525</v>
      </c>
      <c r="R34" s="20"/>
    </row>
    <row r="35" spans="2:18">
      <c r="B35" s="21" t="s">
        <v>23</v>
      </c>
      <c r="C35" s="21" t="s">
        <v>19</v>
      </c>
      <c r="D35" s="37">
        <f t="shared" ref="D35:O35" si="13">SUM(D31:D34)</f>
        <v>4524156</v>
      </c>
      <c r="E35" s="37">
        <f t="shared" si="13"/>
        <v>4584636</v>
      </c>
      <c r="F35" s="37">
        <f t="shared" si="13"/>
        <v>2698920</v>
      </c>
      <c r="G35" s="37">
        <f t="shared" si="13"/>
        <v>6916588</v>
      </c>
      <c r="H35" s="37">
        <f t="shared" si="13"/>
        <v>5303286</v>
      </c>
      <c r="I35" s="37">
        <f t="shared" si="13"/>
        <v>4676928</v>
      </c>
      <c r="J35" s="37">
        <f t="shared" si="13"/>
        <v>5767308</v>
      </c>
      <c r="K35" s="37">
        <f t="shared" si="13"/>
        <v>3989596</v>
      </c>
      <c r="L35" s="37">
        <f t="shared" si="13"/>
        <v>4149930</v>
      </c>
      <c r="M35" s="37">
        <f t="shared" si="13"/>
        <v>4884060</v>
      </c>
      <c r="N35" s="37">
        <f t="shared" si="13"/>
        <v>5071056</v>
      </c>
      <c r="O35" s="37">
        <f t="shared" si="13"/>
        <v>3421044</v>
      </c>
      <c r="P35" s="37">
        <f t="shared" si="11"/>
        <v>55987508</v>
      </c>
      <c r="Q35" s="37">
        <f>AVERAGE(D35:O35)</f>
        <v>4665625.666666667</v>
      </c>
      <c r="R35" s="20"/>
    </row>
    <row r="37" spans="2:18">
      <c r="B37" s="20" t="s">
        <v>175</v>
      </c>
    </row>
    <row r="38" spans="2:18">
      <c r="B38" s="20" t="s">
        <v>29</v>
      </c>
      <c r="F38" s="20" t="s">
        <v>176</v>
      </c>
    </row>
    <row r="39" spans="2:18">
      <c r="B39" s="65" t="s">
        <v>3</v>
      </c>
      <c r="C39" s="66"/>
      <c r="D39" s="21" t="s">
        <v>30</v>
      </c>
      <c r="E39" s="21" t="s">
        <v>31</v>
      </c>
      <c r="F39" s="21" t="s">
        <v>32</v>
      </c>
    </row>
    <row r="40" spans="2:18">
      <c r="B40" s="65" t="s">
        <v>18</v>
      </c>
      <c r="C40" s="66"/>
      <c r="D40" s="67">
        <f>R23</f>
        <v>255.72</v>
      </c>
      <c r="E40" s="67">
        <f>R15</f>
        <v>282.23</v>
      </c>
      <c r="F40" s="67">
        <f>E40-D40</f>
        <v>26.510000000000019</v>
      </c>
    </row>
    <row r="41" spans="2:18">
      <c r="B41" s="65" t="s">
        <v>20</v>
      </c>
      <c r="C41" s="66"/>
      <c r="D41" s="67">
        <f>R24</f>
        <v>286.57</v>
      </c>
      <c r="E41" s="67">
        <f>R16</f>
        <v>310.75</v>
      </c>
      <c r="F41" s="67">
        <f>E41-D41</f>
        <v>24.180000000000007</v>
      </c>
    </row>
    <row r="42" spans="2:18">
      <c r="B42" s="65" t="s">
        <v>21</v>
      </c>
      <c r="C42" s="66"/>
      <c r="D42" s="67">
        <f>R25</f>
        <v>133.41999999999999</v>
      </c>
      <c r="E42" s="67">
        <f>R17</f>
        <v>144.83000000000001</v>
      </c>
      <c r="F42" s="67">
        <f>E42-D42</f>
        <v>11.410000000000025</v>
      </c>
    </row>
    <row r="43" spans="2:18">
      <c r="B43" s="65" t="s">
        <v>22</v>
      </c>
      <c r="C43" s="66"/>
      <c r="D43" s="67">
        <f>R26</f>
        <v>294.74</v>
      </c>
      <c r="E43" s="67">
        <f>R18</f>
        <v>321.93</v>
      </c>
      <c r="F43" s="67">
        <f>E43-D43</f>
        <v>27.189999999999998</v>
      </c>
    </row>
    <row r="44" spans="2:18">
      <c r="B44" s="65"/>
      <c r="C44" s="77"/>
      <c r="D44" s="67">
        <f>R27</f>
        <v>229.5</v>
      </c>
      <c r="E44" s="67">
        <f>R19</f>
        <v>250.2</v>
      </c>
      <c r="F44" s="67">
        <f>E44-D44</f>
        <v>20.699999999999989</v>
      </c>
    </row>
    <row r="45" spans="2:18">
      <c r="B45" s="20" t="s">
        <v>33</v>
      </c>
    </row>
    <row r="46" spans="2:18">
      <c r="B46" s="20" t="s">
        <v>177</v>
      </c>
    </row>
    <row r="47" spans="2:18">
      <c r="B47" s="20" t="s">
        <v>34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</row>
    <row r="48" spans="2:18">
      <c r="B48" s="20" t="s">
        <v>35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</row>
    <row r="49" spans="2:18">
      <c r="B49" s="21" t="s">
        <v>3</v>
      </c>
      <c r="C49" s="21" t="s">
        <v>4</v>
      </c>
      <c r="D49" s="36" t="s">
        <v>5</v>
      </c>
      <c r="E49" s="36" t="s">
        <v>6</v>
      </c>
      <c r="F49" s="36" t="s">
        <v>7</v>
      </c>
      <c r="G49" s="36" t="s">
        <v>8</v>
      </c>
      <c r="H49" s="36" t="s">
        <v>9</v>
      </c>
      <c r="I49" s="36" t="s">
        <v>10</v>
      </c>
      <c r="J49" s="36" t="s">
        <v>11</v>
      </c>
      <c r="K49" s="36" t="s">
        <v>12</v>
      </c>
      <c r="L49" s="36" t="s">
        <v>13</v>
      </c>
      <c r="M49" s="36" t="s">
        <v>14</v>
      </c>
      <c r="N49" s="36" t="s">
        <v>15</v>
      </c>
      <c r="O49" s="36" t="s">
        <v>16</v>
      </c>
      <c r="P49" s="36" t="s">
        <v>57</v>
      </c>
      <c r="Q49" s="36" t="s">
        <v>17</v>
      </c>
      <c r="R49" s="20"/>
    </row>
    <row r="50" spans="2:18">
      <c r="B50" s="64" t="s">
        <v>18</v>
      </c>
      <c r="C50" s="94" t="s">
        <v>36</v>
      </c>
      <c r="D50" s="103">
        <v>58000</v>
      </c>
      <c r="E50" s="103">
        <v>58000</v>
      </c>
      <c r="F50" s="103">
        <v>58000</v>
      </c>
      <c r="G50" s="103">
        <v>58000</v>
      </c>
      <c r="H50" s="103">
        <v>58000</v>
      </c>
      <c r="I50" s="103">
        <v>58000</v>
      </c>
      <c r="J50" s="103">
        <v>64000</v>
      </c>
      <c r="K50" s="103">
        <v>64000</v>
      </c>
      <c r="L50" s="103">
        <v>64000</v>
      </c>
      <c r="M50" s="103">
        <v>64000</v>
      </c>
      <c r="N50" s="103">
        <v>64000</v>
      </c>
      <c r="O50" s="103">
        <v>64000</v>
      </c>
      <c r="P50" s="104">
        <f>SUM(D50:O50)</f>
        <v>732000</v>
      </c>
      <c r="Q50" s="104">
        <f>AVERAGE(D50:O50)</f>
        <v>61000</v>
      </c>
      <c r="R50" s="20"/>
    </row>
    <row r="51" spans="2:18">
      <c r="B51" s="68"/>
      <c r="C51" s="98" t="s">
        <v>19</v>
      </c>
      <c r="D51" s="105">
        <v>49767</v>
      </c>
      <c r="E51" s="105"/>
      <c r="F51" s="105"/>
      <c r="G51" s="105"/>
      <c r="H51" s="105"/>
      <c r="I51" s="105"/>
      <c r="J51" s="105"/>
      <c r="K51" s="105"/>
      <c r="L51" s="105"/>
      <c r="M51" s="106"/>
      <c r="N51" s="106"/>
      <c r="O51" s="106"/>
      <c r="P51" s="106">
        <f>SUM(D51:O51)</f>
        <v>49767</v>
      </c>
      <c r="Q51" s="106">
        <f t="shared" ref="Q51:Q64" si="14">AVERAGE(D51:O51)</f>
        <v>49767</v>
      </c>
      <c r="R51" s="20"/>
    </row>
    <row r="52" spans="2:18">
      <c r="B52" s="69"/>
      <c r="C52" s="96" t="s">
        <v>37</v>
      </c>
      <c r="D52" s="107">
        <f t="shared" ref="D52:P52" si="15">D51-D50</f>
        <v>-8233</v>
      </c>
      <c r="E52" s="107">
        <f t="shared" si="15"/>
        <v>-58000</v>
      </c>
      <c r="F52" s="107">
        <f t="shared" si="15"/>
        <v>-58000</v>
      </c>
      <c r="G52" s="107">
        <f t="shared" si="15"/>
        <v>-58000</v>
      </c>
      <c r="H52" s="107">
        <f t="shared" si="15"/>
        <v>-58000</v>
      </c>
      <c r="I52" s="107">
        <f t="shared" si="15"/>
        <v>-58000</v>
      </c>
      <c r="J52" s="107">
        <f t="shared" si="15"/>
        <v>-64000</v>
      </c>
      <c r="K52" s="107">
        <f t="shared" si="15"/>
        <v>-64000</v>
      </c>
      <c r="L52" s="107">
        <f t="shared" si="15"/>
        <v>-64000</v>
      </c>
      <c r="M52" s="107">
        <f t="shared" si="15"/>
        <v>-64000</v>
      </c>
      <c r="N52" s="107">
        <f t="shared" si="15"/>
        <v>-64000</v>
      </c>
      <c r="O52" s="107">
        <f t="shared" si="15"/>
        <v>-64000</v>
      </c>
      <c r="P52" s="107">
        <f t="shared" si="15"/>
        <v>-682233</v>
      </c>
      <c r="Q52" s="108">
        <f t="shared" si="14"/>
        <v>-56852.75</v>
      </c>
      <c r="R52" s="20"/>
    </row>
    <row r="53" spans="2:18">
      <c r="B53" s="64" t="s">
        <v>20</v>
      </c>
      <c r="C53" s="94" t="s">
        <v>36</v>
      </c>
      <c r="D53" s="103">
        <v>93000</v>
      </c>
      <c r="E53" s="103">
        <v>93000</v>
      </c>
      <c r="F53" s="103">
        <v>93000</v>
      </c>
      <c r="G53" s="103">
        <v>93000</v>
      </c>
      <c r="H53" s="103">
        <v>93000</v>
      </c>
      <c r="I53" s="103">
        <v>93000</v>
      </c>
      <c r="J53" s="103">
        <v>103000</v>
      </c>
      <c r="K53" s="103">
        <v>103000</v>
      </c>
      <c r="L53" s="103">
        <v>103000</v>
      </c>
      <c r="M53" s="103">
        <v>103000</v>
      </c>
      <c r="N53" s="103">
        <v>103000</v>
      </c>
      <c r="O53" s="103">
        <v>103000</v>
      </c>
      <c r="P53" s="104">
        <f>SUM(D53:O53)</f>
        <v>1176000</v>
      </c>
      <c r="Q53" s="104">
        <f t="shared" si="14"/>
        <v>98000</v>
      </c>
      <c r="R53" s="20"/>
    </row>
    <row r="54" spans="2:18">
      <c r="B54" s="68"/>
      <c r="C54" s="98" t="s">
        <v>19</v>
      </c>
      <c r="D54" s="105">
        <v>136569</v>
      </c>
      <c r="E54" s="105"/>
      <c r="F54" s="105"/>
      <c r="G54" s="105"/>
      <c r="H54" s="105"/>
      <c r="I54" s="105"/>
      <c r="J54" s="105"/>
      <c r="K54" s="105"/>
      <c r="L54" s="105"/>
      <c r="M54" s="106"/>
      <c r="N54" s="106"/>
      <c r="O54" s="106"/>
      <c r="P54" s="106">
        <f>SUM(D54:O54)</f>
        <v>136569</v>
      </c>
      <c r="Q54" s="106">
        <f t="shared" si="14"/>
        <v>136569</v>
      </c>
      <c r="R54" s="20"/>
    </row>
    <row r="55" spans="2:18">
      <c r="B55" s="69"/>
      <c r="C55" s="96" t="s">
        <v>37</v>
      </c>
      <c r="D55" s="107">
        <f t="shared" ref="D55:P55" si="16">D54-D53</f>
        <v>43569</v>
      </c>
      <c r="E55" s="107">
        <f t="shared" si="16"/>
        <v>-93000</v>
      </c>
      <c r="F55" s="107">
        <f t="shared" si="16"/>
        <v>-93000</v>
      </c>
      <c r="G55" s="107">
        <f t="shared" si="16"/>
        <v>-93000</v>
      </c>
      <c r="H55" s="107">
        <f t="shared" si="16"/>
        <v>-93000</v>
      </c>
      <c r="I55" s="107">
        <f t="shared" si="16"/>
        <v>-93000</v>
      </c>
      <c r="J55" s="107">
        <f t="shared" si="16"/>
        <v>-103000</v>
      </c>
      <c r="K55" s="107">
        <f t="shared" si="16"/>
        <v>-103000</v>
      </c>
      <c r="L55" s="107">
        <f t="shared" si="16"/>
        <v>-103000</v>
      </c>
      <c r="M55" s="107">
        <f t="shared" si="16"/>
        <v>-103000</v>
      </c>
      <c r="N55" s="107">
        <f t="shared" si="16"/>
        <v>-103000</v>
      </c>
      <c r="O55" s="107">
        <f t="shared" si="16"/>
        <v>-103000</v>
      </c>
      <c r="P55" s="107">
        <f t="shared" si="16"/>
        <v>-1039431</v>
      </c>
      <c r="Q55" s="108">
        <f t="shared" si="14"/>
        <v>-86619.25</v>
      </c>
      <c r="R55" s="20"/>
    </row>
    <row r="56" spans="2:18">
      <c r="B56" s="64" t="s">
        <v>21</v>
      </c>
      <c r="C56" s="94" t="s">
        <v>36</v>
      </c>
      <c r="D56" s="103">
        <v>73000</v>
      </c>
      <c r="E56" s="103">
        <v>73000</v>
      </c>
      <c r="F56" s="103">
        <v>73000</v>
      </c>
      <c r="G56" s="103">
        <v>73000</v>
      </c>
      <c r="H56" s="103">
        <v>73000</v>
      </c>
      <c r="I56" s="103">
        <v>73000</v>
      </c>
      <c r="J56" s="103">
        <v>80000</v>
      </c>
      <c r="K56" s="103">
        <v>80000</v>
      </c>
      <c r="L56" s="103">
        <v>80000</v>
      </c>
      <c r="M56" s="103">
        <v>80000</v>
      </c>
      <c r="N56" s="103">
        <v>80000</v>
      </c>
      <c r="O56" s="103">
        <v>80000</v>
      </c>
      <c r="P56" s="104">
        <f>SUM(D56:O56)</f>
        <v>918000</v>
      </c>
      <c r="Q56" s="104">
        <f t="shared" si="14"/>
        <v>76500</v>
      </c>
      <c r="R56" s="20"/>
    </row>
    <row r="57" spans="2:18">
      <c r="B57" s="68"/>
      <c r="C57" s="98" t="s">
        <v>19</v>
      </c>
      <c r="D57" s="105">
        <v>133920</v>
      </c>
      <c r="E57" s="105"/>
      <c r="F57" s="105"/>
      <c r="G57" s="105"/>
      <c r="H57" s="105"/>
      <c r="I57" s="105"/>
      <c r="J57" s="105"/>
      <c r="K57" s="105"/>
      <c r="L57" s="105"/>
      <c r="M57" s="106"/>
      <c r="N57" s="106"/>
      <c r="O57" s="106"/>
      <c r="P57" s="106">
        <f>SUM(D57:O57)</f>
        <v>133920</v>
      </c>
      <c r="Q57" s="106">
        <f t="shared" si="14"/>
        <v>133920</v>
      </c>
      <c r="R57" s="20"/>
    </row>
    <row r="58" spans="2:18">
      <c r="B58" s="69"/>
      <c r="C58" s="96" t="s">
        <v>37</v>
      </c>
      <c r="D58" s="107">
        <f t="shared" ref="D58:P58" si="17">D57-D56</f>
        <v>60920</v>
      </c>
      <c r="E58" s="107">
        <f t="shared" si="17"/>
        <v>-73000</v>
      </c>
      <c r="F58" s="107">
        <f t="shared" si="17"/>
        <v>-73000</v>
      </c>
      <c r="G58" s="107">
        <f t="shared" si="17"/>
        <v>-73000</v>
      </c>
      <c r="H58" s="107">
        <f t="shared" si="17"/>
        <v>-73000</v>
      </c>
      <c r="I58" s="107">
        <f t="shared" si="17"/>
        <v>-73000</v>
      </c>
      <c r="J58" s="107">
        <f t="shared" si="17"/>
        <v>-80000</v>
      </c>
      <c r="K58" s="107">
        <f t="shared" si="17"/>
        <v>-80000</v>
      </c>
      <c r="L58" s="107">
        <f t="shared" si="17"/>
        <v>-80000</v>
      </c>
      <c r="M58" s="107">
        <f t="shared" si="17"/>
        <v>-80000</v>
      </c>
      <c r="N58" s="107">
        <f t="shared" si="17"/>
        <v>-80000</v>
      </c>
      <c r="O58" s="107">
        <f t="shared" si="17"/>
        <v>-80000</v>
      </c>
      <c r="P58" s="107">
        <f t="shared" si="17"/>
        <v>-784080</v>
      </c>
      <c r="Q58" s="108">
        <f t="shared" si="14"/>
        <v>-65340</v>
      </c>
      <c r="R58" s="20"/>
    </row>
    <row r="59" spans="2:18">
      <c r="B59" s="64" t="s">
        <v>22</v>
      </c>
      <c r="C59" s="94" t="s">
        <v>36</v>
      </c>
      <c r="D59" s="103">
        <v>2400</v>
      </c>
      <c r="E59" s="103">
        <v>2400</v>
      </c>
      <c r="F59" s="103">
        <v>2400</v>
      </c>
      <c r="G59" s="103">
        <v>2400</v>
      </c>
      <c r="H59" s="103">
        <v>2400</v>
      </c>
      <c r="I59" s="103">
        <v>2400</v>
      </c>
      <c r="J59" s="103">
        <v>2400</v>
      </c>
      <c r="K59" s="103">
        <v>2400</v>
      </c>
      <c r="L59" s="103">
        <v>2400</v>
      </c>
      <c r="M59" s="103">
        <v>2400</v>
      </c>
      <c r="N59" s="103">
        <v>2400</v>
      </c>
      <c r="O59" s="103">
        <v>2400</v>
      </c>
      <c r="P59" s="104">
        <f>SUM(D59:O59)</f>
        <v>28800</v>
      </c>
      <c r="Q59" s="104">
        <f t="shared" si="14"/>
        <v>2400</v>
      </c>
      <c r="R59" s="20"/>
    </row>
    <row r="60" spans="2:18">
      <c r="B60" s="68"/>
      <c r="C60" s="98" t="s">
        <v>19</v>
      </c>
      <c r="D60" s="105">
        <v>2271</v>
      </c>
      <c r="E60" s="105"/>
      <c r="F60" s="105"/>
      <c r="G60" s="105"/>
      <c r="H60" s="105"/>
      <c r="I60" s="105"/>
      <c r="J60" s="105"/>
      <c r="K60" s="105"/>
      <c r="L60" s="105"/>
      <c r="M60" s="106"/>
      <c r="N60" s="106"/>
      <c r="O60" s="106"/>
      <c r="P60" s="106">
        <f>SUM(D60:O60)</f>
        <v>2271</v>
      </c>
      <c r="Q60" s="106">
        <f t="shared" si="14"/>
        <v>2271</v>
      </c>
      <c r="R60" s="20"/>
    </row>
    <row r="61" spans="2:18">
      <c r="B61" s="69"/>
      <c r="C61" s="96" t="s">
        <v>37</v>
      </c>
      <c r="D61" s="107">
        <f t="shared" ref="D61:P61" si="18">D60-D59</f>
        <v>-129</v>
      </c>
      <c r="E61" s="107">
        <f t="shared" si="18"/>
        <v>-2400</v>
      </c>
      <c r="F61" s="107">
        <f t="shared" si="18"/>
        <v>-2400</v>
      </c>
      <c r="G61" s="107">
        <f t="shared" si="18"/>
        <v>-2400</v>
      </c>
      <c r="H61" s="107">
        <f t="shared" si="18"/>
        <v>-2400</v>
      </c>
      <c r="I61" s="107">
        <f t="shared" si="18"/>
        <v>-2400</v>
      </c>
      <c r="J61" s="107">
        <f t="shared" si="18"/>
        <v>-2400</v>
      </c>
      <c r="K61" s="107">
        <f t="shared" si="18"/>
        <v>-2400</v>
      </c>
      <c r="L61" s="107">
        <f t="shared" si="18"/>
        <v>-2400</v>
      </c>
      <c r="M61" s="107">
        <f t="shared" si="18"/>
        <v>-2400</v>
      </c>
      <c r="N61" s="107">
        <f t="shared" si="18"/>
        <v>-2400</v>
      </c>
      <c r="O61" s="107">
        <f t="shared" si="18"/>
        <v>-2400</v>
      </c>
      <c r="P61" s="107">
        <f t="shared" si="18"/>
        <v>-26529</v>
      </c>
      <c r="Q61" s="108">
        <f t="shared" si="14"/>
        <v>-2210.75</v>
      </c>
      <c r="R61" s="20"/>
    </row>
    <row r="62" spans="2:18">
      <c r="B62" s="64" t="s">
        <v>23</v>
      </c>
      <c r="C62" s="94" t="s">
        <v>36</v>
      </c>
      <c r="D62" s="103">
        <f t="shared" ref="D62:O63" si="19">D50+D53+D56+D59</f>
        <v>226400</v>
      </c>
      <c r="E62" s="103">
        <f t="shared" si="19"/>
        <v>226400</v>
      </c>
      <c r="F62" s="103">
        <f t="shared" si="19"/>
        <v>226400</v>
      </c>
      <c r="G62" s="103">
        <f t="shared" si="19"/>
        <v>226400</v>
      </c>
      <c r="H62" s="103">
        <f t="shared" si="19"/>
        <v>226400</v>
      </c>
      <c r="I62" s="103">
        <f t="shared" si="19"/>
        <v>226400</v>
      </c>
      <c r="J62" s="103">
        <f t="shared" si="19"/>
        <v>249400</v>
      </c>
      <c r="K62" s="103">
        <f t="shared" si="19"/>
        <v>249400</v>
      </c>
      <c r="L62" s="103">
        <f t="shared" si="19"/>
        <v>249400</v>
      </c>
      <c r="M62" s="104">
        <f t="shared" si="19"/>
        <v>249400</v>
      </c>
      <c r="N62" s="104">
        <f t="shared" si="19"/>
        <v>249400</v>
      </c>
      <c r="O62" s="104">
        <f t="shared" si="19"/>
        <v>249400</v>
      </c>
      <c r="P62" s="104">
        <f>SUM(D62:O62)</f>
        <v>2854800</v>
      </c>
      <c r="Q62" s="104">
        <f t="shared" si="14"/>
        <v>237900</v>
      </c>
      <c r="R62" s="20"/>
    </row>
    <row r="63" spans="2:18">
      <c r="B63" s="68"/>
      <c r="C63" s="98" t="s">
        <v>19</v>
      </c>
      <c r="D63" s="105">
        <f t="shared" si="19"/>
        <v>322527</v>
      </c>
      <c r="E63" s="105">
        <f t="shared" si="19"/>
        <v>0</v>
      </c>
      <c r="F63" s="105">
        <f t="shared" si="19"/>
        <v>0</v>
      </c>
      <c r="G63" s="105">
        <f t="shared" si="19"/>
        <v>0</v>
      </c>
      <c r="H63" s="105">
        <f t="shared" si="19"/>
        <v>0</v>
      </c>
      <c r="I63" s="105">
        <f t="shared" si="19"/>
        <v>0</v>
      </c>
      <c r="J63" s="105">
        <f t="shared" si="19"/>
        <v>0</v>
      </c>
      <c r="K63" s="105">
        <f t="shared" si="19"/>
        <v>0</v>
      </c>
      <c r="L63" s="105">
        <f t="shared" si="19"/>
        <v>0</v>
      </c>
      <c r="M63" s="105">
        <f t="shared" si="19"/>
        <v>0</v>
      </c>
      <c r="N63" s="105">
        <f t="shared" si="19"/>
        <v>0</v>
      </c>
      <c r="O63" s="105">
        <f t="shared" si="19"/>
        <v>0</v>
      </c>
      <c r="P63" s="106">
        <f>SUM(D63:O63)</f>
        <v>322527</v>
      </c>
      <c r="Q63" s="106">
        <f t="shared" si="14"/>
        <v>26877.25</v>
      </c>
      <c r="R63" s="20"/>
    </row>
    <row r="64" spans="2:18">
      <c r="B64" s="69"/>
      <c r="C64" s="96" t="s">
        <v>37</v>
      </c>
      <c r="D64" s="107">
        <f t="shared" ref="D64:P64" si="20">D63-D62</f>
        <v>96127</v>
      </c>
      <c r="E64" s="107">
        <f t="shared" si="20"/>
        <v>-226400</v>
      </c>
      <c r="F64" s="107">
        <f t="shared" si="20"/>
        <v>-226400</v>
      </c>
      <c r="G64" s="107">
        <f t="shared" si="20"/>
        <v>-226400</v>
      </c>
      <c r="H64" s="107">
        <f t="shared" si="20"/>
        <v>-226400</v>
      </c>
      <c r="I64" s="107">
        <f t="shared" si="20"/>
        <v>-226400</v>
      </c>
      <c r="J64" s="107">
        <f t="shared" si="20"/>
        <v>-249400</v>
      </c>
      <c r="K64" s="107">
        <f t="shared" si="20"/>
        <v>-249400</v>
      </c>
      <c r="L64" s="107">
        <f t="shared" si="20"/>
        <v>-249400</v>
      </c>
      <c r="M64" s="107">
        <f t="shared" si="20"/>
        <v>-249400</v>
      </c>
      <c r="N64" s="107">
        <f t="shared" si="20"/>
        <v>-249400</v>
      </c>
      <c r="O64" s="107">
        <f t="shared" si="20"/>
        <v>-249400</v>
      </c>
      <c r="P64" s="107">
        <f t="shared" si="20"/>
        <v>-2532273</v>
      </c>
      <c r="Q64" s="108">
        <f t="shared" si="14"/>
        <v>-211022.75</v>
      </c>
      <c r="R64" s="20"/>
    </row>
    <row r="65" spans="2:18"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4"/>
      <c r="R65" s="20"/>
    </row>
    <row r="66" spans="2:18">
      <c r="D66" s="78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4"/>
      <c r="R66" s="20"/>
    </row>
    <row r="67" spans="2:18">
      <c r="B67" s="20" t="s">
        <v>24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</row>
    <row r="68" spans="2:18">
      <c r="B68" s="20" t="s">
        <v>25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</row>
    <row r="69" spans="2:18">
      <c r="B69" s="21" t="s">
        <v>3</v>
      </c>
      <c r="C69" s="21" t="s">
        <v>4</v>
      </c>
      <c r="D69" s="36" t="s">
        <v>5</v>
      </c>
      <c r="E69" s="36" t="s">
        <v>6</v>
      </c>
      <c r="F69" s="36" t="s">
        <v>7</v>
      </c>
      <c r="G69" s="36" t="s">
        <v>8</v>
      </c>
      <c r="H69" s="36" t="s">
        <v>9</v>
      </c>
      <c r="I69" s="36" t="s">
        <v>10</v>
      </c>
      <c r="J69" s="36" t="s">
        <v>11</v>
      </c>
      <c r="K69" s="36" t="s">
        <v>12</v>
      </c>
      <c r="L69" s="36" t="s">
        <v>13</v>
      </c>
      <c r="M69" s="36" t="s">
        <v>14</v>
      </c>
      <c r="N69" s="36" t="s">
        <v>15</v>
      </c>
      <c r="O69" s="36" t="s">
        <v>16</v>
      </c>
      <c r="P69" s="36" t="s">
        <v>57</v>
      </c>
      <c r="Q69" s="36" t="s">
        <v>17</v>
      </c>
      <c r="R69" s="20"/>
    </row>
    <row r="70" spans="2:18">
      <c r="B70" s="64" t="s">
        <v>18</v>
      </c>
      <c r="C70" s="94" t="s">
        <v>36</v>
      </c>
      <c r="D70" s="118">
        <f>D50*$E$40</f>
        <v>16369340.000000002</v>
      </c>
      <c r="E70" s="118">
        <f t="shared" ref="E70:O70" si="21">E50*$E$40</f>
        <v>16369340.000000002</v>
      </c>
      <c r="F70" s="118">
        <f t="shared" si="21"/>
        <v>16369340.000000002</v>
      </c>
      <c r="G70" s="118">
        <f t="shared" si="21"/>
        <v>16369340.000000002</v>
      </c>
      <c r="H70" s="118">
        <f t="shared" si="21"/>
        <v>16369340.000000002</v>
      </c>
      <c r="I70" s="118">
        <f t="shared" si="21"/>
        <v>16369340.000000002</v>
      </c>
      <c r="J70" s="118">
        <f t="shared" si="21"/>
        <v>18062720</v>
      </c>
      <c r="K70" s="118">
        <f t="shared" si="21"/>
        <v>18062720</v>
      </c>
      <c r="L70" s="118">
        <f t="shared" si="21"/>
        <v>18062720</v>
      </c>
      <c r="M70" s="118">
        <f t="shared" si="21"/>
        <v>18062720</v>
      </c>
      <c r="N70" s="118">
        <f t="shared" si="21"/>
        <v>18062720</v>
      </c>
      <c r="O70" s="118">
        <f t="shared" si="21"/>
        <v>18062720</v>
      </c>
      <c r="P70" s="118">
        <f>SUM(D70:O70)</f>
        <v>206592360</v>
      </c>
      <c r="Q70" s="118">
        <f t="shared" ref="Q70:Q84" si="22">AVERAGE(D70:O70)</f>
        <v>17216030</v>
      </c>
      <c r="R70" s="20"/>
    </row>
    <row r="71" spans="2:18">
      <c r="B71" s="68"/>
      <c r="C71" s="98" t="s">
        <v>19</v>
      </c>
      <c r="D71" s="119">
        <v>14051298</v>
      </c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>
        <f>SUM(D71:O71)</f>
        <v>14051298</v>
      </c>
      <c r="Q71" s="119">
        <f t="shared" si="22"/>
        <v>14051298</v>
      </c>
      <c r="R71" s="20"/>
    </row>
    <row r="72" spans="2:18">
      <c r="B72" s="69"/>
      <c r="C72" s="96" t="s">
        <v>37</v>
      </c>
      <c r="D72" s="120">
        <f t="shared" ref="D72:P72" si="23">D71-D70</f>
        <v>-2318042.0000000019</v>
      </c>
      <c r="E72" s="120">
        <f t="shared" si="23"/>
        <v>-16369340.000000002</v>
      </c>
      <c r="F72" s="120">
        <f t="shared" si="23"/>
        <v>-16369340.000000002</v>
      </c>
      <c r="G72" s="120">
        <f t="shared" si="23"/>
        <v>-16369340.000000002</v>
      </c>
      <c r="H72" s="120">
        <f t="shared" si="23"/>
        <v>-16369340.000000002</v>
      </c>
      <c r="I72" s="120">
        <f t="shared" si="23"/>
        <v>-16369340.000000002</v>
      </c>
      <c r="J72" s="120">
        <f t="shared" si="23"/>
        <v>-18062720</v>
      </c>
      <c r="K72" s="120">
        <f t="shared" si="23"/>
        <v>-18062720</v>
      </c>
      <c r="L72" s="120">
        <f t="shared" si="23"/>
        <v>-18062720</v>
      </c>
      <c r="M72" s="120">
        <f t="shared" si="23"/>
        <v>-18062720</v>
      </c>
      <c r="N72" s="120">
        <f t="shared" si="23"/>
        <v>-18062720</v>
      </c>
      <c r="O72" s="120">
        <f t="shared" si="23"/>
        <v>-18062720</v>
      </c>
      <c r="P72" s="120">
        <f t="shared" si="23"/>
        <v>-192541062</v>
      </c>
      <c r="Q72" s="120">
        <f t="shared" si="22"/>
        <v>-16045088.5</v>
      </c>
      <c r="R72" s="20"/>
    </row>
    <row r="73" spans="2:18">
      <c r="B73" s="64" t="s">
        <v>20</v>
      </c>
      <c r="C73" s="94" t="s">
        <v>36</v>
      </c>
      <c r="D73" s="118">
        <f>310.89*D53</f>
        <v>28912770</v>
      </c>
      <c r="E73" s="118">
        <f t="shared" ref="E73:O73" si="24">310.89*E53</f>
        <v>28912770</v>
      </c>
      <c r="F73" s="118">
        <f t="shared" si="24"/>
        <v>28912770</v>
      </c>
      <c r="G73" s="118">
        <f t="shared" si="24"/>
        <v>28912770</v>
      </c>
      <c r="H73" s="118">
        <f t="shared" si="24"/>
        <v>28912770</v>
      </c>
      <c r="I73" s="118">
        <f t="shared" si="24"/>
        <v>28912770</v>
      </c>
      <c r="J73" s="118">
        <f t="shared" si="24"/>
        <v>32021670</v>
      </c>
      <c r="K73" s="118">
        <f t="shared" si="24"/>
        <v>32021670</v>
      </c>
      <c r="L73" s="118">
        <f t="shared" si="24"/>
        <v>32021670</v>
      </c>
      <c r="M73" s="118">
        <f t="shared" si="24"/>
        <v>32021670</v>
      </c>
      <c r="N73" s="118">
        <f t="shared" si="24"/>
        <v>32021670</v>
      </c>
      <c r="O73" s="118">
        <f t="shared" si="24"/>
        <v>32021670</v>
      </c>
      <c r="P73" s="118">
        <f>SUM(D73:O73)</f>
        <v>365606640</v>
      </c>
      <c r="Q73" s="118">
        <f t="shared" si="22"/>
        <v>30467220</v>
      </c>
      <c r="R73" s="20"/>
    </row>
    <row r="74" spans="2:18">
      <c r="B74" s="68"/>
      <c r="C74" s="98" t="s">
        <v>19</v>
      </c>
      <c r="D74" s="119">
        <v>43427646</v>
      </c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>
        <f>SUM(D74:O74)</f>
        <v>43427646</v>
      </c>
      <c r="Q74" s="119">
        <f t="shared" si="22"/>
        <v>43427646</v>
      </c>
      <c r="R74" s="20"/>
    </row>
    <row r="75" spans="2:18">
      <c r="B75" s="69"/>
      <c r="C75" s="96" t="s">
        <v>37</v>
      </c>
      <c r="D75" s="120">
        <f t="shared" ref="D75:P75" si="25">D74-D73</f>
        <v>14514876</v>
      </c>
      <c r="E75" s="120">
        <f t="shared" si="25"/>
        <v>-28912770</v>
      </c>
      <c r="F75" s="120">
        <f t="shared" si="25"/>
        <v>-28912770</v>
      </c>
      <c r="G75" s="120">
        <f t="shared" si="25"/>
        <v>-28912770</v>
      </c>
      <c r="H75" s="120">
        <f t="shared" si="25"/>
        <v>-28912770</v>
      </c>
      <c r="I75" s="120">
        <f t="shared" si="25"/>
        <v>-28912770</v>
      </c>
      <c r="J75" s="120">
        <f t="shared" si="25"/>
        <v>-32021670</v>
      </c>
      <c r="K75" s="120">
        <f t="shared" si="25"/>
        <v>-32021670</v>
      </c>
      <c r="L75" s="120">
        <f t="shared" si="25"/>
        <v>-32021670</v>
      </c>
      <c r="M75" s="120">
        <f t="shared" si="25"/>
        <v>-32021670</v>
      </c>
      <c r="N75" s="120">
        <f t="shared" si="25"/>
        <v>-32021670</v>
      </c>
      <c r="O75" s="120">
        <f t="shared" si="25"/>
        <v>-32021670</v>
      </c>
      <c r="P75" s="120">
        <f t="shared" si="25"/>
        <v>-322178994</v>
      </c>
      <c r="Q75" s="120">
        <f t="shared" si="22"/>
        <v>-26848249.5</v>
      </c>
      <c r="R75" s="20"/>
    </row>
    <row r="76" spans="2:18">
      <c r="B76" s="64" t="s">
        <v>21</v>
      </c>
      <c r="C76" s="94" t="s">
        <v>36</v>
      </c>
      <c r="D76" s="118">
        <f>145*D56</f>
        <v>10585000</v>
      </c>
      <c r="E76" s="118">
        <f t="shared" ref="E76:O76" si="26">145*E56</f>
        <v>10585000</v>
      </c>
      <c r="F76" s="118">
        <f t="shared" si="26"/>
        <v>10585000</v>
      </c>
      <c r="G76" s="118">
        <f t="shared" si="26"/>
        <v>10585000</v>
      </c>
      <c r="H76" s="118">
        <f t="shared" si="26"/>
        <v>10585000</v>
      </c>
      <c r="I76" s="118">
        <f t="shared" si="26"/>
        <v>10585000</v>
      </c>
      <c r="J76" s="118">
        <f t="shared" si="26"/>
        <v>11600000</v>
      </c>
      <c r="K76" s="118">
        <f t="shared" si="26"/>
        <v>11600000</v>
      </c>
      <c r="L76" s="118">
        <f t="shared" si="26"/>
        <v>11600000</v>
      </c>
      <c r="M76" s="118">
        <f t="shared" si="26"/>
        <v>11600000</v>
      </c>
      <c r="N76" s="118">
        <f t="shared" si="26"/>
        <v>11600000</v>
      </c>
      <c r="O76" s="118">
        <f t="shared" si="26"/>
        <v>11600000</v>
      </c>
      <c r="P76" s="118">
        <f>SUM(D76:O76)</f>
        <v>133110000</v>
      </c>
      <c r="Q76" s="118">
        <f t="shared" si="22"/>
        <v>11092500</v>
      </c>
      <c r="R76" s="20"/>
    </row>
    <row r="77" spans="2:18">
      <c r="B77" s="68"/>
      <c r="C77" s="98" t="s">
        <v>19</v>
      </c>
      <c r="D77" s="119">
        <v>19381680</v>
      </c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>
        <f>SUM(D77:O77)</f>
        <v>19381680</v>
      </c>
      <c r="Q77" s="119">
        <f t="shared" si="22"/>
        <v>19381680</v>
      </c>
      <c r="R77" s="20"/>
    </row>
    <row r="78" spans="2:18">
      <c r="B78" s="69"/>
      <c r="C78" s="96" t="s">
        <v>37</v>
      </c>
      <c r="D78" s="120">
        <f t="shared" ref="D78:P78" si="27">D77-D76</f>
        <v>8796680</v>
      </c>
      <c r="E78" s="120">
        <f t="shared" si="27"/>
        <v>-10585000</v>
      </c>
      <c r="F78" s="120">
        <f t="shared" si="27"/>
        <v>-10585000</v>
      </c>
      <c r="G78" s="120">
        <f t="shared" si="27"/>
        <v>-10585000</v>
      </c>
      <c r="H78" s="120">
        <f t="shared" si="27"/>
        <v>-10585000</v>
      </c>
      <c r="I78" s="120">
        <f t="shared" si="27"/>
        <v>-10585000</v>
      </c>
      <c r="J78" s="120">
        <f t="shared" si="27"/>
        <v>-11600000</v>
      </c>
      <c r="K78" s="120">
        <f t="shared" si="27"/>
        <v>-11600000</v>
      </c>
      <c r="L78" s="120">
        <f t="shared" si="27"/>
        <v>-11600000</v>
      </c>
      <c r="M78" s="120">
        <f t="shared" si="27"/>
        <v>-11600000</v>
      </c>
      <c r="N78" s="120">
        <f t="shared" si="27"/>
        <v>-11600000</v>
      </c>
      <c r="O78" s="120">
        <f t="shared" si="27"/>
        <v>-11600000</v>
      </c>
      <c r="P78" s="120">
        <f t="shared" si="27"/>
        <v>-113728320</v>
      </c>
      <c r="Q78" s="120">
        <f t="shared" si="22"/>
        <v>-9477360</v>
      </c>
      <c r="R78" s="20"/>
    </row>
    <row r="79" spans="2:18">
      <c r="B79" s="64" t="s">
        <v>38</v>
      </c>
      <c r="C79" s="94" t="s">
        <v>36</v>
      </c>
      <c r="D79" s="118">
        <f>321.5*D59</f>
        <v>771600</v>
      </c>
      <c r="E79" s="118">
        <f t="shared" ref="E79:N79" si="28">321.5*E59</f>
        <v>771600</v>
      </c>
      <c r="F79" s="118">
        <f t="shared" si="28"/>
        <v>771600</v>
      </c>
      <c r="G79" s="118">
        <f t="shared" si="28"/>
        <v>771600</v>
      </c>
      <c r="H79" s="118">
        <f t="shared" si="28"/>
        <v>771600</v>
      </c>
      <c r="I79" s="118">
        <f t="shared" si="28"/>
        <v>771600</v>
      </c>
      <c r="J79" s="118">
        <f t="shared" si="28"/>
        <v>771600</v>
      </c>
      <c r="K79" s="118">
        <f t="shared" si="28"/>
        <v>771600</v>
      </c>
      <c r="L79" s="118">
        <f t="shared" si="28"/>
        <v>771600</v>
      </c>
      <c r="M79" s="118">
        <f t="shared" si="28"/>
        <v>771600</v>
      </c>
      <c r="N79" s="118">
        <f t="shared" si="28"/>
        <v>771600</v>
      </c>
      <c r="O79" s="118">
        <f>321.5*O59</f>
        <v>771600</v>
      </c>
      <c r="P79" s="118">
        <f>SUM(D79:O79)</f>
        <v>9259200</v>
      </c>
      <c r="Q79" s="118">
        <f t="shared" si="22"/>
        <v>771600</v>
      </c>
      <c r="R79" s="20"/>
    </row>
    <row r="80" spans="2:18">
      <c r="B80" s="68"/>
      <c r="C80" s="98" t="s">
        <v>19</v>
      </c>
      <c r="D80" s="119">
        <v>742362</v>
      </c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>
        <f>SUM(D80:O80)</f>
        <v>742362</v>
      </c>
      <c r="Q80" s="119">
        <f t="shared" si="22"/>
        <v>742362</v>
      </c>
      <c r="R80" s="20"/>
    </row>
    <row r="81" spans="2:18">
      <c r="B81" s="69"/>
      <c r="C81" s="96" t="s">
        <v>37</v>
      </c>
      <c r="D81" s="120">
        <f t="shared" ref="D81:P81" si="29">D80-D79</f>
        <v>-29238</v>
      </c>
      <c r="E81" s="120">
        <f t="shared" si="29"/>
        <v>-771600</v>
      </c>
      <c r="F81" s="120">
        <f t="shared" si="29"/>
        <v>-771600</v>
      </c>
      <c r="G81" s="120">
        <f t="shared" si="29"/>
        <v>-771600</v>
      </c>
      <c r="H81" s="120">
        <f t="shared" si="29"/>
        <v>-771600</v>
      </c>
      <c r="I81" s="120">
        <f t="shared" si="29"/>
        <v>-771600</v>
      </c>
      <c r="J81" s="120">
        <f t="shared" si="29"/>
        <v>-771600</v>
      </c>
      <c r="K81" s="120">
        <f t="shared" si="29"/>
        <v>-771600</v>
      </c>
      <c r="L81" s="120">
        <f t="shared" si="29"/>
        <v>-771600</v>
      </c>
      <c r="M81" s="120">
        <f t="shared" si="29"/>
        <v>-771600</v>
      </c>
      <c r="N81" s="120">
        <f t="shared" si="29"/>
        <v>-771600</v>
      </c>
      <c r="O81" s="120">
        <f t="shared" si="29"/>
        <v>-771600</v>
      </c>
      <c r="P81" s="120">
        <f t="shared" si="29"/>
        <v>-8516838</v>
      </c>
      <c r="Q81" s="120">
        <f t="shared" si="22"/>
        <v>-709736.5</v>
      </c>
      <c r="R81" s="20"/>
    </row>
    <row r="82" spans="2:18">
      <c r="B82" s="64" t="s">
        <v>23</v>
      </c>
      <c r="C82" s="94" t="s">
        <v>36</v>
      </c>
      <c r="D82" s="118">
        <f t="shared" ref="D82:O83" si="30">D70+D73+D76+D79</f>
        <v>56638710</v>
      </c>
      <c r="E82" s="118">
        <f t="shared" si="30"/>
        <v>56638710</v>
      </c>
      <c r="F82" s="118">
        <f t="shared" si="30"/>
        <v>56638710</v>
      </c>
      <c r="G82" s="118">
        <f t="shared" si="30"/>
        <v>56638710</v>
      </c>
      <c r="H82" s="118">
        <f t="shared" si="30"/>
        <v>56638710</v>
      </c>
      <c r="I82" s="118">
        <f t="shared" si="30"/>
        <v>56638710</v>
      </c>
      <c r="J82" s="118">
        <f t="shared" si="30"/>
        <v>62455990</v>
      </c>
      <c r="K82" s="118">
        <f t="shared" si="30"/>
        <v>62455990</v>
      </c>
      <c r="L82" s="118">
        <f t="shared" si="30"/>
        <v>62455990</v>
      </c>
      <c r="M82" s="118">
        <f t="shared" si="30"/>
        <v>62455990</v>
      </c>
      <c r="N82" s="118">
        <f t="shared" si="30"/>
        <v>62455990</v>
      </c>
      <c r="O82" s="118">
        <f t="shared" si="30"/>
        <v>62455990</v>
      </c>
      <c r="P82" s="118">
        <f>SUM(D82:O82)</f>
        <v>714568200</v>
      </c>
      <c r="Q82" s="118">
        <f t="shared" si="22"/>
        <v>59547350</v>
      </c>
      <c r="R82" s="20"/>
    </row>
    <row r="83" spans="2:18">
      <c r="B83" s="68"/>
      <c r="C83" s="98" t="s">
        <v>19</v>
      </c>
      <c r="D83" s="119">
        <f t="shared" si="30"/>
        <v>77602986</v>
      </c>
      <c r="E83" s="119">
        <f t="shared" si="30"/>
        <v>0</v>
      </c>
      <c r="F83" s="119">
        <f t="shared" si="30"/>
        <v>0</v>
      </c>
      <c r="G83" s="119">
        <f t="shared" si="30"/>
        <v>0</v>
      </c>
      <c r="H83" s="119">
        <f t="shared" si="30"/>
        <v>0</v>
      </c>
      <c r="I83" s="119">
        <f t="shared" si="30"/>
        <v>0</v>
      </c>
      <c r="J83" s="119">
        <f t="shared" si="30"/>
        <v>0</v>
      </c>
      <c r="K83" s="119">
        <f t="shared" si="30"/>
        <v>0</v>
      </c>
      <c r="L83" s="119">
        <f t="shared" si="30"/>
        <v>0</v>
      </c>
      <c r="M83" s="119">
        <f t="shared" si="30"/>
        <v>0</v>
      </c>
      <c r="N83" s="119">
        <f t="shared" si="30"/>
        <v>0</v>
      </c>
      <c r="O83" s="119">
        <f t="shared" si="30"/>
        <v>0</v>
      </c>
      <c r="P83" s="119">
        <f>SUM(D83:O83)</f>
        <v>77602986</v>
      </c>
      <c r="Q83" s="119">
        <f t="shared" si="22"/>
        <v>6466915.5</v>
      </c>
      <c r="R83" s="20"/>
    </row>
    <row r="84" spans="2:18">
      <c r="B84" s="69"/>
      <c r="C84" s="96" t="s">
        <v>37</v>
      </c>
      <c r="D84" s="120">
        <f t="shared" ref="D84:P84" si="31">D83-D82</f>
        <v>20964276</v>
      </c>
      <c r="E84" s="120">
        <f t="shared" si="31"/>
        <v>-56638710</v>
      </c>
      <c r="F84" s="120">
        <f t="shared" si="31"/>
        <v>-56638710</v>
      </c>
      <c r="G84" s="120">
        <f t="shared" si="31"/>
        <v>-56638710</v>
      </c>
      <c r="H84" s="120">
        <f t="shared" si="31"/>
        <v>-56638710</v>
      </c>
      <c r="I84" s="120">
        <f t="shared" si="31"/>
        <v>-56638710</v>
      </c>
      <c r="J84" s="120">
        <f t="shared" si="31"/>
        <v>-62455990</v>
      </c>
      <c r="K84" s="120">
        <f t="shared" si="31"/>
        <v>-62455990</v>
      </c>
      <c r="L84" s="120">
        <f t="shared" si="31"/>
        <v>-62455990</v>
      </c>
      <c r="M84" s="120">
        <f t="shared" si="31"/>
        <v>-62455990</v>
      </c>
      <c r="N84" s="120">
        <f t="shared" si="31"/>
        <v>-62455990</v>
      </c>
      <c r="O84" s="120">
        <f t="shared" si="31"/>
        <v>-62455990</v>
      </c>
      <c r="P84" s="120">
        <f t="shared" si="31"/>
        <v>-636965214</v>
      </c>
      <c r="Q84" s="120">
        <f t="shared" si="22"/>
        <v>-53080434.5</v>
      </c>
      <c r="R84" s="20"/>
    </row>
    <row r="85" spans="2:18"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4"/>
      <c r="R85" s="20"/>
    </row>
    <row r="86" spans="2:18">
      <c r="B86" s="20" t="s">
        <v>27</v>
      </c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</row>
    <row r="87" spans="2:18">
      <c r="B87" s="21" t="s">
        <v>3</v>
      </c>
      <c r="C87" s="21" t="s">
        <v>4</v>
      </c>
      <c r="D87" s="36" t="s">
        <v>5</v>
      </c>
      <c r="E87" s="36" t="s">
        <v>6</v>
      </c>
      <c r="F87" s="36" t="s">
        <v>7</v>
      </c>
      <c r="G87" s="36" t="s">
        <v>8</v>
      </c>
      <c r="H87" s="36" t="s">
        <v>9</v>
      </c>
      <c r="I87" s="36" t="s">
        <v>10</v>
      </c>
      <c r="J87" s="36" t="s">
        <v>11</v>
      </c>
      <c r="K87" s="36" t="s">
        <v>12</v>
      </c>
      <c r="L87" s="36" t="s">
        <v>13</v>
      </c>
      <c r="M87" s="36" t="s">
        <v>14</v>
      </c>
      <c r="N87" s="36" t="s">
        <v>15</v>
      </c>
      <c r="O87" s="36" t="s">
        <v>16</v>
      </c>
      <c r="P87" s="36" t="s">
        <v>57</v>
      </c>
      <c r="Q87" s="36" t="s">
        <v>17</v>
      </c>
      <c r="R87" s="20"/>
    </row>
    <row r="88" spans="2:18">
      <c r="B88" s="64" t="s">
        <v>18</v>
      </c>
      <c r="C88" s="94" t="s">
        <v>36</v>
      </c>
      <c r="D88" s="118">
        <f>D50*255.43</f>
        <v>14814940</v>
      </c>
      <c r="E88" s="118">
        <f t="shared" ref="E88:O88" si="32">E50*255.43</f>
        <v>14814940</v>
      </c>
      <c r="F88" s="118">
        <f t="shared" si="32"/>
        <v>14814940</v>
      </c>
      <c r="G88" s="118">
        <f>G50*255.43</f>
        <v>14814940</v>
      </c>
      <c r="H88" s="118">
        <f t="shared" si="32"/>
        <v>14814940</v>
      </c>
      <c r="I88" s="118">
        <f t="shared" si="32"/>
        <v>14814940</v>
      </c>
      <c r="J88" s="118">
        <f t="shared" si="32"/>
        <v>16347520</v>
      </c>
      <c r="K88" s="118">
        <f t="shared" si="32"/>
        <v>16347520</v>
      </c>
      <c r="L88" s="118">
        <f t="shared" si="32"/>
        <v>16347520</v>
      </c>
      <c r="M88" s="118">
        <f t="shared" si="32"/>
        <v>16347520</v>
      </c>
      <c r="N88" s="118">
        <f t="shared" si="32"/>
        <v>16347520</v>
      </c>
      <c r="O88" s="118">
        <f t="shared" si="32"/>
        <v>16347520</v>
      </c>
      <c r="P88" s="118">
        <f>SUM(D88:O88)</f>
        <v>186974760</v>
      </c>
      <c r="Q88" s="118">
        <f t="shared" ref="Q88:Q102" si="33">AVERAGE(D88:O88)</f>
        <v>15581230</v>
      </c>
      <c r="R88" s="20"/>
    </row>
    <row r="89" spans="2:18">
      <c r="B89" s="68"/>
      <c r="C89" s="98" t="s">
        <v>19</v>
      </c>
      <c r="D89" s="119">
        <v>12886332</v>
      </c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>
        <f>SUM(D89:O89)</f>
        <v>12886332</v>
      </c>
      <c r="Q89" s="119">
        <f t="shared" si="33"/>
        <v>12886332</v>
      </c>
      <c r="R89" s="20"/>
    </row>
    <row r="90" spans="2:18">
      <c r="B90" s="69"/>
      <c r="C90" s="96" t="s">
        <v>37</v>
      </c>
      <c r="D90" s="120">
        <f t="shared" ref="D90:O90" si="34">D89-D88</f>
        <v>-1928608</v>
      </c>
      <c r="E90" s="120">
        <f t="shared" si="34"/>
        <v>-14814940</v>
      </c>
      <c r="F90" s="120">
        <f t="shared" si="34"/>
        <v>-14814940</v>
      </c>
      <c r="G90" s="120">
        <f t="shared" si="34"/>
        <v>-14814940</v>
      </c>
      <c r="H90" s="120">
        <f t="shared" si="34"/>
        <v>-14814940</v>
      </c>
      <c r="I90" s="120">
        <f t="shared" si="34"/>
        <v>-14814940</v>
      </c>
      <c r="J90" s="120">
        <f t="shared" si="34"/>
        <v>-16347520</v>
      </c>
      <c r="K90" s="120">
        <f t="shared" si="34"/>
        <v>-16347520</v>
      </c>
      <c r="L90" s="120">
        <f t="shared" si="34"/>
        <v>-16347520</v>
      </c>
      <c r="M90" s="120">
        <f t="shared" si="34"/>
        <v>-16347520</v>
      </c>
      <c r="N90" s="120">
        <f t="shared" si="34"/>
        <v>-16347520</v>
      </c>
      <c r="O90" s="120">
        <f t="shared" si="34"/>
        <v>-16347520</v>
      </c>
      <c r="P90" s="120">
        <f t="shared" ref="P90" si="35">P89-P88</f>
        <v>-174088428</v>
      </c>
      <c r="Q90" s="120">
        <f t="shared" si="33"/>
        <v>-14507369</v>
      </c>
      <c r="R90" s="20"/>
    </row>
    <row r="91" spans="2:18">
      <c r="B91" s="64" t="s">
        <v>20</v>
      </c>
      <c r="C91" s="94" t="s">
        <v>36</v>
      </c>
      <c r="D91" s="118">
        <f>286.94*D53</f>
        <v>26685420</v>
      </c>
      <c r="E91" s="118">
        <f t="shared" ref="E91:O91" si="36">286.94*E53</f>
        <v>26685420</v>
      </c>
      <c r="F91" s="118">
        <f t="shared" si="36"/>
        <v>26685420</v>
      </c>
      <c r="G91" s="118">
        <f t="shared" si="36"/>
        <v>26685420</v>
      </c>
      <c r="H91" s="118">
        <f t="shared" si="36"/>
        <v>26685420</v>
      </c>
      <c r="I91" s="118">
        <f t="shared" si="36"/>
        <v>26685420</v>
      </c>
      <c r="J91" s="118">
        <f t="shared" si="36"/>
        <v>29554820</v>
      </c>
      <c r="K91" s="118">
        <f t="shared" si="36"/>
        <v>29554820</v>
      </c>
      <c r="L91" s="118">
        <f t="shared" si="36"/>
        <v>29554820</v>
      </c>
      <c r="M91" s="118">
        <f t="shared" si="36"/>
        <v>29554820</v>
      </c>
      <c r="N91" s="118">
        <f t="shared" si="36"/>
        <v>29554820</v>
      </c>
      <c r="O91" s="118">
        <f t="shared" si="36"/>
        <v>29554820</v>
      </c>
      <c r="P91" s="118">
        <f>SUM(D91:O91)</f>
        <v>337441440</v>
      </c>
      <c r="Q91" s="118">
        <f t="shared" si="33"/>
        <v>28120120</v>
      </c>
      <c r="R91" s="20"/>
    </row>
    <row r="92" spans="2:18">
      <c r="B92" s="68"/>
      <c r="C92" s="98" t="s">
        <v>19</v>
      </c>
      <c r="D92" s="119">
        <v>39865356</v>
      </c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>
        <f>SUM(D92:O92)</f>
        <v>39865356</v>
      </c>
      <c r="Q92" s="119">
        <f t="shared" si="33"/>
        <v>39865356</v>
      </c>
      <c r="R92" s="20"/>
    </row>
    <row r="93" spans="2:18">
      <c r="B93" s="69"/>
      <c r="C93" s="96" t="s">
        <v>37</v>
      </c>
      <c r="D93" s="120">
        <f t="shared" ref="D93:O93" si="37">D92-D91</f>
        <v>13179936</v>
      </c>
      <c r="E93" s="120">
        <f t="shared" si="37"/>
        <v>-26685420</v>
      </c>
      <c r="F93" s="120">
        <f t="shared" si="37"/>
        <v>-26685420</v>
      </c>
      <c r="G93" s="120">
        <f t="shared" si="37"/>
        <v>-26685420</v>
      </c>
      <c r="H93" s="120">
        <f t="shared" si="37"/>
        <v>-26685420</v>
      </c>
      <c r="I93" s="120">
        <f t="shared" si="37"/>
        <v>-26685420</v>
      </c>
      <c r="J93" s="120">
        <f t="shared" si="37"/>
        <v>-29554820</v>
      </c>
      <c r="K93" s="120">
        <f t="shared" si="37"/>
        <v>-29554820</v>
      </c>
      <c r="L93" s="120">
        <f t="shared" si="37"/>
        <v>-29554820</v>
      </c>
      <c r="M93" s="120">
        <f t="shared" si="37"/>
        <v>-29554820</v>
      </c>
      <c r="N93" s="120">
        <f t="shared" si="37"/>
        <v>-29554820</v>
      </c>
      <c r="O93" s="120">
        <f t="shared" si="37"/>
        <v>-29554820</v>
      </c>
      <c r="P93" s="120">
        <f t="shared" ref="P93" si="38">P92-P91</f>
        <v>-297576084</v>
      </c>
      <c r="Q93" s="120">
        <f t="shared" si="33"/>
        <v>-24798007</v>
      </c>
      <c r="R93" s="20"/>
    </row>
    <row r="94" spans="2:18">
      <c r="B94" s="64" t="s">
        <v>21</v>
      </c>
      <c r="C94" s="94" t="s">
        <v>36</v>
      </c>
      <c r="D94" s="118">
        <f>133.49*D56</f>
        <v>9744770</v>
      </c>
      <c r="E94" s="118">
        <f t="shared" ref="E94:N94" si="39">133.49*E56</f>
        <v>9744770</v>
      </c>
      <c r="F94" s="118">
        <f t="shared" si="39"/>
        <v>9744770</v>
      </c>
      <c r="G94" s="118">
        <f t="shared" si="39"/>
        <v>9744770</v>
      </c>
      <c r="H94" s="118">
        <f t="shared" si="39"/>
        <v>9744770</v>
      </c>
      <c r="I94" s="118">
        <f t="shared" si="39"/>
        <v>9744770</v>
      </c>
      <c r="J94" s="118">
        <f t="shared" si="39"/>
        <v>10679200</v>
      </c>
      <c r="K94" s="118">
        <f t="shared" si="39"/>
        <v>10679200</v>
      </c>
      <c r="L94" s="118">
        <f t="shared" si="39"/>
        <v>10679200</v>
      </c>
      <c r="M94" s="118">
        <f t="shared" si="39"/>
        <v>10679200</v>
      </c>
      <c r="N94" s="118">
        <f t="shared" si="39"/>
        <v>10679200</v>
      </c>
      <c r="O94" s="118">
        <f>133.49*O56</f>
        <v>10679200</v>
      </c>
      <c r="P94" s="118">
        <f>SUM(D94:O94)</f>
        <v>122543820</v>
      </c>
      <c r="Q94" s="118">
        <f t="shared" si="33"/>
        <v>10211985</v>
      </c>
      <c r="R94" s="20"/>
    </row>
    <row r="95" spans="2:18">
      <c r="B95" s="68"/>
      <c r="C95" s="98" t="s">
        <v>19</v>
      </c>
      <c r="D95" s="119">
        <v>17762640</v>
      </c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>
        <f>SUM(D95:O95)</f>
        <v>17762640</v>
      </c>
      <c r="Q95" s="119">
        <f t="shared" si="33"/>
        <v>17762640</v>
      </c>
      <c r="R95" s="20"/>
    </row>
    <row r="96" spans="2:18">
      <c r="B96" s="69"/>
      <c r="C96" s="96" t="s">
        <v>37</v>
      </c>
      <c r="D96" s="120">
        <f t="shared" ref="D96:O96" si="40">D95-D94</f>
        <v>8017870</v>
      </c>
      <c r="E96" s="120">
        <f t="shared" si="40"/>
        <v>-9744770</v>
      </c>
      <c r="F96" s="120">
        <f t="shared" si="40"/>
        <v>-9744770</v>
      </c>
      <c r="G96" s="120">
        <f t="shared" si="40"/>
        <v>-9744770</v>
      </c>
      <c r="H96" s="120">
        <f t="shared" si="40"/>
        <v>-9744770</v>
      </c>
      <c r="I96" s="120">
        <f t="shared" si="40"/>
        <v>-9744770</v>
      </c>
      <c r="J96" s="120">
        <f t="shared" si="40"/>
        <v>-10679200</v>
      </c>
      <c r="K96" s="120">
        <f t="shared" si="40"/>
        <v>-10679200</v>
      </c>
      <c r="L96" s="120">
        <f t="shared" si="40"/>
        <v>-10679200</v>
      </c>
      <c r="M96" s="120">
        <f t="shared" si="40"/>
        <v>-10679200</v>
      </c>
      <c r="N96" s="120">
        <f t="shared" si="40"/>
        <v>-10679200</v>
      </c>
      <c r="O96" s="120">
        <f t="shared" si="40"/>
        <v>-10679200</v>
      </c>
      <c r="P96" s="120">
        <f t="shared" ref="P96" si="41">P95-P94</f>
        <v>-104781180</v>
      </c>
      <c r="Q96" s="120">
        <f t="shared" si="33"/>
        <v>-8731765</v>
      </c>
      <c r="R96" s="20"/>
    </row>
    <row r="97" spans="2:18">
      <c r="B97" s="64" t="s">
        <v>38</v>
      </c>
      <c r="C97" s="94" t="s">
        <v>36</v>
      </c>
      <c r="D97" s="118">
        <f>289.49*D59</f>
        <v>694776</v>
      </c>
      <c r="E97" s="118">
        <f t="shared" ref="E97:O97" si="42">289.49*E59</f>
        <v>694776</v>
      </c>
      <c r="F97" s="118">
        <f t="shared" si="42"/>
        <v>694776</v>
      </c>
      <c r="G97" s="118">
        <f t="shared" si="42"/>
        <v>694776</v>
      </c>
      <c r="H97" s="118">
        <f t="shared" si="42"/>
        <v>694776</v>
      </c>
      <c r="I97" s="118">
        <f t="shared" si="42"/>
        <v>694776</v>
      </c>
      <c r="J97" s="118">
        <f t="shared" si="42"/>
        <v>694776</v>
      </c>
      <c r="K97" s="118">
        <f t="shared" si="42"/>
        <v>694776</v>
      </c>
      <c r="L97" s="118">
        <f t="shared" si="42"/>
        <v>694776</v>
      </c>
      <c r="M97" s="118">
        <f t="shared" si="42"/>
        <v>694776</v>
      </c>
      <c r="N97" s="118">
        <f t="shared" si="42"/>
        <v>694776</v>
      </c>
      <c r="O97" s="118">
        <f t="shared" si="42"/>
        <v>694776</v>
      </c>
      <c r="P97" s="118">
        <f>SUM(D97:O97)</f>
        <v>8337312</v>
      </c>
      <c r="Q97" s="118">
        <f t="shared" si="33"/>
        <v>694776</v>
      </c>
      <c r="R97" s="20"/>
    </row>
    <row r="98" spans="2:18">
      <c r="B98" s="68"/>
      <c r="C98" s="98" t="s">
        <v>19</v>
      </c>
      <c r="D98" s="119">
        <v>679788</v>
      </c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>
        <f>SUM(D98:O98)</f>
        <v>679788</v>
      </c>
      <c r="Q98" s="119">
        <f t="shared" si="33"/>
        <v>679788</v>
      </c>
      <c r="R98" s="20"/>
    </row>
    <row r="99" spans="2:18">
      <c r="B99" s="69"/>
      <c r="C99" s="96" t="s">
        <v>37</v>
      </c>
      <c r="D99" s="120">
        <f t="shared" ref="D99:O99" si="43">D98-D97</f>
        <v>-14988</v>
      </c>
      <c r="E99" s="120">
        <f t="shared" si="43"/>
        <v>-694776</v>
      </c>
      <c r="F99" s="120">
        <f t="shared" si="43"/>
        <v>-694776</v>
      </c>
      <c r="G99" s="120">
        <f t="shared" si="43"/>
        <v>-694776</v>
      </c>
      <c r="H99" s="120">
        <f t="shared" si="43"/>
        <v>-694776</v>
      </c>
      <c r="I99" s="120">
        <f t="shared" si="43"/>
        <v>-694776</v>
      </c>
      <c r="J99" s="120">
        <f t="shared" si="43"/>
        <v>-694776</v>
      </c>
      <c r="K99" s="120">
        <f t="shared" si="43"/>
        <v>-694776</v>
      </c>
      <c r="L99" s="120">
        <f t="shared" si="43"/>
        <v>-694776</v>
      </c>
      <c r="M99" s="120">
        <f t="shared" si="43"/>
        <v>-694776</v>
      </c>
      <c r="N99" s="120">
        <f t="shared" si="43"/>
        <v>-694776</v>
      </c>
      <c r="O99" s="120">
        <f t="shared" si="43"/>
        <v>-694776</v>
      </c>
      <c r="P99" s="120">
        <f t="shared" ref="P99" si="44">P98-P97</f>
        <v>-7657524</v>
      </c>
      <c r="Q99" s="120">
        <f t="shared" si="33"/>
        <v>-638127</v>
      </c>
      <c r="R99" s="20"/>
    </row>
    <row r="100" spans="2:18">
      <c r="B100" s="64" t="s">
        <v>23</v>
      </c>
      <c r="C100" s="94" t="s">
        <v>36</v>
      </c>
      <c r="D100" s="118">
        <f t="shared" ref="D100:O101" si="45">D88+D91+D94+D97</f>
        <v>51939906</v>
      </c>
      <c r="E100" s="118">
        <f t="shared" si="45"/>
        <v>51939906</v>
      </c>
      <c r="F100" s="118">
        <f t="shared" si="45"/>
        <v>51939906</v>
      </c>
      <c r="G100" s="118">
        <f t="shared" si="45"/>
        <v>51939906</v>
      </c>
      <c r="H100" s="118">
        <f t="shared" si="45"/>
        <v>51939906</v>
      </c>
      <c r="I100" s="118">
        <f t="shared" si="45"/>
        <v>51939906</v>
      </c>
      <c r="J100" s="118">
        <f t="shared" si="45"/>
        <v>57276316</v>
      </c>
      <c r="K100" s="118">
        <f t="shared" si="45"/>
        <v>57276316</v>
      </c>
      <c r="L100" s="118">
        <f t="shared" si="45"/>
        <v>57276316</v>
      </c>
      <c r="M100" s="118">
        <f t="shared" si="45"/>
        <v>57276316</v>
      </c>
      <c r="N100" s="118">
        <f t="shared" si="45"/>
        <v>57276316</v>
      </c>
      <c r="O100" s="118">
        <f t="shared" si="45"/>
        <v>57276316</v>
      </c>
      <c r="P100" s="118">
        <f>SUM(D100:O100)</f>
        <v>655297332</v>
      </c>
      <c r="Q100" s="118">
        <f t="shared" si="33"/>
        <v>54608111</v>
      </c>
      <c r="R100" s="20"/>
    </row>
    <row r="101" spans="2:18">
      <c r="B101" s="68"/>
      <c r="C101" s="98" t="s">
        <v>19</v>
      </c>
      <c r="D101" s="119">
        <f t="shared" si="45"/>
        <v>71194116</v>
      </c>
      <c r="E101" s="119">
        <f t="shared" si="45"/>
        <v>0</v>
      </c>
      <c r="F101" s="119">
        <f t="shared" si="45"/>
        <v>0</v>
      </c>
      <c r="G101" s="119">
        <f t="shared" si="45"/>
        <v>0</v>
      </c>
      <c r="H101" s="119">
        <f t="shared" si="45"/>
        <v>0</v>
      </c>
      <c r="I101" s="119">
        <f t="shared" si="45"/>
        <v>0</v>
      </c>
      <c r="J101" s="119">
        <f t="shared" si="45"/>
        <v>0</v>
      </c>
      <c r="K101" s="119">
        <f t="shared" si="45"/>
        <v>0</v>
      </c>
      <c r="L101" s="119">
        <f t="shared" si="45"/>
        <v>0</v>
      </c>
      <c r="M101" s="119">
        <f t="shared" si="45"/>
        <v>0</v>
      </c>
      <c r="N101" s="119">
        <f t="shared" si="45"/>
        <v>0</v>
      </c>
      <c r="O101" s="119">
        <f t="shared" si="45"/>
        <v>0</v>
      </c>
      <c r="P101" s="119">
        <f>SUM(D101:O101)</f>
        <v>71194116</v>
      </c>
      <c r="Q101" s="119">
        <f t="shared" si="33"/>
        <v>5932843</v>
      </c>
      <c r="R101" s="20"/>
    </row>
    <row r="102" spans="2:18">
      <c r="B102" s="69"/>
      <c r="C102" s="96" t="s">
        <v>37</v>
      </c>
      <c r="D102" s="120">
        <f t="shared" ref="D102:O102" si="46">D101-D100</f>
        <v>19254210</v>
      </c>
      <c r="E102" s="120">
        <f t="shared" si="46"/>
        <v>-51939906</v>
      </c>
      <c r="F102" s="120">
        <f t="shared" si="46"/>
        <v>-51939906</v>
      </c>
      <c r="G102" s="120">
        <f t="shared" si="46"/>
        <v>-51939906</v>
      </c>
      <c r="H102" s="120">
        <f t="shared" si="46"/>
        <v>-51939906</v>
      </c>
      <c r="I102" s="120">
        <f t="shared" si="46"/>
        <v>-51939906</v>
      </c>
      <c r="J102" s="120">
        <f t="shared" si="46"/>
        <v>-57276316</v>
      </c>
      <c r="K102" s="120">
        <f t="shared" si="46"/>
        <v>-57276316</v>
      </c>
      <c r="L102" s="120">
        <f t="shared" si="46"/>
        <v>-57276316</v>
      </c>
      <c r="M102" s="120">
        <f t="shared" si="46"/>
        <v>-57276316</v>
      </c>
      <c r="N102" s="120">
        <f t="shared" si="46"/>
        <v>-57276316</v>
      </c>
      <c r="O102" s="120">
        <f t="shared" si="46"/>
        <v>-57276316</v>
      </c>
      <c r="P102" s="120">
        <f t="shared" ref="P102" si="47">P101-P100</f>
        <v>-584103216</v>
      </c>
      <c r="Q102" s="120">
        <f t="shared" si="33"/>
        <v>-48675268</v>
      </c>
      <c r="R102" s="20"/>
    </row>
    <row r="103" spans="2:18"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4"/>
      <c r="R103" s="20"/>
    </row>
    <row r="104" spans="2:18">
      <c r="B104" s="20" t="s">
        <v>39</v>
      </c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</row>
    <row r="105" spans="2:18">
      <c r="B105" s="21" t="s">
        <v>3</v>
      </c>
      <c r="C105" s="21" t="s">
        <v>4</v>
      </c>
      <c r="D105" s="36" t="s">
        <v>5</v>
      </c>
      <c r="E105" s="36" t="s">
        <v>6</v>
      </c>
      <c r="F105" s="36" t="s">
        <v>7</v>
      </c>
      <c r="G105" s="36" t="s">
        <v>8</v>
      </c>
      <c r="H105" s="36" t="s">
        <v>9</v>
      </c>
      <c r="I105" s="36" t="s">
        <v>10</v>
      </c>
      <c r="J105" s="36" t="s">
        <v>11</v>
      </c>
      <c r="K105" s="36" t="s">
        <v>12</v>
      </c>
      <c r="L105" s="36" t="s">
        <v>13</v>
      </c>
      <c r="M105" s="36" t="s">
        <v>14</v>
      </c>
      <c r="N105" s="36" t="s">
        <v>15</v>
      </c>
      <c r="O105" s="36" t="s">
        <v>16</v>
      </c>
      <c r="P105" s="36" t="s">
        <v>57</v>
      </c>
      <c r="Q105" s="36" t="s">
        <v>17</v>
      </c>
      <c r="R105" s="20"/>
    </row>
    <row r="106" spans="2:18">
      <c r="B106" s="64" t="s">
        <v>18</v>
      </c>
      <c r="C106" s="94" t="s">
        <v>36</v>
      </c>
      <c r="D106" s="95">
        <f t="shared" ref="D106:O106" si="48">D70-D88</f>
        <v>1554400.0000000019</v>
      </c>
      <c r="E106" s="95">
        <f t="shared" si="48"/>
        <v>1554400.0000000019</v>
      </c>
      <c r="F106" s="95">
        <f t="shared" si="48"/>
        <v>1554400.0000000019</v>
      </c>
      <c r="G106" s="95">
        <f t="shared" si="48"/>
        <v>1554400.0000000019</v>
      </c>
      <c r="H106" s="95">
        <f t="shared" si="48"/>
        <v>1554400.0000000019</v>
      </c>
      <c r="I106" s="95">
        <f t="shared" si="48"/>
        <v>1554400.0000000019</v>
      </c>
      <c r="J106" s="95">
        <f t="shared" si="48"/>
        <v>1715200</v>
      </c>
      <c r="K106" s="95">
        <f t="shared" si="48"/>
        <v>1715200</v>
      </c>
      <c r="L106" s="95">
        <f t="shared" si="48"/>
        <v>1715200</v>
      </c>
      <c r="M106" s="95">
        <f t="shared" si="48"/>
        <v>1715200</v>
      </c>
      <c r="N106" s="95">
        <f t="shared" si="48"/>
        <v>1715200</v>
      </c>
      <c r="O106" s="95">
        <f t="shared" si="48"/>
        <v>1715200</v>
      </c>
      <c r="P106" s="95">
        <f>SUM(D106:O106)</f>
        <v>19617600.000000011</v>
      </c>
      <c r="Q106" s="95">
        <f>AVERAGE(D106:O106)</f>
        <v>1634800.0000000009</v>
      </c>
      <c r="R106" s="20"/>
    </row>
    <row r="107" spans="2:18">
      <c r="B107" s="68"/>
      <c r="C107" s="98" t="s">
        <v>19</v>
      </c>
      <c r="D107" s="99">
        <f t="shared" ref="D107:L107" si="49">D71-D89</f>
        <v>1164966</v>
      </c>
      <c r="E107" s="99">
        <f t="shared" si="49"/>
        <v>0</v>
      </c>
      <c r="F107" s="99">
        <f t="shared" si="49"/>
        <v>0</v>
      </c>
      <c r="G107" s="99">
        <f t="shared" si="49"/>
        <v>0</v>
      </c>
      <c r="H107" s="99">
        <f t="shared" si="49"/>
        <v>0</v>
      </c>
      <c r="I107" s="99">
        <f t="shared" si="49"/>
        <v>0</v>
      </c>
      <c r="J107" s="99">
        <f t="shared" si="49"/>
        <v>0</v>
      </c>
      <c r="K107" s="99">
        <f t="shared" si="49"/>
        <v>0</v>
      </c>
      <c r="L107" s="99">
        <f t="shared" si="49"/>
        <v>0</v>
      </c>
      <c r="M107" s="99">
        <f t="shared" ref="M107:O107" si="50">M71-M89</f>
        <v>0</v>
      </c>
      <c r="N107" s="99">
        <f t="shared" si="50"/>
        <v>0</v>
      </c>
      <c r="O107" s="99">
        <f t="shared" si="50"/>
        <v>0</v>
      </c>
      <c r="P107" s="99">
        <f>SUM(D107:O107)</f>
        <v>1164966</v>
      </c>
      <c r="Q107" s="99">
        <f>AVERAGE(D107:O107)</f>
        <v>97080.5</v>
      </c>
      <c r="R107" s="20"/>
    </row>
    <row r="108" spans="2:18">
      <c r="B108" s="69"/>
      <c r="C108" s="96" t="s">
        <v>37</v>
      </c>
      <c r="D108" s="97">
        <f t="shared" ref="D108:I108" si="51">D107-D106</f>
        <v>-389434.00000000186</v>
      </c>
      <c r="E108" s="97">
        <f t="shared" si="51"/>
        <v>-1554400.0000000019</v>
      </c>
      <c r="F108" s="97">
        <f t="shared" si="51"/>
        <v>-1554400.0000000019</v>
      </c>
      <c r="G108" s="97">
        <f t="shared" si="51"/>
        <v>-1554400.0000000019</v>
      </c>
      <c r="H108" s="97">
        <f t="shared" si="51"/>
        <v>-1554400.0000000019</v>
      </c>
      <c r="I108" s="97">
        <f t="shared" si="51"/>
        <v>-1554400.0000000019</v>
      </c>
      <c r="J108" s="97">
        <f>J107-J106</f>
        <v>-1715200</v>
      </c>
      <c r="K108" s="97">
        <f>K107-K106</f>
        <v>-1715200</v>
      </c>
      <c r="L108" s="97">
        <f>L107-L106</f>
        <v>-1715200</v>
      </c>
      <c r="M108" s="97">
        <f t="shared" ref="M108:P108" si="52">M107-M106</f>
        <v>-1715200</v>
      </c>
      <c r="N108" s="97">
        <f t="shared" si="52"/>
        <v>-1715200</v>
      </c>
      <c r="O108" s="97">
        <f t="shared" si="52"/>
        <v>-1715200</v>
      </c>
      <c r="P108" s="97">
        <f t="shared" si="52"/>
        <v>-18452634.000000011</v>
      </c>
      <c r="Q108" s="97">
        <f>AVERAGE(D108:O108)</f>
        <v>-1537719.5000000009</v>
      </c>
      <c r="R108" s="20"/>
    </row>
    <row r="109" spans="2:18">
      <c r="B109" s="64" t="s">
        <v>20</v>
      </c>
      <c r="C109" s="94" t="s">
        <v>36</v>
      </c>
      <c r="D109" s="95">
        <f t="shared" ref="D109:O109" si="53">D73-D91</f>
        <v>2227350</v>
      </c>
      <c r="E109" s="95">
        <f t="shared" si="53"/>
        <v>2227350</v>
      </c>
      <c r="F109" s="95">
        <f t="shared" si="53"/>
        <v>2227350</v>
      </c>
      <c r="G109" s="95">
        <f t="shared" si="53"/>
        <v>2227350</v>
      </c>
      <c r="H109" s="95">
        <f t="shared" si="53"/>
        <v>2227350</v>
      </c>
      <c r="I109" s="95">
        <f t="shared" si="53"/>
        <v>2227350</v>
      </c>
      <c r="J109" s="95">
        <f t="shared" si="53"/>
        <v>2466850</v>
      </c>
      <c r="K109" s="95">
        <f t="shared" si="53"/>
        <v>2466850</v>
      </c>
      <c r="L109" s="95">
        <f t="shared" si="53"/>
        <v>2466850</v>
      </c>
      <c r="M109" s="95">
        <f t="shared" si="53"/>
        <v>2466850</v>
      </c>
      <c r="N109" s="95">
        <f t="shared" si="53"/>
        <v>2466850</v>
      </c>
      <c r="O109" s="95">
        <f t="shared" si="53"/>
        <v>2466850</v>
      </c>
      <c r="P109" s="95">
        <f t="shared" ref="P109:P110" si="54">SUM(D109:O109)</f>
        <v>28165200</v>
      </c>
      <c r="Q109" s="95">
        <f t="shared" ref="Q109:Q120" si="55">AVERAGE(D109:O109)</f>
        <v>2347100</v>
      </c>
      <c r="R109" s="20"/>
    </row>
    <row r="110" spans="2:18">
      <c r="B110" s="68"/>
      <c r="C110" s="98" t="s">
        <v>19</v>
      </c>
      <c r="D110" s="99">
        <f t="shared" ref="D110:J110" si="56">D74-D92</f>
        <v>3562290</v>
      </c>
      <c r="E110" s="99">
        <f t="shared" si="56"/>
        <v>0</v>
      </c>
      <c r="F110" s="99">
        <f t="shared" si="56"/>
        <v>0</v>
      </c>
      <c r="G110" s="99">
        <f t="shared" si="56"/>
        <v>0</v>
      </c>
      <c r="H110" s="99">
        <f t="shared" si="56"/>
        <v>0</v>
      </c>
      <c r="I110" s="99">
        <f t="shared" si="56"/>
        <v>0</v>
      </c>
      <c r="J110" s="99">
        <f t="shared" si="56"/>
        <v>0</v>
      </c>
      <c r="K110" s="99">
        <f t="shared" ref="K110:L110" si="57">K74-K92</f>
        <v>0</v>
      </c>
      <c r="L110" s="99">
        <f t="shared" si="57"/>
        <v>0</v>
      </c>
      <c r="M110" s="99">
        <f t="shared" ref="M110:O110" si="58">M74-M92</f>
        <v>0</v>
      </c>
      <c r="N110" s="99">
        <f t="shared" si="58"/>
        <v>0</v>
      </c>
      <c r="O110" s="99">
        <f t="shared" si="58"/>
        <v>0</v>
      </c>
      <c r="P110" s="99">
        <f t="shared" si="54"/>
        <v>3562290</v>
      </c>
      <c r="Q110" s="99">
        <f t="shared" si="55"/>
        <v>296857.5</v>
      </c>
      <c r="R110" s="20"/>
    </row>
    <row r="111" spans="2:18">
      <c r="B111" s="69"/>
      <c r="C111" s="96" t="s">
        <v>37</v>
      </c>
      <c r="D111" s="97">
        <f t="shared" ref="D111:I111" si="59">D110-D109</f>
        <v>1334940</v>
      </c>
      <c r="E111" s="97">
        <f t="shared" si="59"/>
        <v>-2227350</v>
      </c>
      <c r="F111" s="97">
        <f t="shared" si="59"/>
        <v>-2227350</v>
      </c>
      <c r="G111" s="97">
        <f t="shared" si="59"/>
        <v>-2227350</v>
      </c>
      <c r="H111" s="97">
        <f t="shared" si="59"/>
        <v>-2227350</v>
      </c>
      <c r="I111" s="97">
        <f t="shared" si="59"/>
        <v>-2227350</v>
      </c>
      <c r="J111" s="97">
        <f>J110-J109</f>
        <v>-2466850</v>
      </c>
      <c r="K111" s="97">
        <f>K110-K109</f>
        <v>-2466850</v>
      </c>
      <c r="L111" s="97">
        <f>L110-L109</f>
        <v>-2466850</v>
      </c>
      <c r="M111" s="97">
        <f t="shared" ref="M111:P111" si="60">M110-M109</f>
        <v>-2466850</v>
      </c>
      <c r="N111" s="97">
        <f t="shared" si="60"/>
        <v>-2466850</v>
      </c>
      <c r="O111" s="97">
        <f t="shared" si="60"/>
        <v>-2466850</v>
      </c>
      <c r="P111" s="97">
        <f t="shared" si="60"/>
        <v>-24602910</v>
      </c>
      <c r="Q111" s="97">
        <f t="shared" si="55"/>
        <v>-2050242.5</v>
      </c>
      <c r="R111" s="20"/>
    </row>
    <row r="112" spans="2:18">
      <c r="B112" s="64" t="s">
        <v>21</v>
      </c>
      <c r="C112" s="94" t="s">
        <v>36</v>
      </c>
      <c r="D112" s="95">
        <f t="shared" ref="D112:O112" si="61">D76-D94</f>
        <v>840230</v>
      </c>
      <c r="E112" s="95">
        <f t="shared" si="61"/>
        <v>840230</v>
      </c>
      <c r="F112" s="95">
        <f t="shared" si="61"/>
        <v>840230</v>
      </c>
      <c r="G112" s="95">
        <f t="shared" si="61"/>
        <v>840230</v>
      </c>
      <c r="H112" s="95">
        <f t="shared" si="61"/>
        <v>840230</v>
      </c>
      <c r="I112" s="95">
        <f t="shared" si="61"/>
        <v>840230</v>
      </c>
      <c r="J112" s="95">
        <f t="shared" si="61"/>
        <v>920800</v>
      </c>
      <c r="K112" s="95">
        <f t="shared" si="61"/>
        <v>920800</v>
      </c>
      <c r="L112" s="95">
        <f t="shared" si="61"/>
        <v>920800</v>
      </c>
      <c r="M112" s="95">
        <f t="shared" si="61"/>
        <v>920800</v>
      </c>
      <c r="N112" s="95">
        <f t="shared" si="61"/>
        <v>920800</v>
      </c>
      <c r="O112" s="95">
        <f t="shared" si="61"/>
        <v>920800</v>
      </c>
      <c r="P112" s="95">
        <f t="shared" ref="P112:P113" si="62">SUM(D112:O112)</f>
        <v>10566180</v>
      </c>
      <c r="Q112" s="95">
        <f t="shared" si="55"/>
        <v>880515</v>
      </c>
      <c r="R112" s="20"/>
    </row>
    <row r="113" spans="2:18">
      <c r="B113" s="68"/>
      <c r="C113" s="98" t="s">
        <v>19</v>
      </c>
      <c r="D113" s="99">
        <f t="shared" ref="D113:J113" si="63">D77-D95</f>
        <v>1619040</v>
      </c>
      <c r="E113" s="99">
        <f t="shared" si="63"/>
        <v>0</v>
      </c>
      <c r="F113" s="99">
        <f t="shared" si="63"/>
        <v>0</v>
      </c>
      <c r="G113" s="99">
        <f t="shared" si="63"/>
        <v>0</v>
      </c>
      <c r="H113" s="99">
        <f t="shared" si="63"/>
        <v>0</v>
      </c>
      <c r="I113" s="99">
        <f t="shared" si="63"/>
        <v>0</v>
      </c>
      <c r="J113" s="99">
        <f t="shared" si="63"/>
        <v>0</v>
      </c>
      <c r="K113" s="99">
        <f t="shared" ref="K113:L113" si="64">K77-K95</f>
        <v>0</v>
      </c>
      <c r="L113" s="99">
        <f t="shared" si="64"/>
        <v>0</v>
      </c>
      <c r="M113" s="99">
        <f t="shared" ref="M113:O113" si="65">M77-M95</f>
        <v>0</v>
      </c>
      <c r="N113" s="99">
        <f t="shared" si="65"/>
        <v>0</v>
      </c>
      <c r="O113" s="99">
        <f t="shared" si="65"/>
        <v>0</v>
      </c>
      <c r="P113" s="99">
        <f t="shared" si="62"/>
        <v>1619040</v>
      </c>
      <c r="Q113" s="99">
        <f t="shared" si="55"/>
        <v>134920</v>
      </c>
      <c r="R113" s="20"/>
    </row>
    <row r="114" spans="2:18">
      <c r="B114" s="69"/>
      <c r="C114" s="96" t="s">
        <v>37</v>
      </c>
      <c r="D114" s="97">
        <f t="shared" ref="D114:I114" si="66">D113-D112</f>
        <v>778810</v>
      </c>
      <c r="E114" s="97">
        <f t="shared" si="66"/>
        <v>-840230</v>
      </c>
      <c r="F114" s="97">
        <f t="shared" si="66"/>
        <v>-840230</v>
      </c>
      <c r="G114" s="97">
        <f t="shared" si="66"/>
        <v>-840230</v>
      </c>
      <c r="H114" s="97">
        <f t="shared" si="66"/>
        <v>-840230</v>
      </c>
      <c r="I114" s="97">
        <f t="shared" si="66"/>
        <v>-840230</v>
      </c>
      <c r="J114" s="97">
        <f>J113-J112</f>
        <v>-920800</v>
      </c>
      <c r="K114" s="97">
        <f>K113-K112</f>
        <v>-920800</v>
      </c>
      <c r="L114" s="97">
        <f>L113-L112</f>
        <v>-920800</v>
      </c>
      <c r="M114" s="97">
        <f t="shared" ref="M114:N114" si="67">M113-M112</f>
        <v>-920800</v>
      </c>
      <c r="N114" s="97">
        <f t="shared" si="67"/>
        <v>-920800</v>
      </c>
      <c r="O114" s="97">
        <f>O113-O112</f>
        <v>-920800</v>
      </c>
      <c r="P114" s="97">
        <f t="shared" ref="P114" si="68">P113-P112</f>
        <v>-8947140</v>
      </c>
      <c r="Q114" s="97">
        <f t="shared" si="55"/>
        <v>-745595</v>
      </c>
      <c r="R114" s="20"/>
    </row>
    <row r="115" spans="2:18">
      <c r="B115" s="64" t="s">
        <v>38</v>
      </c>
      <c r="C115" s="94" t="s">
        <v>36</v>
      </c>
      <c r="D115" s="95">
        <f t="shared" ref="D115:O115" si="69">D79-D97</f>
        <v>76824</v>
      </c>
      <c r="E115" s="95">
        <f t="shared" si="69"/>
        <v>76824</v>
      </c>
      <c r="F115" s="95">
        <f t="shared" si="69"/>
        <v>76824</v>
      </c>
      <c r="G115" s="95">
        <f t="shared" si="69"/>
        <v>76824</v>
      </c>
      <c r="H115" s="95">
        <f t="shared" si="69"/>
        <v>76824</v>
      </c>
      <c r="I115" s="95">
        <f t="shared" si="69"/>
        <v>76824</v>
      </c>
      <c r="J115" s="95">
        <f t="shared" si="69"/>
        <v>76824</v>
      </c>
      <c r="K115" s="95">
        <f t="shared" si="69"/>
        <v>76824</v>
      </c>
      <c r="L115" s="95">
        <f t="shared" si="69"/>
        <v>76824</v>
      </c>
      <c r="M115" s="95">
        <f t="shared" si="69"/>
        <v>76824</v>
      </c>
      <c r="N115" s="95">
        <f t="shared" si="69"/>
        <v>76824</v>
      </c>
      <c r="O115" s="95">
        <f t="shared" si="69"/>
        <v>76824</v>
      </c>
      <c r="P115" s="95">
        <f t="shared" ref="P115:P116" si="70">SUM(D115:O115)</f>
        <v>921888</v>
      </c>
      <c r="Q115" s="95">
        <f t="shared" si="55"/>
        <v>76824</v>
      </c>
      <c r="R115" s="20"/>
    </row>
    <row r="116" spans="2:18">
      <c r="B116" s="68"/>
      <c r="C116" s="98" t="s">
        <v>19</v>
      </c>
      <c r="D116" s="99">
        <f t="shared" ref="D116:J116" si="71">D80-D98</f>
        <v>62574</v>
      </c>
      <c r="E116" s="99">
        <f t="shared" si="71"/>
        <v>0</v>
      </c>
      <c r="F116" s="99">
        <f t="shared" si="71"/>
        <v>0</v>
      </c>
      <c r="G116" s="99">
        <f t="shared" si="71"/>
        <v>0</v>
      </c>
      <c r="H116" s="99">
        <f t="shared" si="71"/>
        <v>0</v>
      </c>
      <c r="I116" s="99">
        <f t="shared" si="71"/>
        <v>0</v>
      </c>
      <c r="J116" s="99">
        <f t="shared" si="71"/>
        <v>0</v>
      </c>
      <c r="K116" s="99">
        <f t="shared" ref="K116:L116" si="72">K80-K98</f>
        <v>0</v>
      </c>
      <c r="L116" s="99">
        <f t="shared" si="72"/>
        <v>0</v>
      </c>
      <c r="M116" s="99">
        <f t="shared" ref="M116:O116" si="73">M80-M98</f>
        <v>0</v>
      </c>
      <c r="N116" s="99">
        <f t="shared" si="73"/>
        <v>0</v>
      </c>
      <c r="O116" s="99">
        <f t="shared" si="73"/>
        <v>0</v>
      </c>
      <c r="P116" s="99">
        <f t="shared" si="70"/>
        <v>62574</v>
      </c>
      <c r="Q116" s="99">
        <f t="shared" si="55"/>
        <v>5214.5</v>
      </c>
      <c r="R116" s="20"/>
    </row>
    <row r="117" spans="2:18">
      <c r="B117" s="69"/>
      <c r="C117" s="96" t="s">
        <v>37</v>
      </c>
      <c r="D117" s="97">
        <f t="shared" ref="D117:I117" si="74">D116-D115</f>
        <v>-14250</v>
      </c>
      <c r="E117" s="97">
        <f t="shared" si="74"/>
        <v>-76824</v>
      </c>
      <c r="F117" s="97">
        <f t="shared" si="74"/>
        <v>-76824</v>
      </c>
      <c r="G117" s="97">
        <f t="shared" si="74"/>
        <v>-76824</v>
      </c>
      <c r="H117" s="97">
        <f t="shared" si="74"/>
        <v>-76824</v>
      </c>
      <c r="I117" s="97">
        <f t="shared" si="74"/>
        <v>-76824</v>
      </c>
      <c r="J117" s="97">
        <f>J116-J115</f>
        <v>-76824</v>
      </c>
      <c r="K117" s="97">
        <f>K116-K115</f>
        <v>-76824</v>
      </c>
      <c r="L117" s="97">
        <f>L116-L115</f>
        <v>-76824</v>
      </c>
      <c r="M117" s="97">
        <f t="shared" ref="M117:P117" si="75">M116-M115</f>
        <v>-76824</v>
      </c>
      <c r="N117" s="97">
        <f t="shared" si="75"/>
        <v>-76824</v>
      </c>
      <c r="O117" s="97">
        <f t="shared" si="75"/>
        <v>-76824</v>
      </c>
      <c r="P117" s="97">
        <f t="shared" si="75"/>
        <v>-859314</v>
      </c>
      <c r="Q117" s="97">
        <f t="shared" si="55"/>
        <v>-71609.5</v>
      </c>
      <c r="R117" s="20"/>
    </row>
    <row r="118" spans="2:18">
      <c r="B118" s="64" t="s">
        <v>23</v>
      </c>
      <c r="C118" s="94" t="s">
        <v>36</v>
      </c>
      <c r="D118" s="95">
        <f t="shared" ref="D118:O118" si="76">D82-D100</f>
        <v>4698804</v>
      </c>
      <c r="E118" s="95">
        <f t="shared" si="76"/>
        <v>4698804</v>
      </c>
      <c r="F118" s="95">
        <f t="shared" si="76"/>
        <v>4698804</v>
      </c>
      <c r="G118" s="95">
        <f t="shared" si="76"/>
        <v>4698804</v>
      </c>
      <c r="H118" s="95">
        <f t="shared" si="76"/>
        <v>4698804</v>
      </c>
      <c r="I118" s="95">
        <f t="shared" si="76"/>
        <v>4698804</v>
      </c>
      <c r="J118" s="95">
        <f t="shared" si="76"/>
        <v>5179674</v>
      </c>
      <c r="K118" s="95">
        <f t="shared" si="76"/>
        <v>5179674</v>
      </c>
      <c r="L118" s="95">
        <f t="shared" si="76"/>
        <v>5179674</v>
      </c>
      <c r="M118" s="95">
        <f t="shared" si="76"/>
        <v>5179674</v>
      </c>
      <c r="N118" s="95">
        <f t="shared" si="76"/>
        <v>5179674</v>
      </c>
      <c r="O118" s="95">
        <f t="shared" si="76"/>
        <v>5179674</v>
      </c>
      <c r="P118" s="95">
        <f t="shared" ref="P118:P119" si="77">SUM(D118:O118)</f>
        <v>59270868</v>
      </c>
      <c r="Q118" s="95">
        <f t="shared" si="55"/>
        <v>4939239</v>
      </c>
      <c r="R118" s="20"/>
    </row>
    <row r="119" spans="2:18">
      <c r="B119" s="68"/>
      <c r="C119" s="98" t="s">
        <v>19</v>
      </c>
      <c r="D119" s="99">
        <f t="shared" ref="D119:L119" si="78">D83-D101</f>
        <v>6408870</v>
      </c>
      <c r="E119" s="99">
        <f t="shared" si="78"/>
        <v>0</v>
      </c>
      <c r="F119" s="99">
        <f t="shared" si="78"/>
        <v>0</v>
      </c>
      <c r="G119" s="99">
        <f t="shared" si="78"/>
        <v>0</v>
      </c>
      <c r="H119" s="99">
        <f t="shared" si="78"/>
        <v>0</v>
      </c>
      <c r="I119" s="99">
        <f t="shared" si="78"/>
        <v>0</v>
      </c>
      <c r="J119" s="99">
        <f t="shared" si="78"/>
        <v>0</v>
      </c>
      <c r="K119" s="99">
        <f t="shared" si="78"/>
        <v>0</v>
      </c>
      <c r="L119" s="99">
        <f t="shared" si="78"/>
        <v>0</v>
      </c>
      <c r="M119" s="99">
        <f t="shared" ref="M119:O119" si="79">M83-M101</f>
        <v>0</v>
      </c>
      <c r="N119" s="99">
        <f t="shared" si="79"/>
        <v>0</v>
      </c>
      <c r="O119" s="99">
        <f t="shared" si="79"/>
        <v>0</v>
      </c>
      <c r="P119" s="99">
        <f t="shared" si="77"/>
        <v>6408870</v>
      </c>
      <c r="Q119" s="99">
        <f t="shared" si="55"/>
        <v>534072.5</v>
      </c>
      <c r="R119" s="42">
        <f>SUM(D119:O119)</f>
        <v>6408870</v>
      </c>
    </row>
    <row r="120" spans="2:18">
      <c r="B120" s="69"/>
      <c r="C120" s="96" t="s">
        <v>37</v>
      </c>
      <c r="D120" s="97">
        <f t="shared" ref="D120:I120" si="80">D119-D118</f>
        <v>1710066</v>
      </c>
      <c r="E120" s="97">
        <f t="shared" si="80"/>
        <v>-4698804</v>
      </c>
      <c r="F120" s="97">
        <f t="shared" si="80"/>
        <v>-4698804</v>
      </c>
      <c r="G120" s="97">
        <f t="shared" si="80"/>
        <v>-4698804</v>
      </c>
      <c r="H120" s="97">
        <f t="shared" si="80"/>
        <v>-4698804</v>
      </c>
      <c r="I120" s="97">
        <f t="shared" si="80"/>
        <v>-4698804</v>
      </c>
      <c r="J120" s="97">
        <f>J119-J118</f>
        <v>-5179674</v>
      </c>
      <c r="K120" s="97">
        <f>K119-K118</f>
        <v>-5179674</v>
      </c>
      <c r="L120" s="97">
        <f>L119-L118</f>
        <v>-5179674</v>
      </c>
      <c r="M120" s="97">
        <f t="shared" ref="M120:P120" si="81">M119-M118</f>
        <v>-5179674</v>
      </c>
      <c r="N120" s="97">
        <f t="shared" si="81"/>
        <v>-5179674</v>
      </c>
      <c r="O120" s="97">
        <f t="shared" si="81"/>
        <v>-5179674</v>
      </c>
      <c r="P120" s="97">
        <f t="shared" si="81"/>
        <v>-52861998</v>
      </c>
      <c r="Q120" s="97">
        <f t="shared" si="55"/>
        <v>-4405166.5</v>
      </c>
      <c r="R120" s="20"/>
    </row>
    <row r="121" spans="2:18">
      <c r="B121" s="81"/>
      <c r="C121" s="81"/>
      <c r="D121" s="82"/>
      <c r="E121" s="82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20"/>
    </row>
    <row r="122" spans="2:18">
      <c r="B122" s="21" t="s">
        <v>40</v>
      </c>
      <c r="C122" s="21" t="s">
        <v>41</v>
      </c>
      <c r="D122" s="37">
        <f>D52*単価!D43+売上仕入総利益!D55*単価!D52+売上仕入総利益!D58*単価!D61+売上仕入総利益!D61*単価!D70</f>
        <v>1676948.2399999991</v>
      </c>
      <c r="E122" s="37">
        <f>E52*単価!E43+売上仕入総利益!E55*単価!E52+売上仕入総利益!E58*単価!E61+売上仕入総利益!E61*単価!E70</f>
        <v>0</v>
      </c>
      <c r="F122" s="37">
        <f>F52*単価!F43+売上仕入総利益!F55*単価!F52+売上仕入総利益!F58*単価!F61+売上仕入総利益!F61*単価!F70</f>
        <v>0</v>
      </c>
      <c r="G122" s="37">
        <f>G52*単価!G43+G55*単価!G52+G58*単価!G61+G61*単価!G70</f>
        <v>0</v>
      </c>
      <c r="H122" s="37">
        <f>H52*単価!H43+H55*単価!H52+H58*単価!H61+H61*単価!H70</f>
        <v>0</v>
      </c>
      <c r="I122" s="37">
        <f>I52*単価!I43+I55*単価!I52+I58*単価!I61+I61*単価!I70</f>
        <v>0</v>
      </c>
      <c r="J122" s="37">
        <f>J52*単価!J43+J55*単価!J52+J58*単価!J61+J61*単価!J70</f>
        <v>0</v>
      </c>
      <c r="K122" s="37">
        <f>K52*単価!K43+K55*単価!K52+K58*単価!K61+K61*単価!K70</f>
        <v>0</v>
      </c>
      <c r="L122" s="37">
        <f>L52*単価!L43+L55*単価!L52+L58*単価!L61+L61*単価!L70</f>
        <v>0</v>
      </c>
      <c r="M122" s="37">
        <f>M52*単価!M43+M55*単価!M52+M58*単価!M61+M61*単価!M70</f>
        <v>0</v>
      </c>
      <c r="N122" s="37">
        <f>N52*単価!N43+N55*単価!N52+N58*単価!N61+N61*単価!N70</f>
        <v>0</v>
      </c>
      <c r="O122" s="37">
        <f>O52*単価!O43+O55*単価!O52+O58*単価!O61+O61*単価!O70</f>
        <v>0</v>
      </c>
      <c r="P122" s="37"/>
      <c r="Q122" s="37"/>
      <c r="R122" s="20"/>
    </row>
    <row r="123" spans="2:18">
      <c r="B123" s="21" t="s">
        <v>42</v>
      </c>
      <c r="C123" s="21" t="s">
        <v>41</v>
      </c>
      <c r="D123" s="37">
        <f>D51*単価!D44+売上仕入総利益!D54*単価!D53+売上仕入総利益!D57*単価!D62+売上仕入総利益!D60*単価!D71</f>
        <v>192959.04171864057</v>
      </c>
      <c r="E123" s="37">
        <f>E51*単価!E44+売上仕入総利益!E54*単価!E53+売上仕入総利益!E57*単価!E62+売上仕入総利益!E60*単価!E71</f>
        <v>0</v>
      </c>
      <c r="F123" s="37">
        <f>F51*単価!F44+売上仕入総利益!F54*単価!F53+売上仕入総利益!F57*単価!F62+売上仕入総利益!F60*単価!F71</f>
        <v>0</v>
      </c>
      <c r="G123" s="37">
        <f>G51*単価!G44+G54*単価!G53+G57*単価!G62+G60*単価!G71</f>
        <v>0</v>
      </c>
      <c r="H123" s="37">
        <f>H51*単価!H44+H54*単価!H53+H57*単価!H62+H60*単価!H71</f>
        <v>0</v>
      </c>
      <c r="I123" s="37">
        <f>I51*単価!I44+I54*単価!I53+I57*単価!I62+I60*単価!I71</f>
        <v>0</v>
      </c>
      <c r="J123" s="37">
        <f>J51*単価!J44+J54*単価!J53+J57*単価!J62+J60*単価!J71</f>
        <v>0</v>
      </c>
      <c r="K123" s="37">
        <f>K51*単価!K44+K54*単価!K53+K57*単価!K62+K60*単価!K71</f>
        <v>0</v>
      </c>
      <c r="L123" s="37">
        <f>L51*単価!L44+L54*単価!L53+L57*単価!L62+L60*単価!L71</f>
        <v>0</v>
      </c>
      <c r="M123" s="37">
        <f>M51*単価!M44+M54*単価!M53+M57*単価!M62+M60*単価!M71</f>
        <v>0</v>
      </c>
      <c r="N123" s="37">
        <f>N51*単価!N44+N54*単価!N53+N57*単価!N62+N60*単価!N71</f>
        <v>0</v>
      </c>
      <c r="O123" s="37">
        <f>O51*単価!O44+O54*単価!O53+O57*単価!O62+O60*単価!O71</f>
        <v>0</v>
      </c>
      <c r="P123" s="37"/>
      <c r="Q123" s="37"/>
      <c r="R123" s="20"/>
    </row>
    <row r="124" spans="2:18">
      <c r="B124" s="21" t="s">
        <v>43</v>
      </c>
      <c r="C124" s="21" t="s">
        <v>41</v>
      </c>
      <c r="D124" s="37">
        <f t="shared" ref="D124:I124" si="82">SUM(D122:D123)</f>
        <v>1869907.2817186397</v>
      </c>
      <c r="E124" s="37">
        <f t="shared" si="82"/>
        <v>0</v>
      </c>
      <c r="F124" s="37">
        <f t="shared" si="82"/>
        <v>0</v>
      </c>
      <c r="G124" s="37">
        <f t="shared" si="82"/>
        <v>0</v>
      </c>
      <c r="H124" s="37">
        <f t="shared" si="82"/>
        <v>0</v>
      </c>
      <c r="I124" s="37">
        <f t="shared" si="82"/>
        <v>0</v>
      </c>
      <c r="J124" s="37">
        <f>SUM(J122:J123)</f>
        <v>0</v>
      </c>
      <c r="K124" s="37">
        <f>SUM(K122:K123)</f>
        <v>0</v>
      </c>
      <c r="L124" s="37">
        <f t="shared" ref="L124:O124" si="83">SUM(L122:L123)</f>
        <v>0</v>
      </c>
      <c r="M124" s="37">
        <f t="shared" si="83"/>
        <v>0</v>
      </c>
      <c r="N124" s="37">
        <f t="shared" si="83"/>
        <v>0</v>
      </c>
      <c r="O124" s="37">
        <f t="shared" si="83"/>
        <v>0</v>
      </c>
      <c r="P124" s="37"/>
      <c r="Q124" s="37"/>
      <c r="R124" s="20"/>
    </row>
    <row r="125" spans="2:18"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20"/>
    </row>
    <row r="126" spans="2:18">
      <c r="B126" s="20" t="s">
        <v>44</v>
      </c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20"/>
    </row>
    <row r="127" spans="2:18">
      <c r="B127" s="21" t="s">
        <v>3</v>
      </c>
      <c r="C127" s="21" t="s">
        <v>4</v>
      </c>
      <c r="D127" s="36" t="s">
        <v>5</v>
      </c>
      <c r="E127" s="36" t="s">
        <v>6</v>
      </c>
      <c r="F127" s="36" t="s">
        <v>7</v>
      </c>
      <c r="G127" s="36" t="s">
        <v>8</v>
      </c>
      <c r="H127" s="36" t="s">
        <v>9</v>
      </c>
      <c r="I127" s="36" t="s">
        <v>10</v>
      </c>
      <c r="J127" s="36" t="s">
        <v>11</v>
      </c>
      <c r="K127" s="36" t="s">
        <v>12</v>
      </c>
      <c r="L127" s="36" t="s">
        <v>13</v>
      </c>
      <c r="M127" s="36" t="s">
        <v>14</v>
      </c>
      <c r="N127" s="36" t="s">
        <v>15</v>
      </c>
      <c r="O127" s="36" t="s">
        <v>16</v>
      </c>
      <c r="P127" s="36"/>
      <c r="Q127" s="36" t="s">
        <v>17</v>
      </c>
      <c r="R127" s="20"/>
    </row>
    <row r="128" spans="2:18">
      <c r="B128" s="64" t="s">
        <v>45</v>
      </c>
      <c r="C128" s="21" t="s">
        <v>36</v>
      </c>
      <c r="D128" s="117">
        <v>0</v>
      </c>
      <c r="E128" s="117">
        <v>23648460</v>
      </c>
      <c r="F128" s="117">
        <v>0</v>
      </c>
      <c r="G128" s="117">
        <v>24440960</v>
      </c>
      <c r="H128" s="117">
        <v>0</v>
      </c>
      <c r="I128" s="117">
        <v>25959460</v>
      </c>
      <c r="J128" s="117">
        <v>0</v>
      </c>
      <c r="K128" s="117">
        <v>25818460</v>
      </c>
      <c r="L128" s="117">
        <v>0</v>
      </c>
      <c r="M128" s="117">
        <v>25063960</v>
      </c>
      <c r="N128" s="117">
        <v>0</v>
      </c>
      <c r="O128" s="117">
        <v>25818460</v>
      </c>
      <c r="P128" s="37"/>
      <c r="Q128" s="37">
        <v>0</v>
      </c>
      <c r="R128" s="20"/>
    </row>
    <row r="129" spans="2:18">
      <c r="B129" s="68"/>
      <c r="C129" s="21" t="s">
        <v>19</v>
      </c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37">
        <f>SUM(D129:O129)</f>
        <v>0</v>
      </c>
      <c r="Q129" s="37" t="e">
        <f t="shared" ref="Q129" si="84">AVERAGE(D129:O129)</f>
        <v>#DIV/0!</v>
      </c>
      <c r="R129" s="42">
        <f>SUM(D129:O129)</f>
        <v>0</v>
      </c>
    </row>
    <row r="130" spans="2:18">
      <c r="B130" s="69"/>
      <c r="C130" s="21" t="s">
        <v>37</v>
      </c>
      <c r="D130" s="117">
        <f t="shared" ref="D130:O130" si="85">D129-D128</f>
        <v>0</v>
      </c>
      <c r="E130" s="117">
        <f t="shared" si="85"/>
        <v>-23648460</v>
      </c>
      <c r="F130" s="117">
        <f t="shared" si="85"/>
        <v>0</v>
      </c>
      <c r="G130" s="117">
        <f t="shared" si="85"/>
        <v>-24440960</v>
      </c>
      <c r="H130" s="117">
        <f t="shared" si="85"/>
        <v>0</v>
      </c>
      <c r="I130" s="117">
        <f t="shared" si="85"/>
        <v>-25959460</v>
      </c>
      <c r="J130" s="117">
        <f t="shared" si="85"/>
        <v>0</v>
      </c>
      <c r="K130" s="117">
        <f t="shared" si="85"/>
        <v>-25818460</v>
      </c>
      <c r="L130" s="117">
        <f t="shared" si="85"/>
        <v>0</v>
      </c>
      <c r="M130" s="117">
        <f t="shared" si="85"/>
        <v>-25063960</v>
      </c>
      <c r="N130" s="117">
        <f t="shared" si="85"/>
        <v>0</v>
      </c>
      <c r="O130" s="117">
        <f t="shared" si="85"/>
        <v>-25818460</v>
      </c>
      <c r="P130" s="37"/>
      <c r="Q130" s="37" t="e">
        <f t="shared" ref="Q130" si="86">Q129-Q128</f>
        <v>#DIV/0!</v>
      </c>
      <c r="R130" s="20"/>
    </row>
    <row r="131" spans="2:18">
      <c r="B131" s="64" t="s">
        <v>195</v>
      </c>
      <c r="C131" s="21" t="s">
        <v>36</v>
      </c>
      <c r="D131" s="117">
        <v>0</v>
      </c>
      <c r="E131" s="117">
        <v>0</v>
      </c>
      <c r="F131" s="117">
        <v>0</v>
      </c>
      <c r="G131" s="117">
        <v>0</v>
      </c>
      <c r="H131" s="117">
        <v>0</v>
      </c>
      <c r="I131" s="117">
        <v>0</v>
      </c>
      <c r="J131" s="117">
        <v>0</v>
      </c>
      <c r="K131" s="117">
        <v>0</v>
      </c>
      <c r="L131" s="117">
        <v>0</v>
      </c>
      <c r="M131" s="117">
        <v>0</v>
      </c>
      <c r="N131" s="117">
        <v>0</v>
      </c>
      <c r="O131" s="117">
        <v>0</v>
      </c>
      <c r="P131" s="37"/>
      <c r="Q131" s="37">
        <v>0</v>
      </c>
      <c r="R131" s="20"/>
    </row>
    <row r="132" spans="2:18">
      <c r="B132" s="68"/>
      <c r="C132" s="21" t="s">
        <v>19</v>
      </c>
      <c r="D132" s="117">
        <v>2069672</v>
      </c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37">
        <f>SUM(D132:O132)</f>
        <v>2069672</v>
      </c>
      <c r="Q132" s="37">
        <f t="shared" ref="Q132" si="87">AVERAGE(D132:O132)</f>
        <v>2069672</v>
      </c>
      <c r="R132" s="20"/>
    </row>
    <row r="133" spans="2:18">
      <c r="B133" s="69"/>
      <c r="C133" s="21" t="s">
        <v>37</v>
      </c>
      <c r="D133" s="117">
        <f t="shared" ref="D133:O133" si="88">D132-D131</f>
        <v>2069672</v>
      </c>
      <c r="E133" s="117">
        <f t="shared" si="88"/>
        <v>0</v>
      </c>
      <c r="F133" s="117">
        <f t="shared" si="88"/>
        <v>0</v>
      </c>
      <c r="G133" s="117">
        <f t="shared" si="88"/>
        <v>0</v>
      </c>
      <c r="H133" s="117">
        <f t="shared" si="88"/>
        <v>0</v>
      </c>
      <c r="I133" s="117">
        <f t="shared" si="88"/>
        <v>0</v>
      </c>
      <c r="J133" s="117">
        <f t="shared" si="88"/>
        <v>0</v>
      </c>
      <c r="K133" s="117">
        <f t="shared" si="88"/>
        <v>0</v>
      </c>
      <c r="L133" s="117">
        <f t="shared" si="88"/>
        <v>0</v>
      </c>
      <c r="M133" s="117">
        <f t="shared" si="88"/>
        <v>0</v>
      </c>
      <c r="N133" s="117">
        <f t="shared" si="88"/>
        <v>0</v>
      </c>
      <c r="O133" s="117">
        <f t="shared" si="88"/>
        <v>0</v>
      </c>
      <c r="P133" s="37"/>
      <c r="Q133" s="37">
        <f t="shared" ref="Q133" si="89">Q132-Q131</f>
        <v>2069672</v>
      </c>
      <c r="R133" s="20"/>
    </row>
    <row r="134" spans="2:18">
      <c r="D134" s="70" t="s">
        <v>196</v>
      </c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20"/>
    </row>
    <row r="135" spans="2:18"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20"/>
    </row>
  </sheetData>
  <phoneticPr fontId="2"/>
  <pageMargins left="0.70866141732283472" right="0.70866141732283472" top="0.74803149606299213" bottom="0.74803149606299213" header="0.31496062992125984" footer="0.31496062992125984"/>
  <pageSetup paperSize="8" scale="82" orientation="landscape" r:id="rId1"/>
  <colBreaks count="1" manualBreakCount="1">
    <brk id="17" min="35" max="12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8B2A0-DEEF-4CAE-BE6E-5242A1055AFD}">
  <dimension ref="B1:AE192"/>
  <sheetViews>
    <sheetView tabSelected="1" view="pageBreakPreview" topLeftCell="A93" zoomScale="94" zoomScaleNormal="110" zoomScaleSheetLayoutView="70" workbookViewId="0">
      <selection activeCell="F106" sqref="F106"/>
    </sheetView>
  </sheetViews>
  <sheetFormatPr defaultColWidth="9" defaultRowHeight="12.75"/>
  <cols>
    <col min="1" max="2" width="3.25" style="20" customWidth="1"/>
    <col min="3" max="3" width="20.25" style="20" customWidth="1"/>
    <col min="4" max="5" width="11.625" style="20" customWidth="1"/>
    <col min="6" max="6" width="12.875" style="20" bestFit="1" customWidth="1"/>
    <col min="7" max="8" width="11.625" style="20" customWidth="1"/>
    <col min="9" max="14" width="12.75" style="20" bestFit="1" customWidth="1"/>
    <col min="15" max="16" width="13.875" style="20" bestFit="1" customWidth="1"/>
    <col min="17" max="17" width="12.75" style="20" bestFit="1" customWidth="1"/>
    <col min="18" max="21" width="11.625" style="20" customWidth="1"/>
    <col min="22" max="28" width="15.25" style="20" customWidth="1"/>
    <col min="29" max="29" width="12.75" style="34" customWidth="1"/>
    <col min="30" max="30" width="15.125" style="20" customWidth="1"/>
    <col min="31" max="36" width="11.25" style="20" customWidth="1"/>
    <col min="37" max="16384" width="9" style="20"/>
  </cols>
  <sheetData>
    <row r="1" spans="2:29" ht="14.25">
      <c r="B1" s="22" t="s">
        <v>0</v>
      </c>
    </row>
    <row r="2" spans="2:29">
      <c r="B2" s="20" t="s">
        <v>52</v>
      </c>
      <c r="C2" s="20" t="s">
        <v>53</v>
      </c>
    </row>
    <row r="3" spans="2:29">
      <c r="B3" s="20" t="s">
        <v>54</v>
      </c>
    </row>
    <row r="5" spans="2:29">
      <c r="B5" s="20" t="s">
        <v>49</v>
      </c>
      <c r="AC5" s="20"/>
    </row>
    <row r="6" spans="2:29">
      <c r="B6" s="21"/>
      <c r="C6" s="43" t="s">
        <v>55</v>
      </c>
      <c r="D6" s="36" t="s">
        <v>5</v>
      </c>
      <c r="E6" s="36" t="s">
        <v>6</v>
      </c>
      <c r="F6" s="36" t="s">
        <v>7</v>
      </c>
      <c r="G6" s="36" t="s">
        <v>51</v>
      </c>
      <c r="H6" s="36" t="s">
        <v>56</v>
      </c>
      <c r="I6" s="36" t="s">
        <v>10</v>
      </c>
      <c r="J6" s="36" t="s">
        <v>11</v>
      </c>
      <c r="K6" s="36" t="s">
        <v>12</v>
      </c>
      <c r="L6" s="36" t="s">
        <v>13</v>
      </c>
      <c r="M6" s="36" t="s">
        <v>14</v>
      </c>
      <c r="N6" s="36" t="s">
        <v>15</v>
      </c>
      <c r="O6" s="36" t="s">
        <v>16</v>
      </c>
      <c r="P6" s="36" t="s">
        <v>57</v>
      </c>
      <c r="Q6" s="43" t="s">
        <v>17</v>
      </c>
      <c r="AC6" s="20"/>
    </row>
    <row r="7" spans="2:29">
      <c r="B7" s="21"/>
      <c r="C7" s="21" t="s">
        <v>59</v>
      </c>
      <c r="D7" s="116">
        <v>56614872</v>
      </c>
      <c r="E7" s="116">
        <v>56755116</v>
      </c>
      <c r="F7" s="116">
        <v>32859912</v>
      </c>
      <c r="G7" s="116">
        <v>80038228</v>
      </c>
      <c r="H7" s="116">
        <v>64992150</v>
      </c>
      <c r="I7" s="116">
        <v>56433912</v>
      </c>
      <c r="J7" s="116">
        <v>70295316</v>
      </c>
      <c r="K7" s="116">
        <v>48766692</v>
      </c>
      <c r="L7" s="116">
        <v>51104754</v>
      </c>
      <c r="M7" s="116">
        <v>60329292</v>
      </c>
      <c r="N7" s="116">
        <v>56033148</v>
      </c>
      <c r="O7" s="116">
        <v>42381756</v>
      </c>
      <c r="P7" s="116">
        <f>SUM(D7:O7)</f>
        <v>676605148</v>
      </c>
      <c r="Q7" s="38">
        <f>AVERAGE(I7:O7)</f>
        <v>55049267.142857142</v>
      </c>
      <c r="AC7" s="20"/>
    </row>
    <row r="8" spans="2:29">
      <c r="B8" s="21"/>
      <c r="C8" s="21" t="s">
        <v>60</v>
      </c>
      <c r="D8" s="116">
        <v>1500000</v>
      </c>
      <c r="E8" s="116">
        <v>23064585</v>
      </c>
      <c r="F8" s="116">
        <v>14304212</v>
      </c>
      <c r="G8" s="116">
        <v>10886280</v>
      </c>
      <c r="H8" s="116">
        <v>8592340</v>
      </c>
      <c r="I8" s="116">
        <v>11049800</v>
      </c>
      <c r="J8" s="116">
        <v>587844</v>
      </c>
      <c r="K8" s="116">
        <v>15868280</v>
      </c>
      <c r="L8" s="116">
        <v>1245160</v>
      </c>
      <c r="M8" s="116">
        <v>12867470</v>
      </c>
      <c r="N8" s="116">
        <v>867000</v>
      </c>
      <c r="O8" s="116">
        <v>17919060</v>
      </c>
      <c r="P8" s="116">
        <f>SUM(D8:O8)</f>
        <v>118752031</v>
      </c>
      <c r="Q8" s="38">
        <f>AVERAGE(D8:O8)</f>
        <v>9896002.583333334</v>
      </c>
      <c r="U8" s="40"/>
      <c r="V8" s="41"/>
      <c r="W8" s="41"/>
      <c r="AC8" s="20"/>
    </row>
    <row r="9" spans="2:29">
      <c r="B9" s="21"/>
      <c r="C9" s="21" t="s">
        <v>61</v>
      </c>
      <c r="D9" s="116">
        <v>0</v>
      </c>
      <c r="E9" s="116">
        <v>0</v>
      </c>
      <c r="F9" s="116">
        <v>10129476</v>
      </c>
      <c r="G9" s="116">
        <v>0</v>
      </c>
      <c r="H9" s="116">
        <v>0</v>
      </c>
      <c r="I9" s="116">
        <v>0</v>
      </c>
      <c r="J9" s="116">
        <v>0</v>
      </c>
      <c r="K9" s="116">
        <v>0</v>
      </c>
      <c r="L9" s="116">
        <v>0</v>
      </c>
      <c r="M9" s="116">
        <v>0</v>
      </c>
      <c r="N9" s="116">
        <v>0</v>
      </c>
      <c r="O9" s="116">
        <v>0</v>
      </c>
      <c r="P9" s="116">
        <f>SUM(D9:O9)</f>
        <v>10129476</v>
      </c>
      <c r="Q9" s="21"/>
      <c r="AC9" s="20"/>
    </row>
    <row r="10" spans="2:29">
      <c r="B10" s="21"/>
      <c r="C10" s="63" t="s">
        <v>62</v>
      </c>
      <c r="D10" s="111">
        <v>58114872</v>
      </c>
      <c r="E10" s="111">
        <v>79819701</v>
      </c>
      <c r="F10" s="111">
        <v>57293600</v>
      </c>
      <c r="G10" s="111">
        <v>90924508</v>
      </c>
      <c r="H10" s="111">
        <v>73584490</v>
      </c>
      <c r="I10" s="111">
        <v>67483712</v>
      </c>
      <c r="J10" s="111">
        <v>70883160</v>
      </c>
      <c r="K10" s="111">
        <v>64634972</v>
      </c>
      <c r="L10" s="111">
        <v>52349914</v>
      </c>
      <c r="M10" s="111">
        <v>73196762</v>
      </c>
      <c r="N10" s="111">
        <v>56900148</v>
      </c>
      <c r="O10" s="111">
        <v>59273616</v>
      </c>
      <c r="P10" s="111">
        <f t="shared" ref="P10" si="0">SUM(P7:P9)</f>
        <v>805486655</v>
      </c>
      <c r="Q10" s="76">
        <f>AVERAGE(G10:O10)</f>
        <v>67692364.666666672</v>
      </c>
      <c r="AC10" s="20"/>
    </row>
    <row r="11" spans="2:29">
      <c r="B11" s="21"/>
      <c r="C11" s="21" t="s">
        <v>63</v>
      </c>
      <c r="D11" s="116">
        <v>1320000</v>
      </c>
      <c r="E11" s="116">
        <v>21395940</v>
      </c>
      <c r="F11" s="116">
        <v>13593995</v>
      </c>
      <c r="G11" s="116">
        <v>10441980</v>
      </c>
      <c r="H11" s="116">
        <v>8164489</v>
      </c>
      <c r="I11" s="116">
        <v>10624160</v>
      </c>
      <c r="J11" s="116">
        <v>336000</v>
      </c>
      <c r="K11" s="116">
        <v>15618180</v>
      </c>
      <c r="L11" s="116">
        <v>1245160</v>
      </c>
      <c r="M11" s="116">
        <v>11755990</v>
      </c>
      <c r="N11" s="116">
        <v>841500</v>
      </c>
      <c r="O11" s="116">
        <v>17118580</v>
      </c>
      <c r="P11" s="116">
        <f>SUM(D11:O11)</f>
        <v>112455974</v>
      </c>
      <c r="Q11" s="38">
        <f>AVERAGE(D11:O11)</f>
        <v>9371331.166666666</v>
      </c>
      <c r="AC11" s="20"/>
    </row>
    <row r="12" spans="2:29">
      <c r="B12" s="21"/>
      <c r="C12" s="21" t="s">
        <v>64</v>
      </c>
      <c r="D12" s="116">
        <v>52090716</v>
      </c>
      <c r="E12" s="116">
        <v>52170480</v>
      </c>
      <c r="F12" s="116">
        <v>30160992</v>
      </c>
      <c r="G12" s="116">
        <v>73121640</v>
      </c>
      <c r="H12" s="116">
        <v>59688864</v>
      </c>
      <c r="I12" s="116">
        <v>51756984</v>
      </c>
      <c r="J12" s="116">
        <v>64528008</v>
      </c>
      <c r="K12" s="116">
        <v>44777096</v>
      </c>
      <c r="L12" s="116">
        <v>46954824</v>
      </c>
      <c r="M12" s="116">
        <v>55445232</v>
      </c>
      <c r="N12" s="116">
        <v>50962092</v>
      </c>
      <c r="O12" s="116">
        <v>38960712</v>
      </c>
      <c r="P12" s="116">
        <f>SUM(D12:O12)</f>
        <v>620617640</v>
      </c>
      <c r="Q12" s="38">
        <f>AVERAGE(D12:O12)</f>
        <v>51718136.666666664</v>
      </c>
      <c r="AC12" s="20"/>
    </row>
    <row r="13" spans="2:29">
      <c r="B13" s="21"/>
      <c r="C13" s="63" t="s">
        <v>65</v>
      </c>
      <c r="D13" s="111">
        <v>53410716</v>
      </c>
      <c r="E13" s="111">
        <v>73566420</v>
      </c>
      <c r="F13" s="111">
        <v>43754987</v>
      </c>
      <c r="G13" s="111">
        <v>83563620</v>
      </c>
      <c r="H13" s="111">
        <v>67853353</v>
      </c>
      <c r="I13" s="111">
        <v>62381144</v>
      </c>
      <c r="J13" s="111">
        <v>64864008</v>
      </c>
      <c r="K13" s="111">
        <v>60395276</v>
      </c>
      <c r="L13" s="111">
        <v>48199984</v>
      </c>
      <c r="M13" s="111">
        <v>67201222</v>
      </c>
      <c r="N13" s="111">
        <v>51803592</v>
      </c>
      <c r="O13" s="111">
        <v>56079292</v>
      </c>
      <c r="P13" s="111">
        <f t="shared" ref="P13" si="1">SUM(P11:P12)</f>
        <v>733073614</v>
      </c>
      <c r="Q13" s="76">
        <f>AVERAGE(G13:O13)</f>
        <v>62482387.888888888</v>
      </c>
      <c r="AC13" s="20"/>
    </row>
    <row r="14" spans="2:29">
      <c r="B14" s="21"/>
      <c r="C14" s="63" t="s">
        <v>66</v>
      </c>
      <c r="D14" s="111">
        <v>4704156</v>
      </c>
      <c r="E14" s="111">
        <v>6253281</v>
      </c>
      <c r="F14" s="111">
        <v>13538613</v>
      </c>
      <c r="G14" s="111">
        <v>7360888</v>
      </c>
      <c r="H14" s="111">
        <v>5731137</v>
      </c>
      <c r="I14" s="111">
        <v>5102568</v>
      </c>
      <c r="J14" s="111">
        <v>6019152</v>
      </c>
      <c r="K14" s="111">
        <v>4239696</v>
      </c>
      <c r="L14" s="111">
        <v>4149930</v>
      </c>
      <c r="M14" s="111">
        <v>5995540</v>
      </c>
      <c r="N14" s="111">
        <v>5096556</v>
      </c>
      <c r="O14" s="111">
        <v>3194324</v>
      </c>
      <c r="P14" s="111">
        <f t="shared" ref="P14" si="2">P10-P13</f>
        <v>72413041</v>
      </c>
      <c r="Q14" s="76">
        <f>AVERAGE(G14:O14)</f>
        <v>5209976.777777778</v>
      </c>
      <c r="AC14" s="20"/>
    </row>
    <row r="15" spans="2:29">
      <c r="B15" s="21"/>
      <c r="C15" s="21" t="s">
        <v>67</v>
      </c>
      <c r="D15" s="116">
        <v>1100000</v>
      </c>
      <c r="E15" s="116">
        <v>1100000</v>
      </c>
      <c r="F15" s="116">
        <v>1100000</v>
      </c>
      <c r="G15" s="116">
        <v>1100000</v>
      </c>
      <c r="H15" s="116">
        <v>1100000</v>
      </c>
      <c r="I15" s="116">
        <v>1100000</v>
      </c>
      <c r="J15" s="116">
        <v>1100000</v>
      </c>
      <c r="K15" s="116">
        <v>1100000</v>
      </c>
      <c r="L15" s="116">
        <v>1100000</v>
      </c>
      <c r="M15" s="116">
        <v>1100000</v>
      </c>
      <c r="N15" s="116">
        <v>1100000</v>
      </c>
      <c r="O15" s="116">
        <v>1100000</v>
      </c>
      <c r="P15" s="116">
        <f t="shared" ref="P15:P16" si="3">SUM(D15:O15)</f>
        <v>13200000</v>
      </c>
      <c r="Q15" s="38">
        <f>AVERAGE(F15:O15)</f>
        <v>1100000</v>
      </c>
      <c r="AC15" s="20"/>
    </row>
    <row r="16" spans="2:29">
      <c r="B16" s="21"/>
      <c r="C16" s="21" t="s">
        <v>68</v>
      </c>
      <c r="D16" s="116">
        <v>2050000</v>
      </c>
      <c r="E16" s="116">
        <v>2050000</v>
      </c>
      <c r="F16" s="116">
        <v>2050000</v>
      </c>
      <c r="G16" s="116">
        <v>2050000</v>
      </c>
      <c r="H16" s="116">
        <v>2050000</v>
      </c>
      <c r="I16" s="116">
        <v>2050000</v>
      </c>
      <c r="J16" s="116">
        <v>1510000</v>
      </c>
      <c r="K16" s="116">
        <v>1726000</v>
      </c>
      <c r="L16" s="116">
        <v>1510000</v>
      </c>
      <c r="M16" s="116">
        <v>1510000</v>
      </c>
      <c r="N16" s="116">
        <v>1510000</v>
      </c>
      <c r="O16" s="116">
        <v>1510000</v>
      </c>
      <c r="P16" s="116">
        <f t="shared" si="3"/>
        <v>21576000</v>
      </c>
      <c r="Q16" s="38">
        <f>AVERAGE(D16:O16)</f>
        <v>1798000</v>
      </c>
      <c r="AC16" s="20"/>
    </row>
    <row r="17" spans="2:29">
      <c r="B17" s="21"/>
      <c r="C17" s="21" t="s">
        <v>178</v>
      </c>
      <c r="D17" s="121">
        <f t="shared" ref="D17:I17" si="4">D27/D70</f>
        <v>16.760016902923436</v>
      </c>
      <c r="E17" s="121">
        <f t="shared" si="4"/>
        <v>14.804942972723703</v>
      </c>
      <c r="F17" s="121">
        <f t="shared" si="4"/>
        <v>8.2193436602606589</v>
      </c>
      <c r="G17" s="121">
        <f t="shared" si="4"/>
        <v>15.281842753890668</v>
      </c>
      <c r="H17" s="121">
        <f t="shared" si="4"/>
        <v>12.634609007855289</v>
      </c>
      <c r="I17" s="121">
        <f t="shared" si="4"/>
        <v>15.552500046024411</v>
      </c>
      <c r="J17" s="121">
        <f t="shared" ref="J17:N17" si="5">J29/J70</f>
        <v>11.770807760141093</v>
      </c>
      <c r="K17" s="121">
        <f t="shared" si="5"/>
        <v>13.260833333333334</v>
      </c>
      <c r="L17" s="121">
        <f t="shared" si="5"/>
        <v>14.648903115537179</v>
      </c>
      <c r="M17" s="121">
        <f t="shared" si="5"/>
        <v>15.945355592545448</v>
      </c>
      <c r="N17" s="121">
        <f t="shared" si="5"/>
        <v>17.969998084891536</v>
      </c>
      <c r="O17" s="121">
        <f>O29/O70</f>
        <v>21.017854750997884</v>
      </c>
      <c r="P17" s="116"/>
      <c r="Q17" s="121">
        <f>AVERAGE(D17:O17)</f>
        <v>14.822250665093719</v>
      </c>
      <c r="AC17" s="20"/>
    </row>
    <row r="18" spans="2:29">
      <c r="B18" s="21"/>
      <c r="C18" s="21" t="s">
        <v>69</v>
      </c>
      <c r="D18" s="38">
        <v>3901582</v>
      </c>
      <c r="E18" s="38">
        <v>4017427</v>
      </c>
      <c r="F18" s="38">
        <v>1546572</v>
      </c>
      <c r="G18" s="38">
        <v>5917718</v>
      </c>
      <c r="H18" s="38">
        <v>3888646</v>
      </c>
      <c r="I18" s="38">
        <v>4140340</v>
      </c>
      <c r="J18" s="38">
        <v>4398890</v>
      </c>
      <c r="K18" s="38">
        <v>3361684</v>
      </c>
      <c r="L18" s="38">
        <v>3347829</v>
      </c>
      <c r="M18" s="38">
        <v>4288533</v>
      </c>
      <c r="N18" s="38">
        <v>4394953</v>
      </c>
      <c r="O18" s="38">
        <v>3770501</v>
      </c>
      <c r="P18" s="116">
        <f>SUM(D18:O18)</f>
        <v>46974675</v>
      </c>
      <c r="Q18" s="38">
        <f>AVERAGE(D18:O18)</f>
        <v>3914556.25</v>
      </c>
      <c r="AC18" s="20"/>
    </row>
    <row r="19" spans="2:29">
      <c r="B19" s="21"/>
      <c r="C19" s="43" t="s">
        <v>141</v>
      </c>
      <c r="D19" s="38">
        <v>9555</v>
      </c>
      <c r="E19" s="38">
        <v>6537</v>
      </c>
      <c r="F19" s="38"/>
      <c r="G19" s="38">
        <v>19563</v>
      </c>
      <c r="H19" s="38">
        <v>14749</v>
      </c>
      <c r="I19" s="38">
        <v>20643</v>
      </c>
      <c r="J19" s="38">
        <v>677</v>
      </c>
      <c r="K19" s="38">
        <v>24237</v>
      </c>
      <c r="L19" s="38">
        <v>12758</v>
      </c>
      <c r="M19" s="38">
        <v>18573</v>
      </c>
      <c r="N19" s="38">
        <v>18573</v>
      </c>
      <c r="O19" s="38">
        <v>0</v>
      </c>
      <c r="P19" s="38">
        <f t="shared" ref="P19:P30" si="6">SUM(D19:O19)</f>
        <v>145865</v>
      </c>
      <c r="Q19" s="38">
        <f>ROUND(AVERAGE(D19:O19),)</f>
        <v>13260</v>
      </c>
      <c r="AC19" s="20"/>
    </row>
    <row r="20" spans="2:29">
      <c r="B20" s="21"/>
      <c r="C20" s="43" t="s">
        <v>142</v>
      </c>
      <c r="D20" s="38">
        <v>26270</v>
      </c>
      <c r="E20" s="38">
        <v>53870</v>
      </c>
      <c r="F20" s="38">
        <v>31920</v>
      </c>
      <c r="G20" s="38">
        <v>24820</v>
      </c>
      <c r="H20" s="38">
        <v>14810</v>
      </c>
      <c r="I20" s="38">
        <v>30240</v>
      </c>
      <c r="J20" s="38">
        <v>29560</v>
      </c>
      <c r="K20" s="38">
        <v>21190</v>
      </c>
      <c r="L20" s="38">
        <v>21830</v>
      </c>
      <c r="M20" s="38">
        <v>40040</v>
      </c>
      <c r="N20" s="38">
        <v>22070</v>
      </c>
      <c r="O20" s="38">
        <v>0</v>
      </c>
      <c r="P20" s="38">
        <f t="shared" si="6"/>
        <v>316620</v>
      </c>
      <c r="Q20" s="38">
        <f t="shared" ref="Q20:Q32" si="7">ROUND(AVERAGE(D20:O20),)</f>
        <v>26385</v>
      </c>
      <c r="AC20" s="20"/>
    </row>
    <row r="21" spans="2:29">
      <c r="B21" s="21"/>
      <c r="C21" s="122" t="s">
        <v>152</v>
      </c>
      <c r="D21" s="38">
        <v>0</v>
      </c>
      <c r="E21" s="38">
        <v>0</v>
      </c>
      <c r="F21" s="38"/>
      <c r="G21" s="38">
        <v>0</v>
      </c>
      <c r="H21" s="38">
        <v>40480</v>
      </c>
      <c r="I21" s="38"/>
      <c r="J21" s="38"/>
      <c r="K21" s="38"/>
      <c r="L21" s="38"/>
      <c r="M21" s="38"/>
      <c r="N21" s="38"/>
      <c r="O21" s="38"/>
      <c r="P21" s="38">
        <f t="shared" si="6"/>
        <v>40480</v>
      </c>
      <c r="Q21" s="38">
        <f t="shared" si="7"/>
        <v>10120</v>
      </c>
      <c r="AC21" s="20"/>
    </row>
    <row r="22" spans="2:29">
      <c r="B22" s="21"/>
      <c r="C22" s="43" t="s">
        <v>143</v>
      </c>
      <c r="D22" s="38">
        <v>770</v>
      </c>
      <c r="E22" s="38">
        <v>2090</v>
      </c>
      <c r="F22" s="38">
        <v>1045</v>
      </c>
      <c r="G22" s="38">
        <v>2090</v>
      </c>
      <c r="H22" s="38">
        <v>4950</v>
      </c>
      <c r="I22" s="38">
        <v>4180</v>
      </c>
      <c r="J22" s="38">
        <v>6765</v>
      </c>
      <c r="K22" s="38">
        <v>1045</v>
      </c>
      <c r="L22" s="38">
        <v>3135</v>
      </c>
      <c r="M22" s="38">
        <v>7073</v>
      </c>
      <c r="N22" s="38">
        <v>1045</v>
      </c>
      <c r="O22" s="38">
        <v>3465</v>
      </c>
      <c r="P22" s="38">
        <f t="shared" si="6"/>
        <v>37653</v>
      </c>
      <c r="Q22" s="38">
        <f t="shared" si="7"/>
        <v>3138</v>
      </c>
      <c r="AC22" s="20"/>
    </row>
    <row r="23" spans="2:29">
      <c r="B23" s="21"/>
      <c r="C23" s="43" t="s">
        <v>144</v>
      </c>
      <c r="D23" s="38">
        <v>0</v>
      </c>
      <c r="E23" s="38">
        <v>0</v>
      </c>
      <c r="F23" s="38"/>
      <c r="G23" s="38">
        <v>0</v>
      </c>
      <c r="H23" s="38"/>
      <c r="I23" s="38">
        <v>750</v>
      </c>
      <c r="J23" s="38">
        <v>18840</v>
      </c>
      <c r="K23" s="38">
        <v>1430</v>
      </c>
      <c r="L23" s="38">
        <v>4081</v>
      </c>
      <c r="M23" s="38">
        <v>33825</v>
      </c>
      <c r="N23" s="38">
        <v>0</v>
      </c>
      <c r="O23" s="38">
        <v>4118</v>
      </c>
      <c r="P23" s="38">
        <f t="shared" si="6"/>
        <v>63044</v>
      </c>
      <c r="Q23" s="38">
        <f t="shared" si="7"/>
        <v>6304</v>
      </c>
      <c r="AC23" s="20"/>
    </row>
    <row r="24" spans="2:29">
      <c r="B24" s="21"/>
      <c r="C24" s="122" t="s">
        <v>153</v>
      </c>
      <c r="D24" s="38">
        <v>0</v>
      </c>
      <c r="E24" s="38">
        <v>7040</v>
      </c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>
        <f t="shared" si="6"/>
        <v>7040</v>
      </c>
      <c r="Q24" s="38">
        <f t="shared" si="7"/>
        <v>3520</v>
      </c>
      <c r="AC24" s="20"/>
    </row>
    <row r="25" spans="2:29">
      <c r="B25" s="21"/>
      <c r="C25" s="43" t="s">
        <v>145</v>
      </c>
      <c r="D25" s="38">
        <v>0</v>
      </c>
      <c r="E25" s="38">
        <v>18956</v>
      </c>
      <c r="F25" s="38">
        <v>2134</v>
      </c>
      <c r="G25" s="38">
        <v>0</v>
      </c>
      <c r="H25" s="38">
        <v>155845</v>
      </c>
      <c r="I25" s="38"/>
      <c r="J25" s="38">
        <v>560574</v>
      </c>
      <c r="K25" s="38">
        <v>89708</v>
      </c>
      <c r="L25" s="38">
        <v>30296</v>
      </c>
      <c r="M25" s="38">
        <v>0</v>
      </c>
      <c r="N25" s="38">
        <v>67512</v>
      </c>
      <c r="O25" s="38">
        <v>168187</v>
      </c>
      <c r="P25" s="38">
        <f t="shared" si="6"/>
        <v>1093212</v>
      </c>
      <c r="Q25" s="38">
        <f t="shared" si="7"/>
        <v>99383</v>
      </c>
      <c r="AC25" s="20"/>
    </row>
    <row r="26" spans="2:29">
      <c r="B26" s="21"/>
      <c r="C26" s="43" t="s">
        <v>146</v>
      </c>
      <c r="D26" s="38">
        <v>72006</v>
      </c>
      <c r="E26" s="38">
        <v>42493</v>
      </c>
      <c r="F26" s="38">
        <v>25091</v>
      </c>
      <c r="G26" s="38">
        <v>100980</v>
      </c>
      <c r="H26" s="38">
        <v>63613</v>
      </c>
      <c r="I26" s="38">
        <v>139513</v>
      </c>
      <c r="J26" s="38">
        <v>0</v>
      </c>
      <c r="K26" s="38">
        <v>28944</v>
      </c>
      <c r="L26" s="38">
        <v>50296</v>
      </c>
      <c r="M26" s="38">
        <v>23489</v>
      </c>
      <c r="N26" s="38">
        <v>20329</v>
      </c>
      <c r="O26" s="38">
        <v>16856</v>
      </c>
      <c r="P26" s="38">
        <f t="shared" si="6"/>
        <v>583610</v>
      </c>
      <c r="Q26" s="38">
        <f t="shared" si="7"/>
        <v>48634</v>
      </c>
      <c r="AC26" s="20"/>
    </row>
    <row r="27" spans="2:29">
      <c r="B27" s="21"/>
      <c r="C27" s="43" t="s">
        <v>147</v>
      </c>
      <c r="D27" s="38">
        <v>3490240</v>
      </c>
      <c r="E27" s="38">
        <v>3242549</v>
      </c>
      <c r="F27" s="38">
        <v>1190687</v>
      </c>
      <c r="G27" s="38">
        <v>5133660</v>
      </c>
      <c r="H27" s="38">
        <v>3314955</v>
      </c>
      <c r="I27" s="38">
        <v>3379185</v>
      </c>
      <c r="J27" s="38">
        <v>0</v>
      </c>
      <c r="K27" s="38">
        <v>0</v>
      </c>
      <c r="L27" s="38">
        <v>0</v>
      </c>
      <c r="M27" s="38">
        <v>0</v>
      </c>
      <c r="N27" s="38">
        <v>0</v>
      </c>
      <c r="O27" s="38">
        <v>0</v>
      </c>
      <c r="P27" s="38">
        <f t="shared" si="6"/>
        <v>19751276</v>
      </c>
      <c r="Q27" s="38">
        <f t="shared" si="7"/>
        <v>1645940</v>
      </c>
      <c r="AC27" s="20"/>
    </row>
    <row r="28" spans="2:29">
      <c r="B28" s="21"/>
      <c r="C28" s="43" t="s">
        <v>148</v>
      </c>
      <c r="D28" s="38">
        <v>33680</v>
      </c>
      <c r="E28" s="38">
        <v>191848</v>
      </c>
      <c r="F28" s="38">
        <v>143235</v>
      </c>
      <c r="G28" s="38">
        <v>148813</v>
      </c>
      <c r="H28" s="38">
        <v>109302</v>
      </c>
      <c r="I28" s="38"/>
      <c r="J28" s="38">
        <v>0</v>
      </c>
      <c r="K28" s="38">
        <v>90498</v>
      </c>
      <c r="L28" s="38">
        <v>81067</v>
      </c>
      <c r="M28" s="38">
        <v>168099</v>
      </c>
      <c r="N28" s="38">
        <v>0</v>
      </c>
      <c r="O28" s="38">
        <v>187017</v>
      </c>
      <c r="P28" s="38">
        <f t="shared" si="6"/>
        <v>1153559</v>
      </c>
      <c r="Q28" s="38">
        <f t="shared" si="7"/>
        <v>104869</v>
      </c>
      <c r="AC28" s="20"/>
    </row>
    <row r="29" spans="2:29">
      <c r="B29" s="21"/>
      <c r="C29" s="43" t="s">
        <v>149</v>
      </c>
      <c r="D29" s="38">
        <v>0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8">
        <v>3337024</v>
      </c>
      <c r="K29" s="38">
        <v>2737036</v>
      </c>
      <c r="L29" s="38">
        <v>2965480</v>
      </c>
      <c r="M29" s="38">
        <v>3908398</v>
      </c>
      <c r="N29" s="38">
        <v>4128643</v>
      </c>
      <c r="O29" s="38">
        <v>3138302</v>
      </c>
      <c r="P29" s="38">
        <f t="shared" si="6"/>
        <v>20214883</v>
      </c>
      <c r="Q29" s="38">
        <f t="shared" si="7"/>
        <v>1684574</v>
      </c>
      <c r="AC29" s="20"/>
    </row>
    <row r="30" spans="2:29">
      <c r="B30" s="21"/>
      <c r="C30" s="43" t="s">
        <v>150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258632</v>
      </c>
      <c r="J30" s="38">
        <v>0</v>
      </c>
      <c r="K30" s="38">
        <v>179014</v>
      </c>
      <c r="L30" s="38">
        <v>0</v>
      </c>
      <c r="M30" s="38">
        <v>0</v>
      </c>
      <c r="N30" s="38">
        <v>136781</v>
      </c>
      <c r="O30" s="38">
        <v>0</v>
      </c>
      <c r="P30" s="38">
        <f t="shared" si="6"/>
        <v>574427</v>
      </c>
      <c r="Q30" s="38">
        <f t="shared" si="7"/>
        <v>47869</v>
      </c>
      <c r="AC30" s="20"/>
    </row>
    <row r="31" spans="2:29">
      <c r="B31" s="21"/>
      <c r="C31" s="43" t="s">
        <v>151</v>
      </c>
      <c r="D31" s="38">
        <v>0</v>
      </c>
      <c r="E31" s="38">
        <v>144684</v>
      </c>
      <c r="F31" s="38"/>
      <c r="G31" s="38">
        <v>0</v>
      </c>
      <c r="H31" s="38"/>
      <c r="I31" s="38"/>
      <c r="J31" s="38">
        <v>177120</v>
      </c>
      <c r="K31" s="38">
        <v>9696</v>
      </c>
      <c r="L31" s="38">
        <v>0</v>
      </c>
      <c r="M31" s="38">
        <v>0</v>
      </c>
      <c r="N31" s="38">
        <v>0</v>
      </c>
      <c r="O31" s="38">
        <v>0</v>
      </c>
      <c r="P31" s="38">
        <f>SUM(D31:O31)</f>
        <v>331500</v>
      </c>
      <c r="Q31" s="38">
        <f t="shared" si="7"/>
        <v>36833</v>
      </c>
      <c r="AC31" s="20"/>
    </row>
    <row r="32" spans="2:29">
      <c r="B32" s="21"/>
      <c r="C32" s="43" t="s">
        <v>159</v>
      </c>
      <c r="D32" s="38">
        <v>269061</v>
      </c>
      <c r="E32" s="38">
        <v>307360</v>
      </c>
      <c r="F32" s="38">
        <v>152460</v>
      </c>
      <c r="G32" s="38">
        <v>487792</v>
      </c>
      <c r="H32" s="38">
        <v>169942</v>
      </c>
      <c r="I32" s="37">
        <v>307197</v>
      </c>
      <c r="J32" s="37">
        <v>268330</v>
      </c>
      <c r="K32" s="37">
        <v>178886</v>
      </c>
      <c r="L32" s="38">
        <v>178886</v>
      </c>
      <c r="M32" s="37">
        <v>89036</v>
      </c>
      <c r="N32" s="37">
        <v>0</v>
      </c>
      <c r="O32" s="37">
        <v>252556</v>
      </c>
      <c r="P32" s="38">
        <f>SUM(D32:O32)</f>
        <v>2661506</v>
      </c>
      <c r="Q32" s="38">
        <f t="shared" si="7"/>
        <v>221792</v>
      </c>
      <c r="AC32" s="20"/>
    </row>
    <row r="33" spans="2:29">
      <c r="B33" s="21"/>
      <c r="C33" s="21" t="s">
        <v>80</v>
      </c>
      <c r="D33" s="38">
        <v>112693</v>
      </c>
      <c r="E33" s="38">
        <v>113699</v>
      </c>
      <c r="F33" s="37">
        <v>162333</v>
      </c>
      <c r="G33" s="37">
        <v>103804</v>
      </c>
      <c r="H33" s="38">
        <v>100035</v>
      </c>
      <c r="I33" s="38">
        <v>96727</v>
      </c>
      <c r="J33" s="38">
        <v>120004</v>
      </c>
      <c r="K33" s="38">
        <v>94910</v>
      </c>
      <c r="L33" s="38">
        <v>145136</v>
      </c>
      <c r="M33" s="38">
        <v>71051</v>
      </c>
      <c r="N33" s="38">
        <v>115936</v>
      </c>
      <c r="O33" s="38">
        <v>277217</v>
      </c>
      <c r="P33" s="38">
        <f>SUM(D33:O33)</f>
        <v>1513545</v>
      </c>
      <c r="Q33" s="38">
        <f>AVERAGE(D33:O33)</f>
        <v>126128.75</v>
      </c>
      <c r="AC33" s="20"/>
    </row>
    <row r="34" spans="2:29">
      <c r="B34" s="21"/>
      <c r="C34" s="21" t="s">
        <v>81</v>
      </c>
      <c r="D34" s="38">
        <v>18268</v>
      </c>
      <c r="E34" s="38">
        <v>8624</v>
      </c>
      <c r="F34" s="38">
        <v>8751</v>
      </c>
      <c r="G34" s="38">
        <v>8849</v>
      </c>
      <c r="H34" s="38">
        <v>8863</v>
      </c>
      <c r="I34" s="38">
        <v>13975</v>
      </c>
      <c r="J34" s="38">
        <v>11870</v>
      </c>
      <c r="K34" s="38">
        <v>9262</v>
      </c>
      <c r="L34" s="38">
        <v>9631</v>
      </c>
      <c r="M34" s="38">
        <v>8957</v>
      </c>
      <c r="N34" s="38">
        <v>12722</v>
      </c>
      <c r="O34" s="38">
        <v>16470</v>
      </c>
      <c r="P34" s="38">
        <f>SUM(D34:O34)</f>
        <v>136242</v>
      </c>
      <c r="Q34" s="38">
        <f>AVERAGE(D34:O34)</f>
        <v>11353.5</v>
      </c>
      <c r="AC34" s="20"/>
    </row>
    <row r="35" spans="2:29">
      <c r="B35" s="21"/>
      <c r="C35" s="21" t="s">
        <v>82</v>
      </c>
      <c r="D35" s="38">
        <f t="shared" ref="D35:P35" si="8">SUM(D36:D38)</f>
        <v>10685</v>
      </c>
      <c r="E35" s="38">
        <f t="shared" si="8"/>
        <v>16168</v>
      </c>
      <c r="F35" s="38">
        <f t="shared" si="8"/>
        <v>2514</v>
      </c>
      <c r="G35" s="38">
        <f t="shared" si="8"/>
        <v>40759</v>
      </c>
      <c r="H35" s="38">
        <f t="shared" si="8"/>
        <v>10787</v>
      </c>
      <c r="I35" s="38">
        <f t="shared" si="8"/>
        <v>85534</v>
      </c>
      <c r="J35" s="38">
        <f t="shared" si="8"/>
        <v>130352</v>
      </c>
      <c r="K35" s="38">
        <f t="shared" si="8"/>
        <v>3128</v>
      </c>
      <c r="L35" s="38">
        <f t="shared" si="8"/>
        <v>446009</v>
      </c>
      <c r="M35" s="38">
        <f t="shared" si="8"/>
        <v>6188</v>
      </c>
      <c r="N35" s="38">
        <f t="shared" si="8"/>
        <v>111227</v>
      </c>
      <c r="O35" s="38">
        <f t="shared" si="8"/>
        <v>31850</v>
      </c>
      <c r="P35" s="38">
        <f t="shared" si="8"/>
        <v>895201</v>
      </c>
      <c r="Q35" s="38">
        <f>AVERAGE(D35:O35)</f>
        <v>74600.083333333328</v>
      </c>
      <c r="AC35" s="20"/>
    </row>
    <row r="36" spans="2:29">
      <c r="B36" s="21"/>
      <c r="C36" s="43" t="s">
        <v>169</v>
      </c>
      <c r="D36" s="38">
        <v>10685</v>
      </c>
      <c r="E36" s="38">
        <v>16168</v>
      </c>
      <c r="F36" s="38">
        <v>2514</v>
      </c>
      <c r="G36" s="38">
        <v>40759</v>
      </c>
      <c r="H36" s="38">
        <v>10787</v>
      </c>
      <c r="I36" s="38">
        <v>33834</v>
      </c>
      <c r="J36" s="38">
        <v>130352</v>
      </c>
      <c r="K36" s="38">
        <v>3128</v>
      </c>
      <c r="L36" s="38">
        <v>13609</v>
      </c>
      <c r="M36" s="38">
        <v>6188</v>
      </c>
      <c r="N36" s="38">
        <v>1227</v>
      </c>
      <c r="O36" s="38">
        <f>31850-O37</f>
        <v>10994</v>
      </c>
      <c r="P36" s="38">
        <f t="shared" ref="P36:P37" si="9">SUM(D36:O36)</f>
        <v>280245</v>
      </c>
      <c r="Q36" s="38">
        <f t="shared" ref="Q36" si="10">ROUND(AVERAGE(D36:O36),)</f>
        <v>23354</v>
      </c>
      <c r="AC36" s="20"/>
    </row>
    <row r="37" spans="2:29">
      <c r="B37" s="21"/>
      <c r="C37" s="43" t="s">
        <v>179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110000</v>
      </c>
      <c r="O37" s="38">
        <v>20856</v>
      </c>
      <c r="P37" s="38">
        <f t="shared" si="9"/>
        <v>130856</v>
      </c>
      <c r="Q37" s="38">
        <v>0</v>
      </c>
      <c r="AC37" s="20"/>
    </row>
    <row r="38" spans="2:29">
      <c r="B38" s="21"/>
      <c r="C38" s="43" t="s">
        <v>180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51700</v>
      </c>
      <c r="J38" s="38">
        <v>0</v>
      </c>
      <c r="K38" s="38">
        <v>0</v>
      </c>
      <c r="L38" s="38">
        <v>432400</v>
      </c>
      <c r="M38" s="38">
        <v>0</v>
      </c>
      <c r="N38" s="38">
        <v>0</v>
      </c>
      <c r="O38" s="38">
        <v>0</v>
      </c>
      <c r="P38" s="38">
        <f>SUM(D38:O38)</f>
        <v>484100</v>
      </c>
      <c r="Q38" s="38">
        <v>0</v>
      </c>
      <c r="AC38" s="20"/>
    </row>
    <row r="39" spans="2:29">
      <c r="B39" s="21"/>
      <c r="C39" s="21" t="s">
        <v>83</v>
      </c>
      <c r="D39" s="38">
        <v>0</v>
      </c>
      <c r="E39" s="38">
        <v>1105720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f>SUM(D39:O39)</f>
        <v>1105720</v>
      </c>
      <c r="Q39" s="21"/>
      <c r="AC39" s="20"/>
    </row>
    <row r="40" spans="2:29">
      <c r="B40" s="21"/>
      <c r="C40" s="21" t="s">
        <v>84</v>
      </c>
      <c r="D40" s="38">
        <v>16894</v>
      </c>
      <c r="E40" s="38">
        <v>0</v>
      </c>
      <c r="F40" s="38">
        <v>40472</v>
      </c>
      <c r="G40" s="38">
        <v>0</v>
      </c>
      <c r="H40" s="38">
        <v>49110</v>
      </c>
      <c r="I40" s="38">
        <v>0</v>
      </c>
      <c r="J40" s="38">
        <v>0</v>
      </c>
      <c r="K40" s="38">
        <v>53234</v>
      </c>
      <c r="L40" s="38">
        <v>0</v>
      </c>
      <c r="M40" s="38">
        <v>0</v>
      </c>
      <c r="N40" s="38">
        <v>61297</v>
      </c>
      <c r="O40" s="38">
        <v>0</v>
      </c>
      <c r="P40" s="38">
        <f t="shared" ref="P40:P42" si="11">SUM(D40:O40)</f>
        <v>221007</v>
      </c>
      <c r="Q40" s="38">
        <f>AVERAGE(D40:O40)</f>
        <v>18417.25</v>
      </c>
      <c r="AC40" s="20"/>
    </row>
    <row r="41" spans="2:29">
      <c r="B41" s="21"/>
      <c r="C41" s="21" t="s">
        <v>70</v>
      </c>
      <c r="D41" s="38">
        <v>0</v>
      </c>
      <c r="E41" s="38">
        <v>0</v>
      </c>
      <c r="F41" s="38">
        <v>0</v>
      </c>
      <c r="G41" s="38">
        <v>0</v>
      </c>
      <c r="H41" s="38">
        <v>0</v>
      </c>
      <c r="I41" s="38">
        <v>9790</v>
      </c>
      <c r="J41" s="38">
        <v>0</v>
      </c>
      <c r="K41" s="38">
        <v>0</v>
      </c>
      <c r="L41" s="38">
        <v>1815</v>
      </c>
      <c r="M41" s="38">
        <v>0</v>
      </c>
      <c r="N41" s="38">
        <v>0</v>
      </c>
      <c r="O41" s="38">
        <v>0</v>
      </c>
      <c r="P41" s="38">
        <f t="shared" si="11"/>
        <v>11605</v>
      </c>
      <c r="Q41" s="38">
        <f>AVERAGE(D41:O41)</f>
        <v>967.08333333333337</v>
      </c>
      <c r="AC41" s="20"/>
    </row>
    <row r="42" spans="2:29">
      <c r="B42" s="21"/>
      <c r="C42" s="21" t="s">
        <v>91</v>
      </c>
      <c r="D42" s="38">
        <f>SUM(D43:D55)</f>
        <v>211006</v>
      </c>
      <c r="E42" s="38">
        <f t="shared" ref="E42:O42" si="12">SUM(E43:E55)</f>
        <v>616595</v>
      </c>
      <c r="F42" s="38">
        <f t="shared" si="12"/>
        <v>326904</v>
      </c>
      <c r="G42" s="38">
        <f t="shared" si="12"/>
        <v>117914</v>
      </c>
      <c r="H42" s="38">
        <f t="shared" si="12"/>
        <v>32019</v>
      </c>
      <c r="I42" s="38">
        <f t="shared" si="12"/>
        <v>348496</v>
      </c>
      <c r="J42" s="38">
        <f t="shared" si="12"/>
        <v>157405</v>
      </c>
      <c r="K42" s="38">
        <f t="shared" si="12"/>
        <v>586793</v>
      </c>
      <c r="L42" s="38">
        <f t="shared" si="12"/>
        <v>186056</v>
      </c>
      <c r="M42" s="38">
        <f t="shared" si="12"/>
        <v>231068</v>
      </c>
      <c r="N42" s="38">
        <f t="shared" si="12"/>
        <v>315611</v>
      </c>
      <c r="O42" s="38">
        <f t="shared" si="12"/>
        <v>1288346</v>
      </c>
      <c r="P42" s="38">
        <f t="shared" si="11"/>
        <v>4418213</v>
      </c>
      <c r="Q42" s="38">
        <f>AVERAGE(D42:O42)</f>
        <v>368184.41666666669</v>
      </c>
      <c r="AC42" s="20"/>
    </row>
    <row r="43" spans="2:29">
      <c r="B43" s="21"/>
      <c r="C43" s="122" t="s">
        <v>155</v>
      </c>
      <c r="D43" s="38">
        <v>85167</v>
      </c>
      <c r="E43" s="38">
        <v>247834</v>
      </c>
      <c r="F43" s="38">
        <v>307635</v>
      </c>
      <c r="G43" s="38">
        <v>105506</v>
      </c>
      <c r="H43" s="38">
        <v>21372</v>
      </c>
      <c r="I43" s="38">
        <v>330105</v>
      </c>
      <c r="J43" s="38">
        <v>23347</v>
      </c>
      <c r="K43" s="38">
        <v>271809</v>
      </c>
      <c r="L43" s="38">
        <v>176278</v>
      </c>
      <c r="M43" s="38">
        <v>15670</v>
      </c>
      <c r="N43" s="38">
        <v>304098</v>
      </c>
      <c r="O43" s="38">
        <v>160942</v>
      </c>
      <c r="P43" s="38">
        <f>SUM(D43:O43)</f>
        <v>2049763</v>
      </c>
      <c r="Q43" s="38">
        <f>AVERAGE(D43:O43)</f>
        <v>170813.58333333334</v>
      </c>
      <c r="AC43" s="20"/>
    </row>
    <row r="44" spans="2:29">
      <c r="B44" s="21"/>
      <c r="C44" s="122" t="s">
        <v>156</v>
      </c>
      <c r="D44" s="38">
        <v>2200</v>
      </c>
      <c r="E44" s="38">
        <v>2530</v>
      </c>
      <c r="F44" s="38">
        <v>1980</v>
      </c>
      <c r="G44" s="38">
        <v>1540</v>
      </c>
      <c r="H44" s="38">
        <v>10647</v>
      </c>
      <c r="I44" s="38">
        <v>2310</v>
      </c>
      <c r="J44" s="38">
        <v>990</v>
      </c>
      <c r="K44" s="38">
        <v>2090</v>
      </c>
      <c r="L44" s="38">
        <v>1210</v>
      </c>
      <c r="M44" s="38">
        <v>330</v>
      </c>
      <c r="N44" s="38">
        <v>2090</v>
      </c>
      <c r="O44" s="38">
        <v>1540</v>
      </c>
      <c r="P44" s="38">
        <f>SUM(D44:O44)</f>
        <v>29457</v>
      </c>
      <c r="Q44" s="38">
        <f>AVERAGE(D44:O44)</f>
        <v>2454.75</v>
      </c>
      <c r="AC44" s="20"/>
    </row>
    <row r="45" spans="2:29">
      <c r="B45" s="21"/>
      <c r="C45" s="122" t="s">
        <v>157</v>
      </c>
      <c r="D45" s="38">
        <v>12039</v>
      </c>
      <c r="E45" s="38">
        <v>14231</v>
      </c>
      <c r="F45" s="38">
        <v>17289</v>
      </c>
      <c r="G45" s="38">
        <v>10868</v>
      </c>
      <c r="H45" s="38">
        <v>0</v>
      </c>
      <c r="I45" s="38">
        <v>16081</v>
      </c>
      <c r="J45" s="38">
        <v>4068</v>
      </c>
      <c r="K45" s="38">
        <v>13694</v>
      </c>
      <c r="L45" s="38">
        <v>8568</v>
      </c>
      <c r="M45" s="38">
        <v>6068</v>
      </c>
      <c r="N45" s="38">
        <v>9423</v>
      </c>
      <c r="O45" s="38">
        <v>7194</v>
      </c>
      <c r="P45" s="38">
        <f>SUM(D45:O45)</f>
        <v>119523</v>
      </c>
      <c r="Q45" s="38">
        <f t="shared" ref="Q45:Q68" si="13">AVERAGE(D45:O45)</f>
        <v>9960.25</v>
      </c>
      <c r="AC45" s="20"/>
    </row>
    <row r="46" spans="2:29">
      <c r="B46" s="21"/>
      <c r="C46" s="122" t="s">
        <v>158</v>
      </c>
      <c r="D46" s="38">
        <v>111600</v>
      </c>
      <c r="E46" s="38">
        <v>0</v>
      </c>
      <c r="F46" s="38">
        <v>0</v>
      </c>
      <c r="G46" s="38">
        <v>0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38">
        <v>0</v>
      </c>
      <c r="P46" s="38">
        <f>SUM(D46:O46)</f>
        <v>111600</v>
      </c>
      <c r="Q46" s="38">
        <f t="shared" si="13"/>
        <v>9300</v>
      </c>
      <c r="AC46" s="20"/>
    </row>
    <row r="47" spans="2:29">
      <c r="B47" s="21"/>
      <c r="C47" s="123" t="s">
        <v>160</v>
      </c>
      <c r="D47" s="38">
        <v>0</v>
      </c>
      <c r="E47" s="38">
        <v>330000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8">
        <f t="shared" ref="P47:P68" si="14">SUM(D47:O47)</f>
        <v>330000</v>
      </c>
      <c r="Q47" s="38">
        <f t="shared" si="13"/>
        <v>27500</v>
      </c>
      <c r="AC47" s="20"/>
    </row>
    <row r="48" spans="2:29">
      <c r="B48" s="21"/>
      <c r="C48" s="123" t="s">
        <v>165</v>
      </c>
      <c r="D48" s="38">
        <v>0</v>
      </c>
      <c r="E48" s="38">
        <v>22000</v>
      </c>
      <c r="F48" s="38">
        <v>0</v>
      </c>
      <c r="G48" s="38">
        <v>0</v>
      </c>
      <c r="H48" s="38">
        <v>0</v>
      </c>
      <c r="I48" s="38">
        <v>0</v>
      </c>
      <c r="J48" s="38">
        <v>16500</v>
      </c>
      <c r="K48" s="38">
        <v>0</v>
      </c>
      <c r="L48" s="38">
        <v>0</v>
      </c>
      <c r="M48" s="38">
        <v>22000</v>
      </c>
      <c r="N48" s="38">
        <v>0</v>
      </c>
      <c r="O48" s="38">
        <v>0</v>
      </c>
      <c r="P48" s="38">
        <f t="shared" si="14"/>
        <v>60500</v>
      </c>
      <c r="Q48" s="38">
        <f t="shared" si="13"/>
        <v>5041.666666666667</v>
      </c>
      <c r="AC48" s="20"/>
    </row>
    <row r="49" spans="2:29">
      <c r="B49" s="21"/>
      <c r="C49" s="122" t="s">
        <v>163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62500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f t="shared" si="14"/>
        <v>62500</v>
      </c>
      <c r="Q49" s="38">
        <f t="shared" si="13"/>
        <v>5208.333333333333</v>
      </c>
      <c r="AC49" s="20"/>
    </row>
    <row r="50" spans="2:29">
      <c r="B50" s="21"/>
      <c r="C50" s="122" t="s">
        <v>164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50000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f t="shared" si="14"/>
        <v>50000</v>
      </c>
      <c r="Q50" s="38">
        <f t="shared" si="13"/>
        <v>4166.666666666667</v>
      </c>
      <c r="AC50" s="20"/>
    </row>
    <row r="51" spans="2:29">
      <c r="B51" s="21"/>
      <c r="C51" s="123" t="s">
        <v>174</v>
      </c>
      <c r="D51" s="38">
        <v>0</v>
      </c>
      <c r="E51" s="38">
        <v>0</v>
      </c>
      <c r="F51" s="38">
        <v>0</v>
      </c>
      <c r="G51" s="38">
        <v>0</v>
      </c>
      <c r="H51" s="38">
        <v>0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0</v>
      </c>
      <c r="O51" s="38">
        <v>22000</v>
      </c>
      <c r="P51" s="38">
        <f t="shared" si="14"/>
        <v>22000</v>
      </c>
      <c r="Q51" s="38">
        <f t="shared" si="13"/>
        <v>1833.3333333333333</v>
      </c>
      <c r="AC51" s="20"/>
    </row>
    <row r="52" spans="2:29">
      <c r="B52" s="21"/>
      <c r="C52" s="123" t="s">
        <v>166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79200</v>
      </c>
      <c r="L52" s="38">
        <v>0</v>
      </c>
      <c r="M52" s="38">
        <v>0</v>
      </c>
      <c r="N52" s="38">
        <v>0</v>
      </c>
      <c r="O52" s="38">
        <v>0</v>
      </c>
      <c r="P52" s="38">
        <f t="shared" si="14"/>
        <v>79200</v>
      </c>
      <c r="Q52" s="38">
        <f t="shared" si="13"/>
        <v>6600</v>
      </c>
      <c r="AC52" s="20"/>
    </row>
    <row r="53" spans="2:29">
      <c r="B53" s="21"/>
      <c r="C53" s="123" t="s">
        <v>171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187000</v>
      </c>
      <c r="N53" s="38">
        <v>0</v>
      </c>
      <c r="O53" s="38">
        <v>0</v>
      </c>
      <c r="P53" s="38">
        <f t="shared" si="14"/>
        <v>187000</v>
      </c>
      <c r="Q53" s="38">
        <f t="shared" si="13"/>
        <v>15583.333333333334</v>
      </c>
      <c r="AC53" s="20"/>
    </row>
    <row r="54" spans="2:29">
      <c r="B54" s="21"/>
      <c r="C54" s="123" t="s">
        <v>167</v>
      </c>
      <c r="D54" s="38">
        <v>0</v>
      </c>
      <c r="E54" s="38">
        <v>0</v>
      </c>
      <c r="F54" s="38">
        <v>0</v>
      </c>
      <c r="G54" s="38">
        <v>0</v>
      </c>
      <c r="H54" s="38">
        <v>0</v>
      </c>
      <c r="I54" s="38">
        <v>0</v>
      </c>
      <c r="J54" s="38">
        <v>0</v>
      </c>
      <c r="K54" s="38">
        <v>220000</v>
      </c>
      <c r="L54" s="38">
        <v>0</v>
      </c>
      <c r="M54" s="38">
        <v>0</v>
      </c>
      <c r="N54" s="38">
        <v>0</v>
      </c>
      <c r="O54" s="38">
        <v>0</v>
      </c>
      <c r="P54" s="38">
        <f t="shared" si="14"/>
        <v>220000</v>
      </c>
      <c r="Q54" s="38">
        <f t="shared" si="13"/>
        <v>18333.333333333332</v>
      </c>
      <c r="AC54" s="20"/>
    </row>
    <row r="55" spans="2:29">
      <c r="B55" s="21"/>
      <c r="C55" s="122" t="s">
        <v>173</v>
      </c>
      <c r="D55" s="38">
        <v>0</v>
      </c>
      <c r="E55" s="38">
        <v>0</v>
      </c>
      <c r="F55" s="38">
        <v>0</v>
      </c>
      <c r="G55" s="38">
        <v>0</v>
      </c>
      <c r="H55" s="38">
        <v>0</v>
      </c>
      <c r="I55" s="38">
        <v>0</v>
      </c>
      <c r="J55" s="38">
        <v>0</v>
      </c>
      <c r="K55" s="38">
        <v>0</v>
      </c>
      <c r="L55" s="38">
        <v>0</v>
      </c>
      <c r="M55" s="38">
        <v>0</v>
      </c>
      <c r="N55" s="38">
        <v>0</v>
      </c>
      <c r="O55" s="38">
        <v>1096670</v>
      </c>
      <c r="P55" s="38">
        <f t="shared" si="14"/>
        <v>1096670</v>
      </c>
      <c r="Q55" s="38">
        <f t="shared" si="13"/>
        <v>91389.166666666672</v>
      </c>
      <c r="AC55" s="20"/>
    </row>
    <row r="56" spans="2:29">
      <c r="B56" s="21"/>
      <c r="C56" s="21" t="s">
        <v>85</v>
      </c>
      <c r="D56" s="38">
        <v>255000</v>
      </c>
      <c r="E56" s="38">
        <v>255000</v>
      </c>
      <c r="F56" s="38">
        <v>255000</v>
      </c>
      <c r="G56" s="37">
        <v>505000</v>
      </c>
      <c r="H56" s="38">
        <v>255000</v>
      </c>
      <c r="I56" s="38">
        <v>255000</v>
      </c>
      <c r="J56" s="38">
        <v>255000</v>
      </c>
      <c r="K56" s="38">
        <v>255000</v>
      </c>
      <c r="L56" s="38">
        <v>255000</v>
      </c>
      <c r="M56" s="38">
        <v>255000</v>
      </c>
      <c r="N56" s="38">
        <v>255000</v>
      </c>
      <c r="O56" s="38">
        <v>255000</v>
      </c>
      <c r="P56" s="38">
        <f t="shared" si="14"/>
        <v>3310000</v>
      </c>
      <c r="Q56" s="38">
        <f t="shared" si="13"/>
        <v>275833.33333333331</v>
      </c>
      <c r="AC56" s="20"/>
    </row>
    <row r="57" spans="2:29">
      <c r="B57" s="21"/>
      <c r="C57" s="21" t="s">
        <v>86</v>
      </c>
      <c r="D57" s="38">
        <f>SUM(D58:D60)</f>
        <v>6600</v>
      </c>
      <c r="E57" s="38">
        <f t="shared" ref="E57:O57" si="15">SUM(E58:E60)</f>
        <v>121800</v>
      </c>
      <c r="F57" s="38">
        <f t="shared" si="15"/>
        <v>63052</v>
      </c>
      <c r="G57" s="38">
        <f t="shared" si="15"/>
        <v>50684</v>
      </c>
      <c r="H57" s="38">
        <f t="shared" si="15"/>
        <v>37808</v>
      </c>
      <c r="I57" s="38">
        <f t="shared" si="15"/>
        <v>307390</v>
      </c>
      <c r="J57" s="38">
        <f t="shared" si="15"/>
        <v>268640</v>
      </c>
      <c r="K57" s="38">
        <f t="shared" si="15"/>
        <v>66288</v>
      </c>
      <c r="L57" s="38">
        <f t="shared" si="15"/>
        <v>0</v>
      </c>
      <c r="M57" s="38">
        <f t="shared" si="15"/>
        <v>56400</v>
      </c>
      <c r="N57" s="38">
        <f t="shared" si="15"/>
        <v>0</v>
      </c>
      <c r="O57" s="38">
        <f t="shared" si="15"/>
        <v>78844</v>
      </c>
      <c r="P57" s="38">
        <f t="shared" si="14"/>
        <v>1057506</v>
      </c>
      <c r="Q57" s="38">
        <f t="shared" si="13"/>
        <v>88125.5</v>
      </c>
      <c r="AC57" s="20"/>
    </row>
    <row r="58" spans="2:29">
      <c r="B58" s="21"/>
      <c r="C58" s="122" t="s">
        <v>168</v>
      </c>
      <c r="D58" s="38">
        <v>6600</v>
      </c>
      <c r="E58" s="38">
        <v>121800</v>
      </c>
      <c r="F58" s="38">
        <v>63052</v>
      </c>
      <c r="G58" s="38">
        <v>50684</v>
      </c>
      <c r="H58" s="38">
        <v>37808</v>
      </c>
      <c r="I58" s="38">
        <v>0</v>
      </c>
      <c r="J58" s="38">
        <v>0</v>
      </c>
      <c r="K58" s="38">
        <v>66288</v>
      </c>
      <c r="L58" s="38">
        <v>0</v>
      </c>
      <c r="M58" s="38">
        <v>56400</v>
      </c>
      <c r="N58" s="38">
        <v>0</v>
      </c>
      <c r="O58" s="38">
        <v>78844</v>
      </c>
      <c r="P58" s="38">
        <f>SUM(D58:O58)</f>
        <v>481476</v>
      </c>
      <c r="Q58" s="38">
        <f>AVERAGE(D58:H58,M58,O58)</f>
        <v>59312.571428571428</v>
      </c>
      <c r="AC58" s="20"/>
    </row>
    <row r="59" spans="2:29">
      <c r="B59" s="21"/>
      <c r="C59" s="122" t="s">
        <v>162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307390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8">
        <f>SUM(D59:O59)</f>
        <v>307390</v>
      </c>
      <c r="Q59" s="38">
        <f>AVERAGE(D59:O59)</f>
        <v>25615.833333333332</v>
      </c>
      <c r="AC59" s="20"/>
    </row>
    <row r="60" spans="2:29">
      <c r="B60" s="21"/>
      <c r="C60" s="122" t="s">
        <v>170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268640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8">
        <f>SUM(D60:O60)</f>
        <v>268640</v>
      </c>
      <c r="Q60" s="38">
        <f>AVERAGE(D60:O60)</f>
        <v>22386.666666666668</v>
      </c>
      <c r="AC60" s="20"/>
    </row>
    <row r="61" spans="2:29">
      <c r="B61" s="21"/>
      <c r="C61" s="21" t="s">
        <v>87</v>
      </c>
      <c r="D61" s="38">
        <v>0</v>
      </c>
      <c r="E61" s="38">
        <v>180000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f t="shared" si="14"/>
        <v>180000</v>
      </c>
      <c r="Q61" s="38">
        <f t="shared" si="13"/>
        <v>15000</v>
      </c>
      <c r="AC61" s="20"/>
    </row>
    <row r="62" spans="2:29">
      <c r="B62" s="21"/>
      <c r="C62" s="21" t="s">
        <v>92</v>
      </c>
      <c r="D62" s="38">
        <v>435486</v>
      </c>
      <c r="E62" s="38">
        <v>435486</v>
      </c>
      <c r="F62" s="37">
        <v>433623</v>
      </c>
      <c r="G62" s="38">
        <v>435486</v>
      </c>
      <c r="H62" s="38">
        <v>433623</v>
      </c>
      <c r="I62" s="38">
        <v>433623</v>
      </c>
      <c r="J62" s="38">
        <f>433623+1457720</f>
        <v>1891343</v>
      </c>
      <c r="K62" s="38">
        <v>352898</v>
      </c>
      <c r="L62" s="37">
        <v>357223</v>
      </c>
      <c r="M62" s="38">
        <v>357222.5</v>
      </c>
      <c r="N62" s="38">
        <v>357222.5</v>
      </c>
      <c r="O62" s="38">
        <v>41388</v>
      </c>
      <c r="P62" s="38">
        <f t="shared" si="14"/>
        <v>5964624</v>
      </c>
      <c r="Q62" s="38">
        <f t="shared" si="13"/>
        <v>497052</v>
      </c>
      <c r="AC62" s="20"/>
    </row>
    <row r="63" spans="2:29">
      <c r="B63" s="21"/>
      <c r="C63" s="21" t="s">
        <v>88</v>
      </c>
      <c r="D63" s="38">
        <v>0</v>
      </c>
      <c r="E63" s="38">
        <v>5500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2400</v>
      </c>
      <c r="P63" s="38">
        <f t="shared" si="14"/>
        <v>7900</v>
      </c>
      <c r="Q63" s="38">
        <f t="shared" si="13"/>
        <v>658.33333333333337</v>
      </c>
      <c r="AC63" s="20"/>
    </row>
    <row r="64" spans="2:29">
      <c r="B64" s="21"/>
      <c r="C64" s="21" t="s">
        <v>71</v>
      </c>
      <c r="D64" s="38">
        <v>20017</v>
      </c>
      <c r="E64" s="38">
        <v>14974</v>
      </c>
      <c r="F64" s="38">
        <v>15778</v>
      </c>
      <c r="G64" s="38">
        <v>14905</v>
      </c>
      <c r="H64" s="38">
        <v>21571</v>
      </c>
      <c r="I64" s="38">
        <v>14905</v>
      </c>
      <c r="J64" s="38">
        <v>14905</v>
      </c>
      <c r="K64" s="38">
        <v>15267</v>
      </c>
      <c r="L64" s="38">
        <v>14905</v>
      </c>
      <c r="M64" s="38">
        <v>14905</v>
      </c>
      <c r="N64" s="38">
        <v>17875</v>
      </c>
      <c r="O64" s="38">
        <v>10780</v>
      </c>
      <c r="P64" s="38">
        <f t="shared" si="14"/>
        <v>190787</v>
      </c>
      <c r="Q64" s="38">
        <f>AVERAGE(D64:O64)</f>
        <v>15898.916666666666</v>
      </c>
      <c r="AC64" s="20"/>
    </row>
    <row r="65" spans="2:31">
      <c r="B65" s="21"/>
      <c r="C65" s="124" t="s">
        <v>72</v>
      </c>
      <c r="D65" s="38">
        <v>0</v>
      </c>
      <c r="E65" s="38">
        <v>0</v>
      </c>
      <c r="F65" s="38">
        <v>38600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8">
        <f t="shared" si="14"/>
        <v>38600</v>
      </c>
      <c r="Q65" s="38">
        <f t="shared" si="13"/>
        <v>3216.6666666666665</v>
      </c>
      <c r="AC65" s="20"/>
    </row>
    <row r="66" spans="2:31">
      <c r="B66" s="21"/>
      <c r="C66" s="21" t="s">
        <v>73</v>
      </c>
      <c r="D66" s="38">
        <v>19228</v>
      </c>
      <c r="E66" s="38">
        <v>0</v>
      </c>
      <c r="F66" s="38">
        <v>0</v>
      </c>
      <c r="G66" s="38">
        <v>0</v>
      </c>
      <c r="H66" s="38">
        <v>0</v>
      </c>
      <c r="I66" s="38">
        <v>18374</v>
      </c>
      <c r="J66" s="38">
        <v>27169</v>
      </c>
      <c r="K66" s="38">
        <v>17950</v>
      </c>
      <c r="L66" s="38">
        <v>19740</v>
      </c>
      <c r="M66" s="38">
        <v>2268</v>
      </c>
      <c r="N66" s="38">
        <v>0</v>
      </c>
      <c r="O66" s="38">
        <f>13142+65279</f>
        <v>78421</v>
      </c>
      <c r="P66" s="38">
        <f t="shared" si="14"/>
        <v>183150</v>
      </c>
      <c r="Q66" s="38">
        <f t="shared" si="13"/>
        <v>15262.5</v>
      </c>
      <c r="AC66" s="20"/>
    </row>
    <row r="67" spans="2:31">
      <c r="B67" s="21"/>
      <c r="C67" s="21" t="s">
        <v>74</v>
      </c>
      <c r="D67" s="38">
        <v>10000</v>
      </c>
      <c r="E67" s="38">
        <v>19000</v>
      </c>
      <c r="F67" s="38">
        <v>0</v>
      </c>
      <c r="G67" s="38">
        <v>3000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10000</v>
      </c>
      <c r="P67" s="38">
        <f t="shared" si="14"/>
        <v>42000</v>
      </c>
      <c r="Q67" s="38">
        <f t="shared" si="13"/>
        <v>3500</v>
      </c>
      <c r="AC67" s="20"/>
    </row>
    <row r="68" spans="2:31">
      <c r="B68" s="21"/>
      <c r="C68" s="21" t="s">
        <v>75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385000</v>
      </c>
      <c r="K68" s="38">
        <v>0</v>
      </c>
      <c r="L68" s="38">
        <v>0</v>
      </c>
      <c r="M68" s="38">
        <v>11000</v>
      </c>
      <c r="N68" s="38">
        <v>0</v>
      </c>
      <c r="O68" s="38">
        <v>594000</v>
      </c>
      <c r="P68" s="38">
        <f t="shared" si="14"/>
        <v>990000</v>
      </c>
      <c r="Q68" s="38">
        <f t="shared" si="13"/>
        <v>82500</v>
      </c>
      <c r="AC68" s="20"/>
    </row>
    <row r="69" spans="2:31">
      <c r="B69" s="21"/>
      <c r="C69" s="21" t="s">
        <v>57</v>
      </c>
      <c r="D69" s="111">
        <f t="shared" ref="D69:O69" si="16">SUM(D15:D18,D33:D35,D39:D42,D56:D57,D61:D68)</f>
        <v>8167475.7600169033</v>
      </c>
      <c r="E69" s="111">
        <f t="shared" si="16"/>
        <v>10060007.804942973</v>
      </c>
      <c r="F69" s="111">
        <f t="shared" si="16"/>
        <v>6043607.2193436604</v>
      </c>
      <c r="G69" s="111">
        <f t="shared" si="16"/>
        <v>10348134.281842753</v>
      </c>
      <c r="H69" s="111">
        <f t="shared" si="16"/>
        <v>7987474.6346090082</v>
      </c>
      <c r="I69" s="111">
        <f t="shared" si="16"/>
        <v>8874169.5525000468</v>
      </c>
      <c r="J69" s="111">
        <f t="shared" si="16"/>
        <v>10270589.77080776</v>
      </c>
      <c r="K69" s="111">
        <f t="shared" si="16"/>
        <v>7642427.2608333332</v>
      </c>
      <c r="L69" s="111">
        <f t="shared" si="16"/>
        <v>7393358.6489031157</v>
      </c>
      <c r="M69" s="111">
        <f t="shared" si="16"/>
        <v>7912608.4453555923</v>
      </c>
      <c r="N69" s="111">
        <f t="shared" si="16"/>
        <v>8251861.4699980849</v>
      </c>
      <c r="O69" s="111">
        <f t="shared" si="16"/>
        <v>9065238.0178547502</v>
      </c>
      <c r="P69" s="38">
        <f>SUM(D69:O69)</f>
        <v>102016952.86700799</v>
      </c>
      <c r="Q69" s="38">
        <f>AVERAGE(D69:O69)</f>
        <v>8501412.7389173321</v>
      </c>
      <c r="AC69" s="20"/>
    </row>
    <row r="70" spans="2:31">
      <c r="C70" s="125" t="s">
        <v>181</v>
      </c>
      <c r="D70" s="125">
        <v>208248</v>
      </c>
      <c r="E70" s="125">
        <v>219018</v>
      </c>
      <c r="F70" s="125">
        <v>144864</v>
      </c>
      <c r="G70" s="125">
        <v>335932</v>
      </c>
      <c r="H70" s="125">
        <v>262371</v>
      </c>
      <c r="I70" s="125">
        <v>217276</v>
      </c>
      <c r="J70" s="125">
        <v>283500</v>
      </c>
      <c r="K70" s="125">
        <v>206400</v>
      </c>
      <c r="L70" s="125">
        <v>202437</v>
      </c>
      <c r="M70" s="125">
        <v>245112</v>
      </c>
      <c r="N70" s="125">
        <v>229752</v>
      </c>
      <c r="O70" s="125">
        <v>149316</v>
      </c>
      <c r="P70" s="125">
        <v>2704226</v>
      </c>
    </row>
    <row r="71" spans="2:31">
      <c r="B71" s="20" t="s">
        <v>175</v>
      </c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4"/>
      <c r="AC71" s="20"/>
    </row>
    <row r="72" spans="2:31">
      <c r="B72" s="21"/>
      <c r="C72" s="43" t="s">
        <v>55</v>
      </c>
      <c r="D72" s="152" t="s">
        <v>5</v>
      </c>
      <c r="E72" s="153"/>
      <c r="F72" s="154"/>
      <c r="G72" s="152" t="s">
        <v>6</v>
      </c>
      <c r="H72" s="153"/>
      <c r="I72" s="154"/>
      <c r="J72" s="152" t="s">
        <v>7</v>
      </c>
      <c r="K72" s="153"/>
      <c r="L72" s="154"/>
      <c r="M72" s="152" t="s">
        <v>182</v>
      </c>
      <c r="N72" s="153"/>
      <c r="O72" s="154"/>
      <c r="P72" s="152" t="s">
        <v>183</v>
      </c>
      <c r="Q72" s="153"/>
      <c r="R72" s="154"/>
      <c r="S72" s="152" t="s">
        <v>184</v>
      </c>
      <c r="T72" s="153"/>
      <c r="U72" s="154"/>
      <c r="V72" s="152" t="s">
        <v>76</v>
      </c>
      <c r="W72" s="153"/>
      <c r="X72" s="154"/>
      <c r="AC72" s="20"/>
    </row>
    <row r="73" spans="2:31">
      <c r="B73" s="21"/>
      <c r="C73" s="43" t="s">
        <v>4</v>
      </c>
      <c r="D73" s="126" t="s">
        <v>36</v>
      </c>
      <c r="E73" s="127" t="s">
        <v>19</v>
      </c>
      <c r="F73" s="128" t="s">
        <v>37</v>
      </c>
      <c r="G73" s="126" t="s">
        <v>36</v>
      </c>
      <c r="H73" s="127" t="s">
        <v>19</v>
      </c>
      <c r="I73" s="128" t="s">
        <v>37</v>
      </c>
      <c r="J73" s="126" t="s">
        <v>36</v>
      </c>
      <c r="K73" s="127" t="s">
        <v>19</v>
      </c>
      <c r="L73" s="128" t="s">
        <v>37</v>
      </c>
      <c r="M73" s="126" t="s">
        <v>36</v>
      </c>
      <c r="N73" s="127" t="s">
        <v>19</v>
      </c>
      <c r="O73" s="128" t="s">
        <v>37</v>
      </c>
      <c r="P73" s="126" t="s">
        <v>36</v>
      </c>
      <c r="Q73" s="127" t="s">
        <v>19</v>
      </c>
      <c r="R73" s="128" t="s">
        <v>37</v>
      </c>
      <c r="S73" s="126" t="s">
        <v>36</v>
      </c>
      <c r="T73" s="127" t="s">
        <v>19</v>
      </c>
      <c r="U73" s="128" t="s">
        <v>37</v>
      </c>
      <c r="V73" s="126" t="s">
        <v>36</v>
      </c>
      <c r="W73" s="127" t="s">
        <v>19</v>
      </c>
      <c r="X73" s="128" t="s">
        <v>37</v>
      </c>
      <c r="AC73" s="20"/>
    </row>
    <row r="74" spans="2:31">
      <c r="B74" s="21" t="s">
        <v>52</v>
      </c>
      <c r="C74" s="21" t="s">
        <v>59</v>
      </c>
      <c r="D74" s="129">
        <v>56638710</v>
      </c>
      <c r="E74" s="130"/>
      <c r="F74" s="131">
        <f t="shared" ref="F74:F93" si="17">E74-D74</f>
        <v>-56638710</v>
      </c>
      <c r="G74" s="129">
        <v>56638710</v>
      </c>
      <c r="H74" s="130"/>
      <c r="I74" s="131">
        <f t="shared" ref="I74:I78" si="18">H74-G74</f>
        <v>-56638710</v>
      </c>
      <c r="J74" s="129">
        <v>56638710</v>
      </c>
      <c r="K74" s="130"/>
      <c r="L74" s="131">
        <f t="shared" ref="L74:L78" si="19">K74-J74</f>
        <v>-56638710</v>
      </c>
      <c r="M74" s="129">
        <v>56638710</v>
      </c>
      <c r="N74" s="130"/>
      <c r="O74" s="131">
        <f t="shared" ref="O74:O78" si="20">N74-M74</f>
        <v>-56638710</v>
      </c>
      <c r="P74" s="129">
        <v>56638710</v>
      </c>
      <c r="Q74" s="130"/>
      <c r="R74" s="131">
        <f t="shared" ref="R74:R78" si="21">Q74-P74</f>
        <v>-56638710</v>
      </c>
      <c r="S74" s="129">
        <v>56638710</v>
      </c>
      <c r="T74" s="130"/>
      <c r="U74" s="131">
        <f t="shared" ref="U74:U78" si="22">T74-S74</f>
        <v>-56638710</v>
      </c>
      <c r="V74" s="129">
        <f t="shared" ref="V74:X89" si="23">D74+G74+J74+M74+P74+S74</f>
        <v>339832260</v>
      </c>
      <c r="W74" s="130">
        <f t="shared" si="23"/>
        <v>0</v>
      </c>
      <c r="X74" s="131">
        <f t="shared" si="23"/>
        <v>-339832260</v>
      </c>
      <c r="AC74" s="20"/>
      <c r="AD74" s="20" t="s">
        <v>77</v>
      </c>
      <c r="AE74" s="20">
        <v>288.0652545580889</v>
      </c>
    </row>
    <row r="75" spans="2:31">
      <c r="B75" s="21" t="s">
        <v>52</v>
      </c>
      <c r="C75" s="21" t="s">
        <v>60</v>
      </c>
      <c r="D75" s="132">
        <v>0</v>
      </c>
      <c r="E75" s="130"/>
      <c r="F75" s="131">
        <f t="shared" si="17"/>
        <v>0</v>
      </c>
      <c r="G75" s="132">
        <v>23648460</v>
      </c>
      <c r="H75" s="130"/>
      <c r="I75" s="131">
        <f t="shared" si="18"/>
        <v>-23648460</v>
      </c>
      <c r="J75" s="132">
        <v>0</v>
      </c>
      <c r="K75" s="130"/>
      <c r="L75" s="131">
        <f t="shared" si="19"/>
        <v>0</v>
      </c>
      <c r="M75" s="132">
        <v>24440960</v>
      </c>
      <c r="N75" s="130"/>
      <c r="O75" s="131">
        <f t="shared" si="20"/>
        <v>-24440960</v>
      </c>
      <c r="P75" s="132">
        <v>0</v>
      </c>
      <c r="Q75" s="130"/>
      <c r="R75" s="131">
        <f t="shared" si="21"/>
        <v>0</v>
      </c>
      <c r="S75" s="132">
        <v>25959460</v>
      </c>
      <c r="T75" s="130"/>
      <c r="U75" s="131">
        <f t="shared" si="22"/>
        <v>-25959460</v>
      </c>
      <c r="V75" s="132">
        <f t="shared" si="23"/>
        <v>74048880</v>
      </c>
      <c r="W75" s="130">
        <f t="shared" si="23"/>
        <v>0</v>
      </c>
      <c r="X75" s="131">
        <f t="shared" si="23"/>
        <v>-74048880</v>
      </c>
      <c r="AC75" s="40">
        <f>Y131*10%</f>
        <v>65529733.200000003</v>
      </c>
      <c r="AD75" s="41" t="s">
        <v>78</v>
      </c>
      <c r="AE75" s="41">
        <v>46.443326045942804</v>
      </c>
    </row>
    <row r="76" spans="2:31">
      <c r="B76" s="21"/>
      <c r="C76" s="63" t="s">
        <v>62</v>
      </c>
      <c r="D76" s="133">
        <f>SUM(D74:D75)</f>
        <v>56638710</v>
      </c>
      <c r="E76" s="134">
        <f>SUM(E74:E75)</f>
        <v>0</v>
      </c>
      <c r="F76" s="135">
        <f t="shared" si="17"/>
        <v>-56638710</v>
      </c>
      <c r="G76" s="133">
        <f>SUM(G74:G75)</f>
        <v>80287170</v>
      </c>
      <c r="H76" s="134">
        <f>SUM(H74:H75)</f>
        <v>0</v>
      </c>
      <c r="I76" s="135">
        <f t="shared" si="18"/>
        <v>-80287170</v>
      </c>
      <c r="J76" s="133">
        <f>SUM(J74:J75)</f>
        <v>56638710</v>
      </c>
      <c r="K76" s="134">
        <f>SUM(K74:K75)</f>
        <v>0</v>
      </c>
      <c r="L76" s="135">
        <f t="shared" si="19"/>
        <v>-56638710</v>
      </c>
      <c r="M76" s="133">
        <f>SUM(M74:M75)</f>
        <v>81079670</v>
      </c>
      <c r="N76" s="134">
        <f>SUM(N74:N75)</f>
        <v>0</v>
      </c>
      <c r="O76" s="135">
        <f t="shared" si="20"/>
        <v>-81079670</v>
      </c>
      <c r="P76" s="133">
        <f>SUM(P74:P75)</f>
        <v>56638710</v>
      </c>
      <c r="Q76" s="134">
        <f>SUM(Q74:Q75)</f>
        <v>0</v>
      </c>
      <c r="R76" s="135">
        <f t="shared" si="21"/>
        <v>-56638710</v>
      </c>
      <c r="S76" s="133">
        <f>SUM(S74:S75)</f>
        <v>82598170</v>
      </c>
      <c r="T76" s="134">
        <f>SUM(T74:T75)</f>
        <v>0</v>
      </c>
      <c r="U76" s="135">
        <f t="shared" si="22"/>
        <v>-82598170</v>
      </c>
      <c r="V76" s="133">
        <f t="shared" si="23"/>
        <v>413881140</v>
      </c>
      <c r="W76" s="134">
        <f t="shared" si="23"/>
        <v>0</v>
      </c>
      <c r="X76" s="135">
        <f t="shared" si="23"/>
        <v>-413881140</v>
      </c>
      <c r="AC76" s="20"/>
    </row>
    <row r="77" spans="2:31">
      <c r="B77" s="21"/>
      <c r="C77" s="21" t="s">
        <v>63</v>
      </c>
      <c r="D77" s="132">
        <v>0</v>
      </c>
      <c r="E77" s="130"/>
      <c r="F77" s="131">
        <f t="shared" si="17"/>
        <v>0</v>
      </c>
      <c r="G77" s="132">
        <v>22816920</v>
      </c>
      <c r="H77" s="130"/>
      <c r="I77" s="131">
        <f t="shared" si="18"/>
        <v>-22816920</v>
      </c>
      <c r="J77" s="132">
        <v>0</v>
      </c>
      <c r="K77" s="130"/>
      <c r="L77" s="131">
        <f t="shared" si="19"/>
        <v>0</v>
      </c>
      <c r="M77" s="132">
        <v>23589920</v>
      </c>
      <c r="N77" s="130"/>
      <c r="O77" s="131">
        <f t="shared" si="20"/>
        <v>-23589920</v>
      </c>
      <c r="P77" s="132">
        <v>0</v>
      </c>
      <c r="Q77" s="130"/>
      <c r="R77" s="131">
        <f t="shared" si="21"/>
        <v>0</v>
      </c>
      <c r="S77" s="132">
        <v>24891420</v>
      </c>
      <c r="T77" s="130"/>
      <c r="U77" s="131">
        <f t="shared" si="22"/>
        <v>-24891420</v>
      </c>
      <c r="V77" s="132">
        <f t="shared" si="23"/>
        <v>71298260</v>
      </c>
      <c r="W77" s="130">
        <f t="shared" si="23"/>
        <v>0</v>
      </c>
      <c r="X77" s="131">
        <f t="shared" si="23"/>
        <v>-71298260</v>
      </c>
      <c r="AC77" s="20"/>
    </row>
    <row r="78" spans="2:31">
      <c r="B78" s="21"/>
      <c r="C78" s="21" t="s">
        <v>64</v>
      </c>
      <c r="D78" s="132">
        <v>51939906</v>
      </c>
      <c r="E78" s="130"/>
      <c r="F78" s="131">
        <f t="shared" si="17"/>
        <v>-51939906</v>
      </c>
      <c r="G78" s="132">
        <v>51939906</v>
      </c>
      <c r="H78" s="130"/>
      <c r="I78" s="131">
        <f t="shared" si="18"/>
        <v>-51939906</v>
      </c>
      <c r="J78" s="132">
        <v>51939906</v>
      </c>
      <c r="K78" s="130"/>
      <c r="L78" s="131">
        <f t="shared" si="19"/>
        <v>-51939906</v>
      </c>
      <c r="M78" s="132">
        <v>51939906</v>
      </c>
      <c r="N78" s="130"/>
      <c r="O78" s="131">
        <f t="shared" si="20"/>
        <v>-51939906</v>
      </c>
      <c r="P78" s="132">
        <v>51939906</v>
      </c>
      <c r="Q78" s="130"/>
      <c r="R78" s="131">
        <f t="shared" si="21"/>
        <v>-51939906</v>
      </c>
      <c r="S78" s="132">
        <v>51939906</v>
      </c>
      <c r="T78" s="130"/>
      <c r="U78" s="131">
        <f t="shared" si="22"/>
        <v>-51939906</v>
      </c>
      <c r="V78" s="132">
        <f t="shared" si="23"/>
        <v>311639436</v>
      </c>
      <c r="W78" s="130">
        <f t="shared" si="23"/>
        <v>0</v>
      </c>
      <c r="X78" s="131">
        <f t="shared" si="23"/>
        <v>-311639436</v>
      </c>
      <c r="AC78" s="20"/>
      <c r="AD78" s="20" t="s">
        <v>79</v>
      </c>
      <c r="AE78" s="20">
        <v>42.630358053675174</v>
      </c>
    </row>
    <row r="79" spans="2:31">
      <c r="B79" s="21"/>
      <c r="C79" s="63" t="s">
        <v>65</v>
      </c>
      <c r="D79" s="133">
        <f>SUM(D77:D78)</f>
        <v>51939906</v>
      </c>
      <c r="E79" s="134">
        <f>SUM(E77:E78)</f>
        <v>0</v>
      </c>
      <c r="F79" s="135">
        <f>E79-D79</f>
        <v>-51939906</v>
      </c>
      <c r="G79" s="133">
        <f>SUM(G77:G78)</f>
        <v>74756826</v>
      </c>
      <c r="H79" s="134">
        <f>SUM(H77:H78)</f>
        <v>0</v>
      </c>
      <c r="I79" s="135">
        <f>H79-G79</f>
        <v>-74756826</v>
      </c>
      <c r="J79" s="133">
        <f>SUM(J77:J78)</f>
        <v>51939906</v>
      </c>
      <c r="K79" s="134">
        <f>SUM(K77:K78)</f>
        <v>0</v>
      </c>
      <c r="L79" s="135">
        <f>K79-J79</f>
        <v>-51939906</v>
      </c>
      <c r="M79" s="133">
        <f>SUM(M77:M78)</f>
        <v>75529826</v>
      </c>
      <c r="N79" s="134">
        <f>SUM(N77:N78)</f>
        <v>0</v>
      </c>
      <c r="O79" s="135">
        <f>N79-M79</f>
        <v>-75529826</v>
      </c>
      <c r="P79" s="133">
        <f>SUM(P77:P78)</f>
        <v>51939906</v>
      </c>
      <c r="Q79" s="134">
        <f>SUM(Q77:Q78)</f>
        <v>0</v>
      </c>
      <c r="R79" s="135">
        <f>Q79-P79</f>
        <v>-51939906</v>
      </c>
      <c r="S79" s="133">
        <f>SUM(S77:S78)</f>
        <v>76831326</v>
      </c>
      <c r="T79" s="134">
        <f>SUM(T77:T78)</f>
        <v>0</v>
      </c>
      <c r="U79" s="135">
        <f>T79-S79</f>
        <v>-76831326</v>
      </c>
      <c r="V79" s="133">
        <f t="shared" si="23"/>
        <v>382937696</v>
      </c>
      <c r="W79" s="134">
        <f t="shared" si="23"/>
        <v>0</v>
      </c>
      <c r="X79" s="135">
        <f t="shared" si="23"/>
        <v>-382937696</v>
      </c>
      <c r="AC79" s="20"/>
      <c r="AD79" s="20" t="s">
        <v>64</v>
      </c>
      <c r="AE79" s="20">
        <v>242.98845171598117</v>
      </c>
    </row>
    <row r="80" spans="2:31">
      <c r="B80" s="21"/>
      <c r="C80" s="63" t="s">
        <v>66</v>
      </c>
      <c r="D80" s="133">
        <f>D76-D79</f>
        <v>4698804</v>
      </c>
      <c r="E80" s="134">
        <f>E76-E79</f>
        <v>0</v>
      </c>
      <c r="F80" s="135">
        <f>E80-D80</f>
        <v>-4698804</v>
      </c>
      <c r="G80" s="133">
        <f>G76-G79</f>
        <v>5530344</v>
      </c>
      <c r="H80" s="134">
        <f>H76-H79</f>
        <v>0</v>
      </c>
      <c r="I80" s="135">
        <f>H80-G80</f>
        <v>-5530344</v>
      </c>
      <c r="J80" s="133">
        <f>J76-J79</f>
        <v>4698804</v>
      </c>
      <c r="K80" s="134">
        <f>K76-K79</f>
        <v>0</v>
      </c>
      <c r="L80" s="135">
        <f>K80-J80</f>
        <v>-4698804</v>
      </c>
      <c r="M80" s="133">
        <f>M76-M79</f>
        <v>5549844</v>
      </c>
      <c r="N80" s="134">
        <f>N76-N79</f>
        <v>0</v>
      </c>
      <c r="O80" s="135">
        <f>N80-M80</f>
        <v>-5549844</v>
      </c>
      <c r="P80" s="133">
        <f>P76-P79</f>
        <v>4698804</v>
      </c>
      <c r="Q80" s="134">
        <f>Q76-Q79</f>
        <v>0</v>
      </c>
      <c r="R80" s="135">
        <f>Q80-P80</f>
        <v>-4698804</v>
      </c>
      <c r="S80" s="133">
        <f>S76-S79</f>
        <v>5766844</v>
      </c>
      <c r="T80" s="134">
        <f>T76-T79</f>
        <v>0</v>
      </c>
      <c r="U80" s="135">
        <f>T80-S80</f>
        <v>-5766844</v>
      </c>
      <c r="V80" s="133">
        <f t="shared" si="23"/>
        <v>30943444</v>
      </c>
      <c r="W80" s="134">
        <f t="shared" si="23"/>
        <v>0</v>
      </c>
      <c r="X80" s="135">
        <f t="shared" si="23"/>
        <v>-30943444</v>
      </c>
      <c r="AC80" s="20"/>
    </row>
    <row r="81" spans="2:29">
      <c r="B81" s="21"/>
      <c r="C81" s="21" t="s">
        <v>67</v>
      </c>
      <c r="D81" s="132">
        <v>1100000</v>
      </c>
      <c r="E81" s="130"/>
      <c r="F81" s="131">
        <f t="shared" si="17"/>
        <v>-1100000</v>
      </c>
      <c r="G81" s="132">
        <v>1100000</v>
      </c>
      <c r="H81" s="130"/>
      <c r="I81" s="131">
        <f t="shared" ref="I81:I93" si="24">H81-G81</f>
        <v>-1100000</v>
      </c>
      <c r="J81" s="132">
        <v>1100000</v>
      </c>
      <c r="K81" s="130"/>
      <c r="L81" s="131">
        <f t="shared" ref="L81:L93" si="25">K81-J81</f>
        <v>-1100000</v>
      </c>
      <c r="M81" s="132">
        <v>1100000</v>
      </c>
      <c r="N81" s="130"/>
      <c r="O81" s="131">
        <f t="shared" ref="O81:O93" si="26">N81-M81</f>
        <v>-1100000</v>
      </c>
      <c r="P81" s="132">
        <v>1100000</v>
      </c>
      <c r="Q81" s="130"/>
      <c r="R81" s="131">
        <f t="shared" ref="R81:R93" si="27">Q81-P81</f>
        <v>-1100000</v>
      </c>
      <c r="S81" s="132">
        <v>1100000</v>
      </c>
      <c r="T81" s="130"/>
      <c r="U81" s="131">
        <f t="shared" ref="U81:U93" si="28">T81-S81</f>
        <v>-1100000</v>
      </c>
      <c r="V81" s="132">
        <f t="shared" si="23"/>
        <v>6600000</v>
      </c>
      <c r="W81" s="130">
        <f t="shared" si="23"/>
        <v>0</v>
      </c>
      <c r="X81" s="131">
        <f t="shared" si="23"/>
        <v>-6600000</v>
      </c>
      <c r="AC81" s="20"/>
    </row>
    <row r="82" spans="2:29">
      <c r="B82" s="21"/>
      <c r="C82" s="21" t="s">
        <v>68</v>
      </c>
      <c r="D82" s="132">
        <v>1510000</v>
      </c>
      <c r="E82" s="130"/>
      <c r="F82" s="131">
        <f t="shared" si="17"/>
        <v>-1510000</v>
      </c>
      <c r="G82" s="132">
        <v>1510000</v>
      </c>
      <c r="H82" s="130"/>
      <c r="I82" s="131">
        <f t="shared" si="24"/>
        <v>-1510000</v>
      </c>
      <c r="J82" s="132">
        <v>1510000</v>
      </c>
      <c r="K82" s="130"/>
      <c r="L82" s="131">
        <f t="shared" si="25"/>
        <v>-1510000</v>
      </c>
      <c r="M82" s="132">
        <v>1510000</v>
      </c>
      <c r="N82" s="130"/>
      <c r="O82" s="131">
        <f t="shared" si="26"/>
        <v>-1510000</v>
      </c>
      <c r="P82" s="132">
        <v>1510000</v>
      </c>
      <c r="Q82" s="130"/>
      <c r="R82" s="131">
        <f t="shared" si="27"/>
        <v>-1510000</v>
      </c>
      <c r="S82" s="132">
        <v>1510000</v>
      </c>
      <c r="T82" s="130"/>
      <c r="U82" s="131">
        <f t="shared" si="28"/>
        <v>-1510000</v>
      </c>
      <c r="V82" s="132">
        <f t="shared" si="23"/>
        <v>9060000</v>
      </c>
      <c r="W82" s="130">
        <f t="shared" si="23"/>
        <v>0</v>
      </c>
      <c r="X82" s="131">
        <f t="shared" si="23"/>
        <v>-9060000</v>
      </c>
      <c r="AC82" s="20"/>
    </row>
    <row r="83" spans="2:29">
      <c r="B83" s="21" t="s">
        <v>52</v>
      </c>
      <c r="C83" s="21" t="s">
        <v>69</v>
      </c>
      <c r="D83" s="132">
        <f>SUM(D84:D93)</f>
        <v>3846000</v>
      </c>
      <c r="E83" s="130">
        <f>SUM(E84:E93)</f>
        <v>25906</v>
      </c>
      <c r="F83" s="131">
        <f t="shared" si="17"/>
        <v>-3820094</v>
      </c>
      <c r="G83" s="132">
        <f>SUM(G84:G93)</f>
        <v>3996000</v>
      </c>
      <c r="H83" s="130">
        <f>SUM(H84:H93)</f>
        <v>0</v>
      </c>
      <c r="I83" s="131">
        <f t="shared" si="24"/>
        <v>-3996000</v>
      </c>
      <c r="J83" s="132">
        <f>SUM(J84:J93)</f>
        <v>3846000</v>
      </c>
      <c r="K83" s="130">
        <f>SUM(K84:K93)</f>
        <v>0</v>
      </c>
      <c r="L83" s="131">
        <f t="shared" si="25"/>
        <v>-3846000</v>
      </c>
      <c r="M83" s="132">
        <f>SUM(M84:M93)</f>
        <v>3996000</v>
      </c>
      <c r="N83" s="130">
        <f>SUM(N84:N93)</f>
        <v>0</v>
      </c>
      <c r="O83" s="131">
        <f t="shared" si="26"/>
        <v>-3996000</v>
      </c>
      <c r="P83" s="132">
        <f>SUM(P84:P93)</f>
        <v>3846000</v>
      </c>
      <c r="Q83" s="130">
        <f>SUM(Q84:Q93)</f>
        <v>0</v>
      </c>
      <c r="R83" s="131">
        <f t="shared" si="27"/>
        <v>-3846000</v>
      </c>
      <c r="S83" s="132">
        <f>SUM(S84:S93)</f>
        <v>3996000</v>
      </c>
      <c r="T83" s="130">
        <f>SUM(T84:T93)</f>
        <v>0</v>
      </c>
      <c r="U83" s="131">
        <f t="shared" si="28"/>
        <v>-3996000</v>
      </c>
      <c r="V83" s="132">
        <f t="shared" si="23"/>
        <v>23526000</v>
      </c>
      <c r="W83" s="130">
        <f t="shared" si="23"/>
        <v>25906</v>
      </c>
      <c r="X83" s="131">
        <f t="shared" si="23"/>
        <v>-23500094</v>
      </c>
      <c r="AC83" s="20"/>
    </row>
    <row r="84" spans="2:29">
      <c r="B84" s="136"/>
      <c r="C84" s="137" t="s">
        <v>141</v>
      </c>
      <c r="D84" s="138">
        <v>10000</v>
      </c>
      <c r="E84" s="139"/>
      <c r="F84" s="140">
        <f t="shared" si="17"/>
        <v>-10000</v>
      </c>
      <c r="G84" s="138">
        <v>10000</v>
      </c>
      <c r="H84" s="139"/>
      <c r="I84" s="140">
        <f t="shared" si="24"/>
        <v>-10000</v>
      </c>
      <c r="J84" s="138">
        <v>10000</v>
      </c>
      <c r="K84" s="139"/>
      <c r="L84" s="140">
        <f t="shared" si="25"/>
        <v>-10000</v>
      </c>
      <c r="M84" s="138">
        <v>10000</v>
      </c>
      <c r="N84" s="139"/>
      <c r="O84" s="140">
        <f t="shared" si="26"/>
        <v>-10000</v>
      </c>
      <c r="P84" s="138">
        <v>10000</v>
      </c>
      <c r="Q84" s="139"/>
      <c r="R84" s="140">
        <f t="shared" si="27"/>
        <v>-10000</v>
      </c>
      <c r="S84" s="138">
        <v>10000</v>
      </c>
      <c r="T84" s="139"/>
      <c r="U84" s="140">
        <f t="shared" si="28"/>
        <v>-10000</v>
      </c>
      <c r="V84" s="138"/>
      <c r="W84" s="139">
        <f t="shared" si="23"/>
        <v>0</v>
      </c>
      <c r="X84" s="140"/>
      <c r="AC84" s="20"/>
    </row>
    <row r="85" spans="2:29">
      <c r="B85" s="136"/>
      <c r="C85" s="137" t="s">
        <v>142</v>
      </c>
      <c r="D85" s="138">
        <v>30000</v>
      </c>
      <c r="E85" s="139">
        <v>11870</v>
      </c>
      <c r="F85" s="140">
        <f t="shared" si="17"/>
        <v>-18130</v>
      </c>
      <c r="G85" s="138">
        <v>30000</v>
      </c>
      <c r="H85" s="139"/>
      <c r="I85" s="140">
        <f t="shared" si="24"/>
        <v>-30000</v>
      </c>
      <c r="J85" s="138">
        <v>30000</v>
      </c>
      <c r="K85" s="139"/>
      <c r="L85" s="140">
        <f t="shared" si="25"/>
        <v>-30000</v>
      </c>
      <c r="M85" s="138">
        <v>30000</v>
      </c>
      <c r="N85" s="139"/>
      <c r="O85" s="140">
        <f t="shared" si="26"/>
        <v>-30000</v>
      </c>
      <c r="P85" s="138">
        <v>30000</v>
      </c>
      <c r="Q85" s="139"/>
      <c r="R85" s="140">
        <f t="shared" si="27"/>
        <v>-30000</v>
      </c>
      <c r="S85" s="138">
        <v>30000</v>
      </c>
      <c r="T85" s="139"/>
      <c r="U85" s="140">
        <f t="shared" si="28"/>
        <v>-30000</v>
      </c>
      <c r="V85" s="138"/>
      <c r="W85" s="139">
        <f t="shared" si="23"/>
        <v>11870</v>
      </c>
      <c r="X85" s="140"/>
      <c r="AC85" s="20"/>
    </row>
    <row r="86" spans="2:29">
      <c r="B86" s="136"/>
      <c r="C86" s="137" t="s">
        <v>143</v>
      </c>
      <c r="D86" s="138">
        <v>5000</v>
      </c>
      <c r="E86" s="139">
        <v>14036</v>
      </c>
      <c r="F86" s="140">
        <f t="shared" si="17"/>
        <v>9036</v>
      </c>
      <c r="G86" s="138">
        <v>5000</v>
      </c>
      <c r="H86" s="139"/>
      <c r="I86" s="140">
        <f t="shared" si="24"/>
        <v>-5000</v>
      </c>
      <c r="J86" s="138">
        <v>5000</v>
      </c>
      <c r="K86" s="139"/>
      <c r="L86" s="140">
        <f t="shared" si="25"/>
        <v>-5000</v>
      </c>
      <c r="M86" s="138">
        <v>5000</v>
      </c>
      <c r="N86" s="139"/>
      <c r="O86" s="140">
        <f t="shared" si="26"/>
        <v>-5000</v>
      </c>
      <c r="P86" s="138">
        <v>5000</v>
      </c>
      <c r="Q86" s="139"/>
      <c r="R86" s="140">
        <f t="shared" si="27"/>
        <v>-5000</v>
      </c>
      <c r="S86" s="138">
        <v>5000</v>
      </c>
      <c r="T86" s="139"/>
      <c r="U86" s="140">
        <f t="shared" si="28"/>
        <v>-5000</v>
      </c>
      <c r="V86" s="138"/>
      <c r="W86" s="139">
        <f t="shared" si="23"/>
        <v>14036</v>
      </c>
      <c r="X86" s="140"/>
      <c r="AC86" s="20"/>
    </row>
    <row r="87" spans="2:29">
      <c r="B87" s="136"/>
      <c r="C87" s="137" t="s">
        <v>144</v>
      </c>
      <c r="D87" s="138">
        <v>5000</v>
      </c>
      <c r="E87" s="139"/>
      <c r="F87" s="140">
        <f t="shared" si="17"/>
        <v>-5000</v>
      </c>
      <c r="G87" s="138">
        <v>5000</v>
      </c>
      <c r="H87" s="139"/>
      <c r="I87" s="140">
        <f t="shared" si="24"/>
        <v>-5000</v>
      </c>
      <c r="J87" s="138">
        <v>5000</v>
      </c>
      <c r="K87" s="139"/>
      <c r="L87" s="140">
        <f t="shared" si="25"/>
        <v>-5000</v>
      </c>
      <c r="M87" s="138">
        <v>5000</v>
      </c>
      <c r="N87" s="139"/>
      <c r="O87" s="140">
        <f t="shared" si="26"/>
        <v>-5000</v>
      </c>
      <c r="P87" s="138">
        <v>5000</v>
      </c>
      <c r="Q87" s="139"/>
      <c r="R87" s="140">
        <f t="shared" si="27"/>
        <v>-5000</v>
      </c>
      <c r="S87" s="138">
        <v>5000</v>
      </c>
      <c r="T87" s="139"/>
      <c r="U87" s="140">
        <f t="shared" si="28"/>
        <v>-5000</v>
      </c>
      <c r="V87" s="138"/>
      <c r="W87" s="139">
        <f t="shared" si="23"/>
        <v>0</v>
      </c>
      <c r="X87" s="140"/>
      <c r="AC87" s="20"/>
    </row>
    <row r="88" spans="2:29">
      <c r="B88" s="136"/>
      <c r="C88" s="137" t="s">
        <v>153</v>
      </c>
      <c r="D88" s="138">
        <v>0</v>
      </c>
      <c r="E88" s="139"/>
      <c r="F88" s="140">
        <f t="shared" si="17"/>
        <v>0</v>
      </c>
      <c r="G88" s="138">
        <v>0</v>
      </c>
      <c r="H88" s="139"/>
      <c r="I88" s="140">
        <f t="shared" si="24"/>
        <v>0</v>
      </c>
      <c r="J88" s="138">
        <v>0</v>
      </c>
      <c r="K88" s="139"/>
      <c r="L88" s="140">
        <f t="shared" si="25"/>
        <v>0</v>
      </c>
      <c r="M88" s="138">
        <v>0</v>
      </c>
      <c r="N88" s="139"/>
      <c r="O88" s="140">
        <f t="shared" si="26"/>
        <v>0</v>
      </c>
      <c r="P88" s="138">
        <v>0</v>
      </c>
      <c r="Q88" s="139"/>
      <c r="R88" s="140">
        <f t="shared" si="27"/>
        <v>0</v>
      </c>
      <c r="S88" s="138">
        <v>0</v>
      </c>
      <c r="T88" s="139"/>
      <c r="U88" s="140">
        <f t="shared" si="28"/>
        <v>0</v>
      </c>
      <c r="V88" s="138"/>
      <c r="W88" s="139">
        <f t="shared" si="23"/>
        <v>0</v>
      </c>
      <c r="X88" s="140"/>
      <c r="AC88" s="20"/>
    </row>
    <row r="89" spans="2:29">
      <c r="B89" s="136"/>
      <c r="C89" s="137" t="s">
        <v>185</v>
      </c>
      <c r="D89" s="138">
        <v>100000</v>
      </c>
      <c r="E89" s="139"/>
      <c r="F89" s="140">
        <f t="shared" si="17"/>
        <v>-100000</v>
      </c>
      <c r="G89" s="138">
        <v>100000</v>
      </c>
      <c r="H89" s="139"/>
      <c r="I89" s="140">
        <f t="shared" si="24"/>
        <v>-100000</v>
      </c>
      <c r="J89" s="138">
        <v>100000</v>
      </c>
      <c r="K89" s="139"/>
      <c r="L89" s="140">
        <f t="shared" si="25"/>
        <v>-100000</v>
      </c>
      <c r="M89" s="138">
        <v>100000</v>
      </c>
      <c r="N89" s="139"/>
      <c r="O89" s="140">
        <f t="shared" si="26"/>
        <v>-100000</v>
      </c>
      <c r="P89" s="138">
        <v>100000</v>
      </c>
      <c r="Q89" s="139"/>
      <c r="R89" s="140">
        <f t="shared" si="27"/>
        <v>-100000</v>
      </c>
      <c r="S89" s="138">
        <v>100000</v>
      </c>
      <c r="T89" s="139"/>
      <c r="U89" s="140">
        <f t="shared" si="28"/>
        <v>-100000</v>
      </c>
      <c r="V89" s="138"/>
      <c r="W89" s="139">
        <f t="shared" si="23"/>
        <v>0</v>
      </c>
      <c r="X89" s="140"/>
      <c r="AC89" s="20"/>
    </row>
    <row r="90" spans="2:29">
      <c r="B90" s="136"/>
      <c r="C90" s="137" t="s">
        <v>146</v>
      </c>
      <c r="D90" s="138">
        <v>50000</v>
      </c>
      <c r="E90" s="139"/>
      <c r="F90" s="140">
        <f t="shared" si="17"/>
        <v>-50000</v>
      </c>
      <c r="G90" s="138">
        <v>50000</v>
      </c>
      <c r="H90" s="139"/>
      <c r="I90" s="140">
        <f t="shared" si="24"/>
        <v>-50000</v>
      </c>
      <c r="J90" s="138">
        <v>50000</v>
      </c>
      <c r="K90" s="139"/>
      <c r="L90" s="140">
        <f t="shared" si="25"/>
        <v>-50000</v>
      </c>
      <c r="M90" s="138">
        <v>50000</v>
      </c>
      <c r="N90" s="139"/>
      <c r="O90" s="140">
        <f t="shared" si="26"/>
        <v>-50000</v>
      </c>
      <c r="P90" s="138">
        <v>50000</v>
      </c>
      <c r="Q90" s="139"/>
      <c r="R90" s="140">
        <f t="shared" si="27"/>
        <v>-50000</v>
      </c>
      <c r="S90" s="138">
        <v>50000</v>
      </c>
      <c r="T90" s="139"/>
      <c r="U90" s="140">
        <f t="shared" si="28"/>
        <v>-50000</v>
      </c>
      <c r="V90" s="138"/>
      <c r="W90" s="139">
        <f t="shared" ref="W90:W93" si="29">E90+H90+K90+N90+Q90+T90</f>
        <v>0</v>
      </c>
      <c r="X90" s="140"/>
      <c r="AC90" s="20"/>
    </row>
    <row r="91" spans="2:29">
      <c r="B91" s="136"/>
      <c r="C91" s="137" t="s">
        <v>149</v>
      </c>
      <c r="D91" s="138">
        <f>15*D124</f>
        <v>3396000</v>
      </c>
      <c r="E91" s="139"/>
      <c r="F91" s="140">
        <f t="shared" si="17"/>
        <v>-3396000</v>
      </c>
      <c r="G91" s="138">
        <f>15*G124</f>
        <v>3396000</v>
      </c>
      <c r="H91" s="139"/>
      <c r="I91" s="140">
        <f t="shared" si="24"/>
        <v>-3396000</v>
      </c>
      <c r="J91" s="138">
        <f>15*J124</f>
        <v>3396000</v>
      </c>
      <c r="K91" s="139"/>
      <c r="L91" s="140">
        <f t="shared" si="25"/>
        <v>-3396000</v>
      </c>
      <c r="M91" s="138">
        <f>15*M124</f>
        <v>3396000</v>
      </c>
      <c r="N91" s="139"/>
      <c r="O91" s="140">
        <f t="shared" si="26"/>
        <v>-3396000</v>
      </c>
      <c r="P91" s="138">
        <f>15*P124</f>
        <v>3396000</v>
      </c>
      <c r="Q91" s="139"/>
      <c r="R91" s="140">
        <f t="shared" si="27"/>
        <v>-3396000</v>
      </c>
      <c r="S91" s="138">
        <f>15*S124</f>
        <v>3396000</v>
      </c>
      <c r="T91" s="139"/>
      <c r="U91" s="140">
        <f t="shared" si="28"/>
        <v>-3396000</v>
      </c>
      <c r="V91" s="138"/>
      <c r="W91" s="139">
        <f t="shared" si="29"/>
        <v>0</v>
      </c>
      <c r="X91" s="140"/>
      <c r="AC91" s="20"/>
    </row>
    <row r="92" spans="2:29">
      <c r="B92" s="136"/>
      <c r="C92" s="137" t="s">
        <v>150</v>
      </c>
      <c r="D92" s="138">
        <v>0</v>
      </c>
      <c r="E92" s="139"/>
      <c r="F92" s="140">
        <f t="shared" si="17"/>
        <v>0</v>
      </c>
      <c r="G92" s="138">
        <v>150000</v>
      </c>
      <c r="H92" s="139"/>
      <c r="I92" s="140">
        <f t="shared" si="24"/>
        <v>-150000</v>
      </c>
      <c r="J92" s="138">
        <v>0</v>
      </c>
      <c r="K92" s="139"/>
      <c r="L92" s="140">
        <f t="shared" si="25"/>
        <v>0</v>
      </c>
      <c r="M92" s="138">
        <v>150000</v>
      </c>
      <c r="N92" s="139"/>
      <c r="O92" s="140">
        <f t="shared" si="26"/>
        <v>-150000</v>
      </c>
      <c r="P92" s="138">
        <v>0</v>
      </c>
      <c r="Q92" s="139"/>
      <c r="R92" s="140">
        <f t="shared" si="27"/>
        <v>0</v>
      </c>
      <c r="S92" s="138">
        <v>150000</v>
      </c>
      <c r="T92" s="139"/>
      <c r="U92" s="140">
        <f t="shared" si="28"/>
        <v>-150000</v>
      </c>
      <c r="V92" s="138"/>
      <c r="W92" s="139">
        <f t="shared" si="29"/>
        <v>0</v>
      </c>
      <c r="X92" s="140"/>
      <c r="AC92" s="20"/>
    </row>
    <row r="93" spans="2:29">
      <c r="B93" s="136"/>
      <c r="C93" s="137" t="s">
        <v>154</v>
      </c>
      <c r="D93" s="138">
        <v>250000</v>
      </c>
      <c r="E93" s="139"/>
      <c r="F93" s="140">
        <f t="shared" si="17"/>
        <v>-250000</v>
      </c>
      <c r="G93" s="138">
        <v>250000</v>
      </c>
      <c r="H93" s="139"/>
      <c r="I93" s="140">
        <f t="shared" si="24"/>
        <v>-250000</v>
      </c>
      <c r="J93" s="138">
        <v>250000</v>
      </c>
      <c r="K93" s="139"/>
      <c r="L93" s="140">
        <f t="shared" si="25"/>
        <v>-250000</v>
      </c>
      <c r="M93" s="138">
        <v>250000</v>
      </c>
      <c r="N93" s="139"/>
      <c r="O93" s="140">
        <f t="shared" si="26"/>
        <v>-250000</v>
      </c>
      <c r="P93" s="138">
        <v>250000</v>
      </c>
      <c r="Q93" s="139"/>
      <c r="R93" s="140">
        <f t="shared" si="27"/>
        <v>-250000</v>
      </c>
      <c r="S93" s="138">
        <v>250000</v>
      </c>
      <c r="T93" s="139"/>
      <c r="U93" s="140">
        <f t="shared" si="28"/>
        <v>-250000</v>
      </c>
      <c r="V93" s="138"/>
      <c r="W93" s="139">
        <f t="shared" si="29"/>
        <v>0</v>
      </c>
      <c r="X93" s="140"/>
      <c r="AC93" s="20"/>
    </row>
    <row r="94" spans="2:29">
      <c r="B94" s="21" t="s">
        <v>52</v>
      </c>
      <c r="C94" s="21" t="s">
        <v>80</v>
      </c>
      <c r="D94" s="132">
        <v>130000</v>
      </c>
      <c r="E94" s="130"/>
      <c r="F94" s="131">
        <f>E94-D94</f>
        <v>-130000</v>
      </c>
      <c r="G94" s="132">
        <v>130000</v>
      </c>
      <c r="H94" s="130"/>
      <c r="I94" s="131">
        <f>H94-G94</f>
        <v>-130000</v>
      </c>
      <c r="J94" s="132">
        <v>130000</v>
      </c>
      <c r="K94" s="130"/>
      <c r="L94" s="131">
        <f>K94-J94</f>
        <v>-130000</v>
      </c>
      <c r="M94" s="132">
        <v>130000</v>
      </c>
      <c r="N94" s="130"/>
      <c r="O94" s="131">
        <f>N94-M94</f>
        <v>-130000</v>
      </c>
      <c r="P94" s="132">
        <v>130000</v>
      </c>
      <c r="Q94" s="130"/>
      <c r="R94" s="131">
        <f>Q94-P94</f>
        <v>-130000</v>
      </c>
      <c r="S94" s="132">
        <v>130000</v>
      </c>
      <c r="T94" s="130"/>
      <c r="U94" s="131">
        <f>T94-S94</f>
        <v>-130000</v>
      </c>
      <c r="V94" s="132">
        <f t="shared" ref="V94:X101" si="30">D94+G94+J94+M94+P94+S94</f>
        <v>780000</v>
      </c>
      <c r="W94" s="130">
        <f t="shared" si="30"/>
        <v>0</v>
      </c>
      <c r="X94" s="131">
        <f t="shared" si="30"/>
        <v>-780000</v>
      </c>
      <c r="AC94" s="20"/>
    </row>
    <row r="95" spans="2:29">
      <c r="B95" s="21" t="s">
        <v>52</v>
      </c>
      <c r="C95" s="21" t="s">
        <v>81</v>
      </c>
      <c r="D95" s="132">
        <v>12000</v>
      </c>
      <c r="E95" s="130"/>
      <c r="F95" s="131">
        <f>E95-D95</f>
        <v>-12000</v>
      </c>
      <c r="G95" s="132">
        <v>12000</v>
      </c>
      <c r="H95" s="130"/>
      <c r="I95" s="131">
        <f>H95-G95</f>
        <v>-12000</v>
      </c>
      <c r="J95" s="132">
        <v>12000</v>
      </c>
      <c r="K95" s="130"/>
      <c r="L95" s="131">
        <f>K95-J95</f>
        <v>-12000</v>
      </c>
      <c r="M95" s="132">
        <v>12000</v>
      </c>
      <c r="N95" s="130"/>
      <c r="O95" s="131">
        <f>N95-M95</f>
        <v>-12000</v>
      </c>
      <c r="P95" s="132">
        <v>12000</v>
      </c>
      <c r="Q95" s="130"/>
      <c r="R95" s="131">
        <f>Q95-P95</f>
        <v>-12000</v>
      </c>
      <c r="S95" s="132">
        <v>12000</v>
      </c>
      <c r="T95" s="130"/>
      <c r="U95" s="131">
        <f>T95-S95</f>
        <v>-12000</v>
      </c>
      <c r="V95" s="132">
        <f t="shared" si="30"/>
        <v>72000</v>
      </c>
      <c r="W95" s="130">
        <f t="shared" si="30"/>
        <v>0</v>
      </c>
      <c r="X95" s="131">
        <f t="shared" si="30"/>
        <v>-72000</v>
      </c>
      <c r="AC95" s="20"/>
    </row>
    <row r="96" spans="2:29">
      <c r="B96" s="21" t="s">
        <v>52</v>
      </c>
      <c r="C96" s="21" t="s">
        <v>82</v>
      </c>
      <c r="D96" s="132">
        <f>SUM(D97:D99)</f>
        <v>25000</v>
      </c>
      <c r="E96" s="130">
        <f t="shared" ref="E96:F96" si="31">SUM(E97:E99)</f>
        <v>0</v>
      </c>
      <c r="F96" s="131">
        <f t="shared" si="31"/>
        <v>0</v>
      </c>
      <c r="G96" s="132">
        <f>SUM(G97:G99)</f>
        <v>25000</v>
      </c>
      <c r="H96" s="130">
        <f t="shared" ref="H96:I96" si="32">SUM(H97:H99)</f>
        <v>0</v>
      </c>
      <c r="I96" s="131">
        <f t="shared" si="32"/>
        <v>0</v>
      </c>
      <c r="J96" s="132">
        <f>SUM(J97:J99)</f>
        <v>25000</v>
      </c>
      <c r="K96" s="130">
        <f t="shared" ref="K96:L96" si="33">SUM(K97:K99)</f>
        <v>0</v>
      </c>
      <c r="L96" s="131">
        <f t="shared" si="33"/>
        <v>0</v>
      </c>
      <c r="M96" s="132">
        <f>SUM(M97:M99)</f>
        <v>25000</v>
      </c>
      <c r="N96" s="130">
        <f t="shared" ref="N96:O96" si="34">SUM(N97:N99)</f>
        <v>0</v>
      </c>
      <c r="O96" s="131">
        <f t="shared" si="34"/>
        <v>0</v>
      </c>
      <c r="P96" s="132">
        <f>SUM(P97:P99)</f>
        <v>425000</v>
      </c>
      <c r="Q96" s="130">
        <f t="shared" ref="Q96:R96" si="35">SUM(Q97:Q99)</f>
        <v>0</v>
      </c>
      <c r="R96" s="131">
        <f t="shared" si="35"/>
        <v>0</v>
      </c>
      <c r="S96" s="132">
        <f>SUM(S97:S99)</f>
        <v>25000</v>
      </c>
      <c r="T96" s="130">
        <f t="shared" ref="T96:U96" si="36">SUM(T97:T99)</f>
        <v>0</v>
      </c>
      <c r="U96" s="131">
        <f t="shared" si="36"/>
        <v>0</v>
      </c>
      <c r="V96" s="132">
        <f t="shared" si="30"/>
        <v>550000</v>
      </c>
      <c r="W96" s="130">
        <f t="shared" si="30"/>
        <v>0</v>
      </c>
      <c r="X96" s="131">
        <f t="shared" si="30"/>
        <v>0</v>
      </c>
      <c r="AC96" s="20"/>
    </row>
    <row r="97" spans="2:29">
      <c r="B97" s="21"/>
      <c r="C97" s="141" t="s">
        <v>186</v>
      </c>
      <c r="D97" s="138">
        <v>25000</v>
      </c>
      <c r="E97" s="139"/>
      <c r="F97" s="140"/>
      <c r="G97" s="138">
        <v>25000</v>
      </c>
      <c r="H97" s="139"/>
      <c r="I97" s="140"/>
      <c r="J97" s="138">
        <v>25000</v>
      </c>
      <c r="K97" s="139"/>
      <c r="L97" s="140"/>
      <c r="M97" s="138">
        <v>25000</v>
      </c>
      <c r="N97" s="139"/>
      <c r="O97" s="140"/>
      <c r="P97" s="138">
        <v>25000</v>
      </c>
      <c r="Q97" s="139"/>
      <c r="R97" s="140"/>
      <c r="S97" s="138">
        <v>25000</v>
      </c>
      <c r="T97" s="139"/>
      <c r="U97" s="140"/>
      <c r="V97" s="138"/>
      <c r="W97" s="139"/>
      <c r="X97" s="140"/>
      <c r="AC97" s="20"/>
    </row>
    <row r="98" spans="2:29">
      <c r="B98" s="21"/>
      <c r="C98" s="141" t="s">
        <v>187</v>
      </c>
      <c r="D98" s="138">
        <v>0</v>
      </c>
      <c r="E98" s="139"/>
      <c r="F98" s="140"/>
      <c r="G98" s="138">
        <v>0</v>
      </c>
      <c r="H98" s="139"/>
      <c r="I98" s="140"/>
      <c r="J98" s="138">
        <v>0</v>
      </c>
      <c r="K98" s="139"/>
      <c r="L98" s="140"/>
      <c r="M98" s="138">
        <v>0</v>
      </c>
      <c r="N98" s="139"/>
      <c r="O98" s="140"/>
      <c r="P98" s="138">
        <v>0</v>
      </c>
      <c r="Q98" s="139"/>
      <c r="R98" s="140"/>
      <c r="S98" s="138">
        <v>0</v>
      </c>
      <c r="T98" s="139"/>
      <c r="U98" s="140"/>
      <c r="V98" s="138"/>
      <c r="W98" s="139"/>
      <c r="X98" s="140"/>
      <c r="AC98" s="20"/>
    </row>
    <row r="99" spans="2:29">
      <c r="B99" s="21"/>
      <c r="C99" s="141" t="s">
        <v>188</v>
      </c>
      <c r="D99" s="138">
        <v>0</v>
      </c>
      <c r="E99" s="139"/>
      <c r="F99" s="140"/>
      <c r="G99" s="138">
        <v>0</v>
      </c>
      <c r="H99" s="139"/>
      <c r="I99" s="140"/>
      <c r="J99" s="138">
        <v>0</v>
      </c>
      <c r="K99" s="139"/>
      <c r="L99" s="140"/>
      <c r="M99" s="138">
        <v>0</v>
      </c>
      <c r="N99" s="139"/>
      <c r="O99" s="140"/>
      <c r="P99" s="138">
        <v>400000</v>
      </c>
      <c r="Q99" s="139"/>
      <c r="R99" s="140"/>
      <c r="S99" s="138">
        <v>0</v>
      </c>
      <c r="T99" s="139"/>
      <c r="U99" s="140"/>
      <c r="V99" s="138"/>
      <c r="W99" s="139"/>
      <c r="X99" s="140"/>
      <c r="AC99" s="20"/>
    </row>
    <row r="100" spans="2:29">
      <c r="B100" s="21" t="s">
        <v>52</v>
      </c>
      <c r="C100" s="21" t="s">
        <v>84</v>
      </c>
      <c r="D100" s="132">
        <v>20000</v>
      </c>
      <c r="E100" s="130"/>
      <c r="F100" s="131">
        <f>E100-D100</f>
        <v>-20000</v>
      </c>
      <c r="G100" s="132">
        <v>20000</v>
      </c>
      <c r="H100" s="130"/>
      <c r="I100" s="131">
        <f>H100-G100</f>
        <v>-20000</v>
      </c>
      <c r="J100" s="132">
        <v>20000</v>
      </c>
      <c r="K100" s="130"/>
      <c r="L100" s="131">
        <f>K100-J100</f>
        <v>-20000</v>
      </c>
      <c r="M100" s="132">
        <v>20000</v>
      </c>
      <c r="N100" s="130"/>
      <c r="O100" s="131">
        <f>N100-M100</f>
        <v>-20000</v>
      </c>
      <c r="P100" s="132">
        <v>20000</v>
      </c>
      <c r="Q100" s="130"/>
      <c r="R100" s="131">
        <f>Q100-P100</f>
        <v>-20000</v>
      </c>
      <c r="S100" s="132">
        <v>20000</v>
      </c>
      <c r="T100" s="130"/>
      <c r="U100" s="131">
        <f>T100-S100</f>
        <v>-20000</v>
      </c>
      <c r="V100" s="132">
        <f t="shared" si="30"/>
        <v>120000</v>
      </c>
      <c r="W100" s="130">
        <f t="shared" si="30"/>
        <v>0</v>
      </c>
      <c r="X100" s="131">
        <f t="shared" si="30"/>
        <v>-120000</v>
      </c>
      <c r="AC100" s="20"/>
    </row>
    <row r="101" spans="2:29">
      <c r="B101" s="21" t="s">
        <v>52</v>
      </c>
      <c r="C101" s="21" t="s">
        <v>70</v>
      </c>
      <c r="D101" s="132">
        <v>1000</v>
      </c>
      <c r="E101" s="130"/>
      <c r="F101" s="131">
        <f>E101-D101</f>
        <v>-1000</v>
      </c>
      <c r="G101" s="132">
        <v>1000</v>
      </c>
      <c r="H101" s="130"/>
      <c r="I101" s="131">
        <f>H101-G101</f>
        <v>-1000</v>
      </c>
      <c r="J101" s="132">
        <v>1000</v>
      </c>
      <c r="K101" s="130"/>
      <c r="L101" s="131">
        <f>K101-J101</f>
        <v>-1000</v>
      </c>
      <c r="M101" s="132">
        <v>1000</v>
      </c>
      <c r="N101" s="130"/>
      <c r="O101" s="131">
        <f>N101-M101</f>
        <v>-1000</v>
      </c>
      <c r="P101" s="132">
        <v>1000</v>
      </c>
      <c r="Q101" s="130"/>
      <c r="R101" s="131">
        <f>Q101-P101</f>
        <v>-1000</v>
      </c>
      <c r="S101" s="132">
        <v>1000</v>
      </c>
      <c r="T101" s="130"/>
      <c r="U101" s="131">
        <f>T101-S101</f>
        <v>-1000</v>
      </c>
      <c r="V101" s="132">
        <f t="shared" si="30"/>
        <v>6000</v>
      </c>
      <c r="W101" s="130">
        <f t="shared" si="30"/>
        <v>0</v>
      </c>
      <c r="X101" s="131">
        <f t="shared" si="30"/>
        <v>-6000</v>
      </c>
      <c r="AC101" s="20"/>
    </row>
    <row r="102" spans="2:29">
      <c r="B102" s="21"/>
      <c r="C102" s="21" t="s">
        <v>91</v>
      </c>
      <c r="D102" s="132">
        <f>SUM(D103:D109)</f>
        <v>182500</v>
      </c>
      <c r="E102" s="130">
        <f>SUM(E103:E109)</f>
        <v>0</v>
      </c>
      <c r="F102" s="131">
        <f>E102-D102</f>
        <v>-182500</v>
      </c>
      <c r="G102" s="132">
        <f>SUM(G103:G109)</f>
        <v>182500</v>
      </c>
      <c r="H102" s="130">
        <f>SUM(H103:H109)</f>
        <v>0</v>
      </c>
      <c r="I102" s="131">
        <f>H102-G102</f>
        <v>-182500</v>
      </c>
      <c r="J102" s="132">
        <f>SUM(J103:J109)</f>
        <v>182500</v>
      </c>
      <c r="K102" s="130">
        <f>SUM(K103:K109)</f>
        <v>0</v>
      </c>
      <c r="L102" s="131">
        <f>K102-J102</f>
        <v>-182500</v>
      </c>
      <c r="M102" s="132">
        <f>SUM(M103:M109)</f>
        <v>182500</v>
      </c>
      <c r="N102" s="130">
        <f>SUM(N103:N109)</f>
        <v>0</v>
      </c>
      <c r="O102" s="131">
        <f>N102-M102</f>
        <v>-182500</v>
      </c>
      <c r="P102" s="132">
        <f>SUM(P103:P109)</f>
        <v>182500</v>
      </c>
      <c r="Q102" s="130">
        <f>SUM(Q103:Q109)</f>
        <v>0</v>
      </c>
      <c r="R102" s="131">
        <f>Q102-P102</f>
        <v>-182500</v>
      </c>
      <c r="S102" s="132">
        <f>SUM(S103:S109)</f>
        <v>182500</v>
      </c>
      <c r="T102" s="130">
        <f>SUM(T103:T109)</f>
        <v>0</v>
      </c>
      <c r="U102" s="131">
        <f>T102-S102</f>
        <v>-182500</v>
      </c>
      <c r="V102" s="132">
        <f>D102+G102+J102+M102+P102+S102</f>
        <v>1095000</v>
      </c>
      <c r="W102" s="130">
        <f>SUM(W103:W109)</f>
        <v>0</v>
      </c>
      <c r="X102" s="131">
        <f>F102+I102+L102+O102+R102+U102</f>
        <v>-1095000</v>
      </c>
      <c r="AC102" s="20"/>
    </row>
    <row r="103" spans="2:29">
      <c r="B103" s="21"/>
      <c r="C103" s="141" t="s">
        <v>155</v>
      </c>
      <c r="D103" s="138">
        <v>170000</v>
      </c>
      <c r="E103" s="139"/>
      <c r="F103" s="140">
        <f t="shared" ref="F103:F109" si="37">E103-D103</f>
        <v>-170000</v>
      </c>
      <c r="G103" s="138">
        <v>170000</v>
      </c>
      <c r="H103" s="139"/>
      <c r="I103" s="140">
        <f t="shared" ref="I103:I109" si="38">H103-G103</f>
        <v>-170000</v>
      </c>
      <c r="J103" s="138">
        <v>170000</v>
      </c>
      <c r="K103" s="139"/>
      <c r="L103" s="140">
        <f t="shared" ref="L103:L109" si="39">K103-J103</f>
        <v>-170000</v>
      </c>
      <c r="M103" s="138">
        <v>170000</v>
      </c>
      <c r="N103" s="139"/>
      <c r="O103" s="140">
        <f t="shared" ref="O103:O109" si="40">N103-M103</f>
        <v>-170000</v>
      </c>
      <c r="P103" s="138">
        <v>170000</v>
      </c>
      <c r="Q103" s="139"/>
      <c r="R103" s="140">
        <f t="shared" ref="R103:R109" si="41">Q103-P103</f>
        <v>-170000</v>
      </c>
      <c r="S103" s="138">
        <v>170000</v>
      </c>
      <c r="T103" s="139"/>
      <c r="U103" s="140">
        <f t="shared" ref="U103:U109" si="42">T103-S103</f>
        <v>-170000</v>
      </c>
      <c r="V103" s="138"/>
      <c r="W103" s="139">
        <f t="shared" ref="W103:W105" si="43">E103+H103+K103+N103+Q103+T103</f>
        <v>0</v>
      </c>
      <c r="X103" s="140"/>
      <c r="AC103" s="20"/>
    </row>
    <row r="104" spans="2:29">
      <c r="B104" s="21"/>
      <c r="C104" s="141" t="s">
        <v>156</v>
      </c>
      <c r="D104" s="138">
        <v>2500</v>
      </c>
      <c r="E104" s="139"/>
      <c r="F104" s="140">
        <f t="shared" si="37"/>
        <v>-2500</v>
      </c>
      <c r="G104" s="138">
        <v>2500</v>
      </c>
      <c r="H104" s="139"/>
      <c r="I104" s="140">
        <f t="shared" si="38"/>
        <v>-2500</v>
      </c>
      <c r="J104" s="138">
        <v>2500</v>
      </c>
      <c r="K104" s="139"/>
      <c r="L104" s="140">
        <f t="shared" si="39"/>
        <v>-2500</v>
      </c>
      <c r="M104" s="138">
        <v>2500</v>
      </c>
      <c r="N104" s="139"/>
      <c r="O104" s="140">
        <f t="shared" si="40"/>
        <v>-2500</v>
      </c>
      <c r="P104" s="138">
        <v>2500</v>
      </c>
      <c r="Q104" s="139"/>
      <c r="R104" s="140">
        <f t="shared" si="41"/>
        <v>-2500</v>
      </c>
      <c r="S104" s="138">
        <v>2500</v>
      </c>
      <c r="T104" s="139"/>
      <c r="U104" s="140">
        <f t="shared" si="42"/>
        <v>-2500</v>
      </c>
      <c r="V104" s="138"/>
      <c r="W104" s="139">
        <f t="shared" si="43"/>
        <v>0</v>
      </c>
      <c r="X104" s="140"/>
      <c r="AC104" s="20"/>
    </row>
    <row r="105" spans="2:29">
      <c r="B105" s="21"/>
      <c r="C105" s="141" t="s">
        <v>157</v>
      </c>
      <c r="D105" s="138">
        <v>10000</v>
      </c>
      <c r="E105" s="139"/>
      <c r="F105" s="140">
        <f t="shared" si="37"/>
        <v>-10000</v>
      </c>
      <c r="G105" s="138">
        <v>10000</v>
      </c>
      <c r="H105" s="139"/>
      <c r="I105" s="140">
        <f t="shared" si="38"/>
        <v>-10000</v>
      </c>
      <c r="J105" s="138">
        <v>10000</v>
      </c>
      <c r="K105" s="139"/>
      <c r="L105" s="140">
        <f t="shared" si="39"/>
        <v>-10000</v>
      </c>
      <c r="M105" s="138">
        <v>10000</v>
      </c>
      <c r="N105" s="139"/>
      <c r="O105" s="140">
        <f t="shared" si="40"/>
        <v>-10000</v>
      </c>
      <c r="P105" s="138">
        <v>10000</v>
      </c>
      <c r="Q105" s="139"/>
      <c r="R105" s="140">
        <f t="shared" si="41"/>
        <v>-10000</v>
      </c>
      <c r="S105" s="138">
        <v>10000</v>
      </c>
      <c r="T105" s="139"/>
      <c r="U105" s="140">
        <f t="shared" si="42"/>
        <v>-10000</v>
      </c>
      <c r="V105" s="138"/>
      <c r="W105" s="139">
        <f t="shared" si="43"/>
        <v>0</v>
      </c>
      <c r="X105" s="140"/>
      <c r="AC105" s="20"/>
    </row>
    <row r="106" spans="2:29">
      <c r="B106" s="21"/>
      <c r="C106" s="137" t="s">
        <v>158</v>
      </c>
      <c r="D106" s="138">
        <v>0</v>
      </c>
      <c r="E106" s="139"/>
      <c r="F106" s="140">
        <f t="shared" si="37"/>
        <v>0</v>
      </c>
      <c r="G106" s="138">
        <v>0</v>
      </c>
      <c r="H106" s="139"/>
      <c r="I106" s="140">
        <f t="shared" si="38"/>
        <v>0</v>
      </c>
      <c r="J106" s="138">
        <v>0</v>
      </c>
      <c r="K106" s="139"/>
      <c r="L106" s="140">
        <f t="shared" si="39"/>
        <v>0</v>
      </c>
      <c r="M106" s="138">
        <v>0</v>
      </c>
      <c r="N106" s="139"/>
      <c r="O106" s="140">
        <f t="shared" si="40"/>
        <v>0</v>
      </c>
      <c r="P106" s="138">
        <v>0</v>
      </c>
      <c r="Q106" s="139"/>
      <c r="R106" s="140">
        <f t="shared" si="41"/>
        <v>0</v>
      </c>
      <c r="S106" s="138">
        <v>0</v>
      </c>
      <c r="T106" s="139"/>
      <c r="U106" s="140">
        <f t="shared" si="42"/>
        <v>0</v>
      </c>
      <c r="V106" s="138"/>
      <c r="W106" s="139">
        <f>E106+H106+K106+N106+Q106+T106</f>
        <v>0</v>
      </c>
      <c r="X106" s="140"/>
      <c r="AC106" s="20"/>
    </row>
    <row r="107" spans="2:29">
      <c r="B107" s="21"/>
      <c r="C107" s="137" t="s">
        <v>189</v>
      </c>
      <c r="D107" s="138">
        <v>0</v>
      </c>
      <c r="E107" s="139"/>
      <c r="F107" s="140">
        <f t="shared" si="37"/>
        <v>0</v>
      </c>
      <c r="G107" s="138">
        <v>0</v>
      </c>
      <c r="H107" s="139"/>
      <c r="I107" s="140">
        <f t="shared" si="38"/>
        <v>0</v>
      </c>
      <c r="J107" s="138">
        <v>0</v>
      </c>
      <c r="K107" s="139"/>
      <c r="L107" s="140">
        <f t="shared" si="39"/>
        <v>0</v>
      </c>
      <c r="M107" s="138">
        <v>0</v>
      </c>
      <c r="N107" s="139"/>
      <c r="O107" s="140">
        <f t="shared" si="40"/>
        <v>0</v>
      </c>
      <c r="P107" s="138">
        <v>0</v>
      </c>
      <c r="Q107" s="139"/>
      <c r="R107" s="140">
        <f t="shared" si="41"/>
        <v>0</v>
      </c>
      <c r="S107" s="138">
        <v>0</v>
      </c>
      <c r="T107" s="139"/>
      <c r="U107" s="140">
        <f t="shared" si="42"/>
        <v>0</v>
      </c>
      <c r="V107" s="138"/>
      <c r="W107" s="139"/>
      <c r="X107" s="140"/>
      <c r="AC107" s="20"/>
    </row>
    <row r="108" spans="2:29">
      <c r="B108" s="21"/>
      <c r="C108" s="137" t="s">
        <v>164</v>
      </c>
      <c r="D108" s="138">
        <v>0</v>
      </c>
      <c r="E108" s="139"/>
      <c r="F108" s="140">
        <f t="shared" si="37"/>
        <v>0</v>
      </c>
      <c r="G108" s="138">
        <v>0</v>
      </c>
      <c r="H108" s="139"/>
      <c r="I108" s="140">
        <f t="shared" si="38"/>
        <v>0</v>
      </c>
      <c r="J108" s="138">
        <v>0</v>
      </c>
      <c r="K108" s="139"/>
      <c r="L108" s="140">
        <f t="shared" si="39"/>
        <v>0</v>
      </c>
      <c r="M108" s="138">
        <v>0</v>
      </c>
      <c r="N108" s="139"/>
      <c r="O108" s="140">
        <f t="shared" si="40"/>
        <v>0</v>
      </c>
      <c r="P108" s="138">
        <v>0</v>
      </c>
      <c r="Q108" s="139"/>
      <c r="R108" s="140">
        <f t="shared" si="41"/>
        <v>0</v>
      </c>
      <c r="S108" s="138">
        <v>0</v>
      </c>
      <c r="T108" s="139"/>
      <c r="U108" s="140">
        <f t="shared" si="42"/>
        <v>0</v>
      </c>
      <c r="V108" s="138"/>
      <c r="W108" s="139"/>
      <c r="X108" s="140"/>
      <c r="AC108" s="20"/>
    </row>
    <row r="109" spans="2:29">
      <c r="B109" s="21"/>
      <c r="C109" s="137" t="s">
        <v>173</v>
      </c>
      <c r="D109" s="138">
        <v>0</v>
      </c>
      <c r="E109" s="139"/>
      <c r="F109" s="140">
        <f t="shared" si="37"/>
        <v>0</v>
      </c>
      <c r="G109" s="138">
        <v>0</v>
      </c>
      <c r="H109" s="139"/>
      <c r="I109" s="140">
        <f t="shared" si="38"/>
        <v>0</v>
      </c>
      <c r="J109" s="138">
        <v>0</v>
      </c>
      <c r="K109" s="139"/>
      <c r="L109" s="140">
        <f t="shared" si="39"/>
        <v>0</v>
      </c>
      <c r="M109" s="138">
        <v>0</v>
      </c>
      <c r="N109" s="139"/>
      <c r="O109" s="140">
        <f t="shared" si="40"/>
        <v>0</v>
      </c>
      <c r="P109" s="138">
        <v>0</v>
      </c>
      <c r="Q109" s="139"/>
      <c r="R109" s="140">
        <f t="shared" si="41"/>
        <v>0</v>
      </c>
      <c r="S109" s="138">
        <v>0</v>
      </c>
      <c r="T109" s="139"/>
      <c r="U109" s="140">
        <f t="shared" si="42"/>
        <v>0</v>
      </c>
      <c r="V109" s="138"/>
      <c r="W109" s="139">
        <f>E109+H109+K109+N109+Q109+T109</f>
        <v>0</v>
      </c>
      <c r="X109" s="140"/>
      <c r="AC109" s="20"/>
    </row>
    <row r="110" spans="2:29">
      <c r="B110" s="21"/>
      <c r="C110" s="21" t="s">
        <v>85</v>
      </c>
      <c r="D110" s="129">
        <v>255000</v>
      </c>
      <c r="E110" s="130"/>
      <c r="F110" s="131">
        <f>E110-D110</f>
        <v>-255000</v>
      </c>
      <c r="G110" s="129">
        <v>255000</v>
      </c>
      <c r="H110" s="130"/>
      <c r="I110" s="131">
        <f>H110-G110</f>
        <v>-255000</v>
      </c>
      <c r="J110" s="129">
        <v>255000</v>
      </c>
      <c r="K110" s="130"/>
      <c r="L110" s="131">
        <f>K110-J110</f>
        <v>-255000</v>
      </c>
      <c r="M110" s="129">
        <v>505000</v>
      </c>
      <c r="N110" s="130"/>
      <c r="O110" s="131">
        <f>N110-M110</f>
        <v>-505000</v>
      </c>
      <c r="P110" s="129">
        <v>255000</v>
      </c>
      <c r="Q110" s="130"/>
      <c r="R110" s="131">
        <f>Q110-P110</f>
        <v>-255000</v>
      </c>
      <c r="S110" s="129">
        <v>255000</v>
      </c>
      <c r="T110" s="130"/>
      <c r="U110" s="131">
        <f>T110-S110</f>
        <v>-255000</v>
      </c>
      <c r="V110" s="129">
        <f>D110+G110+J110+M110+P110+S110</f>
        <v>1780000</v>
      </c>
      <c r="W110" s="130">
        <f>E110+H110+K110+N110+Q110+T110</f>
        <v>0</v>
      </c>
      <c r="X110" s="131">
        <f>F110+I110+L110+O110+R110+U110</f>
        <v>-1780000</v>
      </c>
      <c r="AC110" s="20"/>
    </row>
    <row r="111" spans="2:29">
      <c r="B111" s="21"/>
      <c r="C111" s="21" t="s">
        <v>86</v>
      </c>
      <c r="D111" s="132">
        <f>SUM(D112:D114)</f>
        <v>0</v>
      </c>
      <c r="E111" s="130">
        <f>SUM(E112:E114)</f>
        <v>0</v>
      </c>
      <c r="F111" s="131">
        <f>E111-D111</f>
        <v>0</v>
      </c>
      <c r="G111" s="132">
        <f>SUM(G112:G114)</f>
        <v>80000</v>
      </c>
      <c r="H111" s="130">
        <f>SUM(H112:H114)</f>
        <v>0</v>
      </c>
      <c r="I111" s="131">
        <f>H111-G111</f>
        <v>-80000</v>
      </c>
      <c r="J111" s="132">
        <f>SUM(J112:J114)</f>
        <v>0</v>
      </c>
      <c r="K111" s="130">
        <f>SUM(K112:K114)</f>
        <v>0</v>
      </c>
      <c r="L111" s="131">
        <f>K111-J111</f>
        <v>0</v>
      </c>
      <c r="M111" s="132">
        <f>SUM(M112:M114)</f>
        <v>80000</v>
      </c>
      <c r="N111" s="130">
        <f>SUM(N112:N114)</f>
        <v>0</v>
      </c>
      <c r="O111" s="131">
        <f>N111-M111</f>
        <v>-80000</v>
      </c>
      <c r="P111" s="132">
        <f>SUM(P112:P114)</f>
        <v>0</v>
      </c>
      <c r="Q111" s="130">
        <f>SUM(Q112:Q114)</f>
        <v>0</v>
      </c>
      <c r="R111" s="131">
        <f>Q111-P111</f>
        <v>0</v>
      </c>
      <c r="S111" s="132">
        <f>SUM(S112:S114)</f>
        <v>387390</v>
      </c>
      <c r="T111" s="130">
        <f>SUM(T112:T114)</f>
        <v>0</v>
      </c>
      <c r="U111" s="131">
        <f>T111-S111</f>
        <v>-387390</v>
      </c>
      <c r="V111" s="132">
        <f>D111+G111+J111+M111+P111+S111</f>
        <v>547390</v>
      </c>
      <c r="W111" s="130">
        <f>SUM(W112:W114)</f>
        <v>0</v>
      </c>
      <c r="X111" s="131">
        <f>F111+I111+L111+O111+R111+U111</f>
        <v>-547390</v>
      </c>
      <c r="AC111" s="20"/>
    </row>
    <row r="112" spans="2:29">
      <c r="B112" s="21"/>
      <c r="C112" s="137" t="s">
        <v>161</v>
      </c>
      <c r="D112" s="142">
        <v>0</v>
      </c>
      <c r="E112" s="139"/>
      <c r="F112" s="140"/>
      <c r="G112" s="142">
        <v>80000</v>
      </c>
      <c r="H112" s="139"/>
      <c r="I112" s="140"/>
      <c r="J112" s="142">
        <v>0</v>
      </c>
      <c r="K112" s="139"/>
      <c r="L112" s="140"/>
      <c r="M112" s="142">
        <v>80000</v>
      </c>
      <c r="N112" s="139"/>
      <c r="O112" s="140"/>
      <c r="P112" s="142">
        <v>0</v>
      </c>
      <c r="Q112" s="139"/>
      <c r="R112" s="140"/>
      <c r="S112" s="142">
        <v>80000</v>
      </c>
      <c r="T112" s="139"/>
      <c r="U112" s="140"/>
      <c r="V112" s="142"/>
      <c r="W112" s="139">
        <f t="shared" ref="W112:W113" si="44">E112+H112+K112+N112+Q112+T112</f>
        <v>0</v>
      </c>
      <c r="X112" s="140"/>
      <c r="AC112" s="20"/>
    </row>
    <row r="113" spans="2:29">
      <c r="B113" s="21"/>
      <c r="C113" s="137" t="s">
        <v>162</v>
      </c>
      <c r="D113" s="142">
        <v>0</v>
      </c>
      <c r="E113" s="139"/>
      <c r="F113" s="140"/>
      <c r="G113" s="142">
        <v>0</v>
      </c>
      <c r="H113" s="139"/>
      <c r="I113" s="140"/>
      <c r="J113" s="142">
        <v>0</v>
      </c>
      <c r="K113" s="139"/>
      <c r="L113" s="140"/>
      <c r="M113" s="142">
        <v>0</v>
      </c>
      <c r="N113" s="139"/>
      <c r="O113" s="140"/>
      <c r="P113" s="142">
        <v>0</v>
      </c>
      <c r="Q113" s="139"/>
      <c r="R113" s="140"/>
      <c r="S113" s="142">
        <v>307390</v>
      </c>
      <c r="T113" s="139"/>
      <c r="U113" s="140"/>
      <c r="V113" s="142"/>
      <c r="W113" s="139">
        <f t="shared" si="44"/>
        <v>0</v>
      </c>
      <c r="X113" s="140"/>
      <c r="AC113" s="20"/>
    </row>
    <row r="114" spans="2:29">
      <c r="B114" s="21"/>
      <c r="C114" s="137" t="s">
        <v>190</v>
      </c>
      <c r="D114" s="142">
        <v>0</v>
      </c>
      <c r="E114" s="139"/>
      <c r="F114" s="140"/>
      <c r="G114" s="142">
        <v>0</v>
      </c>
      <c r="H114" s="139"/>
      <c r="I114" s="140"/>
      <c r="J114" s="142">
        <v>0</v>
      </c>
      <c r="K114" s="139"/>
      <c r="L114" s="140"/>
      <c r="M114" s="142">
        <v>0</v>
      </c>
      <c r="N114" s="139"/>
      <c r="O114" s="140"/>
      <c r="P114" s="142">
        <v>0</v>
      </c>
      <c r="Q114" s="139"/>
      <c r="R114" s="140"/>
      <c r="S114" s="142">
        <v>0</v>
      </c>
      <c r="T114" s="139"/>
      <c r="U114" s="140"/>
      <c r="V114" s="142"/>
      <c r="W114" s="139">
        <v>0</v>
      </c>
      <c r="X114" s="140"/>
      <c r="AC114" s="20"/>
    </row>
    <row r="115" spans="2:29">
      <c r="B115" s="21"/>
      <c r="C115" s="21" t="s">
        <v>87</v>
      </c>
      <c r="D115" s="129">
        <v>0</v>
      </c>
      <c r="E115" s="130"/>
      <c r="F115" s="131">
        <f t="shared" ref="F115:F123" si="45">E115-D115</f>
        <v>0</v>
      </c>
      <c r="G115" s="129">
        <v>180000</v>
      </c>
      <c r="H115" s="130"/>
      <c r="I115" s="131">
        <f t="shared" ref="I115:I116" si="46">H115-G115</f>
        <v>-180000</v>
      </c>
      <c r="J115" s="129">
        <v>0</v>
      </c>
      <c r="K115" s="130"/>
      <c r="L115" s="131">
        <f t="shared" ref="L115:L116" si="47">K115-J115</f>
        <v>0</v>
      </c>
      <c r="M115" s="129">
        <v>0</v>
      </c>
      <c r="N115" s="130"/>
      <c r="O115" s="131">
        <f t="shared" ref="O115:O116" si="48">N115-M115</f>
        <v>0</v>
      </c>
      <c r="P115" s="129">
        <v>0</v>
      </c>
      <c r="Q115" s="130"/>
      <c r="R115" s="131">
        <f t="shared" ref="R115:R116" si="49">Q115-P115</f>
        <v>0</v>
      </c>
      <c r="S115" s="129">
        <v>0</v>
      </c>
      <c r="T115" s="130"/>
      <c r="U115" s="131">
        <f t="shared" ref="U115:U116" si="50">T115-S115</f>
        <v>0</v>
      </c>
      <c r="V115" s="129">
        <f t="shared" ref="V115:X122" si="51">D115+G115+J115+M115+P115+S115</f>
        <v>180000</v>
      </c>
      <c r="W115" s="130">
        <f t="shared" si="51"/>
        <v>0</v>
      </c>
      <c r="X115" s="131">
        <f t="shared" si="51"/>
        <v>-180000</v>
      </c>
      <c r="AC115" s="20"/>
    </row>
    <row r="116" spans="2:29">
      <c r="B116" s="21"/>
      <c r="C116" s="21" t="s">
        <v>92</v>
      </c>
      <c r="D116" s="129">
        <v>360000</v>
      </c>
      <c r="E116" s="130"/>
      <c r="F116" s="131">
        <f t="shared" si="45"/>
        <v>-360000</v>
      </c>
      <c r="G116" s="129">
        <v>360000</v>
      </c>
      <c r="H116" s="130"/>
      <c r="I116" s="131">
        <f t="shared" si="46"/>
        <v>-360000</v>
      </c>
      <c r="J116" s="129">
        <v>360000</v>
      </c>
      <c r="K116" s="130"/>
      <c r="L116" s="131">
        <f t="shared" si="47"/>
        <v>-360000</v>
      </c>
      <c r="M116" s="129">
        <v>360000</v>
      </c>
      <c r="N116" s="130"/>
      <c r="O116" s="131">
        <f t="shared" si="48"/>
        <v>-360000</v>
      </c>
      <c r="P116" s="129">
        <v>360000</v>
      </c>
      <c r="Q116" s="130"/>
      <c r="R116" s="131">
        <f t="shared" si="49"/>
        <v>-360000</v>
      </c>
      <c r="S116" s="129">
        <v>360000</v>
      </c>
      <c r="T116" s="130"/>
      <c r="U116" s="131">
        <f t="shared" si="50"/>
        <v>-360000</v>
      </c>
      <c r="V116" s="129">
        <f t="shared" si="51"/>
        <v>2160000</v>
      </c>
      <c r="W116" s="130">
        <f t="shared" si="51"/>
        <v>0</v>
      </c>
      <c r="X116" s="131">
        <f t="shared" si="51"/>
        <v>-2160000</v>
      </c>
      <c r="AC116" s="20"/>
    </row>
    <row r="117" spans="2:29">
      <c r="B117" s="21"/>
      <c r="C117" s="21" t="s">
        <v>88</v>
      </c>
      <c r="D117" s="129">
        <v>1000</v>
      </c>
      <c r="E117" s="130"/>
      <c r="F117" s="131">
        <f>E117-D117</f>
        <v>-1000</v>
      </c>
      <c r="G117" s="129">
        <v>1000</v>
      </c>
      <c r="H117" s="130"/>
      <c r="I117" s="131">
        <f>H117-G117</f>
        <v>-1000</v>
      </c>
      <c r="J117" s="129">
        <v>1000</v>
      </c>
      <c r="K117" s="130"/>
      <c r="L117" s="131">
        <f>K117-J117</f>
        <v>-1000</v>
      </c>
      <c r="M117" s="129">
        <v>1000</v>
      </c>
      <c r="N117" s="130"/>
      <c r="O117" s="131">
        <f>N117-M117</f>
        <v>-1000</v>
      </c>
      <c r="P117" s="129">
        <v>1000</v>
      </c>
      <c r="Q117" s="130"/>
      <c r="R117" s="131">
        <f>Q117-P117</f>
        <v>-1000</v>
      </c>
      <c r="S117" s="129">
        <v>1000</v>
      </c>
      <c r="T117" s="130"/>
      <c r="U117" s="131">
        <f>T117-S117</f>
        <v>-1000</v>
      </c>
      <c r="V117" s="129">
        <f t="shared" si="51"/>
        <v>6000</v>
      </c>
      <c r="W117" s="130">
        <f t="shared" si="51"/>
        <v>0</v>
      </c>
      <c r="X117" s="131">
        <f t="shared" si="51"/>
        <v>-6000</v>
      </c>
      <c r="AC117" s="20"/>
    </row>
    <row r="118" spans="2:29">
      <c r="B118" s="21"/>
      <c r="C118" s="21" t="s">
        <v>71</v>
      </c>
      <c r="D118" s="129">
        <v>16000</v>
      </c>
      <c r="E118" s="130">
        <v>13948</v>
      </c>
      <c r="F118" s="131">
        <f>E118-D118</f>
        <v>-2052</v>
      </c>
      <c r="G118" s="129">
        <v>16000</v>
      </c>
      <c r="H118" s="130"/>
      <c r="I118" s="131">
        <f>H118-G118</f>
        <v>-16000</v>
      </c>
      <c r="J118" s="129">
        <v>16000</v>
      </c>
      <c r="K118" s="130"/>
      <c r="L118" s="131">
        <f>K118-J118</f>
        <v>-16000</v>
      </c>
      <c r="M118" s="129">
        <v>16000</v>
      </c>
      <c r="N118" s="130"/>
      <c r="O118" s="131">
        <f>N118-M118</f>
        <v>-16000</v>
      </c>
      <c r="P118" s="129">
        <v>16000</v>
      </c>
      <c r="Q118" s="130"/>
      <c r="R118" s="131">
        <f>Q118-P118</f>
        <v>-16000</v>
      </c>
      <c r="S118" s="129">
        <v>16000</v>
      </c>
      <c r="T118" s="130"/>
      <c r="U118" s="131">
        <f>T118-S118</f>
        <v>-16000</v>
      </c>
      <c r="V118" s="129">
        <f t="shared" si="51"/>
        <v>96000</v>
      </c>
      <c r="W118" s="130">
        <f t="shared" si="51"/>
        <v>13948</v>
      </c>
      <c r="X118" s="131">
        <f t="shared" si="51"/>
        <v>-82052</v>
      </c>
      <c r="AC118" s="20"/>
    </row>
    <row r="119" spans="2:29">
      <c r="B119" s="21"/>
      <c r="C119" s="21" t="s">
        <v>73</v>
      </c>
      <c r="D119" s="129">
        <v>15000</v>
      </c>
      <c r="E119" s="130"/>
      <c r="F119" s="131">
        <f t="shared" si="45"/>
        <v>-15000</v>
      </c>
      <c r="G119" s="129">
        <v>15000</v>
      </c>
      <c r="H119" s="130"/>
      <c r="I119" s="131">
        <f t="shared" ref="I119:I123" si="52">H119-G119</f>
        <v>-15000</v>
      </c>
      <c r="J119" s="129">
        <v>15000</v>
      </c>
      <c r="K119" s="130"/>
      <c r="L119" s="131">
        <f t="shared" ref="L119:L123" si="53">K119-J119</f>
        <v>-15000</v>
      </c>
      <c r="M119" s="129">
        <v>15000</v>
      </c>
      <c r="N119" s="130"/>
      <c r="O119" s="131">
        <f t="shared" ref="O119:O123" si="54">N119-M119</f>
        <v>-15000</v>
      </c>
      <c r="P119" s="129">
        <v>15000</v>
      </c>
      <c r="Q119" s="130"/>
      <c r="R119" s="131">
        <f t="shared" ref="R119:R123" si="55">Q119-P119</f>
        <v>-15000</v>
      </c>
      <c r="S119" s="129">
        <v>15000</v>
      </c>
      <c r="T119" s="130"/>
      <c r="U119" s="131">
        <f t="shared" ref="U119:U123" si="56">T119-S119</f>
        <v>-15000</v>
      </c>
      <c r="V119" s="129">
        <f t="shared" si="51"/>
        <v>90000</v>
      </c>
      <c r="W119" s="130">
        <f t="shared" si="51"/>
        <v>0</v>
      </c>
      <c r="X119" s="131">
        <f t="shared" si="51"/>
        <v>-90000</v>
      </c>
      <c r="AC119" s="20"/>
    </row>
    <row r="120" spans="2:29">
      <c r="B120" s="21" t="s">
        <v>52</v>
      </c>
      <c r="C120" s="21" t="s">
        <v>74</v>
      </c>
      <c r="D120" s="129">
        <v>3500</v>
      </c>
      <c r="E120" s="130"/>
      <c r="F120" s="131">
        <f t="shared" si="45"/>
        <v>-3500</v>
      </c>
      <c r="G120" s="129">
        <v>3500</v>
      </c>
      <c r="H120" s="130"/>
      <c r="I120" s="131">
        <f t="shared" si="52"/>
        <v>-3500</v>
      </c>
      <c r="J120" s="129">
        <v>3500</v>
      </c>
      <c r="K120" s="130"/>
      <c r="L120" s="131">
        <f t="shared" si="53"/>
        <v>-3500</v>
      </c>
      <c r="M120" s="129">
        <v>3500</v>
      </c>
      <c r="N120" s="130"/>
      <c r="O120" s="131">
        <f t="shared" si="54"/>
        <v>-3500</v>
      </c>
      <c r="P120" s="129">
        <v>3500</v>
      </c>
      <c r="Q120" s="130"/>
      <c r="R120" s="131">
        <f t="shared" si="55"/>
        <v>-3500</v>
      </c>
      <c r="S120" s="129">
        <v>3500</v>
      </c>
      <c r="T120" s="130"/>
      <c r="U120" s="131">
        <f t="shared" si="56"/>
        <v>-3500</v>
      </c>
      <c r="V120" s="129">
        <f t="shared" si="51"/>
        <v>21000</v>
      </c>
      <c r="W120" s="130">
        <f t="shared" si="51"/>
        <v>0</v>
      </c>
      <c r="X120" s="131">
        <f t="shared" si="51"/>
        <v>-21000</v>
      </c>
      <c r="AC120" s="20"/>
    </row>
    <row r="121" spans="2:29">
      <c r="B121" s="21" t="s">
        <v>58</v>
      </c>
      <c r="C121" s="21" t="s">
        <v>75</v>
      </c>
      <c r="D121" s="129">
        <v>85000</v>
      </c>
      <c r="E121" s="130"/>
      <c r="F121" s="131">
        <f t="shared" si="45"/>
        <v>-85000</v>
      </c>
      <c r="G121" s="129">
        <v>85000</v>
      </c>
      <c r="H121" s="130"/>
      <c r="I121" s="131">
        <f t="shared" si="52"/>
        <v>-85000</v>
      </c>
      <c r="J121" s="129">
        <v>85000</v>
      </c>
      <c r="K121" s="130"/>
      <c r="L121" s="131">
        <f t="shared" si="53"/>
        <v>-85000</v>
      </c>
      <c r="M121" s="129">
        <v>85000</v>
      </c>
      <c r="N121" s="130"/>
      <c r="O121" s="131">
        <f t="shared" si="54"/>
        <v>-85000</v>
      </c>
      <c r="P121" s="129">
        <v>85000</v>
      </c>
      <c r="Q121" s="130"/>
      <c r="R121" s="131">
        <f t="shared" si="55"/>
        <v>-85000</v>
      </c>
      <c r="S121" s="129">
        <v>85000</v>
      </c>
      <c r="T121" s="130"/>
      <c r="U121" s="131">
        <f t="shared" si="56"/>
        <v>-85000</v>
      </c>
      <c r="V121" s="129">
        <f t="shared" si="51"/>
        <v>510000</v>
      </c>
      <c r="W121" s="130">
        <f t="shared" si="51"/>
        <v>0</v>
      </c>
      <c r="X121" s="131">
        <f t="shared" si="51"/>
        <v>-510000</v>
      </c>
      <c r="AC121" s="20"/>
    </row>
    <row r="122" spans="2:29">
      <c r="B122" s="21"/>
      <c r="C122" s="21" t="s">
        <v>57</v>
      </c>
      <c r="D122" s="129">
        <f>SUM(D81:D83,D94:D96,D100:D102,D110:D111,D115:D121)</f>
        <v>7562000</v>
      </c>
      <c r="E122" s="143">
        <f>SUM(E81:E83,E94:E102,E110:E111,E115:E121)</f>
        <v>39854</v>
      </c>
      <c r="F122" s="131">
        <f t="shared" si="45"/>
        <v>-7522146</v>
      </c>
      <c r="G122" s="129">
        <f>SUM(G81:G83,G94:G96,G100:G102,G110:G111,G115:G121)</f>
        <v>7972000</v>
      </c>
      <c r="H122" s="143">
        <f>SUM(H81:H83,H94:H102,H110:H111,H115:H121)</f>
        <v>0</v>
      </c>
      <c r="I122" s="131">
        <f t="shared" si="52"/>
        <v>-7972000</v>
      </c>
      <c r="J122" s="129">
        <f>SUM(J81:J83,J94:J96,J100:J102,J110:J111,J115:J121)</f>
        <v>7562000</v>
      </c>
      <c r="K122" s="143">
        <f>SUM(K81:K83,K94:K102,K110:K111,K115:K121)</f>
        <v>0</v>
      </c>
      <c r="L122" s="131">
        <f t="shared" si="53"/>
        <v>-7562000</v>
      </c>
      <c r="M122" s="129">
        <f>SUM(M81:M83,M94:M96,M100:M102,M110:M111,M115:M121)</f>
        <v>8042000</v>
      </c>
      <c r="N122" s="143">
        <f>SUM(N81:N83,N94:N102,N110:N111,N115:N121)</f>
        <v>0</v>
      </c>
      <c r="O122" s="131">
        <f t="shared" si="54"/>
        <v>-8042000</v>
      </c>
      <c r="P122" s="129">
        <f>SUM(P81:P83,P94:P96,P100:P102,P110:P111,P115:P121)</f>
        <v>7962000</v>
      </c>
      <c r="Q122" s="143">
        <f>SUM(Q81:Q83,Q94:Q102,Q110:Q111,Q115:Q121)</f>
        <v>0</v>
      </c>
      <c r="R122" s="131">
        <f t="shared" si="55"/>
        <v>-7962000</v>
      </c>
      <c r="S122" s="129">
        <f>SUM(S81:S83,S94:S96,S100:S102,S110:S111,S115:S121)</f>
        <v>8099390</v>
      </c>
      <c r="T122" s="143">
        <f>SUM(T81:T83,T94:T102,T110:T111,T115:T121)</f>
        <v>0</v>
      </c>
      <c r="U122" s="131">
        <f t="shared" si="56"/>
        <v>-8099390</v>
      </c>
      <c r="V122" s="129">
        <f t="shared" si="51"/>
        <v>47199390</v>
      </c>
      <c r="W122" s="143">
        <f t="shared" si="51"/>
        <v>39854</v>
      </c>
      <c r="X122" s="131">
        <f t="shared" si="51"/>
        <v>-47159536</v>
      </c>
      <c r="AC122" s="20"/>
    </row>
    <row r="123" spans="2:29">
      <c r="C123" s="20" t="s">
        <v>89</v>
      </c>
      <c r="D123" s="144">
        <f>D80-D122</f>
        <v>-2863196</v>
      </c>
      <c r="E123" s="144">
        <f>E80-E122</f>
        <v>-39854</v>
      </c>
      <c r="F123" s="144">
        <f t="shared" si="45"/>
        <v>2823342</v>
      </c>
      <c r="G123" s="144">
        <f>G80-G122</f>
        <v>-2441656</v>
      </c>
      <c r="H123" s="144">
        <f>H80-H122</f>
        <v>0</v>
      </c>
      <c r="I123" s="144">
        <f t="shared" si="52"/>
        <v>2441656</v>
      </c>
      <c r="J123" s="144">
        <f>J80-J122</f>
        <v>-2863196</v>
      </c>
      <c r="K123" s="144">
        <f>K80-K122</f>
        <v>0</v>
      </c>
      <c r="L123" s="144">
        <f t="shared" si="53"/>
        <v>2863196</v>
      </c>
      <c r="M123" s="144">
        <f>M80-M122</f>
        <v>-2492156</v>
      </c>
      <c r="N123" s="144">
        <f>N80-N122</f>
        <v>0</v>
      </c>
      <c r="O123" s="144">
        <f t="shared" si="54"/>
        <v>2492156</v>
      </c>
      <c r="P123" s="144">
        <f>P80-P122</f>
        <v>-3263196</v>
      </c>
      <c r="Q123" s="144">
        <f>Q80-Q122</f>
        <v>0</v>
      </c>
      <c r="R123" s="144">
        <f t="shared" si="55"/>
        <v>3263196</v>
      </c>
      <c r="S123" s="144">
        <f>S80-S122</f>
        <v>-2332546</v>
      </c>
      <c r="T123" s="144">
        <f>T80-T122</f>
        <v>0</v>
      </c>
      <c r="U123" s="144">
        <f t="shared" si="56"/>
        <v>2332546</v>
      </c>
      <c r="V123" s="144">
        <f>V80-V122</f>
        <v>-16255946</v>
      </c>
      <c r="W123" s="144">
        <f>W80-W122</f>
        <v>-39854</v>
      </c>
      <c r="X123" s="144">
        <f>W123-V123</f>
        <v>16216092</v>
      </c>
      <c r="AC123" s="20"/>
    </row>
    <row r="124" spans="2:29">
      <c r="C124" s="125" t="s">
        <v>191</v>
      </c>
      <c r="D124" s="145">
        <v>226400</v>
      </c>
      <c r="E124" s="145"/>
      <c r="F124" s="145"/>
      <c r="G124" s="145">
        <v>226400</v>
      </c>
      <c r="H124" s="145"/>
      <c r="I124" s="145"/>
      <c r="J124" s="145">
        <v>226400</v>
      </c>
      <c r="K124" s="145"/>
      <c r="L124" s="145"/>
      <c r="M124" s="145">
        <v>226400</v>
      </c>
      <c r="N124" s="145"/>
      <c r="O124" s="145"/>
      <c r="P124" s="145">
        <v>226400</v>
      </c>
      <c r="Q124" s="145"/>
      <c r="R124" s="145"/>
      <c r="S124" s="145">
        <v>226400</v>
      </c>
      <c r="T124" s="145"/>
      <c r="U124" s="145"/>
      <c r="V124" s="145"/>
      <c r="W124" s="145"/>
      <c r="X124" s="145"/>
      <c r="Y124" s="42"/>
      <c r="Z124" s="42"/>
      <c r="AA124" s="42"/>
      <c r="AC124" s="20"/>
    </row>
    <row r="125" spans="2:29">
      <c r="B125" s="21"/>
      <c r="C125" s="146" t="s">
        <v>55</v>
      </c>
      <c r="D125" s="152" t="s">
        <v>140</v>
      </c>
      <c r="E125" s="153"/>
      <c r="F125" s="154"/>
      <c r="G125" s="152" t="s">
        <v>139</v>
      </c>
      <c r="H125" s="153"/>
      <c r="I125" s="154"/>
      <c r="J125" s="152" t="s">
        <v>138</v>
      </c>
      <c r="K125" s="153"/>
      <c r="L125" s="154"/>
      <c r="M125" s="152" t="s">
        <v>192</v>
      </c>
      <c r="N125" s="153"/>
      <c r="O125" s="154"/>
      <c r="P125" s="152" t="s">
        <v>193</v>
      </c>
      <c r="Q125" s="153"/>
      <c r="R125" s="154"/>
      <c r="S125" s="152" t="s">
        <v>194</v>
      </c>
      <c r="T125" s="153"/>
      <c r="U125" s="154"/>
      <c r="V125" s="152" t="s">
        <v>90</v>
      </c>
      <c r="W125" s="153"/>
      <c r="X125" s="154"/>
      <c r="Y125" s="152" t="s">
        <v>57</v>
      </c>
      <c r="Z125" s="153"/>
      <c r="AA125" s="154"/>
      <c r="AC125" s="20"/>
    </row>
    <row r="126" spans="2:29">
      <c r="B126" s="21"/>
      <c r="C126" s="146" t="s">
        <v>4</v>
      </c>
      <c r="D126" s="126" t="s">
        <v>36</v>
      </c>
      <c r="E126" s="127" t="s">
        <v>19</v>
      </c>
      <c r="F126" s="128" t="s">
        <v>37</v>
      </c>
      <c r="G126" s="126" t="s">
        <v>36</v>
      </c>
      <c r="H126" s="127" t="s">
        <v>19</v>
      </c>
      <c r="I126" s="128" t="s">
        <v>37</v>
      </c>
      <c r="J126" s="126" t="s">
        <v>36</v>
      </c>
      <c r="K126" s="127" t="s">
        <v>19</v>
      </c>
      <c r="L126" s="128" t="s">
        <v>37</v>
      </c>
      <c r="M126" s="126" t="s">
        <v>36</v>
      </c>
      <c r="N126" s="127" t="s">
        <v>19</v>
      </c>
      <c r="O126" s="128" t="s">
        <v>37</v>
      </c>
      <c r="P126" s="126" t="s">
        <v>36</v>
      </c>
      <c r="Q126" s="127" t="s">
        <v>19</v>
      </c>
      <c r="R126" s="128" t="s">
        <v>37</v>
      </c>
      <c r="S126" s="126" t="s">
        <v>36</v>
      </c>
      <c r="T126" s="127" t="s">
        <v>19</v>
      </c>
      <c r="U126" s="128" t="s">
        <v>37</v>
      </c>
      <c r="V126" s="126" t="s">
        <v>36</v>
      </c>
      <c r="W126" s="127" t="s">
        <v>19</v>
      </c>
      <c r="X126" s="128" t="s">
        <v>37</v>
      </c>
      <c r="Y126" s="126" t="s">
        <v>36</v>
      </c>
      <c r="Z126" s="127" t="s">
        <v>19</v>
      </c>
      <c r="AA126" s="128" t="s">
        <v>37</v>
      </c>
      <c r="AC126" s="20"/>
    </row>
    <row r="127" spans="2:29">
      <c r="B127" s="21" t="s">
        <v>52</v>
      </c>
      <c r="C127" s="65" t="s">
        <v>59</v>
      </c>
      <c r="D127" s="129">
        <v>62455990</v>
      </c>
      <c r="E127" s="130"/>
      <c r="F127" s="131">
        <f t="shared" ref="F127:F131" si="57">E127-D127</f>
        <v>-62455990</v>
      </c>
      <c r="G127" s="129">
        <v>62455990</v>
      </c>
      <c r="H127" s="130"/>
      <c r="I127" s="131">
        <f t="shared" ref="I127:I131" si="58">H127-G127</f>
        <v>-62455990</v>
      </c>
      <c r="J127" s="129">
        <v>62455990</v>
      </c>
      <c r="K127" s="130"/>
      <c r="L127" s="131">
        <f t="shared" ref="L127:L131" si="59">K127-J127</f>
        <v>-62455990</v>
      </c>
      <c r="M127" s="129">
        <v>62455990</v>
      </c>
      <c r="N127" s="130"/>
      <c r="O127" s="131">
        <f t="shared" ref="O127:O131" si="60">N127-M127</f>
        <v>-62455990</v>
      </c>
      <c r="P127" s="129">
        <v>62455990</v>
      </c>
      <c r="Q127" s="130"/>
      <c r="R127" s="131">
        <f t="shared" ref="R127:R131" si="61">Q127-P127</f>
        <v>-62455990</v>
      </c>
      <c r="S127" s="129">
        <v>62455990</v>
      </c>
      <c r="T127" s="130"/>
      <c r="U127" s="131">
        <f t="shared" ref="U127:U131" si="62">T127-S127</f>
        <v>-62455990</v>
      </c>
      <c r="V127" s="129">
        <f t="shared" ref="V127:X140" si="63">D127+G127+J127+M127+P127+S127</f>
        <v>374735940</v>
      </c>
      <c r="W127" s="130">
        <f t="shared" si="63"/>
        <v>0</v>
      </c>
      <c r="X127" s="131">
        <f t="shared" si="63"/>
        <v>-374735940</v>
      </c>
      <c r="Y127" s="129">
        <f t="shared" ref="Y127:AA136" si="64">V74+V127</f>
        <v>714568200</v>
      </c>
      <c r="Z127" s="130">
        <f t="shared" si="64"/>
        <v>0</v>
      </c>
      <c r="AA127" s="131">
        <f t="shared" si="64"/>
        <v>-714568200</v>
      </c>
      <c r="AB127" s="39"/>
      <c r="AC127" s="20"/>
    </row>
    <row r="128" spans="2:29">
      <c r="B128" s="21" t="s">
        <v>52</v>
      </c>
      <c r="C128" s="65" t="s">
        <v>60</v>
      </c>
      <c r="D128" s="132">
        <v>0</v>
      </c>
      <c r="E128" s="130"/>
      <c r="F128" s="131">
        <f t="shared" si="57"/>
        <v>0</v>
      </c>
      <c r="G128" s="132">
        <v>25818460</v>
      </c>
      <c r="H128" s="130"/>
      <c r="I128" s="131">
        <f t="shared" si="58"/>
        <v>-25818460</v>
      </c>
      <c r="J128" s="132">
        <v>0</v>
      </c>
      <c r="K128" s="130"/>
      <c r="L128" s="131">
        <f t="shared" si="59"/>
        <v>0</v>
      </c>
      <c r="M128" s="132">
        <v>25063960</v>
      </c>
      <c r="N128" s="130"/>
      <c r="O128" s="131">
        <f t="shared" si="60"/>
        <v>-25063960</v>
      </c>
      <c r="P128" s="132">
        <v>0</v>
      </c>
      <c r="Q128" s="130"/>
      <c r="R128" s="131">
        <f t="shared" si="61"/>
        <v>0</v>
      </c>
      <c r="S128" s="132">
        <v>25818460</v>
      </c>
      <c r="T128" s="130"/>
      <c r="U128" s="131">
        <f t="shared" si="62"/>
        <v>-25818460</v>
      </c>
      <c r="V128" s="132">
        <f t="shared" si="63"/>
        <v>76700880</v>
      </c>
      <c r="W128" s="130">
        <f t="shared" si="63"/>
        <v>0</v>
      </c>
      <c r="X128" s="131">
        <f t="shared" si="63"/>
        <v>-76700880</v>
      </c>
      <c r="Y128" s="132">
        <f t="shared" si="64"/>
        <v>150749760</v>
      </c>
      <c r="Z128" s="130">
        <f t="shared" si="64"/>
        <v>0</v>
      </c>
      <c r="AA128" s="131">
        <f t="shared" si="64"/>
        <v>-150749760</v>
      </c>
    </row>
    <row r="129" spans="2:29">
      <c r="B129" s="21"/>
      <c r="C129" s="147" t="s">
        <v>62</v>
      </c>
      <c r="D129" s="133">
        <f>SUM(D127:D128)</f>
        <v>62455990</v>
      </c>
      <c r="E129" s="134">
        <f>SUM(E127:E128)</f>
        <v>0</v>
      </c>
      <c r="F129" s="135">
        <f t="shared" si="57"/>
        <v>-62455990</v>
      </c>
      <c r="G129" s="133">
        <f>SUM(G127:G128)</f>
        <v>88274450</v>
      </c>
      <c r="H129" s="134">
        <f>SUM(H127:H128)</f>
        <v>0</v>
      </c>
      <c r="I129" s="135">
        <f t="shared" si="58"/>
        <v>-88274450</v>
      </c>
      <c r="J129" s="133">
        <f>SUM(J127:J128)</f>
        <v>62455990</v>
      </c>
      <c r="K129" s="134">
        <f>SUM(K127:K128)</f>
        <v>0</v>
      </c>
      <c r="L129" s="135">
        <f t="shared" si="59"/>
        <v>-62455990</v>
      </c>
      <c r="M129" s="133">
        <f>SUM(M127:M128)</f>
        <v>87519950</v>
      </c>
      <c r="N129" s="134">
        <f>SUM(N127:N128)</f>
        <v>0</v>
      </c>
      <c r="O129" s="135">
        <f t="shared" si="60"/>
        <v>-87519950</v>
      </c>
      <c r="P129" s="133">
        <f>SUM(P127:P128)</f>
        <v>62455990</v>
      </c>
      <c r="Q129" s="134">
        <f>SUM(Q127:Q128)</f>
        <v>0</v>
      </c>
      <c r="R129" s="135">
        <f t="shared" si="61"/>
        <v>-62455990</v>
      </c>
      <c r="S129" s="133">
        <f>SUM(S127:S128)</f>
        <v>88274450</v>
      </c>
      <c r="T129" s="134">
        <f>SUM(T127:T128)</f>
        <v>0</v>
      </c>
      <c r="U129" s="135">
        <f t="shared" si="62"/>
        <v>-88274450</v>
      </c>
      <c r="V129" s="133">
        <f t="shared" si="63"/>
        <v>451436820</v>
      </c>
      <c r="W129" s="134">
        <f t="shared" si="63"/>
        <v>0</v>
      </c>
      <c r="X129" s="135">
        <f t="shared" si="63"/>
        <v>-451436820</v>
      </c>
      <c r="Y129" s="133">
        <f t="shared" si="64"/>
        <v>865317960</v>
      </c>
      <c r="Z129" s="134">
        <f t="shared" si="64"/>
        <v>0</v>
      </c>
      <c r="AA129" s="135">
        <f t="shared" si="64"/>
        <v>-865317960</v>
      </c>
    </row>
    <row r="130" spans="2:29">
      <c r="B130" s="21"/>
      <c r="C130" s="65" t="s">
        <v>63</v>
      </c>
      <c r="D130" s="132">
        <v>0</v>
      </c>
      <c r="E130" s="130"/>
      <c r="F130" s="131">
        <f t="shared" si="57"/>
        <v>0</v>
      </c>
      <c r="G130" s="132">
        <v>24921920</v>
      </c>
      <c r="H130" s="130"/>
      <c r="I130" s="131">
        <f t="shared" si="58"/>
        <v>-24921920</v>
      </c>
      <c r="J130" s="132">
        <v>0</v>
      </c>
      <c r="K130" s="130"/>
      <c r="L130" s="131">
        <f t="shared" si="59"/>
        <v>0</v>
      </c>
      <c r="M130" s="132">
        <v>24042920</v>
      </c>
      <c r="N130" s="130"/>
      <c r="O130" s="131">
        <f t="shared" si="60"/>
        <v>-24042920</v>
      </c>
      <c r="P130" s="132">
        <v>0</v>
      </c>
      <c r="Q130" s="130"/>
      <c r="R130" s="131">
        <f t="shared" si="61"/>
        <v>0</v>
      </c>
      <c r="S130" s="132">
        <v>24921920</v>
      </c>
      <c r="T130" s="130"/>
      <c r="U130" s="131">
        <f t="shared" si="62"/>
        <v>-24921920</v>
      </c>
      <c r="V130" s="132">
        <f t="shared" si="63"/>
        <v>73886760</v>
      </c>
      <c r="W130" s="130">
        <f t="shared" si="63"/>
        <v>0</v>
      </c>
      <c r="X130" s="131">
        <f t="shared" si="63"/>
        <v>-73886760</v>
      </c>
      <c r="Y130" s="132">
        <f t="shared" si="64"/>
        <v>145185020</v>
      </c>
      <c r="Z130" s="130">
        <f t="shared" si="64"/>
        <v>0</v>
      </c>
      <c r="AA130" s="131">
        <f t="shared" si="64"/>
        <v>-145185020</v>
      </c>
    </row>
    <row r="131" spans="2:29">
      <c r="B131" s="21"/>
      <c r="C131" s="65" t="s">
        <v>64</v>
      </c>
      <c r="D131" s="132">
        <v>57276316</v>
      </c>
      <c r="E131" s="130"/>
      <c r="F131" s="131">
        <f t="shared" si="57"/>
        <v>-57276316</v>
      </c>
      <c r="G131" s="132">
        <v>57276316</v>
      </c>
      <c r="H131" s="130"/>
      <c r="I131" s="131">
        <f t="shared" si="58"/>
        <v>-57276316</v>
      </c>
      <c r="J131" s="132">
        <v>57276316</v>
      </c>
      <c r="K131" s="130"/>
      <c r="L131" s="131">
        <f t="shared" si="59"/>
        <v>-57276316</v>
      </c>
      <c r="M131" s="132">
        <v>57276316</v>
      </c>
      <c r="N131" s="130"/>
      <c r="O131" s="131">
        <f t="shared" si="60"/>
        <v>-57276316</v>
      </c>
      <c r="P131" s="132">
        <v>57276316</v>
      </c>
      <c r="Q131" s="130"/>
      <c r="R131" s="131">
        <f t="shared" si="61"/>
        <v>-57276316</v>
      </c>
      <c r="S131" s="132">
        <v>57276316</v>
      </c>
      <c r="T131" s="130"/>
      <c r="U131" s="131">
        <f t="shared" si="62"/>
        <v>-57276316</v>
      </c>
      <c r="V131" s="132">
        <f t="shared" si="63"/>
        <v>343657896</v>
      </c>
      <c r="W131" s="130">
        <f t="shared" si="63"/>
        <v>0</v>
      </c>
      <c r="X131" s="131">
        <f t="shared" si="63"/>
        <v>-343657896</v>
      </c>
      <c r="Y131" s="132">
        <f t="shared" si="64"/>
        <v>655297332</v>
      </c>
      <c r="Z131" s="130">
        <f t="shared" si="64"/>
        <v>0</v>
      </c>
      <c r="AA131" s="131">
        <f t="shared" si="64"/>
        <v>-655297332</v>
      </c>
    </row>
    <row r="132" spans="2:29">
      <c r="B132" s="21"/>
      <c r="C132" s="147" t="s">
        <v>65</v>
      </c>
      <c r="D132" s="133">
        <f>SUM(D130:D131)</f>
        <v>57276316</v>
      </c>
      <c r="E132" s="134">
        <f>SUM(E130:E131)</f>
        <v>0</v>
      </c>
      <c r="F132" s="135">
        <f>E132-D132</f>
        <v>-57276316</v>
      </c>
      <c r="G132" s="133">
        <f>SUM(G130:G131)</f>
        <v>82198236</v>
      </c>
      <c r="H132" s="134">
        <f>SUM(H130:H131)</f>
        <v>0</v>
      </c>
      <c r="I132" s="135">
        <f>H132-G132</f>
        <v>-82198236</v>
      </c>
      <c r="J132" s="133">
        <f>SUM(J130:J131)</f>
        <v>57276316</v>
      </c>
      <c r="K132" s="134">
        <f>SUM(K130:K131)</f>
        <v>0</v>
      </c>
      <c r="L132" s="135">
        <f>K132-J132</f>
        <v>-57276316</v>
      </c>
      <c r="M132" s="133">
        <f>SUM(M130:M131)</f>
        <v>81319236</v>
      </c>
      <c r="N132" s="134">
        <f>SUM(N130:N131)</f>
        <v>0</v>
      </c>
      <c r="O132" s="135">
        <f>N132-M132</f>
        <v>-81319236</v>
      </c>
      <c r="P132" s="133">
        <f>SUM(P130:P131)</f>
        <v>57276316</v>
      </c>
      <c r="Q132" s="134">
        <f>SUM(Q130:Q131)</f>
        <v>0</v>
      </c>
      <c r="R132" s="135">
        <f>Q132-P132</f>
        <v>-57276316</v>
      </c>
      <c r="S132" s="133">
        <f>SUM(S130:S131)</f>
        <v>82198236</v>
      </c>
      <c r="T132" s="134">
        <f>SUM(T130:T131)</f>
        <v>0</v>
      </c>
      <c r="U132" s="135">
        <f>T132-S132</f>
        <v>-82198236</v>
      </c>
      <c r="V132" s="133">
        <f t="shared" si="63"/>
        <v>417544656</v>
      </c>
      <c r="W132" s="134">
        <f t="shared" si="63"/>
        <v>0</v>
      </c>
      <c r="X132" s="135">
        <f t="shared" si="63"/>
        <v>-417544656</v>
      </c>
      <c r="Y132" s="133">
        <f t="shared" si="64"/>
        <v>800482352</v>
      </c>
      <c r="Z132" s="134">
        <f t="shared" si="64"/>
        <v>0</v>
      </c>
      <c r="AA132" s="135">
        <f t="shared" si="64"/>
        <v>-800482352</v>
      </c>
    </row>
    <row r="133" spans="2:29">
      <c r="B133" s="21"/>
      <c r="C133" s="147" t="s">
        <v>66</v>
      </c>
      <c r="D133" s="133">
        <f>D129-D132</f>
        <v>5179674</v>
      </c>
      <c r="E133" s="134">
        <f>E129-E132</f>
        <v>0</v>
      </c>
      <c r="F133" s="135">
        <f>E133-D133</f>
        <v>-5179674</v>
      </c>
      <c r="G133" s="133">
        <f>G129-G132</f>
        <v>6076214</v>
      </c>
      <c r="H133" s="134">
        <f>H129-H132</f>
        <v>0</v>
      </c>
      <c r="I133" s="135">
        <f>H133-G133</f>
        <v>-6076214</v>
      </c>
      <c r="J133" s="133">
        <f>J129-J132</f>
        <v>5179674</v>
      </c>
      <c r="K133" s="134">
        <f>K129-K132</f>
        <v>0</v>
      </c>
      <c r="L133" s="135">
        <f>K133-J133</f>
        <v>-5179674</v>
      </c>
      <c r="M133" s="133">
        <f>M129-M132</f>
        <v>6200714</v>
      </c>
      <c r="N133" s="134">
        <f>N129-N132</f>
        <v>0</v>
      </c>
      <c r="O133" s="135">
        <f>N133-M133</f>
        <v>-6200714</v>
      </c>
      <c r="P133" s="133">
        <f>P129-P132</f>
        <v>5179674</v>
      </c>
      <c r="Q133" s="134">
        <f>Q129-Q132</f>
        <v>0</v>
      </c>
      <c r="R133" s="135">
        <f>Q133-P133</f>
        <v>-5179674</v>
      </c>
      <c r="S133" s="133">
        <f>S129-S132</f>
        <v>6076214</v>
      </c>
      <c r="T133" s="134">
        <f>T129-T132</f>
        <v>0</v>
      </c>
      <c r="U133" s="135">
        <f>T133-S133</f>
        <v>-6076214</v>
      </c>
      <c r="V133" s="133">
        <f t="shared" si="63"/>
        <v>33892164</v>
      </c>
      <c r="W133" s="134">
        <f t="shared" si="63"/>
        <v>0</v>
      </c>
      <c r="X133" s="135">
        <f t="shared" si="63"/>
        <v>-33892164</v>
      </c>
      <c r="Y133" s="133">
        <f t="shared" si="64"/>
        <v>64835608</v>
      </c>
      <c r="Z133" s="134">
        <f t="shared" si="64"/>
        <v>0</v>
      </c>
      <c r="AA133" s="135">
        <f t="shared" si="64"/>
        <v>-64835608</v>
      </c>
    </row>
    <row r="134" spans="2:29">
      <c r="B134" s="21"/>
      <c r="C134" s="65" t="s">
        <v>67</v>
      </c>
      <c r="D134" s="132">
        <v>1100000</v>
      </c>
      <c r="E134" s="130"/>
      <c r="F134" s="131">
        <f t="shared" ref="F134:F146" si="65">E134-D134</f>
        <v>-1100000</v>
      </c>
      <c r="G134" s="132">
        <v>1100000</v>
      </c>
      <c r="H134" s="130"/>
      <c r="I134" s="131">
        <f t="shared" ref="I134:I146" si="66">H134-G134</f>
        <v>-1100000</v>
      </c>
      <c r="J134" s="132">
        <v>1100000</v>
      </c>
      <c r="K134" s="130"/>
      <c r="L134" s="131">
        <f t="shared" ref="L134:L146" si="67">K134-J134</f>
        <v>-1100000</v>
      </c>
      <c r="M134" s="132">
        <v>1100000</v>
      </c>
      <c r="N134" s="130"/>
      <c r="O134" s="131">
        <f t="shared" ref="O134:O146" si="68">N134-M134</f>
        <v>-1100000</v>
      </c>
      <c r="P134" s="132">
        <v>1100000</v>
      </c>
      <c r="Q134" s="130"/>
      <c r="R134" s="131">
        <f t="shared" ref="R134:R146" si="69">Q134-P134</f>
        <v>-1100000</v>
      </c>
      <c r="S134" s="132">
        <v>1100000</v>
      </c>
      <c r="T134" s="130"/>
      <c r="U134" s="131">
        <f t="shared" ref="U134:U146" si="70">T134-S134</f>
        <v>-1100000</v>
      </c>
      <c r="V134" s="132">
        <f t="shared" si="63"/>
        <v>6600000</v>
      </c>
      <c r="W134" s="130">
        <f t="shared" si="63"/>
        <v>0</v>
      </c>
      <c r="X134" s="131">
        <f t="shared" si="63"/>
        <v>-6600000</v>
      </c>
      <c r="Y134" s="132">
        <f t="shared" si="64"/>
        <v>13200000</v>
      </c>
      <c r="Z134" s="130">
        <f t="shared" si="64"/>
        <v>0</v>
      </c>
      <c r="AA134" s="131">
        <f t="shared" si="64"/>
        <v>-13200000</v>
      </c>
    </row>
    <row r="135" spans="2:29">
      <c r="B135" s="21"/>
      <c r="C135" s="65" t="s">
        <v>68</v>
      </c>
      <c r="D135" s="132">
        <v>1510000</v>
      </c>
      <c r="E135" s="130"/>
      <c r="F135" s="131">
        <f t="shared" si="65"/>
        <v>-1510000</v>
      </c>
      <c r="G135" s="132">
        <v>1510000</v>
      </c>
      <c r="H135" s="130"/>
      <c r="I135" s="131">
        <f t="shared" si="66"/>
        <v>-1510000</v>
      </c>
      <c r="J135" s="132">
        <v>1510000</v>
      </c>
      <c r="K135" s="130"/>
      <c r="L135" s="131">
        <f t="shared" si="67"/>
        <v>-1510000</v>
      </c>
      <c r="M135" s="132">
        <v>1510000</v>
      </c>
      <c r="N135" s="130"/>
      <c r="O135" s="131">
        <f t="shared" si="68"/>
        <v>-1510000</v>
      </c>
      <c r="P135" s="132">
        <v>1510000</v>
      </c>
      <c r="Q135" s="130"/>
      <c r="R135" s="131">
        <f t="shared" si="69"/>
        <v>-1510000</v>
      </c>
      <c r="S135" s="132">
        <v>1510000</v>
      </c>
      <c r="T135" s="130"/>
      <c r="U135" s="131">
        <f t="shared" si="70"/>
        <v>-1510000</v>
      </c>
      <c r="V135" s="132">
        <f t="shared" si="63"/>
        <v>9060000</v>
      </c>
      <c r="W135" s="130">
        <f t="shared" si="63"/>
        <v>0</v>
      </c>
      <c r="X135" s="131">
        <f t="shared" si="63"/>
        <v>-9060000</v>
      </c>
      <c r="Y135" s="132">
        <f t="shared" si="64"/>
        <v>18120000</v>
      </c>
      <c r="Z135" s="130">
        <f t="shared" si="64"/>
        <v>0</v>
      </c>
      <c r="AA135" s="131">
        <f t="shared" si="64"/>
        <v>-18120000</v>
      </c>
    </row>
    <row r="136" spans="2:29">
      <c r="B136" s="21" t="s">
        <v>52</v>
      </c>
      <c r="C136" s="65" t="s">
        <v>69</v>
      </c>
      <c r="D136" s="132">
        <f>SUM(D137:D146)</f>
        <v>450000</v>
      </c>
      <c r="E136" s="130">
        <f>SUM(E137:E146)</f>
        <v>0</v>
      </c>
      <c r="F136" s="131">
        <f t="shared" si="65"/>
        <v>-450000</v>
      </c>
      <c r="G136" s="132">
        <f>SUM(G137:G146)</f>
        <v>600000</v>
      </c>
      <c r="H136" s="130">
        <f>SUM(H137:H146)</f>
        <v>0</v>
      </c>
      <c r="I136" s="131">
        <f t="shared" si="66"/>
        <v>-600000</v>
      </c>
      <c r="J136" s="132">
        <f>SUM(J137:J146)</f>
        <v>450000</v>
      </c>
      <c r="K136" s="130">
        <f>SUM(K137:K146)</f>
        <v>0</v>
      </c>
      <c r="L136" s="131">
        <f t="shared" si="67"/>
        <v>-450000</v>
      </c>
      <c r="M136" s="132">
        <f>SUM(M137:M146)</f>
        <v>600000</v>
      </c>
      <c r="N136" s="130">
        <f>SUM(N137:N146)</f>
        <v>0</v>
      </c>
      <c r="O136" s="131">
        <f t="shared" si="68"/>
        <v>-600000</v>
      </c>
      <c r="P136" s="132">
        <f>SUM(P137:P146)</f>
        <v>450000</v>
      </c>
      <c r="Q136" s="130">
        <f>SUM(Q137:Q146)</f>
        <v>0</v>
      </c>
      <c r="R136" s="131">
        <f t="shared" si="69"/>
        <v>-450000</v>
      </c>
      <c r="S136" s="132">
        <f>SUM(S137:S146)</f>
        <v>600000</v>
      </c>
      <c r="T136" s="130">
        <f>SUM(T137:T146)</f>
        <v>0</v>
      </c>
      <c r="U136" s="131">
        <f t="shared" si="70"/>
        <v>-600000</v>
      </c>
      <c r="V136" s="132">
        <f t="shared" si="63"/>
        <v>3150000</v>
      </c>
      <c r="W136" s="130">
        <f t="shared" si="63"/>
        <v>0</v>
      </c>
      <c r="X136" s="131">
        <f t="shared" si="63"/>
        <v>-3150000</v>
      </c>
      <c r="Y136" s="132">
        <f t="shared" si="64"/>
        <v>26676000</v>
      </c>
      <c r="Z136" s="130">
        <f t="shared" si="64"/>
        <v>25906</v>
      </c>
      <c r="AA136" s="131">
        <f t="shared" si="64"/>
        <v>-26650094</v>
      </c>
    </row>
    <row r="137" spans="2:29">
      <c r="B137" s="21"/>
      <c r="C137" s="148" t="s">
        <v>141</v>
      </c>
      <c r="D137" s="138">
        <v>10000</v>
      </c>
      <c r="E137" s="139"/>
      <c r="F137" s="140">
        <f t="shared" si="65"/>
        <v>-10000</v>
      </c>
      <c r="G137" s="138">
        <v>10000</v>
      </c>
      <c r="H137" s="139"/>
      <c r="I137" s="140">
        <f t="shared" si="66"/>
        <v>-10000</v>
      </c>
      <c r="J137" s="138">
        <v>10000</v>
      </c>
      <c r="K137" s="139"/>
      <c r="L137" s="140">
        <f t="shared" si="67"/>
        <v>-10000</v>
      </c>
      <c r="M137" s="138">
        <v>10000</v>
      </c>
      <c r="N137" s="139"/>
      <c r="O137" s="140">
        <f t="shared" si="68"/>
        <v>-10000</v>
      </c>
      <c r="P137" s="138">
        <v>10000</v>
      </c>
      <c r="Q137" s="139"/>
      <c r="R137" s="140">
        <f t="shared" si="69"/>
        <v>-10000</v>
      </c>
      <c r="S137" s="138">
        <v>10000</v>
      </c>
      <c r="T137" s="139"/>
      <c r="U137" s="140">
        <f t="shared" si="70"/>
        <v>-10000</v>
      </c>
      <c r="V137" s="138"/>
      <c r="W137" s="139">
        <f t="shared" si="63"/>
        <v>0</v>
      </c>
      <c r="X137" s="140"/>
      <c r="Y137" s="138"/>
      <c r="Z137" s="139"/>
      <c r="AA137" s="140"/>
    </row>
    <row r="138" spans="2:29">
      <c r="B138" s="21"/>
      <c r="C138" s="148" t="s">
        <v>142</v>
      </c>
      <c r="D138" s="138">
        <v>30000</v>
      </c>
      <c r="E138" s="139"/>
      <c r="F138" s="140">
        <f t="shared" si="65"/>
        <v>-30000</v>
      </c>
      <c r="G138" s="138">
        <v>30000</v>
      </c>
      <c r="H138" s="139"/>
      <c r="I138" s="140">
        <f t="shared" si="66"/>
        <v>-30000</v>
      </c>
      <c r="J138" s="138">
        <v>30000</v>
      </c>
      <c r="K138" s="139"/>
      <c r="L138" s="140">
        <f t="shared" si="67"/>
        <v>-30000</v>
      </c>
      <c r="M138" s="138">
        <v>30000</v>
      </c>
      <c r="N138" s="139"/>
      <c r="O138" s="140">
        <f t="shared" si="68"/>
        <v>-30000</v>
      </c>
      <c r="P138" s="138">
        <v>30000</v>
      </c>
      <c r="Q138" s="139"/>
      <c r="R138" s="140">
        <f t="shared" si="69"/>
        <v>-30000</v>
      </c>
      <c r="S138" s="138">
        <v>30000</v>
      </c>
      <c r="T138" s="139"/>
      <c r="U138" s="140">
        <f t="shared" si="70"/>
        <v>-30000</v>
      </c>
      <c r="V138" s="138"/>
      <c r="W138" s="139">
        <f t="shared" si="63"/>
        <v>0</v>
      </c>
      <c r="X138" s="140"/>
      <c r="Y138" s="138"/>
      <c r="Z138" s="139"/>
      <c r="AA138" s="140"/>
      <c r="AC138" s="20"/>
    </row>
    <row r="139" spans="2:29">
      <c r="B139" s="21"/>
      <c r="C139" s="148" t="s">
        <v>143</v>
      </c>
      <c r="D139" s="138">
        <v>5000</v>
      </c>
      <c r="E139" s="139"/>
      <c r="F139" s="140">
        <f t="shared" si="65"/>
        <v>-5000</v>
      </c>
      <c r="G139" s="138">
        <v>5000</v>
      </c>
      <c r="H139" s="139"/>
      <c r="I139" s="140">
        <f t="shared" si="66"/>
        <v>-5000</v>
      </c>
      <c r="J139" s="138">
        <v>5000</v>
      </c>
      <c r="K139" s="139"/>
      <c r="L139" s="140">
        <f t="shared" si="67"/>
        <v>-5000</v>
      </c>
      <c r="M139" s="138">
        <v>5000</v>
      </c>
      <c r="N139" s="139"/>
      <c r="O139" s="140">
        <f t="shared" si="68"/>
        <v>-5000</v>
      </c>
      <c r="P139" s="138">
        <v>5000</v>
      </c>
      <c r="Q139" s="139"/>
      <c r="R139" s="140">
        <f t="shared" si="69"/>
        <v>-5000</v>
      </c>
      <c r="S139" s="138">
        <v>5000</v>
      </c>
      <c r="T139" s="139"/>
      <c r="U139" s="140">
        <f t="shared" si="70"/>
        <v>-5000</v>
      </c>
      <c r="V139" s="138"/>
      <c r="W139" s="139">
        <f t="shared" si="63"/>
        <v>0</v>
      </c>
      <c r="X139" s="140"/>
      <c r="Y139" s="138"/>
      <c r="Z139" s="139"/>
      <c r="AA139" s="140"/>
      <c r="AC139" s="20"/>
    </row>
    <row r="140" spans="2:29">
      <c r="B140" s="21"/>
      <c r="C140" s="148" t="s">
        <v>144</v>
      </c>
      <c r="D140" s="138">
        <v>5000</v>
      </c>
      <c r="E140" s="139"/>
      <c r="F140" s="140">
        <f t="shared" si="65"/>
        <v>-5000</v>
      </c>
      <c r="G140" s="138">
        <v>5000</v>
      </c>
      <c r="H140" s="139"/>
      <c r="I140" s="140">
        <f t="shared" si="66"/>
        <v>-5000</v>
      </c>
      <c r="J140" s="138">
        <v>5000</v>
      </c>
      <c r="K140" s="139"/>
      <c r="L140" s="140">
        <f t="shared" si="67"/>
        <v>-5000</v>
      </c>
      <c r="M140" s="138">
        <v>5000</v>
      </c>
      <c r="N140" s="139"/>
      <c r="O140" s="140">
        <f t="shared" si="68"/>
        <v>-5000</v>
      </c>
      <c r="P140" s="138">
        <v>5000</v>
      </c>
      <c r="Q140" s="139"/>
      <c r="R140" s="140">
        <f t="shared" si="69"/>
        <v>-5000</v>
      </c>
      <c r="S140" s="138">
        <v>5000</v>
      </c>
      <c r="T140" s="139"/>
      <c r="U140" s="140">
        <f t="shared" si="70"/>
        <v>-5000</v>
      </c>
      <c r="V140" s="138"/>
      <c r="W140" s="139">
        <f t="shared" si="63"/>
        <v>0</v>
      </c>
      <c r="X140" s="140"/>
      <c r="Y140" s="138"/>
      <c r="Z140" s="139"/>
      <c r="AA140" s="140"/>
    </row>
    <row r="141" spans="2:29">
      <c r="B141" s="21"/>
      <c r="C141" s="148" t="s">
        <v>153</v>
      </c>
      <c r="D141" s="138">
        <v>0</v>
      </c>
      <c r="E141" s="139"/>
      <c r="F141" s="140">
        <f t="shared" si="65"/>
        <v>0</v>
      </c>
      <c r="G141" s="138">
        <v>0</v>
      </c>
      <c r="H141" s="139"/>
      <c r="I141" s="140">
        <f t="shared" si="66"/>
        <v>0</v>
      </c>
      <c r="J141" s="138">
        <v>0</v>
      </c>
      <c r="K141" s="139"/>
      <c r="L141" s="140">
        <f t="shared" si="67"/>
        <v>0</v>
      </c>
      <c r="M141" s="138">
        <v>0</v>
      </c>
      <c r="N141" s="139"/>
      <c r="O141" s="140">
        <f t="shared" si="68"/>
        <v>0</v>
      </c>
      <c r="P141" s="138">
        <v>0</v>
      </c>
      <c r="Q141" s="139"/>
      <c r="R141" s="140">
        <f t="shared" si="69"/>
        <v>0</v>
      </c>
      <c r="S141" s="138">
        <v>0</v>
      </c>
      <c r="T141" s="139"/>
      <c r="U141" s="140">
        <f t="shared" si="70"/>
        <v>0</v>
      </c>
      <c r="V141" s="138"/>
      <c r="W141" s="139"/>
      <c r="X141" s="140"/>
      <c r="Y141" s="138"/>
      <c r="Z141" s="139"/>
      <c r="AA141" s="140"/>
    </row>
    <row r="142" spans="2:29">
      <c r="B142" s="21"/>
      <c r="C142" s="148" t="s">
        <v>145</v>
      </c>
      <c r="D142" s="138">
        <v>100000</v>
      </c>
      <c r="E142" s="139"/>
      <c r="F142" s="140">
        <f t="shared" si="65"/>
        <v>-100000</v>
      </c>
      <c r="G142" s="138">
        <v>100000</v>
      </c>
      <c r="H142" s="139"/>
      <c r="I142" s="140">
        <f t="shared" si="66"/>
        <v>-100000</v>
      </c>
      <c r="J142" s="138">
        <v>100000</v>
      </c>
      <c r="K142" s="139"/>
      <c r="L142" s="140">
        <f t="shared" si="67"/>
        <v>-100000</v>
      </c>
      <c r="M142" s="138">
        <v>100000</v>
      </c>
      <c r="N142" s="139"/>
      <c r="O142" s="140">
        <f t="shared" si="68"/>
        <v>-100000</v>
      </c>
      <c r="P142" s="138">
        <v>100000</v>
      </c>
      <c r="Q142" s="139"/>
      <c r="R142" s="140">
        <f t="shared" si="69"/>
        <v>-100000</v>
      </c>
      <c r="S142" s="138">
        <v>100000</v>
      </c>
      <c r="T142" s="139"/>
      <c r="U142" s="140">
        <f t="shared" si="70"/>
        <v>-100000</v>
      </c>
      <c r="V142" s="138"/>
      <c r="W142" s="139">
        <f t="shared" ref="W142:X149" si="71">E142+H142+K142+N142+Q142+T142</f>
        <v>0</v>
      </c>
      <c r="X142" s="140"/>
      <c r="Y142" s="138"/>
      <c r="Z142" s="139"/>
      <c r="AA142" s="140"/>
    </row>
    <row r="143" spans="2:29">
      <c r="B143" s="21"/>
      <c r="C143" s="148" t="s">
        <v>146</v>
      </c>
      <c r="D143" s="138">
        <v>50000</v>
      </c>
      <c r="E143" s="139"/>
      <c r="F143" s="140">
        <f t="shared" si="65"/>
        <v>-50000</v>
      </c>
      <c r="G143" s="138">
        <v>50000</v>
      </c>
      <c r="H143" s="139"/>
      <c r="I143" s="140">
        <f t="shared" si="66"/>
        <v>-50000</v>
      </c>
      <c r="J143" s="138">
        <v>50000</v>
      </c>
      <c r="K143" s="139"/>
      <c r="L143" s="140">
        <f t="shared" si="67"/>
        <v>-50000</v>
      </c>
      <c r="M143" s="138">
        <v>50000</v>
      </c>
      <c r="N143" s="139"/>
      <c r="O143" s="140">
        <f t="shared" si="68"/>
        <v>-50000</v>
      </c>
      <c r="P143" s="138">
        <v>50000</v>
      </c>
      <c r="Q143" s="139"/>
      <c r="R143" s="140">
        <f t="shared" si="69"/>
        <v>-50000</v>
      </c>
      <c r="S143" s="138">
        <v>50000</v>
      </c>
      <c r="T143" s="139"/>
      <c r="U143" s="140">
        <f t="shared" si="70"/>
        <v>-50000</v>
      </c>
      <c r="V143" s="138"/>
      <c r="W143" s="139">
        <f t="shared" si="71"/>
        <v>0</v>
      </c>
      <c r="X143" s="140"/>
      <c r="Y143" s="138"/>
      <c r="Z143" s="139"/>
      <c r="AA143" s="140"/>
    </row>
    <row r="144" spans="2:29">
      <c r="B144" s="21"/>
      <c r="C144" s="148" t="s">
        <v>149</v>
      </c>
      <c r="D144" s="138">
        <f>15*D177</f>
        <v>0</v>
      </c>
      <c r="E144" s="139"/>
      <c r="F144" s="140">
        <f t="shared" si="65"/>
        <v>0</v>
      </c>
      <c r="G144" s="138">
        <f>15*G177</f>
        <v>0</v>
      </c>
      <c r="H144" s="139"/>
      <c r="I144" s="140">
        <f t="shared" si="66"/>
        <v>0</v>
      </c>
      <c r="J144" s="138">
        <f>15*J177</f>
        <v>0</v>
      </c>
      <c r="K144" s="139"/>
      <c r="L144" s="140">
        <f t="shared" si="67"/>
        <v>0</v>
      </c>
      <c r="M144" s="138">
        <f>15*M177</f>
        <v>0</v>
      </c>
      <c r="N144" s="139"/>
      <c r="O144" s="140">
        <f t="shared" si="68"/>
        <v>0</v>
      </c>
      <c r="P144" s="138">
        <f>15*P177</f>
        <v>0</v>
      </c>
      <c r="Q144" s="139"/>
      <c r="R144" s="140">
        <f t="shared" si="69"/>
        <v>0</v>
      </c>
      <c r="S144" s="138">
        <f>15*S177</f>
        <v>0</v>
      </c>
      <c r="T144" s="139"/>
      <c r="U144" s="140">
        <f t="shared" si="70"/>
        <v>0</v>
      </c>
      <c r="V144" s="138"/>
      <c r="W144" s="139">
        <f t="shared" si="71"/>
        <v>0</v>
      </c>
      <c r="X144" s="140"/>
      <c r="Y144" s="138"/>
      <c r="Z144" s="139"/>
      <c r="AA144" s="140"/>
    </row>
    <row r="145" spans="2:27">
      <c r="B145" s="21"/>
      <c r="C145" s="148" t="s">
        <v>150</v>
      </c>
      <c r="D145" s="138">
        <v>0</v>
      </c>
      <c r="E145" s="139"/>
      <c r="F145" s="140">
        <f t="shared" si="65"/>
        <v>0</v>
      </c>
      <c r="G145" s="138">
        <v>150000</v>
      </c>
      <c r="H145" s="139"/>
      <c r="I145" s="140">
        <f t="shared" si="66"/>
        <v>-150000</v>
      </c>
      <c r="J145" s="138">
        <v>0</v>
      </c>
      <c r="K145" s="139"/>
      <c r="L145" s="140">
        <f t="shared" si="67"/>
        <v>0</v>
      </c>
      <c r="M145" s="138">
        <v>150000</v>
      </c>
      <c r="N145" s="139"/>
      <c r="O145" s="140">
        <f t="shared" si="68"/>
        <v>-150000</v>
      </c>
      <c r="P145" s="138">
        <v>0</v>
      </c>
      <c r="Q145" s="139"/>
      <c r="R145" s="140">
        <f t="shared" si="69"/>
        <v>0</v>
      </c>
      <c r="S145" s="138">
        <v>150000</v>
      </c>
      <c r="T145" s="139"/>
      <c r="U145" s="140">
        <f t="shared" si="70"/>
        <v>-150000</v>
      </c>
      <c r="V145" s="138"/>
      <c r="W145" s="139">
        <f t="shared" si="71"/>
        <v>0</v>
      </c>
      <c r="X145" s="140"/>
      <c r="Y145" s="138"/>
      <c r="Z145" s="139"/>
      <c r="AA145" s="140"/>
    </row>
    <row r="146" spans="2:27">
      <c r="B146" s="21"/>
      <c r="C146" s="148" t="s">
        <v>154</v>
      </c>
      <c r="D146" s="138">
        <v>250000</v>
      </c>
      <c r="E146" s="139"/>
      <c r="F146" s="140">
        <f t="shared" si="65"/>
        <v>-250000</v>
      </c>
      <c r="G146" s="138">
        <v>250000</v>
      </c>
      <c r="H146" s="139"/>
      <c r="I146" s="140">
        <f t="shared" si="66"/>
        <v>-250000</v>
      </c>
      <c r="J146" s="138">
        <v>250000</v>
      </c>
      <c r="K146" s="139"/>
      <c r="L146" s="140">
        <f t="shared" si="67"/>
        <v>-250000</v>
      </c>
      <c r="M146" s="138">
        <v>250000</v>
      </c>
      <c r="N146" s="139"/>
      <c r="O146" s="140">
        <f t="shared" si="68"/>
        <v>-250000</v>
      </c>
      <c r="P146" s="138">
        <v>250000</v>
      </c>
      <c r="Q146" s="139"/>
      <c r="R146" s="140">
        <f t="shared" si="69"/>
        <v>-250000</v>
      </c>
      <c r="S146" s="138">
        <v>250000</v>
      </c>
      <c r="T146" s="139"/>
      <c r="U146" s="140">
        <f t="shared" si="70"/>
        <v>-250000</v>
      </c>
      <c r="V146" s="138"/>
      <c r="W146" s="139">
        <f t="shared" si="71"/>
        <v>0</v>
      </c>
      <c r="X146" s="140"/>
      <c r="Y146" s="138"/>
      <c r="Z146" s="139"/>
      <c r="AA146" s="140"/>
    </row>
    <row r="147" spans="2:27">
      <c r="B147" s="21" t="s">
        <v>52</v>
      </c>
      <c r="C147" s="65" t="s">
        <v>80</v>
      </c>
      <c r="D147" s="132">
        <v>130000</v>
      </c>
      <c r="E147" s="130"/>
      <c r="F147" s="131">
        <f>E147-D147</f>
        <v>-130000</v>
      </c>
      <c r="G147" s="132">
        <v>130000</v>
      </c>
      <c r="H147" s="130"/>
      <c r="I147" s="131">
        <f>H147-G147</f>
        <v>-130000</v>
      </c>
      <c r="J147" s="132">
        <v>130000</v>
      </c>
      <c r="K147" s="130"/>
      <c r="L147" s="131">
        <f>K147-J147</f>
        <v>-130000</v>
      </c>
      <c r="M147" s="132">
        <v>130000</v>
      </c>
      <c r="N147" s="130"/>
      <c r="O147" s="131">
        <f>N147-M147</f>
        <v>-130000</v>
      </c>
      <c r="P147" s="132">
        <v>130000</v>
      </c>
      <c r="Q147" s="130"/>
      <c r="R147" s="131">
        <f>Q147-P147</f>
        <v>-130000</v>
      </c>
      <c r="S147" s="132">
        <v>130000</v>
      </c>
      <c r="T147" s="130"/>
      <c r="U147" s="131">
        <f>T147-S147</f>
        <v>-130000</v>
      </c>
      <c r="V147" s="132">
        <f t="shared" ref="V147:X159" si="72">D147+G147+J147+M147+P147+S147</f>
        <v>780000</v>
      </c>
      <c r="W147" s="130">
        <f t="shared" si="71"/>
        <v>0</v>
      </c>
      <c r="X147" s="131">
        <f t="shared" si="71"/>
        <v>-780000</v>
      </c>
      <c r="Y147" s="132">
        <f t="shared" ref="Y147:AA149" si="73">V147+V94</f>
        <v>1560000</v>
      </c>
      <c r="Z147" s="130">
        <f t="shared" si="73"/>
        <v>0</v>
      </c>
      <c r="AA147" s="131">
        <f t="shared" si="73"/>
        <v>-1560000</v>
      </c>
    </row>
    <row r="148" spans="2:27">
      <c r="B148" s="21" t="s">
        <v>52</v>
      </c>
      <c r="C148" s="65" t="s">
        <v>81</v>
      </c>
      <c r="D148" s="132">
        <v>12000</v>
      </c>
      <c r="E148" s="130"/>
      <c r="F148" s="131">
        <f>E148-D148</f>
        <v>-12000</v>
      </c>
      <c r="G148" s="132">
        <v>12000</v>
      </c>
      <c r="H148" s="130"/>
      <c r="I148" s="131">
        <f>H148-G148</f>
        <v>-12000</v>
      </c>
      <c r="J148" s="132">
        <v>12000</v>
      </c>
      <c r="K148" s="130"/>
      <c r="L148" s="131">
        <f>K148-J148</f>
        <v>-12000</v>
      </c>
      <c r="M148" s="132">
        <v>12000</v>
      </c>
      <c r="N148" s="130"/>
      <c r="O148" s="131">
        <f>N148-M148</f>
        <v>-12000</v>
      </c>
      <c r="P148" s="132">
        <v>12000</v>
      </c>
      <c r="Q148" s="130"/>
      <c r="R148" s="131">
        <f>Q148-P148</f>
        <v>-12000</v>
      </c>
      <c r="S148" s="132">
        <v>12000</v>
      </c>
      <c r="T148" s="130"/>
      <c r="U148" s="131">
        <f>T148-S148</f>
        <v>-12000</v>
      </c>
      <c r="V148" s="132">
        <f t="shared" si="72"/>
        <v>72000</v>
      </c>
      <c r="W148" s="130">
        <f t="shared" si="71"/>
        <v>0</v>
      </c>
      <c r="X148" s="131">
        <f t="shared" si="71"/>
        <v>-72000</v>
      </c>
      <c r="Y148" s="132">
        <f t="shared" si="73"/>
        <v>144000</v>
      </c>
      <c r="Z148" s="130">
        <f t="shared" si="73"/>
        <v>0</v>
      </c>
      <c r="AA148" s="131">
        <f t="shared" si="73"/>
        <v>-144000</v>
      </c>
    </row>
    <row r="149" spans="2:27">
      <c r="B149" s="21" t="s">
        <v>52</v>
      </c>
      <c r="C149" s="65" t="s">
        <v>82</v>
      </c>
      <c r="D149" s="132">
        <f>SUM(D150:D152)</f>
        <v>25000</v>
      </c>
      <c r="E149" s="130">
        <f t="shared" ref="E149:F149" si="74">SUM(E150:E152)</f>
        <v>0</v>
      </c>
      <c r="F149" s="131">
        <f t="shared" si="74"/>
        <v>0</v>
      </c>
      <c r="G149" s="132">
        <f>SUM(G150:G152)</f>
        <v>25000</v>
      </c>
      <c r="H149" s="130">
        <f t="shared" ref="H149:I149" si="75">SUM(H150:H152)</f>
        <v>0</v>
      </c>
      <c r="I149" s="131">
        <f t="shared" si="75"/>
        <v>0</v>
      </c>
      <c r="J149" s="132">
        <f>SUM(J150:J152)</f>
        <v>25000</v>
      </c>
      <c r="K149" s="130">
        <f t="shared" ref="K149:L149" si="76">SUM(K150:K152)</f>
        <v>0</v>
      </c>
      <c r="L149" s="131">
        <f t="shared" si="76"/>
        <v>0</v>
      </c>
      <c r="M149" s="132">
        <f>SUM(M150:M152)</f>
        <v>25000</v>
      </c>
      <c r="N149" s="130">
        <f t="shared" ref="N149:O149" si="77">SUM(N150:N152)</f>
        <v>0</v>
      </c>
      <c r="O149" s="131">
        <f t="shared" si="77"/>
        <v>0</v>
      </c>
      <c r="P149" s="132">
        <f>SUM(P150:P152)</f>
        <v>605000</v>
      </c>
      <c r="Q149" s="130">
        <f t="shared" ref="Q149:R149" si="78">SUM(Q150:Q152)</f>
        <v>0</v>
      </c>
      <c r="R149" s="131">
        <f t="shared" si="78"/>
        <v>0</v>
      </c>
      <c r="S149" s="132">
        <f>SUM(S150:S152)</f>
        <v>45856</v>
      </c>
      <c r="T149" s="130">
        <f t="shared" ref="T149:U149" si="79">SUM(T150:T152)</f>
        <v>0</v>
      </c>
      <c r="U149" s="131">
        <f t="shared" si="79"/>
        <v>0</v>
      </c>
      <c r="V149" s="132">
        <f t="shared" si="72"/>
        <v>750856</v>
      </c>
      <c r="W149" s="130">
        <f>E149+H149+K149+N149+Q149+T149</f>
        <v>0</v>
      </c>
      <c r="X149" s="131">
        <f t="shared" si="71"/>
        <v>0</v>
      </c>
      <c r="Y149" s="132">
        <f t="shared" si="73"/>
        <v>1300856</v>
      </c>
      <c r="Z149" s="130">
        <f t="shared" si="73"/>
        <v>0</v>
      </c>
      <c r="AA149" s="131">
        <f t="shared" si="73"/>
        <v>0</v>
      </c>
    </row>
    <row r="150" spans="2:27">
      <c r="B150" s="21"/>
      <c r="C150" s="149" t="s">
        <v>169</v>
      </c>
      <c r="D150" s="138">
        <v>25000</v>
      </c>
      <c r="E150" s="139"/>
      <c r="F150" s="140"/>
      <c r="G150" s="138">
        <v>25000</v>
      </c>
      <c r="H150" s="139"/>
      <c r="I150" s="140"/>
      <c r="J150" s="138">
        <v>25000</v>
      </c>
      <c r="K150" s="139"/>
      <c r="L150" s="140"/>
      <c r="M150" s="138">
        <v>25000</v>
      </c>
      <c r="N150" s="139"/>
      <c r="O150" s="140"/>
      <c r="P150" s="138">
        <v>25000</v>
      </c>
      <c r="Q150" s="139"/>
      <c r="R150" s="140"/>
      <c r="S150" s="138">
        <v>25000</v>
      </c>
      <c r="T150" s="139"/>
      <c r="U150" s="140"/>
      <c r="V150" s="138">
        <f t="shared" si="72"/>
        <v>150000</v>
      </c>
      <c r="W150" s="139">
        <f t="shared" si="72"/>
        <v>0</v>
      </c>
      <c r="X150" s="140"/>
      <c r="Y150" s="138"/>
      <c r="Z150" s="139">
        <f>W96+W150</f>
        <v>0</v>
      </c>
      <c r="AA150" s="140"/>
    </row>
    <row r="151" spans="2:27">
      <c r="B151" s="21"/>
      <c r="C151" s="149" t="s">
        <v>179</v>
      </c>
      <c r="D151" s="138">
        <v>0</v>
      </c>
      <c r="E151" s="139"/>
      <c r="F151" s="140"/>
      <c r="G151" s="138">
        <v>0</v>
      </c>
      <c r="H151" s="139"/>
      <c r="I151" s="140"/>
      <c r="J151" s="138">
        <v>0</v>
      </c>
      <c r="K151" s="139"/>
      <c r="L151" s="140"/>
      <c r="M151" s="138">
        <v>0</v>
      </c>
      <c r="N151" s="139"/>
      <c r="O151" s="140"/>
      <c r="P151" s="138">
        <v>150000</v>
      </c>
      <c r="Q151" s="139"/>
      <c r="R151" s="140"/>
      <c r="S151" s="138">
        <v>20856</v>
      </c>
      <c r="T151" s="139"/>
      <c r="U151" s="140"/>
      <c r="V151" s="138">
        <f t="shared" si="72"/>
        <v>170856</v>
      </c>
      <c r="W151" s="139">
        <f t="shared" si="72"/>
        <v>0</v>
      </c>
      <c r="X151" s="140"/>
      <c r="Y151" s="138"/>
      <c r="Z151" s="139">
        <f>W151</f>
        <v>0</v>
      </c>
      <c r="AA151" s="140"/>
    </row>
    <row r="152" spans="2:27">
      <c r="B152" s="21"/>
      <c r="C152" s="149" t="s">
        <v>172</v>
      </c>
      <c r="D152" s="138">
        <v>0</v>
      </c>
      <c r="E152" s="139"/>
      <c r="F152" s="140"/>
      <c r="G152" s="138">
        <v>0</v>
      </c>
      <c r="H152" s="139"/>
      <c r="I152" s="140"/>
      <c r="J152" s="138">
        <v>0</v>
      </c>
      <c r="K152" s="139"/>
      <c r="L152" s="140"/>
      <c r="M152" s="138">
        <v>0</v>
      </c>
      <c r="N152" s="139"/>
      <c r="O152" s="140"/>
      <c r="P152" s="138">
        <v>430000</v>
      </c>
      <c r="Q152" s="139"/>
      <c r="R152" s="140"/>
      <c r="S152" s="138">
        <v>0</v>
      </c>
      <c r="T152" s="139"/>
      <c r="U152" s="140"/>
      <c r="V152" s="138">
        <f t="shared" si="72"/>
        <v>430000</v>
      </c>
      <c r="W152" s="139">
        <f t="shared" si="72"/>
        <v>0</v>
      </c>
      <c r="X152" s="140"/>
      <c r="Y152" s="138"/>
      <c r="Z152" s="139">
        <f>W152</f>
        <v>0</v>
      </c>
      <c r="AA152" s="140"/>
    </row>
    <row r="153" spans="2:27">
      <c r="B153" s="21" t="s">
        <v>52</v>
      </c>
      <c r="C153" s="65" t="s">
        <v>84</v>
      </c>
      <c r="D153" s="132">
        <v>20000</v>
      </c>
      <c r="E153" s="130"/>
      <c r="F153" s="131">
        <f>E153-D153</f>
        <v>-20000</v>
      </c>
      <c r="G153" s="132">
        <v>20000</v>
      </c>
      <c r="H153" s="130"/>
      <c r="I153" s="131">
        <f>H153-G153</f>
        <v>-20000</v>
      </c>
      <c r="J153" s="132">
        <v>20000</v>
      </c>
      <c r="K153" s="130"/>
      <c r="L153" s="131">
        <f>K153-J153</f>
        <v>-20000</v>
      </c>
      <c r="M153" s="132">
        <v>20000</v>
      </c>
      <c r="N153" s="130"/>
      <c r="O153" s="131">
        <f>N153-M153</f>
        <v>-20000</v>
      </c>
      <c r="P153" s="132">
        <v>20000</v>
      </c>
      <c r="Q153" s="130"/>
      <c r="R153" s="131">
        <f>Q153-P153</f>
        <v>-20000</v>
      </c>
      <c r="S153" s="132">
        <v>20000</v>
      </c>
      <c r="T153" s="130"/>
      <c r="U153" s="131">
        <f>T153-S153</f>
        <v>-20000</v>
      </c>
      <c r="V153" s="132">
        <f t="shared" si="72"/>
        <v>120000</v>
      </c>
      <c r="W153" s="130">
        <f t="shared" si="72"/>
        <v>0</v>
      </c>
      <c r="X153" s="131">
        <f t="shared" si="72"/>
        <v>-120000</v>
      </c>
      <c r="Y153" s="132">
        <f t="shared" ref="Y153:AA155" si="80">V100+V153</f>
        <v>240000</v>
      </c>
      <c r="Z153" s="130">
        <f t="shared" si="80"/>
        <v>0</v>
      </c>
      <c r="AA153" s="131">
        <f t="shared" si="80"/>
        <v>-240000</v>
      </c>
    </row>
    <row r="154" spans="2:27">
      <c r="B154" s="21" t="s">
        <v>52</v>
      </c>
      <c r="C154" s="65" t="s">
        <v>70</v>
      </c>
      <c r="D154" s="132">
        <v>1000</v>
      </c>
      <c r="E154" s="130"/>
      <c r="F154" s="131">
        <f>E154-D154</f>
        <v>-1000</v>
      </c>
      <c r="G154" s="132">
        <v>1000</v>
      </c>
      <c r="H154" s="130"/>
      <c r="I154" s="131">
        <f>H154-G154</f>
        <v>-1000</v>
      </c>
      <c r="J154" s="132">
        <v>1000</v>
      </c>
      <c r="K154" s="130"/>
      <c r="L154" s="131">
        <f>K154-J154</f>
        <v>-1000</v>
      </c>
      <c r="M154" s="132">
        <v>1000</v>
      </c>
      <c r="N154" s="130"/>
      <c r="O154" s="131">
        <f>N154-M154</f>
        <v>-1000</v>
      </c>
      <c r="P154" s="132">
        <v>1000</v>
      </c>
      <c r="Q154" s="130"/>
      <c r="R154" s="131">
        <f>Q154-P154</f>
        <v>-1000</v>
      </c>
      <c r="S154" s="132">
        <v>1000</v>
      </c>
      <c r="T154" s="130"/>
      <c r="U154" s="131">
        <f>T154-S154</f>
        <v>-1000</v>
      </c>
      <c r="V154" s="132">
        <f t="shared" si="72"/>
        <v>6000</v>
      </c>
      <c r="W154" s="130">
        <f t="shared" si="72"/>
        <v>0</v>
      </c>
      <c r="X154" s="131">
        <f t="shared" si="72"/>
        <v>-6000</v>
      </c>
      <c r="Y154" s="132">
        <f t="shared" si="80"/>
        <v>12000</v>
      </c>
      <c r="Z154" s="130">
        <f t="shared" si="80"/>
        <v>0</v>
      </c>
      <c r="AA154" s="131">
        <f t="shared" si="80"/>
        <v>-12000</v>
      </c>
    </row>
    <row r="155" spans="2:27">
      <c r="B155" s="21"/>
      <c r="C155" s="65" t="s">
        <v>91</v>
      </c>
      <c r="D155" s="132">
        <f>SUM(D156:D162)</f>
        <v>295000</v>
      </c>
      <c r="E155" s="130">
        <f>SUM(E156:E162)</f>
        <v>0</v>
      </c>
      <c r="F155" s="131">
        <f>E155-D155</f>
        <v>-295000</v>
      </c>
      <c r="G155" s="132">
        <f>SUM(G156:G162)</f>
        <v>182500</v>
      </c>
      <c r="H155" s="130">
        <f>SUM(H156:H162)</f>
        <v>0</v>
      </c>
      <c r="I155" s="131">
        <f>H155-G155</f>
        <v>-182500</v>
      </c>
      <c r="J155" s="132">
        <f>SUM(J156:J162)</f>
        <v>182500</v>
      </c>
      <c r="K155" s="130">
        <f>SUM(K156:K162)</f>
        <v>0</v>
      </c>
      <c r="L155" s="131">
        <f>K155-J155</f>
        <v>-182500</v>
      </c>
      <c r="M155" s="132">
        <f>SUM(M156:M162)</f>
        <v>182500</v>
      </c>
      <c r="N155" s="130">
        <f>SUM(N156:N162)</f>
        <v>0</v>
      </c>
      <c r="O155" s="131">
        <f>N155-M155</f>
        <v>-182500</v>
      </c>
      <c r="P155" s="132">
        <f>SUM(P156:P162)</f>
        <v>182500</v>
      </c>
      <c r="Q155" s="130">
        <f>SUM(Q156:Q162)</f>
        <v>0</v>
      </c>
      <c r="R155" s="131">
        <f>Q155-P155</f>
        <v>-182500</v>
      </c>
      <c r="S155" s="132">
        <f>SUM(S156:S162)</f>
        <v>1682500</v>
      </c>
      <c r="T155" s="130">
        <f>SUM(T156:T162)</f>
        <v>0</v>
      </c>
      <c r="U155" s="131">
        <f>T155-S155</f>
        <v>-1682500</v>
      </c>
      <c r="V155" s="132">
        <f t="shared" si="72"/>
        <v>2707500</v>
      </c>
      <c r="W155" s="130">
        <f t="shared" si="72"/>
        <v>0</v>
      </c>
      <c r="X155" s="131">
        <f>F155+I155+L155+O155+R155+U155</f>
        <v>-2707500</v>
      </c>
      <c r="Y155" s="132">
        <f t="shared" si="80"/>
        <v>3802500</v>
      </c>
      <c r="Z155" s="130">
        <f t="shared" si="80"/>
        <v>0</v>
      </c>
      <c r="AA155" s="131">
        <f t="shared" si="80"/>
        <v>-3802500</v>
      </c>
    </row>
    <row r="156" spans="2:27">
      <c r="B156" s="21"/>
      <c r="C156" s="148" t="s">
        <v>155</v>
      </c>
      <c r="D156" s="138">
        <v>170000</v>
      </c>
      <c r="E156" s="139"/>
      <c r="F156" s="140">
        <f t="shared" ref="F156:F162" si="81">E156-D156</f>
        <v>-170000</v>
      </c>
      <c r="G156" s="138">
        <v>170000</v>
      </c>
      <c r="H156" s="139"/>
      <c r="I156" s="140">
        <f t="shared" ref="I156:I162" si="82">H156-G156</f>
        <v>-170000</v>
      </c>
      <c r="J156" s="138">
        <v>170000</v>
      </c>
      <c r="K156" s="139"/>
      <c r="L156" s="140">
        <f t="shared" ref="L156:L162" si="83">K156-J156</f>
        <v>-170000</v>
      </c>
      <c r="M156" s="138">
        <v>170000</v>
      </c>
      <c r="N156" s="139"/>
      <c r="O156" s="140">
        <f t="shared" ref="O156:O162" si="84">N156-M156</f>
        <v>-170000</v>
      </c>
      <c r="P156" s="138">
        <v>170000</v>
      </c>
      <c r="Q156" s="139"/>
      <c r="R156" s="140">
        <f t="shared" ref="R156:R162" si="85">Q156-P156</f>
        <v>-170000</v>
      </c>
      <c r="S156" s="138">
        <v>170000</v>
      </c>
      <c r="T156" s="139"/>
      <c r="U156" s="140">
        <f t="shared" ref="U156:U162" si="86">T156-S156</f>
        <v>-170000</v>
      </c>
      <c r="V156" s="138">
        <f t="shared" si="72"/>
        <v>1020000</v>
      </c>
      <c r="W156" s="139">
        <f t="shared" si="72"/>
        <v>0</v>
      </c>
      <c r="X156" s="140"/>
      <c r="Y156" s="138"/>
      <c r="Z156" s="139">
        <f>W103+W156</f>
        <v>0</v>
      </c>
      <c r="AA156" s="140"/>
    </row>
    <row r="157" spans="2:27">
      <c r="B157" s="21"/>
      <c r="C157" s="148" t="s">
        <v>156</v>
      </c>
      <c r="D157" s="138">
        <v>2500</v>
      </c>
      <c r="E157" s="139"/>
      <c r="F157" s="140">
        <f t="shared" si="81"/>
        <v>-2500</v>
      </c>
      <c r="G157" s="138">
        <v>2500</v>
      </c>
      <c r="H157" s="139"/>
      <c r="I157" s="140">
        <f t="shared" si="82"/>
        <v>-2500</v>
      </c>
      <c r="J157" s="138">
        <v>2500</v>
      </c>
      <c r="K157" s="139"/>
      <c r="L157" s="140">
        <f t="shared" si="83"/>
        <v>-2500</v>
      </c>
      <c r="M157" s="138">
        <v>2500</v>
      </c>
      <c r="N157" s="139"/>
      <c r="O157" s="140">
        <f t="shared" si="84"/>
        <v>-2500</v>
      </c>
      <c r="P157" s="138">
        <v>2500</v>
      </c>
      <c r="Q157" s="139"/>
      <c r="R157" s="140">
        <f t="shared" si="85"/>
        <v>-2500</v>
      </c>
      <c r="S157" s="138">
        <v>2500</v>
      </c>
      <c r="T157" s="139"/>
      <c r="U157" s="140">
        <f t="shared" si="86"/>
        <v>-2500</v>
      </c>
      <c r="V157" s="138">
        <f t="shared" si="72"/>
        <v>15000</v>
      </c>
      <c r="W157" s="139">
        <f t="shared" si="72"/>
        <v>0</v>
      </c>
      <c r="X157" s="140"/>
      <c r="Y157" s="138"/>
      <c r="Z157" s="139">
        <f>W104+W157</f>
        <v>0</v>
      </c>
      <c r="AA157" s="140"/>
    </row>
    <row r="158" spans="2:27">
      <c r="B158" s="21"/>
      <c r="C158" s="148" t="s">
        <v>157</v>
      </c>
      <c r="D158" s="138">
        <v>10000</v>
      </c>
      <c r="E158" s="139"/>
      <c r="F158" s="140">
        <f t="shared" si="81"/>
        <v>-10000</v>
      </c>
      <c r="G158" s="138">
        <v>10000</v>
      </c>
      <c r="H158" s="139"/>
      <c r="I158" s="140">
        <f t="shared" si="82"/>
        <v>-10000</v>
      </c>
      <c r="J158" s="138">
        <v>10000</v>
      </c>
      <c r="K158" s="139"/>
      <c r="L158" s="140">
        <f t="shared" si="83"/>
        <v>-10000</v>
      </c>
      <c r="M158" s="138">
        <v>10000</v>
      </c>
      <c r="N158" s="139"/>
      <c r="O158" s="140">
        <f t="shared" si="84"/>
        <v>-10000</v>
      </c>
      <c r="P158" s="138">
        <v>10000</v>
      </c>
      <c r="Q158" s="139"/>
      <c r="R158" s="140">
        <f t="shared" si="85"/>
        <v>-10000</v>
      </c>
      <c r="S158" s="138">
        <v>10000</v>
      </c>
      <c r="T158" s="139"/>
      <c r="U158" s="140">
        <f t="shared" si="86"/>
        <v>-10000</v>
      </c>
      <c r="V158" s="138">
        <f>D158+G158+J158+M158+P158+S158</f>
        <v>60000</v>
      </c>
      <c r="W158" s="139">
        <f t="shared" si="72"/>
        <v>0</v>
      </c>
      <c r="X158" s="140"/>
      <c r="Y158" s="138"/>
      <c r="Z158" s="139">
        <f>W105+W158</f>
        <v>0</v>
      </c>
      <c r="AA158" s="140"/>
    </row>
    <row r="159" spans="2:27">
      <c r="B159" s="21"/>
      <c r="C159" s="148" t="s">
        <v>158</v>
      </c>
      <c r="D159" s="138">
        <v>0</v>
      </c>
      <c r="E159" s="139"/>
      <c r="F159" s="140">
        <f t="shared" si="81"/>
        <v>0</v>
      </c>
      <c r="G159" s="138">
        <v>0</v>
      </c>
      <c r="H159" s="139"/>
      <c r="I159" s="140">
        <f t="shared" si="82"/>
        <v>0</v>
      </c>
      <c r="J159" s="138">
        <v>0</v>
      </c>
      <c r="K159" s="139"/>
      <c r="L159" s="140">
        <f t="shared" si="83"/>
        <v>0</v>
      </c>
      <c r="M159" s="138">
        <v>0</v>
      </c>
      <c r="N159" s="139"/>
      <c r="O159" s="140">
        <f t="shared" si="84"/>
        <v>0</v>
      </c>
      <c r="P159" s="138">
        <v>0</v>
      </c>
      <c r="Q159" s="139"/>
      <c r="R159" s="140">
        <f t="shared" si="85"/>
        <v>0</v>
      </c>
      <c r="S159" s="138">
        <v>0</v>
      </c>
      <c r="T159" s="139"/>
      <c r="U159" s="140">
        <f t="shared" si="86"/>
        <v>0</v>
      </c>
      <c r="V159" s="138"/>
      <c r="W159" s="139">
        <f t="shared" si="72"/>
        <v>0</v>
      </c>
      <c r="X159" s="140"/>
      <c r="Y159" s="138"/>
      <c r="Z159" s="139">
        <f>W106+W159</f>
        <v>0</v>
      </c>
      <c r="AA159" s="140"/>
    </row>
    <row r="160" spans="2:27">
      <c r="B160" s="21"/>
      <c r="C160" s="148" t="s">
        <v>163</v>
      </c>
      <c r="D160" s="138">
        <v>62500</v>
      </c>
      <c r="E160" s="139"/>
      <c r="F160" s="140">
        <f t="shared" si="81"/>
        <v>-62500</v>
      </c>
      <c r="G160" s="138">
        <v>0</v>
      </c>
      <c r="H160" s="139"/>
      <c r="I160" s="140">
        <f t="shared" si="82"/>
        <v>0</v>
      </c>
      <c r="J160" s="138">
        <v>0</v>
      </c>
      <c r="K160" s="139"/>
      <c r="L160" s="140">
        <f t="shared" si="83"/>
        <v>0</v>
      </c>
      <c r="M160" s="138">
        <v>0</v>
      </c>
      <c r="N160" s="139"/>
      <c r="O160" s="140">
        <f t="shared" si="84"/>
        <v>0</v>
      </c>
      <c r="P160" s="138">
        <v>0</v>
      </c>
      <c r="Q160" s="139"/>
      <c r="R160" s="140">
        <f t="shared" si="85"/>
        <v>0</v>
      </c>
      <c r="S160" s="138">
        <v>0</v>
      </c>
      <c r="T160" s="139"/>
      <c r="U160" s="140">
        <f t="shared" si="86"/>
        <v>0</v>
      </c>
      <c r="V160" s="138">
        <f t="shared" ref="V160:X175" si="87">D160+G160+J160+M160+P160+S160</f>
        <v>62500</v>
      </c>
      <c r="W160" s="139">
        <f t="shared" si="87"/>
        <v>0</v>
      </c>
      <c r="X160" s="140"/>
      <c r="Y160" s="138"/>
      <c r="Z160" s="139">
        <f>W160</f>
        <v>0</v>
      </c>
      <c r="AA160" s="140"/>
    </row>
    <row r="161" spans="2:27">
      <c r="B161" s="21"/>
      <c r="C161" s="148" t="s">
        <v>164</v>
      </c>
      <c r="D161" s="138">
        <v>50000</v>
      </c>
      <c r="E161" s="139"/>
      <c r="F161" s="140">
        <f t="shared" si="81"/>
        <v>-50000</v>
      </c>
      <c r="G161" s="138">
        <v>0</v>
      </c>
      <c r="H161" s="139"/>
      <c r="I161" s="140">
        <f t="shared" si="82"/>
        <v>0</v>
      </c>
      <c r="J161" s="138">
        <v>0</v>
      </c>
      <c r="K161" s="139"/>
      <c r="L161" s="140">
        <f t="shared" si="83"/>
        <v>0</v>
      </c>
      <c r="M161" s="138">
        <v>0</v>
      </c>
      <c r="N161" s="139"/>
      <c r="O161" s="140">
        <f t="shared" si="84"/>
        <v>0</v>
      </c>
      <c r="P161" s="138">
        <v>0</v>
      </c>
      <c r="Q161" s="139"/>
      <c r="R161" s="140">
        <f t="shared" si="85"/>
        <v>0</v>
      </c>
      <c r="S161" s="138">
        <v>0</v>
      </c>
      <c r="T161" s="139"/>
      <c r="U161" s="140">
        <f t="shared" si="86"/>
        <v>0</v>
      </c>
      <c r="V161" s="138">
        <f t="shared" si="87"/>
        <v>50000</v>
      </c>
      <c r="W161" s="139">
        <f t="shared" si="87"/>
        <v>0</v>
      </c>
      <c r="X161" s="140"/>
      <c r="Y161" s="138"/>
      <c r="Z161" s="139">
        <f t="shared" ref="Z161:Z162" si="88">W161</f>
        <v>0</v>
      </c>
      <c r="AA161" s="140"/>
    </row>
    <row r="162" spans="2:27">
      <c r="B162" s="21"/>
      <c r="C162" s="148" t="s">
        <v>173</v>
      </c>
      <c r="D162" s="138">
        <v>0</v>
      </c>
      <c r="E162" s="139"/>
      <c r="F162" s="140">
        <f t="shared" si="81"/>
        <v>0</v>
      </c>
      <c r="G162" s="138">
        <v>0</v>
      </c>
      <c r="H162" s="139"/>
      <c r="I162" s="140">
        <f t="shared" si="82"/>
        <v>0</v>
      </c>
      <c r="J162" s="138">
        <v>0</v>
      </c>
      <c r="K162" s="139"/>
      <c r="L162" s="140">
        <f t="shared" si="83"/>
        <v>0</v>
      </c>
      <c r="M162" s="138">
        <v>0</v>
      </c>
      <c r="N162" s="139"/>
      <c r="O162" s="140">
        <f t="shared" si="84"/>
        <v>0</v>
      </c>
      <c r="P162" s="138">
        <v>0</v>
      </c>
      <c r="Q162" s="139"/>
      <c r="R162" s="140">
        <f t="shared" si="85"/>
        <v>0</v>
      </c>
      <c r="S162" s="138">
        <v>1500000</v>
      </c>
      <c r="T162" s="139"/>
      <c r="U162" s="140">
        <f t="shared" si="86"/>
        <v>-1500000</v>
      </c>
      <c r="V162" s="138">
        <f t="shared" si="87"/>
        <v>1500000</v>
      </c>
      <c r="W162" s="139">
        <f t="shared" si="87"/>
        <v>0</v>
      </c>
      <c r="X162" s="140"/>
      <c r="Y162" s="138"/>
      <c r="Z162" s="139">
        <f t="shared" si="88"/>
        <v>0</v>
      </c>
      <c r="AA162" s="140"/>
    </row>
    <row r="163" spans="2:27">
      <c r="B163" s="21"/>
      <c r="C163" s="65" t="s">
        <v>85</v>
      </c>
      <c r="D163" s="129">
        <v>255000</v>
      </c>
      <c r="E163" s="130"/>
      <c r="F163" s="131">
        <f>E163-D163</f>
        <v>-255000</v>
      </c>
      <c r="G163" s="129">
        <v>255000</v>
      </c>
      <c r="H163" s="130"/>
      <c r="I163" s="131">
        <f>H163-G163</f>
        <v>-255000</v>
      </c>
      <c r="J163" s="129">
        <v>255000</v>
      </c>
      <c r="K163" s="130"/>
      <c r="L163" s="131">
        <f>K163-J163</f>
        <v>-255000</v>
      </c>
      <c r="M163" s="129">
        <v>255000</v>
      </c>
      <c r="N163" s="130"/>
      <c r="O163" s="131">
        <f>N163-M163</f>
        <v>-255000</v>
      </c>
      <c r="P163" s="129">
        <v>255000</v>
      </c>
      <c r="Q163" s="130"/>
      <c r="R163" s="131">
        <f>Q163-P163</f>
        <v>-255000</v>
      </c>
      <c r="S163" s="129">
        <v>255000</v>
      </c>
      <c r="T163" s="130"/>
      <c r="U163" s="131">
        <f>T163-S163</f>
        <v>-255000</v>
      </c>
      <c r="V163" s="129">
        <f t="shared" si="87"/>
        <v>1530000</v>
      </c>
      <c r="W163" s="130">
        <f t="shared" si="87"/>
        <v>0</v>
      </c>
      <c r="X163" s="131">
        <f t="shared" si="87"/>
        <v>-1530000</v>
      </c>
      <c r="Y163" s="129">
        <f t="shared" ref="Y163:AA175" si="89">V110+V163</f>
        <v>3310000</v>
      </c>
      <c r="Z163" s="130">
        <f t="shared" si="89"/>
        <v>0</v>
      </c>
      <c r="AA163" s="131">
        <f t="shared" si="89"/>
        <v>-3310000</v>
      </c>
    </row>
    <row r="164" spans="2:27">
      <c r="B164" s="21"/>
      <c r="C164" s="65" t="s">
        <v>86</v>
      </c>
      <c r="D164" s="132">
        <f>SUM(D165:D167)</f>
        <v>268640</v>
      </c>
      <c r="E164" s="130">
        <f>SUM(E165:E167)</f>
        <v>0</v>
      </c>
      <c r="F164" s="131">
        <f>E164-D164</f>
        <v>-268640</v>
      </c>
      <c r="G164" s="132">
        <f>SUM(G165:G167)</f>
        <v>80000</v>
      </c>
      <c r="H164" s="130">
        <f>SUM(H165:H167)</f>
        <v>0</v>
      </c>
      <c r="I164" s="131">
        <f>H164-G164</f>
        <v>-80000</v>
      </c>
      <c r="J164" s="132">
        <f>SUM(J165:J167)</f>
        <v>0</v>
      </c>
      <c r="K164" s="130">
        <f>SUM(K165:K167)</f>
        <v>0</v>
      </c>
      <c r="L164" s="131">
        <f>K164-J164</f>
        <v>0</v>
      </c>
      <c r="M164" s="132">
        <f>SUM(M165:M167)</f>
        <v>80000</v>
      </c>
      <c r="N164" s="130">
        <f>SUM(N165:N167)</f>
        <v>0</v>
      </c>
      <c r="O164" s="131">
        <f>N164-M164</f>
        <v>-80000</v>
      </c>
      <c r="P164" s="132">
        <f>SUM(P165:P167)</f>
        <v>0</v>
      </c>
      <c r="Q164" s="130">
        <f>SUM(Q165:Q167)</f>
        <v>0</v>
      </c>
      <c r="R164" s="131">
        <f>Q164-P164</f>
        <v>0</v>
      </c>
      <c r="S164" s="132">
        <f>SUM(S165:S167)</f>
        <v>80000</v>
      </c>
      <c r="T164" s="130">
        <f>SUM(T165:T167)</f>
        <v>0</v>
      </c>
      <c r="U164" s="131">
        <f>T164-S164</f>
        <v>-80000</v>
      </c>
      <c r="V164" s="132">
        <f t="shared" si="87"/>
        <v>508640</v>
      </c>
      <c r="W164" s="130">
        <f t="shared" si="87"/>
        <v>0</v>
      </c>
      <c r="X164" s="131">
        <f t="shared" si="87"/>
        <v>-508640</v>
      </c>
      <c r="Y164" s="132">
        <f t="shared" si="89"/>
        <v>1056030</v>
      </c>
      <c r="Z164" s="130">
        <f t="shared" si="89"/>
        <v>0</v>
      </c>
      <c r="AA164" s="131">
        <f t="shared" si="89"/>
        <v>-1056030</v>
      </c>
    </row>
    <row r="165" spans="2:27">
      <c r="B165" s="21"/>
      <c r="C165" s="148" t="s">
        <v>168</v>
      </c>
      <c r="D165" s="142">
        <v>0</v>
      </c>
      <c r="E165" s="139"/>
      <c r="F165" s="140"/>
      <c r="G165" s="142">
        <v>80000</v>
      </c>
      <c r="H165" s="139"/>
      <c r="I165" s="140"/>
      <c r="J165" s="142">
        <v>0</v>
      </c>
      <c r="K165" s="139"/>
      <c r="L165" s="140"/>
      <c r="M165" s="142">
        <v>80000</v>
      </c>
      <c r="N165" s="139"/>
      <c r="O165" s="140"/>
      <c r="P165" s="142">
        <v>0</v>
      </c>
      <c r="Q165" s="139"/>
      <c r="R165" s="140"/>
      <c r="S165" s="142">
        <v>80000</v>
      </c>
      <c r="T165" s="139"/>
      <c r="U165" s="140"/>
      <c r="V165" s="142">
        <f>D165+G165+J165+M165+P165+S165</f>
        <v>240000</v>
      </c>
      <c r="W165" s="139">
        <f>E165+H165+K165+N165+Q165+T165</f>
        <v>0</v>
      </c>
      <c r="X165" s="140"/>
      <c r="Y165" s="142"/>
      <c r="Z165" s="139">
        <f t="shared" si="89"/>
        <v>0</v>
      </c>
      <c r="AA165" s="140"/>
    </row>
    <row r="166" spans="2:27">
      <c r="B166" s="21"/>
      <c r="C166" s="148" t="s">
        <v>162</v>
      </c>
      <c r="D166" s="142">
        <v>0</v>
      </c>
      <c r="E166" s="139"/>
      <c r="F166" s="140"/>
      <c r="G166" s="142">
        <v>0</v>
      </c>
      <c r="H166" s="139"/>
      <c r="I166" s="140"/>
      <c r="J166" s="142">
        <v>0</v>
      </c>
      <c r="K166" s="139"/>
      <c r="L166" s="140"/>
      <c r="M166" s="142">
        <v>0</v>
      </c>
      <c r="N166" s="139"/>
      <c r="O166" s="140"/>
      <c r="P166" s="142">
        <v>0</v>
      </c>
      <c r="Q166" s="139"/>
      <c r="R166" s="140"/>
      <c r="S166" s="142">
        <v>0</v>
      </c>
      <c r="T166" s="139"/>
      <c r="U166" s="140"/>
      <c r="V166" s="142"/>
      <c r="W166" s="139">
        <f>E166+H166+K166+N166+Q166+T166</f>
        <v>0</v>
      </c>
      <c r="X166" s="140"/>
      <c r="Y166" s="142"/>
      <c r="Z166" s="139">
        <f t="shared" si="89"/>
        <v>0</v>
      </c>
      <c r="AA166" s="140"/>
    </row>
    <row r="167" spans="2:27">
      <c r="B167" s="21"/>
      <c r="C167" s="148" t="s">
        <v>170</v>
      </c>
      <c r="D167" s="142">
        <v>268640</v>
      </c>
      <c r="E167" s="139"/>
      <c r="F167" s="140"/>
      <c r="G167" s="142">
        <v>0</v>
      </c>
      <c r="H167" s="139"/>
      <c r="I167" s="140"/>
      <c r="J167" s="142">
        <v>0</v>
      </c>
      <c r="K167" s="139"/>
      <c r="L167" s="140"/>
      <c r="M167" s="142">
        <v>0</v>
      </c>
      <c r="N167" s="139"/>
      <c r="O167" s="140"/>
      <c r="P167" s="142">
        <v>0</v>
      </c>
      <c r="Q167" s="139"/>
      <c r="R167" s="140"/>
      <c r="S167" s="142">
        <v>0</v>
      </c>
      <c r="T167" s="139"/>
      <c r="U167" s="140"/>
      <c r="V167" s="142">
        <f t="shared" ref="V167" si="90">D167+G167+J167+M167+P167+S167</f>
        <v>268640</v>
      </c>
      <c r="W167" s="139">
        <f>E167+H167+K167+N167+Q167+T167</f>
        <v>0</v>
      </c>
      <c r="X167" s="140"/>
      <c r="Y167" s="142"/>
      <c r="Z167" s="139">
        <f t="shared" si="89"/>
        <v>0</v>
      </c>
      <c r="AA167" s="140"/>
    </row>
    <row r="168" spans="2:27">
      <c r="B168" s="21"/>
      <c r="C168" s="65" t="s">
        <v>87</v>
      </c>
      <c r="D168" s="129">
        <v>0</v>
      </c>
      <c r="E168" s="130"/>
      <c r="F168" s="131">
        <f t="shared" ref="F168:F169" si="91">E168-D168</f>
        <v>0</v>
      </c>
      <c r="G168" s="129">
        <v>0</v>
      </c>
      <c r="H168" s="130"/>
      <c r="I168" s="131">
        <f t="shared" ref="I168:I169" si="92">H168-G168</f>
        <v>0</v>
      </c>
      <c r="J168" s="129">
        <v>0</v>
      </c>
      <c r="K168" s="130"/>
      <c r="L168" s="131">
        <f t="shared" ref="L168:L169" si="93">K168-J168</f>
        <v>0</v>
      </c>
      <c r="M168" s="129">
        <v>0</v>
      </c>
      <c r="N168" s="130"/>
      <c r="O168" s="131">
        <f t="shared" ref="O168:O169" si="94">N168-M168</f>
        <v>0</v>
      </c>
      <c r="P168" s="129">
        <v>0</v>
      </c>
      <c r="Q168" s="130"/>
      <c r="R168" s="131">
        <f t="shared" ref="R168:R169" si="95">Q168-P168</f>
        <v>0</v>
      </c>
      <c r="S168" s="129">
        <v>0</v>
      </c>
      <c r="T168" s="130"/>
      <c r="U168" s="131">
        <f t="shared" ref="U168:U169" si="96">T168-S168</f>
        <v>0</v>
      </c>
      <c r="V168" s="129">
        <f t="shared" si="87"/>
        <v>0</v>
      </c>
      <c r="W168" s="130">
        <f t="shared" si="87"/>
        <v>0</v>
      </c>
      <c r="X168" s="131">
        <f t="shared" si="87"/>
        <v>0</v>
      </c>
      <c r="Y168" s="129">
        <f t="shared" ref="Y168:Y176" si="97">V115+V168</f>
        <v>180000</v>
      </c>
      <c r="Z168" s="130">
        <f t="shared" si="89"/>
        <v>0</v>
      </c>
      <c r="AA168" s="131">
        <f t="shared" si="89"/>
        <v>-180000</v>
      </c>
    </row>
    <row r="169" spans="2:27">
      <c r="B169" s="21"/>
      <c r="C169" s="65" t="s">
        <v>92</v>
      </c>
      <c r="D169" s="129">
        <v>360000</v>
      </c>
      <c r="E169" s="130"/>
      <c r="F169" s="131">
        <f t="shared" si="91"/>
        <v>-360000</v>
      </c>
      <c r="G169" s="129">
        <v>360000</v>
      </c>
      <c r="H169" s="130"/>
      <c r="I169" s="131">
        <f t="shared" si="92"/>
        <v>-360000</v>
      </c>
      <c r="J169" s="129">
        <v>360000</v>
      </c>
      <c r="K169" s="130"/>
      <c r="L169" s="131">
        <f t="shared" si="93"/>
        <v>-360000</v>
      </c>
      <c r="M169" s="129">
        <v>360000</v>
      </c>
      <c r="N169" s="130"/>
      <c r="O169" s="131">
        <f t="shared" si="94"/>
        <v>-360000</v>
      </c>
      <c r="P169" s="129">
        <v>360000</v>
      </c>
      <c r="Q169" s="130"/>
      <c r="R169" s="131">
        <f t="shared" si="95"/>
        <v>-360000</v>
      </c>
      <c r="S169" s="129">
        <v>360000</v>
      </c>
      <c r="T169" s="130"/>
      <c r="U169" s="131">
        <f t="shared" si="96"/>
        <v>-360000</v>
      </c>
      <c r="V169" s="129">
        <f t="shared" si="87"/>
        <v>2160000</v>
      </c>
      <c r="W169" s="130">
        <f t="shared" si="87"/>
        <v>0</v>
      </c>
      <c r="X169" s="131">
        <f t="shared" si="87"/>
        <v>-2160000</v>
      </c>
      <c r="Y169" s="129">
        <f t="shared" si="97"/>
        <v>4320000</v>
      </c>
      <c r="Z169" s="130">
        <f t="shared" si="89"/>
        <v>0</v>
      </c>
      <c r="AA169" s="131">
        <f t="shared" si="89"/>
        <v>-4320000</v>
      </c>
    </row>
    <row r="170" spans="2:27">
      <c r="B170" s="21"/>
      <c r="C170" s="65" t="s">
        <v>88</v>
      </c>
      <c r="D170" s="129">
        <v>1000</v>
      </c>
      <c r="E170" s="130"/>
      <c r="F170" s="131">
        <f>E170-D170</f>
        <v>-1000</v>
      </c>
      <c r="G170" s="129">
        <v>1000</v>
      </c>
      <c r="H170" s="130"/>
      <c r="I170" s="131">
        <f>H170-G170</f>
        <v>-1000</v>
      </c>
      <c r="J170" s="129">
        <v>1000</v>
      </c>
      <c r="K170" s="130"/>
      <c r="L170" s="131">
        <f>K170-J170</f>
        <v>-1000</v>
      </c>
      <c r="M170" s="129">
        <v>1000</v>
      </c>
      <c r="N170" s="130"/>
      <c r="O170" s="131">
        <f>N170-M170</f>
        <v>-1000</v>
      </c>
      <c r="P170" s="129">
        <v>1000</v>
      </c>
      <c r="Q170" s="130"/>
      <c r="R170" s="131">
        <f>Q170-P170</f>
        <v>-1000</v>
      </c>
      <c r="S170" s="129">
        <v>1000</v>
      </c>
      <c r="T170" s="130"/>
      <c r="U170" s="131">
        <f>T170-S170</f>
        <v>-1000</v>
      </c>
      <c r="V170" s="129">
        <f t="shared" si="87"/>
        <v>6000</v>
      </c>
      <c r="W170" s="130">
        <f t="shared" si="87"/>
        <v>0</v>
      </c>
      <c r="X170" s="131">
        <f t="shared" si="87"/>
        <v>-6000</v>
      </c>
      <c r="Y170" s="129">
        <f t="shared" si="97"/>
        <v>12000</v>
      </c>
      <c r="Z170" s="130">
        <f t="shared" si="89"/>
        <v>0</v>
      </c>
      <c r="AA170" s="131">
        <f t="shared" si="89"/>
        <v>-12000</v>
      </c>
    </row>
    <row r="171" spans="2:27">
      <c r="B171" s="21"/>
      <c r="C171" s="65" t="s">
        <v>71</v>
      </c>
      <c r="D171" s="129">
        <v>16000</v>
      </c>
      <c r="E171" s="130"/>
      <c r="F171" s="131">
        <f>E171-D171</f>
        <v>-16000</v>
      </c>
      <c r="G171" s="129">
        <v>16000</v>
      </c>
      <c r="H171" s="130"/>
      <c r="I171" s="131">
        <f>H171-G171</f>
        <v>-16000</v>
      </c>
      <c r="J171" s="129">
        <v>16000</v>
      </c>
      <c r="K171" s="130"/>
      <c r="L171" s="131">
        <f>K171-J171</f>
        <v>-16000</v>
      </c>
      <c r="M171" s="129">
        <v>16000</v>
      </c>
      <c r="N171" s="130"/>
      <c r="O171" s="131">
        <f>N171-M171</f>
        <v>-16000</v>
      </c>
      <c r="P171" s="129">
        <v>16000</v>
      </c>
      <c r="Q171" s="130"/>
      <c r="R171" s="131">
        <f>Q171-P171</f>
        <v>-16000</v>
      </c>
      <c r="S171" s="129">
        <v>16000</v>
      </c>
      <c r="T171" s="130"/>
      <c r="U171" s="131">
        <f>T171-S171</f>
        <v>-16000</v>
      </c>
      <c r="V171" s="129">
        <f t="shared" si="87"/>
        <v>96000</v>
      </c>
      <c r="W171" s="130">
        <f t="shared" si="87"/>
        <v>0</v>
      </c>
      <c r="X171" s="131">
        <f t="shared" si="87"/>
        <v>-96000</v>
      </c>
      <c r="Y171" s="129">
        <f t="shared" si="97"/>
        <v>192000</v>
      </c>
      <c r="Z171" s="130">
        <f t="shared" si="89"/>
        <v>13948</v>
      </c>
      <c r="AA171" s="131">
        <f t="shared" si="89"/>
        <v>-178052</v>
      </c>
    </row>
    <row r="172" spans="2:27">
      <c r="B172" s="21"/>
      <c r="C172" s="65" t="s">
        <v>73</v>
      </c>
      <c r="D172" s="129">
        <v>15000</v>
      </c>
      <c r="E172" s="130"/>
      <c r="F172" s="131">
        <f t="shared" ref="F172:F174" si="98">E172-D172</f>
        <v>-15000</v>
      </c>
      <c r="G172" s="129">
        <v>15000</v>
      </c>
      <c r="H172" s="130"/>
      <c r="I172" s="131">
        <f t="shared" ref="I172:I174" si="99">H172-G172</f>
        <v>-15000</v>
      </c>
      <c r="J172" s="129">
        <v>15000</v>
      </c>
      <c r="K172" s="130"/>
      <c r="L172" s="131">
        <f t="shared" ref="L172:L174" si="100">K172-J172</f>
        <v>-15000</v>
      </c>
      <c r="M172" s="129">
        <v>15000</v>
      </c>
      <c r="N172" s="130"/>
      <c r="O172" s="131">
        <f t="shared" ref="O172:O174" si="101">N172-M172</f>
        <v>-15000</v>
      </c>
      <c r="P172" s="129">
        <v>15000</v>
      </c>
      <c r="Q172" s="130"/>
      <c r="R172" s="131">
        <f t="shared" ref="R172:R174" si="102">Q172-P172</f>
        <v>-15000</v>
      </c>
      <c r="S172" s="129">
        <v>15000</v>
      </c>
      <c r="T172" s="130"/>
      <c r="U172" s="131">
        <f t="shared" ref="U172:U174" si="103">T172-S172</f>
        <v>-15000</v>
      </c>
      <c r="V172" s="129">
        <f t="shared" si="87"/>
        <v>90000</v>
      </c>
      <c r="W172" s="130">
        <f t="shared" si="87"/>
        <v>0</v>
      </c>
      <c r="X172" s="131">
        <f t="shared" si="87"/>
        <v>-90000</v>
      </c>
      <c r="Y172" s="129">
        <f t="shared" si="97"/>
        <v>180000</v>
      </c>
      <c r="Z172" s="130">
        <f t="shared" si="89"/>
        <v>0</v>
      </c>
      <c r="AA172" s="131">
        <f t="shared" si="89"/>
        <v>-180000</v>
      </c>
    </row>
    <row r="173" spans="2:27">
      <c r="B173" s="21" t="s">
        <v>52</v>
      </c>
      <c r="C173" s="65" t="s">
        <v>74</v>
      </c>
      <c r="D173" s="129">
        <v>3500</v>
      </c>
      <c r="E173" s="130"/>
      <c r="F173" s="131">
        <f t="shared" si="98"/>
        <v>-3500</v>
      </c>
      <c r="G173" s="129">
        <v>3500</v>
      </c>
      <c r="H173" s="130"/>
      <c r="I173" s="131">
        <f t="shared" si="99"/>
        <v>-3500</v>
      </c>
      <c r="J173" s="129">
        <v>3500</v>
      </c>
      <c r="K173" s="130"/>
      <c r="L173" s="131">
        <f t="shared" si="100"/>
        <v>-3500</v>
      </c>
      <c r="M173" s="129">
        <v>3500</v>
      </c>
      <c r="N173" s="130"/>
      <c r="O173" s="131">
        <f t="shared" si="101"/>
        <v>-3500</v>
      </c>
      <c r="P173" s="129">
        <v>3500</v>
      </c>
      <c r="Q173" s="130"/>
      <c r="R173" s="131">
        <f t="shared" si="102"/>
        <v>-3500</v>
      </c>
      <c r="S173" s="129">
        <v>3500</v>
      </c>
      <c r="T173" s="130"/>
      <c r="U173" s="131">
        <f t="shared" si="103"/>
        <v>-3500</v>
      </c>
      <c r="V173" s="129">
        <f t="shared" si="87"/>
        <v>21000</v>
      </c>
      <c r="W173" s="130">
        <f t="shared" si="87"/>
        <v>0</v>
      </c>
      <c r="X173" s="131">
        <f t="shared" si="87"/>
        <v>-21000</v>
      </c>
      <c r="Y173" s="129">
        <f t="shared" si="97"/>
        <v>42000</v>
      </c>
      <c r="Z173" s="130">
        <f t="shared" si="89"/>
        <v>0</v>
      </c>
      <c r="AA173" s="131">
        <f t="shared" si="89"/>
        <v>-42000</v>
      </c>
    </row>
    <row r="174" spans="2:27">
      <c r="B174" s="21"/>
      <c r="C174" s="65" t="s">
        <v>75</v>
      </c>
      <c r="D174" s="129">
        <v>85000</v>
      </c>
      <c r="E174" s="130">
        <f>SUM(E134:E136,E147:E155,E163:E164,E168:E173)</f>
        <v>0</v>
      </c>
      <c r="F174" s="131">
        <f t="shared" si="98"/>
        <v>-85000</v>
      </c>
      <c r="G174" s="129">
        <v>85000</v>
      </c>
      <c r="H174" s="130">
        <f>SUM(H134:H136,H147:H155,H163:H164,H168:H173)</f>
        <v>0</v>
      </c>
      <c r="I174" s="131">
        <f t="shared" si="99"/>
        <v>-85000</v>
      </c>
      <c r="J174" s="129">
        <v>85000</v>
      </c>
      <c r="K174" s="130">
        <f>SUM(K134:K136,K147:K155,K163:K164,K168:K173)</f>
        <v>0</v>
      </c>
      <c r="L174" s="131">
        <f t="shared" si="100"/>
        <v>-85000</v>
      </c>
      <c r="M174" s="129">
        <v>85000</v>
      </c>
      <c r="N174" s="130">
        <f>SUM(N134:N136,N147:N155,N163:N164,N168:N173)</f>
        <v>0</v>
      </c>
      <c r="O174" s="131">
        <f t="shared" si="101"/>
        <v>-85000</v>
      </c>
      <c r="P174" s="129">
        <v>85000</v>
      </c>
      <c r="Q174" s="130">
        <f>SUM(Q134:Q136,Q147:Q155,Q163:Q164,Q168:Q173)</f>
        <v>0</v>
      </c>
      <c r="R174" s="131">
        <f t="shared" si="102"/>
        <v>-85000</v>
      </c>
      <c r="S174" s="129">
        <v>85000</v>
      </c>
      <c r="T174" s="130">
        <f>SUM(T134:T136,T147:T155,T163:T164,T168:T173)</f>
        <v>0</v>
      </c>
      <c r="U174" s="131">
        <f t="shared" si="103"/>
        <v>-85000</v>
      </c>
      <c r="V174" s="129">
        <f t="shared" si="87"/>
        <v>510000</v>
      </c>
      <c r="W174" s="130">
        <f t="shared" si="87"/>
        <v>0</v>
      </c>
      <c r="X174" s="131">
        <f t="shared" si="87"/>
        <v>-510000</v>
      </c>
      <c r="Y174" s="129">
        <f t="shared" si="97"/>
        <v>1020000</v>
      </c>
      <c r="Z174" s="130">
        <f t="shared" si="89"/>
        <v>0</v>
      </c>
      <c r="AA174" s="131">
        <f t="shared" si="89"/>
        <v>-1020000</v>
      </c>
    </row>
    <row r="175" spans="2:27">
      <c r="B175" s="21"/>
      <c r="C175" s="65" t="s">
        <v>57</v>
      </c>
      <c r="D175" s="129">
        <f>SUM(D134:D136,D147:D149,D153:D155,D163:D164,D168:D174)</f>
        <v>4547140</v>
      </c>
      <c r="E175" s="143">
        <f>SUM(E134:E136,E147:E149,E153:E155,E163:E164,E168:E174)</f>
        <v>0</v>
      </c>
      <c r="F175" s="131">
        <f>SUM(F134:F174)</f>
        <v>-5267140</v>
      </c>
      <c r="G175" s="129">
        <f>SUM(G134:G136,G147:G149,G153:G155,G163:G164,G168:G174)</f>
        <v>4396000</v>
      </c>
      <c r="H175" s="143">
        <f>SUM(H134:H136,H147:H149,H153:H155,H163:H164,H168:H174)</f>
        <v>0</v>
      </c>
      <c r="I175" s="131">
        <f>SUM(I134:I174)</f>
        <v>-5153500</v>
      </c>
      <c r="J175" s="129">
        <f>SUM(J134:J136,J147:J149,J153:J155,J163:J164,J168:J174)</f>
        <v>4166000</v>
      </c>
      <c r="K175" s="143">
        <f>SUM(K134:K136,K147:K149,K153:K155,K163:K164,K168:K174)</f>
        <v>0</v>
      </c>
      <c r="L175" s="131">
        <f>SUM(L134:L174)</f>
        <v>-4773500</v>
      </c>
      <c r="M175" s="129">
        <f>SUM(M134:M136,M147:M149,M153:M155,M163:M164,M168:M174)</f>
        <v>4396000</v>
      </c>
      <c r="N175" s="143">
        <f>SUM(N134:N136,N147:N149,N153:N155,N163:N164,N168:N174)</f>
        <v>0</v>
      </c>
      <c r="O175" s="131">
        <f>SUM(O134:O174)</f>
        <v>-5153500</v>
      </c>
      <c r="P175" s="129">
        <f>SUM(P134:P136,P147:P149,P153:P155,P163:P164,P168:P174)</f>
        <v>4746000</v>
      </c>
      <c r="Q175" s="143">
        <f>SUM(Q134:Q136,Q147:Q149,Q153:Q155,Q163:Q164,Q168:Q174)</f>
        <v>0</v>
      </c>
      <c r="R175" s="131">
        <f>SUM(R134:R174)</f>
        <v>-4773500</v>
      </c>
      <c r="S175" s="129">
        <f>SUM(S134:S136,S147:S149,S153:S155,S163:S164,S168:S174)</f>
        <v>5916856</v>
      </c>
      <c r="T175" s="143">
        <f>SUM(T134:T136,T147:T149,T153:T155,T163:T164,T168:T174)</f>
        <v>0</v>
      </c>
      <c r="U175" s="131">
        <f>SUM(U134:U174)</f>
        <v>-8153500</v>
      </c>
      <c r="V175" s="129">
        <f>D175+G175+J175+M175+P175+S175</f>
        <v>28167996</v>
      </c>
      <c r="W175" s="143">
        <f t="shared" si="87"/>
        <v>0</v>
      </c>
      <c r="X175" s="131">
        <f t="shared" si="87"/>
        <v>-33274640</v>
      </c>
      <c r="Y175" s="129">
        <f t="shared" si="97"/>
        <v>75367386</v>
      </c>
      <c r="Z175" s="143">
        <f t="shared" si="89"/>
        <v>39854</v>
      </c>
      <c r="AA175" s="131">
        <f t="shared" si="89"/>
        <v>-80434176</v>
      </c>
    </row>
    <row r="176" spans="2:27">
      <c r="C176" s="20" t="s">
        <v>89</v>
      </c>
      <c r="D176" s="132">
        <f>D133-D175</f>
        <v>632534</v>
      </c>
      <c r="E176" s="130">
        <f>E133-E175</f>
        <v>0</v>
      </c>
      <c r="F176" s="131">
        <f>E176-D176</f>
        <v>-632534</v>
      </c>
      <c r="G176" s="132">
        <f>G133-G175</f>
        <v>1680214</v>
      </c>
      <c r="H176" s="130">
        <f>H133-H175</f>
        <v>0</v>
      </c>
      <c r="I176" s="131">
        <f>H176-G176</f>
        <v>-1680214</v>
      </c>
      <c r="J176" s="132">
        <f>J133-J175</f>
        <v>1013674</v>
      </c>
      <c r="K176" s="130">
        <f>K133-K175</f>
        <v>0</v>
      </c>
      <c r="L176" s="131">
        <f>K176-J176</f>
        <v>-1013674</v>
      </c>
      <c r="M176" s="132">
        <f>M133-M175</f>
        <v>1804714</v>
      </c>
      <c r="N176" s="130">
        <f>N133-N175</f>
        <v>0</v>
      </c>
      <c r="O176" s="131">
        <f>N176-M176</f>
        <v>-1804714</v>
      </c>
      <c r="P176" s="132">
        <f>P133-P175</f>
        <v>433674</v>
      </c>
      <c r="Q176" s="130">
        <f>Q133-Q175</f>
        <v>0</v>
      </c>
      <c r="R176" s="131">
        <f>Q176-P176</f>
        <v>-433674</v>
      </c>
      <c r="S176" s="132">
        <f>S133-S175</f>
        <v>159358</v>
      </c>
      <c r="T176" s="130">
        <f>T133-T175</f>
        <v>0</v>
      </c>
      <c r="U176" s="131">
        <f>T176-S176</f>
        <v>-159358</v>
      </c>
      <c r="V176" s="132">
        <f>V133-V175</f>
        <v>5724168</v>
      </c>
      <c r="W176" s="130">
        <f>W133-W175</f>
        <v>0</v>
      </c>
      <c r="X176" s="131">
        <f t="shared" ref="X176" si="104">W176-V176</f>
        <v>-5724168</v>
      </c>
      <c r="Y176" s="132">
        <f t="shared" si="97"/>
        <v>-10531778</v>
      </c>
      <c r="Z176" s="130">
        <f>Z133-Z175</f>
        <v>-39854</v>
      </c>
      <c r="AA176" s="131">
        <f t="shared" ref="AA176" si="105">Z176-Y176</f>
        <v>10491924</v>
      </c>
    </row>
    <row r="177" spans="2:29">
      <c r="B177" s="21"/>
      <c r="C177" s="112" t="s">
        <v>173</v>
      </c>
      <c r="D177" s="113"/>
      <c r="E177" s="114">
        <v>0</v>
      </c>
      <c r="F177" s="114"/>
      <c r="G177" s="113"/>
      <c r="H177" s="114">
        <v>0</v>
      </c>
      <c r="I177" s="114"/>
      <c r="J177" s="113"/>
      <c r="K177" s="114">
        <v>0</v>
      </c>
      <c r="L177" s="114"/>
      <c r="M177" s="113"/>
      <c r="N177" s="114">
        <v>0</v>
      </c>
      <c r="O177" s="114"/>
      <c r="P177" s="113"/>
      <c r="Q177" s="114"/>
      <c r="R177" s="114"/>
      <c r="S177" s="113"/>
      <c r="T177" s="114">
        <v>1096670</v>
      </c>
      <c r="U177" s="114"/>
      <c r="V177" s="114">
        <f t="shared" ref="V177:W190" si="106">D177+G177+J177+M177+P177+S177</f>
        <v>0</v>
      </c>
      <c r="W177" s="114">
        <f t="shared" si="106"/>
        <v>1096670</v>
      </c>
      <c r="X177" s="114"/>
      <c r="Y177" s="115"/>
      <c r="Z177" s="114">
        <f t="shared" ref="Z177" si="107">W177</f>
        <v>1096670</v>
      </c>
      <c r="AA177" s="86"/>
    </row>
    <row r="178" spans="2:29">
      <c r="B178" s="21"/>
      <c r="C178" s="21" t="s">
        <v>85</v>
      </c>
      <c r="D178" s="37">
        <v>255000</v>
      </c>
      <c r="E178" s="38">
        <v>255000</v>
      </c>
      <c r="F178" s="38">
        <f>E178-D178</f>
        <v>0</v>
      </c>
      <c r="G178" s="37">
        <v>255000</v>
      </c>
      <c r="H178" s="38">
        <v>255000</v>
      </c>
      <c r="I178" s="38">
        <f t="shared" ref="I178:I190" si="108">H178-G178</f>
        <v>0</v>
      </c>
      <c r="J178" s="37">
        <v>255000</v>
      </c>
      <c r="K178" s="37">
        <v>255000</v>
      </c>
      <c r="L178" s="38">
        <f t="shared" ref="L178:L190" si="109">K178-J178</f>
        <v>0</v>
      </c>
      <c r="M178" s="37">
        <v>255000</v>
      </c>
      <c r="N178" s="38">
        <v>255000</v>
      </c>
      <c r="O178" s="38">
        <f t="shared" ref="O178:O190" si="110">N178-M178</f>
        <v>0</v>
      </c>
      <c r="P178" s="37">
        <v>255000</v>
      </c>
      <c r="Q178" s="38">
        <v>255000</v>
      </c>
      <c r="R178" s="38">
        <f t="shared" ref="R178:R190" si="111">Q178-P178</f>
        <v>0</v>
      </c>
      <c r="S178" s="37">
        <v>255000</v>
      </c>
      <c r="T178" s="38">
        <v>255000</v>
      </c>
      <c r="U178" s="38">
        <f t="shared" ref="U178:U190" si="112">T178-S178</f>
        <v>0</v>
      </c>
      <c r="V178" s="38">
        <f t="shared" si="106"/>
        <v>1530000</v>
      </c>
      <c r="W178" s="109">
        <f t="shared" ref="W178:W179" si="113">E178+H178+K178+N178+Q178+T178</f>
        <v>1530000</v>
      </c>
      <c r="X178" s="38">
        <f t="shared" ref="X178:X179" si="114">F178+I178+L178+O178+R178+U178</f>
        <v>0</v>
      </c>
      <c r="Y178" s="62">
        <f t="shared" ref="Y178:AA179" si="115">V112+V178</f>
        <v>1530000</v>
      </c>
      <c r="Z178" s="38">
        <f t="shared" si="115"/>
        <v>1530000</v>
      </c>
      <c r="AA178" s="62">
        <f t="shared" si="115"/>
        <v>0</v>
      </c>
    </row>
    <row r="179" spans="2:29">
      <c r="B179" s="21"/>
      <c r="C179" s="21" t="s">
        <v>86</v>
      </c>
      <c r="D179" s="37">
        <v>50000</v>
      </c>
      <c r="E179" s="38">
        <v>268640</v>
      </c>
      <c r="F179" s="38">
        <f>E179-D179</f>
        <v>218640</v>
      </c>
      <c r="G179" s="37">
        <v>50000</v>
      </c>
      <c r="H179" s="38">
        <v>66288</v>
      </c>
      <c r="I179" s="38">
        <f t="shared" si="108"/>
        <v>16288</v>
      </c>
      <c r="J179" s="37">
        <v>50000</v>
      </c>
      <c r="K179" s="38">
        <f>SUM(K180:K182)</f>
        <v>0</v>
      </c>
      <c r="L179" s="38">
        <f t="shared" si="109"/>
        <v>-50000</v>
      </c>
      <c r="M179" s="37">
        <v>50000</v>
      </c>
      <c r="N179" s="38">
        <f>SUM(N180:N182)</f>
        <v>56400</v>
      </c>
      <c r="O179" s="38">
        <f t="shared" si="110"/>
        <v>6400</v>
      </c>
      <c r="P179" s="37">
        <v>50000</v>
      </c>
      <c r="Q179" s="38">
        <v>0</v>
      </c>
      <c r="R179" s="38">
        <f t="shared" si="111"/>
        <v>-50000</v>
      </c>
      <c r="S179" s="37">
        <v>50000</v>
      </c>
      <c r="T179" s="38">
        <f>SUM(T180:T182)</f>
        <v>78844</v>
      </c>
      <c r="U179" s="38">
        <f t="shared" si="112"/>
        <v>28844</v>
      </c>
      <c r="V179" s="38">
        <f t="shared" si="106"/>
        <v>300000</v>
      </c>
      <c r="W179" s="109">
        <f t="shared" si="113"/>
        <v>470172</v>
      </c>
      <c r="X179" s="38">
        <f t="shared" si="114"/>
        <v>170172</v>
      </c>
      <c r="Y179" s="62">
        <f t="shared" si="115"/>
        <v>300000</v>
      </c>
      <c r="Z179" s="38">
        <f t="shared" si="115"/>
        <v>470172</v>
      </c>
      <c r="AA179" s="62">
        <f t="shared" si="115"/>
        <v>170172</v>
      </c>
    </row>
    <row r="180" spans="2:29">
      <c r="B180" s="21"/>
      <c r="C180" s="112" t="s">
        <v>168</v>
      </c>
      <c r="D180" s="113"/>
      <c r="E180" s="114">
        <v>0</v>
      </c>
      <c r="F180" s="114"/>
      <c r="G180" s="113"/>
      <c r="H180" s="114">
        <v>66288</v>
      </c>
      <c r="I180" s="114"/>
      <c r="J180" s="113"/>
      <c r="K180" s="114">
        <v>0</v>
      </c>
      <c r="L180" s="114"/>
      <c r="M180" s="113"/>
      <c r="N180" s="114">
        <v>56400</v>
      </c>
      <c r="O180" s="114"/>
      <c r="P180" s="113"/>
      <c r="Q180" s="114">
        <v>0</v>
      </c>
      <c r="R180" s="114"/>
      <c r="S180" s="113"/>
      <c r="T180" s="114">
        <v>78844</v>
      </c>
      <c r="U180" s="114"/>
      <c r="V180" s="114">
        <f>D180+G180+J180+M180+P180+S180</f>
        <v>0</v>
      </c>
      <c r="W180" s="114">
        <f>E180+H180+K180+N180+Q180+T180</f>
        <v>201532</v>
      </c>
      <c r="X180" s="114"/>
      <c r="Y180" s="115"/>
      <c r="Z180" s="114">
        <f>W114+W180</f>
        <v>201532</v>
      </c>
      <c r="AA180" s="86"/>
    </row>
    <row r="181" spans="2:29">
      <c r="B181" s="21"/>
      <c r="C181" s="110" t="s">
        <v>162</v>
      </c>
      <c r="D181" s="113"/>
      <c r="E181" s="114">
        <v>0</v>
      </c>
      <c r="F181" s="114"/>
      <c r="G181" s="113"/>
      <c r="H181" s="114">
        <v>0</v>
      </c>
      <c r="I181" s="114"/>
      <c r="J181" s="113"/>
      <c r="K181" s="114">
        <v>0</v>
      </c>
      <c r="L181" s="114"/>
      <c r="M181" s="113"/>
      <c r="N181" s="114">
        <v>0</v>
      </c>
      <c r="O181" s="114"/>
      <c r="P181" s="113"/>
      <c r="Q181" s="114">
        <v>0</v>
      </c>
      <c r="R181" s="114"/>
      <c r="S181" s="113"/>
      <c r="T181" s="114">
        <v>0</v>
      </c>
      <c r="U181" s="114"/>
      <c r="V181" s="114"/>
      <c r="W181" s="114">
        <f>E181+H181+K181+N181+Q181+T181</f>
        <v>0</v>
      </c>
      <c r="X181" s="114"/>
      <c r="Y181" s="115"/>
      <c r="Z181" s="114">
        <f>W115+W181</f>
        <v>0</v>
      </c>
      <c r="AA181" s="86"/>
    </row>
    <row r="182" spans="2:29">
      <c r="B182" s="21"/>
      <c r="C182" s="112" t="s">
        <v>170</v>
      </c>
      <c r="D182" s="113"/>
      <c r="E182" s="114">
        <v>268640</v>
      </c>
      <c r="F182" s="114"/>
      <c r="G182" s="113"/>
      <c r="H182" s="114">
        <v>0</v>
      </c>
      <c r="I182" s="114"/>
      <c r="J182" s="113"/>
      <c r="K182" s="114">
        <v>0</v>
      </c>
      <c r="L182" s="114"/>
      <c r="M182" s="113"/>
      <c r="N182" s="114">
        <v>0</v>
      </c>
      <c r="O182" s="114"/>
      <c r="P182" s="113"/>
      <c r="Q182" s="114">
        <v>0</v>
      </c>
      <c r="R182" s="114"/>
      <c r="S182" s="113"/>
      <c r="T182" s="114">
        <v>0</v>
      </c>
      <c r="U182" s="114"/>
      <c r="V182" s="114">
        <f t="shared" ref="V182" si="116">D182+G182+J182+M182+P182+S182</f>
        <v>0</v>
      </c>
      <c r="W182" s="114">
        <f>E182+H182+K182+N182+Q182+T182</f>
        <v>268640</v>
      </c>
      <c r="X182" s="114"/>
      <c r="Y182" s="115"/>
      <c r="Z182" s="114">
        <f>W116+W182</f>
        <v>268640</v>
      </c>
      <c r="AA182" s="86"/>
    </row>
    <row r="183" spans="2:29">
      <c r="B183" s="21"/>
      <c r="C183" s="21" t="s">
        <v>87</v>
      </c>
      <c r="D183" s="37">
        <v>0</v>
      </c>
      <c r="E183" s="38">
        <v>0</v>
      </c>
      <c r="F183" s="38">
        <f t="shared" ref="F183:F190" si="117">E183-D183</f>
        <v>0</v>
      </c>
      <c r="G183" s="37">
        <v>0</v>
      </c>
      <c r="H183" s="38">
        <v>0</v>
      </c>
      <c r="I183" s="38">
        <f t="shared" si="108"/>
        <v>0</v>
      </c>
      <c r="J183" s="37"/>
      <c r="K183" s="38">
        <v>0</v>
      </c>
      <c r="L183" s="38">
        <f t="shared" si="109"/>
        <v>0</v>
      </c>
      <c r="M183" s="37"/>
      <c r="N183" s="38">
        <v>0</v>
      </c>
      <c r="O183" s="38">
        <f t="shared" si="110"/>
        <v>0</v>
      </c>
      <c r="P183" s="37"/>
      <c r="Q183" s="38">
        <v>0</v>
      </c>
      <c r="R183" s="38">
        <f t="shared" si="111"/>
        <v>0</v>
      </c>
      <c r="S183" s="37"/>
      <c r="T183" s="38">
        <v>0</v>
      </c>
      <c r="U183" s="38">
        <f t="shared" si="112"/>
        <v>0</v>
      </c>
      <c r="V183" s="38">
        <f t="shared" si="106"/>
        <v>0</v>
      </c>
      <c r="W183" s="109">
        <f t="shared" ref="W183:W191" si="118">E183+H183+K183+N183+Q183+T183</f>
        <v>0</v>
      </c>
      <c r="X183" s="38">
        <f t="shared" ref="X183:X191" si="119">F183+I183+L183+O183+R183+U183</f>
        <v>0</v>
      </c>
      <c r="Y183" s="62">
        <f t="shared" ref="Y183:Y192" si="120">V117+V183</f>
        <v>6000</v>
      </c>
      <c r="Z183" s="38">
        <f>W117+W183</f>
        <v>0</v>
      </c>
      <c r="AA183" s="62">
        <f>X117+X183</f>
        <v>-6000</v>
      </c>
    </row>
    <row r="184" spans="2:29">
      <c r="B184" s="21"/>
      <c r="C184" s="21" t="s">
        <v>92</v>
      </c>
      <c r="D184" s="37">
        <v>0</v>
      </c>
      <c r="E184" s="38">
        <f>433623+1457720</f>
        <v>1891343</v>
      </c>
      <c r="F184" s="38">
        <f t="shared" si="117"/>
        <v>1891343</v>
      </c>
      <c r="G184" s="37">
        <v>0</v>
      </c>
      <c r="H184" s="38">
        <v>352898</v>
      </c>
      <c r="I184" s="38">
        <f>H184-G184</f>
        <v>352898</v>
      </c>
      <c r="J184" s="37"/>
      <c r="K184" s="37">
        <v>357223</v>
      </c>
      <c r="L184" s="38">
        <f>K184-J184</f>
        <v>357223</v>
      </c>
      <c r="M184" s="37"/>
      <c r="N184" s="38">
        <v>357222.5</v>
      </c>
      <c r="O184" s="38">
        <f>N184-M184</f>
        <v>357222.5</v>
      </c>
      <c r="P184" s="37"/>
      <c r="Q184" s="38">
        <v>357222.5</v>
      </c>
      <c r="R184" s="38">
        <f>Q184-P184</f>
        <v>357222.5</v>
      </c>
      <c r="S184" s="37"/>
      <c r="T184" s="38">
        <v>41388</v>
      </c>
      <c r="U184" s="38">
        <f>T184-S184</f>
        <v>41388</v>
      </c>
      <c r="V184" s="38">
        <f t="shared" si="106"/>
        <v>0</v>
      </c>
      <c r="W184" s="109">
        <f t="shared" si="118"/>
        <v>3357297</v>
      </c>
      <c r="X184" s="38">
        <f t="shared" si="119"/>
        <v>3357297</v>
      </c>
      <c r="Y184" s="62">
        <f t="shared" si="120"/>
        <v>96000</v>
      </c>
      <c r="Z184" s="38">
        <f>W118+W184</f>
        <v>3371245</v>
      </c>
      <c r="AA184" s="62">
        <f t="shared" ref="AA184:AA190" si="121">X118+X184</f>
        <v>3275245</v>
      </c>
    </row>
    <row r="185" spans="2:29">
      <c r="B185" s="21"/>
      <c r="C185" s="21" t="s">
        <v>88</v>
      </c>
      <c r="D185" s="37">
        <v>350</v>
      </c>
      <c r="E185" s="38">
        <v>0</v>
      </c>
      <c r="F185" s="38">
        <f t="shared" si="117"/>
        <v>-350</v>
      </c>
      <c r="G185" s="37">
        <v>350</v>
      </c>
      <c r="H185" s="38">
        <v>0</v>
      </c>
      <c r="I185" s="38">
        <f t="shared" si="108"/>
        <v>-350</v>
      </c>
      <c r="J185" s="37">
        <v>350</v>
      </c>
      <c r="K185" s="38">
        <v>0</v>
      </c>
      <c r="L185" s="38">
        <f t="shared" si="109"/>
        <v>-350</v>
      </c>
      <c r="M185" s="37">
        <v>350</v>
      </c>
      <c r="N185" s="38">
        <v>0</v>
      </c>
      <c r="O185" s="38">
        <f t="shared" si="110"/>
        <v>-350</v>
      </c>
      <c r="P185" s="37">
        <v>350</v>
      </c>
      <c r="Q185" s="38">
        <v>0</v>
      </c>
      <c r="R185" s="38">
        <f t="shared" si="111"/>
        <v>-350</v>
      </c>
      <c r="S185" s="37">
        <v>350</v>
      </c>
      <c r="T185" s="38">
        <v>2400</v>
      </c>
      <c r="U185" s="38">
        <f t="shared" si="112"/>
        <v>2050</v>
      </c>
      <c r="V185" s="38">
        <f t="shared" si="106"/>
        <v>2100</v>
      </c>
      <c r="W185" s="109">
        <f t="shared" si="118"/>
        <v>2400</v>
      </c>
      <c r="X185" s="38">
        <f t="shared" si="119"/>
        <v>300</v>
      </c>
      <c r="Y185" s="62">
        <f t="shared" si="120"/>
        <v>92100</v>
      </c>
      <c r="Z185" s="38">
        <f t="shared" ref="Z185:Z186" si="122">W119+W185</f>
        <v>2400</v>
      </c>
      <c r="AA185" s="62">
        <f t="shared" si="121"/>
        <v>-89700</v>
      </c>
    </row>
    <row r="186" spans="2:29">
      <c r="B186" s="21"/>
      <c r="C186" s="21" t="s">
        <v>71</v>
      </c>
      <c r="D186" s="37">
        <v>0</v>
      </c>
      <c r="E186" s="38">
        <v>14905</v>
      </c>
      <c r="F186" s="38">
        <f t="shared" si="117"/>
        <v>14905</v>
      </c>
      <c r="G186" s="37"/>
      <c r="H186" s="38">
        <v>15267</v>
      </c>
      <c r="I186" s="38">
        <f t="shared" si="108"/>
        <v>15267</v>
      </c>
      <c r="J186" s="37"/>
      <c r="K186" s="38">
        <v>14905</v>
      </c>
      <c r="L186" s="38">
        <f t="shared" si="109"/>
        <v>14905</v>
      </c>
      <c r="M186" s="37"/>
      <c r="N186" s="38">
        <v>14905</v>
      </c>
      <c r="O186" s="38">
        <f t="shared" si="110"/>
        <v>14905</v>
      </c>
      <c r="P186" s="37"/>
      <c r="Q186" s="38">
        <v>17875</v>
      </c>
      <c r="R186" s="38">
        <f t="shared" si="111"/>
        <v>17875</v>
      </c>
      <c r="S186" s="37"/>
      <c r="T186" s="38">
        <v>10780</v>
      </c>
      <c r="U186" s="38">
        <f t="shared" si="112"/>
        <v>10780</v>
      </c>
      <c r="V186" s="38">
        <f t="shared" si="106"/>
        <v>0</v>
      </c>
      <c r="W186" s="109">
        <f t="shared" si="118"/>
        <v>88637</v>
      </c>
      <c r="X186" s="38">
        <f t="shared" si="119"/>
        <v>88637</v>
      </c>
      <c r="Y186" s="62">
        <f t="shared" si="120"/>
        <v>21000</v>
      </c>
      <c r="Z186" s="38">
        <f t="shared" si="122"/>
        <v>88637</v>
      </c>
      <c r="AA186" s="62">
        <f t="shared" si="121"/>
        <v>67637</v>
      </c>
      <c r="AC186" s="20"/>
    </row>
    <row r="187" spans="2:29">
      <c r="B187" s="21" t="s">
        <v>52</v>
      </c>
      <c r="C187" s="21" t="s">
        <v>72</v>
      </c>
      <c r="D187" s="37">
        <v>100000</v>
      </c>
      <c r="E187" s="38">
        <v>0</v>
      </c>
      <c r="F187" s="38">
        <f t="shared" si="117"/>
        <v>-100000</v>
      </c>
      <c r="G187" s="37">
        <v>100000</v>
      </c>
      <c r="H187" s="38">
        <v>0</v>
      </c>
      <c r="I187" s="38">
        <f t="shared" si="108"/>
        <v>-100000</v>
      </c>
      <c r="J187" s="37">
        <v>100000</v>
      </c>
      <c r="K187" s="38">
        <v>0</v>
      </c>
      <c r="L187" s="38">
        <f t="shared" si="109"/>
        <v>-100000</v>
      </c>
      <c r="M187" s="37">
        <v>100000</v>
      </c>
      <c r="N187" s="38">
        <v>0</v>
      </c>
      <c r="O187" s="38">
        <f t="shared" si="110"/>
        <v>-100000</v>
      </c>
      <c r="P187" s="37">
        <v>100000</v>
      </c>
      <c r="Q187" s="38">
        <v>0</v>
      </c>
      <c r="R187" s="38">
        <f t="shared" si="111"/>
        <v>-100000</v>
      </c>
      <c r="S187" s="37">
        <v>100000</v>
      </c>
      <c r="T187" s="38">
        <v>0</v>
      </c>
      <c r="U187" s="38">
        <f t="shared" si="112"/>
        <v>-100000</v>
      </c>
      <c r="V187" s="38">
        <f t="shared" si="106"/>
        <v>600000</v>
      </c>
      <c r="W187" s="109">
        <f t="shared" si="118"/>
        <v>0</v>
      </c>
      <c r="X187" s="38">
        <f t="shared" si="119"/>
        <v>-600000</v>
      </c>
      <c r="Y187" s="62">
        <f t="shared" si="120"/>
        <v>1110000</v>
      </c>
      <c r="Z187" s="38">
        <f>W121+W187</f>
        <v>0</v>
      </c>
      <c r="AA187" s="62">
        <f t="shared" si="121"/>
        <v>-1110000</v>
      </c>
    </row>
    <row r="188" spans="2:29">
      <c r="B188" s="21"/>
      <c r="C188" s="21" t="s">
        <v>73</v>
      </c>
      <c r="D188" s="37">
        <v>0</v>
      </c>
      <c r="E188" s="38">
        <v>27169</v>
      </c>
      <c r="F188" s="38">
        <f t="shared" si="117"/>
        <v>27169</v>
      </c>
      <c r="G188" s="37">
        <v>0</v>
      </c>
      <c r="H188" s="38">
        <v>17950</v>
      </c>
      <c r="I188" s="38">
        <f t="shared" si="108"/>
        <v>17950</v>
      </c>
      <c r="J188" s="37"/>
      <c r="K188" s="38">
        <v>19740</v>
      </c>
      <c r="L188" s="38">
        <f t="shared" si="109"/>
        <v>19740</v>
      </c>
      <c r="M188" s="37"/>
      <c r="N188" s="38">
        <v>2268</v>
      </c>
      <c r="O188" s="38">
        <f t="shared" si="110"/>
        <v>2268</v>
      </c>
      <c r="P188" s="37"/>
      <c r="Q188" s="38">
        <v>0</v>
      </c>
      <c r="R188" s="38">
        <f t="shared" si="111"/>
        <v>0</v>
      </c>
      <c r="S188" s="37"/>
      <c r="T188" s="38">
        <f>13142+65279</f>
        <v>78421</v>
      </c>
      <c r="U188" s="38">
        <f t="shared" si="112"/>
        <v>78421</v>
      </c>
      <c r="V188" s="38">
        <f t="shared" si="106"/>
        <v>0</v>
      </c>
      <c r="W188" s="109">
        <f t="shared" si="118"/>
        <v>145548</v>
      </c>
      <c r="X188" s="38">
        <f t="shared" si="119"/>
        <v>145548</v>
      </c>
      <c r="Y188" s="62">
        <f t="shared" si="120"/>
        <v>47199390</v>
      </c>
      <c r="Z188" s="38">
        <f>W122+W188</f>
        <v>185402</v>
      </c>
      <c r="AA188" s="62">
        <f t="shared" si="121"/>
        <v>-47013988</v>
      </c>
    </row>
    <row r="189" spans="2:29">
      <c r="B189" s="21" t="s">
        <v>52</v>
      </c>
      <c r="C189" s="21" t="s">
        <v>74</v>
      </c>
      <c r="D189" s="37">
        <v>10000</v>
      </c>
      <c r="E189" s="38">
        <v>0</v>
      </c>
      <c r="F189" s="38">
        <f t="shared" si="117"/>
        <v>-10000</v>
      </c>
      <c r="G189" s="37">
        <v>10000</v>
      </c>
      <c r="H189" s="38">
        <v>0</v>
      </c>
      <c r="I189" s="38">
        <f t="shared" si="108"/>
        <v>-10000</v>
      </c>
      <c r="J189" s="37">
        <v>10000</v>
      </c>
      <c r="K189" s="38">
        <v>0</v>
      </c>
      <c r="L189" s="38">
        <f t="shared" si="109"/>
        <v>-10000</v>
      </c>
      <c r="M189" s="37">
        <v>10000</v>
      </c>
      <c r="N189" s="38">
        <v>0</v>
      </c>
      <c r="O189" s="38">
        <f t="shared" si="110"/>
        <v>-10000</v>
      </c>
      <c r="P189" s="37">
        <v>10000</v>
      </c>
      <c r="Q189" s="38">
        <v>0</v>
      </c>
      <c r="R189" s="38">
        <f t="shared" si="111"/>
        <v>-10000</v>
      </c>
      <c r="S189" s="37">
        <v>10000</v>
      </c>
      <c r="T189" s="38">
        <v>10000</v>
      </c>
      <c r="U189" s="38">
        <f t="shared" si="112"/>
        <v>0</v>
      </c>
      <c r="V189" s="38">
        <f t="shared" si="106"/>
        <v>60000</v>
      </c>
      <c r="W189" s="109">
        <f t="shared" si="118"/>
        <v>10000</v>
      </c>
      <c r="X189" s="38">
        <f t="shared" si="119"/>
        <v>-50000</v>
      </c>
      <c r="Y189" s="62">
        <f t="shared" si="120"/>
        <v>-16195946</v>
      </c>
      <c r="Z189" s="38">
        <f>W123+W189</f>
        <v>-29854</v>
      </c>
      <c r="AA189" s="62">
        <f t="shared" si="121"/>
        <v>16166092</v>
      </c>
    </row>
    <row r="190" spans="2:29">
      <c r="B190" s="21"/>
      <c r="C190" s="21" t="s">
        <v>75</v>
      </c>
      <c r="D190" s="37">
        <v>0</v>
      </c>
      <c r="E190" s="38">
        <v>385000</v>
      </c>
      <c r="F190" s="38">
        <f t="shared" si="117"/>
        <v>385000</v>
      </c>
      <c r="G190" s="37">
        <v>0</v>
      </c>
      <c r="H190" s="38">
        <v>0</v>
      </c>
      <c r="I190" s="38">
        <f t="shared" si="108"/>
        <v>0</v>
      </c>
      <c r="J190" s="37"/>
      <c r="K190" s="38">
        <v>0</v>
      </c>
      <c r="L190" s="38">
        <f t="shared" si="109"/>
        <v>0</v>
      </c>
      <c r="M190" s="37"/>
      <c r="N190" s="38">
        <v>11000</v>
      </c>
      <c r="O190" s="38">
        <f t="shared" si="110"/>
        <v>11000</v>
      </c>
      <c r="P190" s="37"/>
      <c r="Q190" s="38">
        <v>0</v>
      </c>
      <c r="R190" s="38">
        <f t="shared" si="111"/>
        <v>0</v>
      </c>
      <c r="S190" s="37"/>
      <c r="T190" s="38">
        <v>594000</v>
      </c>
      <c r="U190" s="38">
        <f t="shared" si="112"/>
        <v>594000</v>
      </c>
      <c r="V190" s="38">
        <f t="shared" si="106"/>
        <v>0</v>
      </c>
      <c r="W190" s="109">
        <f t="shared" si="118"/>
        <v>990000</v>
      </c>
      <c r="X190" s="38">
        <f t="shared" si="119"/>
        <v>990000</v>
      </c>
      <c r="Y190" s="62">
        <f t="shared" si="120"/>
        <v>0</v>
      </c>
      <c r="Z190" s="38">
        <f>W124+W190</f>
        <v>990000</v>
      </c>
      <c r="AA190" s="62">
        <f t="shared" si="121"/>
        <v>990000</v>
      </c>
    </row>
    <row r="191" spans="2:29">
      <c r="B191" s="21"/>
      <c r="C191" s="21" t="s">
        <v>57</v>
      </c>
      <c r="D191" s="37">
        <f>SUM(D138:D140,D155:D157,D161:D164,D178:D179,D183:D190)</f>
        <v>1496490</v>
      </c>
      <c r="E191" s="37">
        <f>SUM(E138:E140,E155:E157,E161:E164,E178:E179,E183:E190)</f>
        <v>2842057</v>
      </c>
      <c r="F191" s="38">
        <f>SUM(F138:F190)</f>
        <v>-5670107</v>
      </c>
      <c r="G191" s="37">
        <f>SUM(G138:G140,G155:G157,G161:G164,G178:G179,G183:G190)</f>
        <v>1145350</v>
      </c>
      <c r="H191" s="37">
        <f>SUM(H138:H140,H155:H157,H161:H164,H178:H179,H183:H190)</f>
        <v>707403</v>
      </c>
      <c r="I191" s="38">
        <f>SUM(I138:I190)</f>
        <v>-8475161</v>
      </c>
      <c r="J191" s="37">
        <f>SUM(J138:J140,J155:J157,J161:J164,J178:J179,J183:J190)</f>
        <v>1065350</v>
      </c>
      <c r="K191" s="37">
        <f>SUM(K138:K140,K155:K157,K161:K164,K178:K179,K183:K190)</f>
        <v>646868</v>
      </c>
      <c r="L191" s="38">
        <f>SUM(L138:L190)</f>
        <v>-7259156</v>
      </c>
      <c r="M191" s="37">
        <f>SUM(M138:M140,M155:M157,M161:M164,M178:M179,M183:M190)</f>
        <v>1145350</v>
      </c>
      <c r="N191" s="37">
        <f>SUM(N138:N140,N155:N157,N161:N164,N178:N179,N183:N190)</f>
        <v>696795.5</v>
      </c>
      <c r="O191" s="38">
        <f>SUM(O138:O190)</f>
        <v>-8610268.5</v>
      </c>
      <c r="P191" s="37">
        <f>SUM(P138:P140,P155:P157,P161:P164,P178:P179,P183:P190)</f>
        <v>1065350</v>
      </c>
      <c r="Q191" s="37">
        <f>SUM(Q138:Q140,Q155:Q157,Q161:Q164,Q178:Q179,Q183:Q190)</f>
        <v>630097.5</v>
      </c>
      <c r="R191" s="38">
        <f>SUM(R138:R190)</f>
        <v>-6695926.5</v>
      </c>
      <c r="S191" s="37">
        <f>SUM(S138:S140,S155:S157,S161:S164,S178:S179,S183:S190)</f>
        <v>4145350</v>
      </c>
      <c r="T191" s="37">
        <f>SUM(T138:T140,T155:T157,T161:T164,T178:T179,T183:T190)</f>
        <v>1070833</v>
      </c>
      <c r="U191" s="38">
        <f>SUM(U138:U190)</f>
        <v>-12590875</v>
      </c>
      <c r="V191" s="38">
        <f>D191+G191+J191+M191+P191+S191</f>
        <v>10063240</v>
      </c>
      <c r="W191" s="109">
        <f t="shared" si="118"/>
        <v>6594054</v>
      </c>
      <c r="X191" s="38">
        <f t="shared" si="119"/>
        <v>-49301494</v>
      </c>
      <c r="Y191" s="62" t="e">
        <f t="shared" si="120"/>
        <v>#VALUE!</v>
      </c>
      <c r="Z191" s="38">
        <f>W125+W191</f>
        <v>6594054</v>
      </c>
      <c r="AA191" s="62">
        <f>X125+X191</f>
        <v>-49301494</v>
      </c>
    </row>
    <row r="192" spans="2:29">
      <c r="C192" s="20" t="s">
        <v>89</v>
      </c>
      <c r="D192" s="70">
        <f>D137-D191</f>
        <v>-1486490</v>
      </c>
      <c r="E192" s="70">
        <f>E137-E191</f>
        <v>-2842057</v>
      </c>
      <c r="F192" s="70">
        <f>E192-D192</f>
        <v>-1355567</v>
      </c>
      <c r="G192" s="70">
        <f>G137-G191</f>
        <v>-1135350</v>
      </c>
      <c r="H192" s="70">
        <f>H137-H191</f>
        <v>-707403</v>
      </c>
      <c r="I192" s="70">
        <f t="shared" ref="I192" si="123">H192-G192</f>
        <v>427947</v>
      </c>
      <c r="J192" s="70">
        <f>J137-J191</f>
        <v>-1055350</v>
      </c>
      <c r="K192" s="70">
        <f>K137-K191</f>
        <v>-646868</v>
      </c>
      <c r="L192" s="70">
        <f t="shared" ref="L192" si="124">K192-J192</f>
        <v>408482</v>
      </c>
      <c r="M192" s="70">
        <f>M137-M191</f>
        <v>-1135350</v>
      </c>
      <c r="N192" s="70">
        <f>N137-N191</f>
        <v>-696795.5</v>
      </c>
      <c r="O192" s="70">
        <f t="shared" ref="O192" si="125">N192-M192</f>
        <v>438554.5</v>
      </c>
      <c r="P192" s="70">
        <f>P137-P191</f>
        <v>-1055350</v>
      </c>
      <c r="Q192" s="70">
        <f>Q137-Q191</f>
        <v>-630097.5</v>
      </c>
      <c r="R192" s="70">
        <f t="shared" ref="R192" si="126">Q192-P192</f>
        <v>425252.5</v>
      </c>
      <c r="S192" s="70">
        <f>S137-S191</f>
        <v>-4135350</v>
      </c>
      <c r="T192" s="70">
        <f>T137-T191</f>
        <v>-1070833</v>
      </c>
      <c r="U192" s="70">
        <f t="shared" ref="U192" si="127">T192-S192</f>
        <v>3064517</v>
      </c>
      <c r="V192" s="70">
        <f>V137-V191</f>
        <v>-10063240</v>
      </c>
      <c r="W192" s="70">
        <f>W137-W191</f>
        <v>-6594054</v>
      </c>
      <c r="X192" s="70">
        <f t="shared" ref="X192" si="128">W192-V192</f>
        <v>3469186</v>
      </c>
      <c r="Y192" s="62" t="e">
        <f t="shared" si="120"/>
        <v>#VALUE!</v>
      </c>
      <c r="Z192" s="70">
        <f>Z137-Z191</f>
        <v>-6594054</v>
      </c>
      <c r="AA192" s="70" t="e">
        <f t="shared" ref="AA192" si="129">Z192-Y192</f>
        <v>#VALUE!</v>
      </c>
    </row>
  </sheetData>
  <mergeCells count="15">
    <mergeCell ref="Y125:AA125"/>
    <mergeCell ref="G125:I125"/>
    <mergeCell ref="J125:L125"/>
    <mergeCell ref="M125:O125"/>
    <mergeCell ref="P125:R125"/>
    <mergeCell ref="S125:U125"/>
    <mergeCell ref="D125:F125"/>
    <mergeCell ref="V72:X72"/>
    <mergeCell ref="D72:F72"/>
    <mergeCell ref="G72:I72"/>
    <mergeCell ref="J72:L72"/>
    <mergeCell ref="M72:O72"/>
    <mergeCell ref="P72:R72"/>
    <mergeCell ref="S72:U72"/>
    <mergeCell ref="V125:X125"/>
  </mergeCells>
  <phoneticPr fontId="5"/>
  <pageMargins left="0.70866141732283472" right="0.70866141732283472" top="0.74803149606299213" bottom="0.74803149606299213" header="0.31496062992125984" footer="0.31496062992125984"/>
  <pageSetup paperSize="8" scale="8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CBC36-A08C-4FCC-B9E0-CB7DFD9172FF}">
  <dimension ref="B1:P94"/>
  <sheetViews>
    <sheetView topLeftCell="A58" zoomScaleNormal="100" workbookViewId="0">
      <selection activeCell="D78" sqref="D78"/>
    </sheetView>
  </sheetViews>
  <sheetFormatPr defaultColWidth="8.75" defaultRowHeight="12.75"/>
  <cols>
    <col min="1" max="1" width="1.375" style="20" customWidth="1"/>
    <col min="2" max="3" width="8.75" style="20"/>
    <col min="4" max="4" width="8.75" style="20" customWidth="1"/>
    <col min="5" max="15" width="8.75" style="20"/>
    <col min="16" max="16" width="10.5" style="20" customWidth="1"/>
    <col min="17" max="16384" width="8.75" style="20"/>
  </cols>
  <sheetData>
    <row r="1" spans="2:16" ht="14.25">
      <c r="B1" s="22" t="s">
        <v>46</v>
      </c>
    </row>
    <row r="3" spans="2:16" s="22" customFormat="1" ht="14.25">
      <c r="B3" s="22" t="s">
        <v>49</v>
      </c>
    </row>
    <row r="4" spans="2:16">
      <c r="B4" s="20" t="s">
        <v>18</v>
      </c>
    </row>
    <row r="5" spans="2:16">
      <c r="B5" s="156"/>
      <c r="C5" s="156"/>
      <c r="D5" s="21" t="s">
        <v>5</v>
      </c>
      <c r="E5" s="21" t="s">
        <v>6</v>
      </c>
      <c r="F5" s="21" t="s">
        <v>7</v>
      </c>
      <c r="G5" s="21" t="s">
        <v>8</v>
      </c>
      <c r="H5" s="21" t="s">
        <v>9</v>
      </c>
      <c r="I5" s="21" t="s">
        <v>10</v>
      </c>
      <c r="J5" s="21" t="s">
        <v>11</v>
      </c>
      <c r="K5" s="21" t="s">
        <v>12</v>
      </c>
      <c r="L5" s="21" t="s">
        <v>13</v>
      </c>
      <c r="M5" s="21" t="s">
        <v>14</v>
      </c>
      <c r="N5" s="21" t="s">
        <v>15</v>
      </c>
      <c r="O5" s="21" t="s">
        <v>16</v>
      </c>
    </row>
    <row r="6" spans="2:16">
      <c r="B6" s="86" t="s">
        <v>47</v>
      </c>
      <c r="C6" s="86" t="s">
        <v>19</v>
      </c>
      <c r="D6" s="150">
        <v>282.25</v>
      </c>
      <c r="E6" s="150">
        <v>281.55</v>
      </c>
      <c r="F6" s="150">
        <v>282.54000000000002</v>
      </c>
      <c r="G6" s="150">
        <v>280.22000000000003</v>
      </c>
      <c r="H6" s="150">
        <v>283.37</v>
      </c>
      <c r="I6" s="150">
        <v>274.64</v>
      </c>
      <c r="J6" s="150">
        <v>277.19</v>
      </c>
      <c r="K6" s="150">
        <v>277.88</v>
      </c>
      <c r="L6" s="150">
        <v>279.53598309784763</v>
      </c>
      <c r="M6" s="150">
        <v>283.73656662665064</v>
      </c>
      <c r="N6" s="150">
        <v>294.30329864954615</v>
      </c>
      <c r="O6" s="150">
        <v>289.52047020672882</v>
      </c>
      <c r="P6" s="74">
        <f>AVERAGE(D6:O6)</f>
        <v>282.22802654839774</v>
      </c>
    </row>
    <row r="7" spans="2:16">
      <c r="B7" s="89" t="s">
        <v>48</v>
      </c>
      <c r="C7" s="89" t="s">
        <v>19</v>
      </c>
      <c r="D7" s="151">
        <v>260</v>
      </c>
      <c r="E7" s="151">
        <v>258.89</v>
      </c>
      <c r="F7" s="151">
        <v>259</v>
      </c>
      <c r="G7" s="151">
        <v>257.12</v>
      </c>
      <c r="H7" s="151">
        <v>260.75</v>
      </c>
      <c r="I7" s="151">
        <v>250.69</v>
      </c>
      <c r="J7" s="151">
        <v>253.55</v>
      </c>
      <c r="K7" s="151">
        <v>254.91</v>
      </c>
      <c r="L7" s="151">
        <v>256.51551564769574</v>
      </c>
      <c r="M7" s="151">
        <v>259.92854741896758</v>
      </c>
      <c r="N7" s="151">
        <v>228.23334071286251</v>
      </c>
      <c r="O7" s="151">
        <v>265.60518848804213</v>
      </c>
      <c r="P7" s="74">
        <f>AVERAGE(D7:O7)</f>
        <v>255.43271602229731</v>
      </c>
    </row>
    <row r="8" spans="2:16">
      <c r="B8" s="21" t="s">
        <v>32</v>
      </c>
      <c r="C8" s="21" t="s">
        <v>19</v>
      </c>
      <c r="D8" s="67">
        <f t="shared" ref="D8:H8" si="0">D6-D7</f>
        <v>22.25</v>
      </c>
      <c r="E8" s="67">
        <f t="shared" si="0"/>
        <v>22.660000000000025</v>
      </c>
      <c r="F8" s="67">
        <f t="shared" si="0"/>
        <v>23.54000000000002</v>
      </c>
      <c r="G8" s="67">
        <f t="shared" si="0"/>
        <v>23.100000000000023</v>
      </c>
      <c r="H8" s="67">
        <f t="shared" si="0"/>
        <v>22.620000000000005</v>
      </c>
      <c r="I8" s="67">
        <f>I6-I7</f>
        <v>23.949999999999989</v>
      </c>
      <c r="J8" s="67">
        <f t="shared" ref="J8:O8" si="1">J6-J7</f>
        <v>23.639999999999986</v>
      </c>
      <c r="K8" s="67">
        <f t="shared" si="1"/>
        <v>22.97</v>
      </c>
      <c r="L8" s="67">
        <f t="shared" si="1"/>
        <v>23.020467450151898</v>
      </c>
      <c r="M8" s="67">
        <f t="shared" si="1"/>
        <v>23.80801920768306</v>
      </c>
      <c r="N8" s="67">
        <f t="shared" si="1"/>
        <v>66.069957936683636</v>
      </c>
      <c r="O8" s="67">
        <f t="shared" si="1"/>
        <v>23.915281718686686</v>
      </c>
      <c r="P8" s="74"/>
    </row>
    <row r="9" spans="2:16">
      <c r="N9" s="20">
        <f>288.46-244.99</f>
        <v>43.46999999999997</v>
      </c>
    </row>
    <row r="10" spans="2:16">
      <c r="B10" s="20" t="s">
        <v>20</v>
      </c>
    </row>
    <row r="11" spans="2:16">
      <c r="B11" s="156"/>
      <c r="C11" s="156"/>
      <c r="D11" s="21" t="s">
        <v>5</v>
      </c>
      <c r="E11" s="21" t="s">
        <v>6</v>
      </c>
      <c r="F11" s="21" t="s">
        <v>7</v>
      </c>
      <c r="G11" s="21" t="s">
        <v>8</v>
      </c>
      <c r="H11" s="21" t="s">
        <v>9</v>
      </c>
      <c r="I11" s="21" t="s">
        <v>10</v>
      </c>
      <c r="J11" s="21" t="s">
        <v>11</v>
      </c>
      <c r="K11" s="21" t="s">
        <v>12</v>
      </c>
      <c r="L11" s="21" t="s">
        <v>13</v>
      </c>
      <c r="M11" s="21" t="s">
        <v>14</v>
      </c>
      <c r="N11" s="21" t="s">
        <v>15</v>
      </c>
      <c r="O11" s="21" t="s">
        <v>16</v>
      </c>
    </row>
    <row r="12" spans="2:16">
      <c r="B12" s="86" t="s">
        <v>47</v>
      </c>
      <c r="C12" s="86" t="s">
        <v>19</v>
      </c>
      <c r="D12" s="150">
        <v>308</v>
      </c>
      <c r="E12" s="150">
        <v>313</v>
      </c>
      <c r="F12" s="150">
        <v>307</v>
      </c>
      <c r="G12" s="150">
        <v>309</v>
      </c>
      <c r="H12" s="150">
        <v>312</v>
      </c>
      <c r="I12" s="150">
        <v>310</v>
      </c>
      <c r="J12" s="150">
        <v>310</v>
      </c>
      <c r="K12" s="150">
        <v>318</v>
      </c>
      <c r="L12" s="150">
        <v>312.65649958915367</v>
      </c>
      <c r="M12" s="150">
        <v>304.15015634961594</v>
      </c>
      <c r="N12" s="150">
        <v>310.634607248625</v>
      </c>
      <c r="O12" s="150">
        <v>316.22791023842916</v>
      </c>
      <c r="P12" s="74">
        <f>AVERAGE(D12:O12)</f>
        <v>310.88909778548526</v>
      </c>
    </row>
    <row r="13" spans="2:16">
      <c r="B13" s="89" t="s">
        <v>48</v>
      </c>
      <c r="C13" s="89" t="s">
        <v>19</v>
      </c>
      <c r="D13" s="151">
        <v>283</v>
      </c>
      <c r="E13" s="151">
        <v>288.12</v>
      </c>
      <c r="F13" s="151">
        <v>282.10000000000002</v>
      </c>
      <c r="G13" s="151">
        <v>281.16000000000003</v>
      </c>
      <c r="H13" s="151">
        <v>286.77999999999997</v>
      </c>
      <c r="I13" s="151">
        <v>284.87</v>
      </c>
      <c r="J13" s="151">
        <v>285.18</v>
      </c>
      <c r="K13" s="151">
        <v>292.89</v>
      </c>
      <c r="L13" s="151">
        <v>287.68092029580936</v>
      </c>
      <c r="M13" s="151">
        <v>278.19217341145753</v>
      </c>
      <c r="N13" s="151">
        <v>302.01692285996336</v>
      </c>
      <c r="O13" s="151">
        <v>291.31381486676014</v>
      </c>
      <c r="P13" s="74">
        <f>AVERAGE(D13:O13)</f>
        <v>286.94198595283257</v>
      </c>
    </row>
    <row r="14" spans="2:16">
      <c r="B14" s="21" t="s">
        <v>32</v>
      </c>
      <c r="C14" s="21" t="s">
        <v>19</v>
      </c>
      <c r="D14" s="67">
        <f t="shared" ref="D14:H14" si="2">D12-D13</f>
        <v>25</v>
      </c>
      <c r="E14" s="67">
        <f t="shared" si="2"/>
        <v>24.879999999999995</v>
      </c>
      <c r="F14" s="67">
        <f t="shared" si="2"/>
        <v>24.899999999999977</v>
      </c>
      <c r="G14" s="67">
        <f t="shared" si="2"/>
        <v>27.839999999999975</v>
      </c>
      <c r="H14" s="67">
        <f t="shared" si="2"/>
        <v>25.220000000000027</v>
      </c>
      <c r="I14" s="67">
        <f>I12-I13</f>
        <v>25.129999999999995</v>
      </c>
      <c r="J14" s="67">
        <f t="shared" ref="J14:O14" si="3">J12-J13</f>
        <v>24.819999999999993</v>
      </c>
      <c r="K14" s="67">
        <f t="shared" si="3"/>
        <v>25.110000000000014</v>
      </c>
      <c r="L14" s="67">
        <f t="shared" si="3"/>
        <v>24.97557929334431</v>
      </c>
      <c r="M14" s="67">
        <f t="shared" si="3"/>
        <v>25.957982938158409</v>
      </c>
      <c r="N14" s="67">
        <f t="shared" si="3"/>
        <v>8.6176843886616439</v>
      </c>
      <c r="O14" s="67">
        <f t="shared" si="3"/>
        <v>24.914095371669021</v>
      </c>
      <c r="P14" s="74"/>
    </row>
    <row r="15" spans="2:16">
      <c r="N15" s="20">
        <f>313.78-290.9</f>
        <v>22.879999999999995</v>
      </c>
    </row>
    <row r="16" spans="2:16">
      <c r="B16" s="20" t="s">
        <v>21</v>
      </c>
    </row>
    <row r="17" spans="2:16">
      <c r="B17" s="156"/>
      <c r="C17" s="156"/>
      <c r="D17" s="21" t="s">
        <v>5</v>
      </c>
      <c r="E17" s="21" t="s">
        <v>6</v>
      </c>
      <c r="F17" s="21" t="s">
        <v>7</v>
      </c>
      <c r="G17" s="21" t="s">
        <v>8</v>
      </c>
      <c r="H17" s="21" t="s">
        <v>9</v>
      </c>
      <c r="I17" s="21" t="s">
        <v>10</v>
      </c>
      <c r="J17" s="21" t="s">
        <v>11</v>
      </c>
      <c r="K17" s="21" t="s">
        <v>12</v>
      </c>
      <c r="L17" s="21" t="s">
        <v>13</v>
      </c>
      <c r="M17" s="21" t="s">
        <v>14</v>
      </c>
      <c r="N17" s="21" t="s">
        <v>15</v>
      </c>
      <c r="O17" s="21" t="s">
        <v>16</v>
      </c>
    </row>
    <row r="18" spans="2:16">
      <c r="B18" s="86" t="s">
        <v>47</v>
      </c>
      <c r="C18" s="86" t="s">
        <v>19</v>
      </c>
      <c r="D18" s="150">
        <v>149.37</v>
      </c>
      <c r="E18" s="150">
        <v>145.35</v>
      </c>
      <c r="F18" s="150">
        <v>144</v>
      </c>
      <c r="G18" s="150">
        <v>144.79</v>
      </c>
      <c r="H18" s="150">
        <v>144.4</v>
      </c>
      <c r="I18" s="150">
        <v>144.61000000000001</v>
      </c>
      <c r="J18" s="150">
        <v>144.72</v>
      </c>
      <c r="K18" s="150">
        <v>144.51</v>
      </c>
      <c r="L18" s="150">
        <v>144.85512699905928</v>
      </c>
      <c r="M18" s="150">
        <v>146.26233576642335</v>
      </c>
      <c r="N18" s="150">
        <v>145.24883529734174</v>
      </c>
      <c r="O18" s="150">
        <v>141.82747603833866</v>
      </c>
      <c r="P18" s="74">
        <f>AVERAGE(D18:O18)</f>
        <v>144.99531450843025</v>
      </c>
    </row>
    <row r="19" spans="2:16">
      <c r="B19" s="89" t="s">
        <v>48</v>
      </c>
      <c r="C19" s="89" t="s">
        <v>19</v>
      </c>
      <c r="D19" s="151">
        <v>137</v>
      </c>
      <c r="E19" s="151">
        <v>133.31</v>
      </c>
      <c r="F19" s="151">
        <v>132</v>
      </c>
      <c r="G19" s="151">
        <v>132.72999999999999</v>
      </c>
      <c r="H19" s="151">
        <v>132.32</v>
      </c>
      <c r="I19" s="151">
        <v>132.58000000000001</v>
      </c>
      <c r="J19" s="151">
        <v>132.56</v>
      </c>
      <c r="K19" s="151">
        <v>132.43</v>
      </c>
      <c r="L19" s="151">
        <v>132.76105362182503</v>
      </c>
      <c r="M19" s="151">
        <v>136.68467153284672</v>
      </c>
      <c r="N19" s="151">
        <v>137.50548095368595</v>
      </c>
      <c r="O19" s="151">
        <v>130.05111821086263</v>
      </c>
      <c r="P19" s="74">
        <f>AVERAGE(D19:O19)</f>
        <v>133.49436035993503</v>
      </c>
    </row>
    <row r="20" spans="2:16">
      <c r="B20" s="21" t="s">
        <v>32</v>
      </c>
      <c r="C20" s="21" t="s">
        <v>19</v>
      </c>
      <c r="D20" s="67">
        <f t="shared" ref="D20:O20" si="4">D18-D19</f>
        <v>12.370000000000005</v>
      </c>
      <c r="E20" s="67">
        <f t="shared" si="4"/>
        <v>12.039999999999992</v>
      </c>
      <c r="F20" s="67">
        <f t="shared" si="4"/>
        <v>12</v>
      </c>
      <c r="G20" s="67">
        <f t="shared" si="4"/>
        <v>12.060000000000002</v>
      </c>
      <c r="H20" s="67">
        <f t="shared" si="4"/>
        <v>12.080000000000013</v>
      </c>
      <c r="I20" s="67">
        <f t="shared" si="4"/>
        <v>12.030000000000001</v>
      </c>
      <c r="J20" s="67">
        <f t="shared" si="4"/>
        <v>12.159999999999997</v>
      </c>
      <c r="K20" s="67">
        <f t="shared" si="4"/>
        <v>12.079999999999984</v>
      </c>
      <c r="L20" s="67">
        <f t="shared" si="4"/>
        <v>12.094073377234253</v>
      </c>
      <c r="M20" s="67">
        <f t="shared" si="4"/>
        <v>9.5776642335766269</v>
      </c>
      <c r="N20" s="67">
        <f t="shared" si="4"/>
        <v>7.7433543436557954</v>
      </c>
      <c r="O20" s="67">
        <f t="shared" si="4"/>
        <v>11.776357827476033</v>
      </c>
      <c r="P20" s="74"/>
    </row>
    <row r="21" spans="2:16">
      <c r="N21" s="20">
        <f>144.82-135.74</f>
        <v>9.0799999999999841</v>
      </c>
    </row>
    <row r="22" spans="2:16">
      <c r="B22" s="20" t="s">
        <v>22</v>
      </c>
    </row>
    <row r="23" spans="2:16">
      <c r="B23" s="156"/>
      <c r="C23" s="156"/>
      <c r="D23" s="21" t="s">
        <v>5</v>
      </c>
      <c r="E23" s="21" t="s">
        <v>6</v>
      </c>
      <c r="F23" s="21" t="s">
        <v>7</v>
      </c>
      <c r="G23" s="21" t="s">
        <v>8</v>
      </c>
      <c r="H23" s="21" t="s">
        <v>9</v>
      </c>
      <c r="I23" s="21" t="s">
        <v>10</v>
      </c>
      <c r="J23" s="21" t="s">
        <v>11</v>
      </c>
      <c r="K23" s="21" t="s">
        <v>12</v>
      </c>
      <c r="L23" s="21" t="s">
        <v>13</v>
      </c>
      <c r="M23" s="21" t="s">
        <v>14</v>
      </c>
      <c r="N23" s="21" t="s">
        <v>15</v>
      </c>
      <c r="O23" s="21" t="s">
        <v>16</v>
      </c>
    </row>
    <row r="24" spans="2:16">
      <c r="B24" s="86" t="s">
        <v>47</v>
      </c>
      <c r="C24" s="86" t="s">
        <v>19</v>
      </c>
      <c r="D24" s="150">
        <v>322</v>
      </c>
      <c r="E24" s="150">
        <v>320.5</v>
      </c>
      <c r="F24" s="150">
        <v>319</v>
      </c>
      <c r="G24" s="150">
        <v>324.63</v>
      </c>
      <c r="H24" s="150">
        <v>323.62</v>
      </c>
      <c r="I24" s="150">
        <v>325</v>
      </c>
      <c r="J24" s="150">
        <v>309.45</v>
      </c>
      <c r="K24" s="150">
        <v>321.93</v>
      </c>
      <c r="L24" s="150">
        <v>322.33333333333331</v>
      </c>
      <c r="M24" s="150">
        <v>324</v>
      </c>
      <c r="N24" s="150">
        <v>322.1875</v>
      </c>
      <c r="O24" s="150">
        <v>323.3125</v>
      </c>
      <c r="P24" s="74">
        <f>AVERAGE(D24:O24)</f>
        <v>321.49694444444441</v>
      </c>
    </row>
    <row r="25" spans="2:16">
      <c r="B25" s="89" t="s">
        <v>48</v>
      </c>
      <c r="C25" s="89" t="s">
        <v>19</v>
      </c>
      <c r="D25" s="151">
        <v>295</v>
      </c>
      <c r="E25" s="151">
        <v>293.39999999999998</v>
      </c>
      <c r="F25" s="151">
        <v>292</v>
      </c>
      <c r="G25" s="151">
        <v>297.25</v>
      </c>
      <c r="H25" s="151">
        <v>296.31</v>
      </c>
      <c r="I25" s="151">
        <v>239.31</v>
      </c>
      <c r="J25" s="151">
        <v>283.08999999999997</v>
      </c>
      <c r="K25" s="151">
        <v>294.73</v>
      </c>
      <c r="L25" s="151">
        <v>295.11111111111109</v>
      </c>
      <c r="M25" s="151">
        <v>296.66666666666669</v>
      </c>
      <c r="N25" s="151">
        <v>294.97500000000002</v>
      </c>
      <c r="O25" s="151">
        <v>296.02499999999998</v>
      </c>
      <c r="P25" s="74">
        <f>AVERAGE(D25:O25)</f>
        <v>289.48898148148152</v>
      </c>
    </row>
    <row r="26" spans="2:16">
      <c r="B26" s="21" t="s">
        <v>32</v>
      </c>
      <c r="C26" s="21" t="s">
        <v>19</v>
      </c>
      <c r="D26" s="67">
        <f t="shared" ref="D26:N26" si="5">D24-D25</f>
        <v>27</v>
      </c>
      <c r="E26" s="67">
        <f t="shared" si="5"/>
        <v>27.100000000000023</v>
      </c>
      <c r="F26" s="67">
        <f t="shared" si="5"/>
        <v>27</v>
      </c>
      <c r="G26" s="67">
        <f t="shared" si="5"/>
        <v>27.379999999999995</v>
      </c>
      <c r="H26" s="67">
        <f t="shared" si="5"/>
        <v>27.310000000000002</v>
      </c>
      <c r="I26" s="67">
        <f t="shared" si="5"/>
        <v>85.69</v>
      </c>
      <c r="J26" s="67">
        <f t="shared" si="5"/>
        <v>26.360000000000014</v>
      </c>
      <c r="K26" s="67">
        <f t="shared" si="5"/>
        <v>27.199999999999989</v>
      </c>
      <c r="L26" s="67">
        <f t="shared" si="5"/>
        <v>27.222222222222229</v>
      </c>
      <c r="M26" s="67">
        <f t="shared" si="5"/>
        <v>27.333333333333314</v>
      </c>
      <c r="N26" s="67">
        <f t="shared" si="5"/>
        <v>27.212499999999977</v>
      </c>
      <c r="O26" s="67">
        <f>O24-O25</f>
        <v>27.287500000000023</v>
      </c>
      <c r="P26" s="74"/>
    </row>
    <row r="28" spans="2:16">
      <c r="B28" s="20" t="s">
        <v>23</v>
      </c>
    </row>
    <row r="29" spans="2:16">
      <c r="B29" s="156"/>
      <c r="C29" s="156"/>
      <c r="D29" s="21" t="s">
        <v>5</v>
      </c>
      <c r="E29" s="21" t="s">
        <v>6</v>
      </c>
      <c r="F29" s="21" t="s">
        <v>7</v>
      </c>
      <c r="G29" s="21" t="s">
        <v>8</v>
      </c>
      <c r="H29" s="21" t="s">
        <v>9</v>
      </c>
      <c r="I29" s="21" t="s">
        <v>10</v>
      </c>
      <c r="J29" s="21" t="s">
        <v>11</v>
      </c>
      <c r="K29" s="21" t="s">
        <v>12</v>
      </c>
      <c r="L29" s="21" t="s">
        <v>13</v>
      </c>
      <c r="M29" s="21" t="s">
        <v>14</v>
      </c>
      <c r="N29" s="21" t="s">
        <v>15</v>
      </c>
      <c r="O29" s="21" t="s">
        <v>16</v>
      </c>
    </row>
    <row r="30" spans="2:16">
      <c r="B30" s="86" t="s">
        <v>47</v>
      </c>
      <c r="C30" s="86" t="s">
        <v>19</v>
      </c>
      <c r="D30" s="87">
        <v>271.86</v>
      </c>
      <c r="E30" s="86">
        <v>259.13</v>
      </c>
      <c r="F30" s="86">
        <v>259.13</v>
      </c>
      <c r="G30" s="86">
        <v>238.26</v>
      </c>
      <c r="H30" s="86">
        <v>247.71</v>
      </c>
      <c r="I30" s="88">
        <v>260.93</v>
      </c>
      <c r="J30" s="88">
        <v>247.96</v>
      </c>
      <c r="K30" s="88">
        <v>236.27</v>
      </c>
      <c r="L30" s="88">
        <v>252.44769483839417</v>
      </c>
      <c r="M30" s="88">
        <v>246.1294918241457</v>
      </c>
      <c r="N30" s="88">
        <v>243.88535464326753</v>
      </c>
      <c r="O30" s="88">
        <v>283.83934742425458</v>
      </c>
      <c r="P30" s="74">
        <f>AVERAGE(D30:O30)</f>
        <v>253.96265739417186</v>
      </c>
    </row>
    <row r="31" spans="2:16">
      <c r="B31" s="89" t="s">
        <v>48</v>
      </c>
      <c r="C31" s="89" t="s">
        <v>19</v>
      </c>
      <c r="D31" s="90">
        <v>250</v>
      </c>
      <c r="E31" s="89">
        <v>238.2</v>
      </c>
      <c r="F31" s="89">
        <v>238.2</v>
      </c>
      <c r="G31" s="89">
        <v>217.67</v>
      </c>
      <c r="H31" s="89">
        <v>227.5</v>
      </c>
      <c r="I31" s="91">
        <v>239.31</v>
      </c>
      <c r="J31" s="91">
        <v>227.61</v>
      </c>
      <c r="K31" s="91">
        <v>216.94</v>
      </c>
      <c r="L31" s="91">
        <v>231.94783562293455</v>
      </c>
      <c r="M31" s="91">
        <v>226.2036619994125</v>
      </c>
      <c r="N31" s="91">
        <v>221.81348584560743</v>
      </c>
      <c r="O31" s="91">
        <v>260.92791127541591</v>
      </c>
      <c r="P31" s="74">
        <f>AVERAGE(D31:O31)</f>
        <v>233.02690789528083</v>
      </c>
    </row>
    <row r="32" spans="2:16">
      <c r="B32" s="21" t="s">
        <v>32</v>
      </c>
      <c r="C32" s="21" t="s">
        <v>19</v>
      </c>
      <c r="D32" s="67">
        <f t="shared" ref="D32" si="6">D30-D31</f>
        <v>21.860000000000014</v>
      </c>
      <c r="E32" s="67">
        <f t="shared" ref="E32" si="7">E30-E31</f>
        <v>20.930000000000007</v>
      </c>
      <c r="F32" s="67">
        <f t="shared" ref="F32" si="8">F30-F31</f>
        <v>20.930000000000007</v>
      </c>
      <c r="G32" s="67">
        <f t="shared" ref="G32" si="9">G30-G31</f>
        <v>20.590000000000003</v>
      </c>
      <c r="H32" s="67">
        <f t="shared" ref="H32" si="10">H30-H31</f>
        <v>20.210000000000008</v>
      </c>
      <c r="I32" s="67">
        <f t="shared" ref="I32" si="11">I30-I31</f>
        <v>21.620000000000005</v>
      </c>
      <c r="J32" s="67">
        <f t="shared" ref="J32" si="12">J30-J31</f>
        <v>20.349999999999994</v>
      </c>
      <c r="K32" s="67">
        <f t="shared" ref="K32" si="13">K30-K31</f>
        <v>19.330000000000013</v>
      </c>
      <c r="L32" s="67">
        <f t="shared" ref="L32" si="14">L30-L31</f>
        <v>20.499859215459622</v>
      </c>
      <c r="M32" s="67">
        <f t="shared" ref="M32" si="15">M30-M31</f>
        <v>19.925829824733199</v>
      </c>
      <c r="N32" s="67">
        <f t="shared" ref="N32" si="16">N30-N31</f>
        <v>22.071868797660102</v>
      </c>
      <c r="O32" s="67">
        <f t="shared" ref="O32" si="17">O30-O31</f>
        <v>22.911436148838675</v>
      </c>
      <c r="P32" s="74"/>
    </row>
    <row r="35" spans="2:16" s="22" customFormat="1" ht="14.25">
      <c r="B35" s="22" t="s">
        <v>175</v>
      </c>
    </row>
    <row r="36" spans="2:16">
      <c r="B36" s="20" t="s">
        <v>18</v>
      </c>
    </row>
    <row r="37" spans="2:16">
      <c r="B37" s="156"/>
      <c r="C37" s="156"/>
      <c r="D37" s="21" t="s">
        <v>5</v>
      </c>
      <c r="E37" s="21" t="s">
        <v>6</v>
      </c>
      <c r="F37" s="21" t="s">
        <v>7</v>
      </c>
      <c r="G37" s="21" t="s">
        <v>8</v>
      </c>
      <c r="H37" s="21" t="s">
        <v>9</v>
      </c>
      <c r="I37" s="21" t="s">
        <v>10</v>
      </c>
      <c r="J37" s="21" t="s">
        <v>11</v>
      </c>
      <c r="K37" s="21" t="s">
        <v>12</v>
      </c>
      <c r="L37" s="21" t="s">
        <v>13</v>
      </c>
      <c r="M37" s="21" t="s">
        <v>14</v>
      </c>
      <c r="N37" s="21" t="s">
        <v>15</v>
      </c>
      <c r="O37" s="21" t="s">
        <v>16</v>
      </c>
      <c r="P37" s="20" t="s">
        <v>137</v>
      </c>
    </row>
    <row r="38" spans="2:16">
      <c r="B38" s="156" t="s">
        <v>47</v>
      </c>
      <c r="C38" s="21" t="s">
        <v>36</v>
      </c>
      <c r="D38" s="75">
        <v>282.22802654839774</v>
      </c>
      <c r="E38" s="75">
        <v>282.22802654839774</v>
      </c>
      <c r="F38" s="75">
        <v>282.22802654839774</v>
      </c>
      <c r="G38" s="75">
        <v>282.22802654839774</v>
      </c>
      <c r="H38" s="75">
        <v>282.22802654839774</v>
      </c>
      <c r="I38" s="75">
        <v>282.22802654839774</v>
      </c>
      <c r="J38" s="75">
        <v>282.22802654839774</v>
      </c>
      <c r="K38" s="75">
        <v>282.22802654839774</v>
      </c>
      <c r="L38" s="75">
        <v>282.22802654839774</v>
      </c>
      <c r="M38" s="75">
        <v>282.22802654839774</v>
      </c>
      <c r="N38" s="75">
        <v>282.22802654839774</v>
      </c>
      <c r="O38" s="75">
        <v>282.22802654839774</v>
      </c>
    </row>
    <row r="39" spans="2:16">
      <c r="B39" s="156"/>
      <c r="C39" s="63" t="s">
        <v>19</v>
      </c>
      <c r="D39" s="100">
        <v>282.33999999999997</v>
      </c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2">
        <f>AVERAGE(D39:O39)</f>
        <v>282.33999999999997</v>
      </c>
    </row>
    <row r="40" spans="2:16">
      <c r="B40" s="156" t="s">
        <v>48</v>
      </c>
      <c r="C40" s="21" t="s">
        <v>36</v>
      </c>
      <c r="D40" s="75">
        <v>255.43271602229731</v>
      </c>
      <c r="E40" s="75">
        <v>255.43271602229731</v>
      </c>
      <c r="F40" s="75">
        <v>255.43271602229731</v>
      </c>
      <c r="G40" s="75">
        <v>255.43271602229731</v>
      </c>
      <c r="H40" s="75">
        <v>255.43271602229731</v>
      </c>
      <c r="I40" s="75">
        <v>255.43271602229731</v>
      </c>
      <c r="J40" s="75">
        <v>255.43271602229731</v>
      </c>
      <c r="K40" s="75">
        <v>255.43271602229731</v>
      </c>
      <c r="L40" s="75">
        <v>255.43271602229731</v>
      </c>
      <c r="M40" s="75">
        <v>255.43271602229731</v>
      </c>
      <c r="N40" s="75">
        <v>255.43271602229731</v>
      </c>
      <c r="O40" s="75">
        <v>255.43271602229731</v>
      </c>
    </row>
    <row r="41" spans="2:16">
      <c r="B41" s="156"/>
      <c r="C41" s="63" t="s">
        <v>19</v>
      </c>
      <c r="D41" s="100">
        <v>258.93</v>
      </c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2">
        <f>AVERAGE(D41:O41)</f>
        <v>258.93</v>
      </c>
    </row>
    <row r="42" spans="2:16">
      <c r="B42" s="156" t="s">
        <v>32</v>
      </c>
      <c r="C42" s="21" t="s">
        <v>36</v>
      </c>
      <c r="D42" s="75">
        <f>D38-D40</f>
        <v>26.795310526100423</v>
      </c>
      <c r="E42" s="75">
        <f t="shared" ref="E42:O42" si="18">E38-E40</f>
        <v>26.795310526100423</v>
      </c>
      <c r="F42" s="75">
        <f t="shared" si="18"/>
        <v>26.795310526100423</v>
      </c>
      <c r="G42" s="75">
        <f t="shared" si="18"/>
        <v>26.795310526100423</v>
      </c>
      <c r="H42" s="75">
        <f>H38-H40</f>
        <v>26.795310526100423</v>
      </c>
      <c r="I42" s="75">
        <f t="shared" si="18"/>
        <v>26.795310526100423</v>
      </c>
      <c r="J42" s="75">
        <f t="shared" si="18"/>
        <v>26.795310526100423</v>
      </c>
      <c r="K42" s="75">
        <f t="shared" si="18"/>
        <v>26.795310526100423</v>
      </c>
      <c r="L42" s="75">
        <f t="shared" si="18"/>
        <v>26.795310526100423</v>
      </c>
      <c r="M42" s="75">
        <f t="shared" si="18"/>
        <v>26.795310526100423</v>
      </c>
      <c r="N42" s="75">
        <f t="shared" si="18"/>
        <v>26.795310526100423</v>
      </c>
      <c r="O42" s="75">
        <f t="shared" si="18"/>
        <v>26.795310526100423</v>
      </c>
    </row>
    <row r="43" spans="2:16">
      <c r="B43" s="156"/>
      <c r="C43" s="63" t="s">
        <v>19</v>
      </c>
      <c r="D43" s="100">
        <f>D39-D41</f>
        <v>23.409999999999968</v>
      </c>
      <c r="E43" s="101">
        <f>E39-E41</f>
        <v>0</v>
      </c>
      <c r="F43" s="101">
        <f>F39-F41</f>
        <v>0</v>
      </c>
      <c r="G43" s="101">
        <f>G39-G41</f>
        <v>0</v>
      </c>
      <c r="H43" s="101">
        <f>H39-H41</f>
        <v>0</v>
      </c>
      <c r="I43" s="101">
        <f>I39-I41</f>
        <v>0</v>
      </c>
      <c r="J43" s="101">
        <f>J39-J41</f>
        <v>0</v>
      </c>
      <c r="K43" s="101">
        <f>K39-K41</f>
        <v>0</v>
      </c>
      <c r="L43" s="101">
        <f>L39-L41</f>
        <v>0</v>
      </c>
      <c r="M43" s="101">
        <f t="shared" ref="M43:O43" si="19">M39-M41</f>
        <v>0</v>
      </c>
      <c r="N43" s="101">
        <f t="shared" si="19"/>
        <v>0</v>
      </c>
      <c r="O43" s="101">
        <f t="shared" si="19"/>
        <v>0</v>
      </c>
    </row>
    <row r="44" spans="2:16">
      <c r="D44" s="84">
        <f>D43-D42</f>
        <v>-3.3853105261004544</v>
      </c>
      <c r="E44" s="84">
        <f t="shared" ref="E44:O44" si="20">E43-E42</f>
        <v>-26.795310526100423</v>
      </c>
      <c r="F44" s="84">
        <f t="shared" si="20"/>
        <v>-26.795310526100423</v>
      </c>
      <c r="G44" s="84">
        <f t="shared" si="20"/>
        <v>-26.795310526100423</v>
      </c>
      <c r="H44" s="84">
        <f t="shared" si="20"/>
        <v>-26.795310526100423</v>
      </c>
      <c r="I44" s="84">
        <f t="shared" si="20"/>
        <v>-26.795310526100423</v>
      </c>
      <c r="J44" s="84">
        <f>J43-J42</f>
        <v>-26.795310526100423</v>
      </c>
      <c r="K44" s="84">
        <f>K43-K42</f>
        <v>-26.795310526100423</v>
      </c>
      <c r="L44" s="84">
        <f t="shared" si="20"/>
        <v>-26.795310526100423</v>
      </c>
      <c r="M44" s="84">
        <f t="shared" si="20"/>
        <v>-26.795310526100423</v>
      </c>
      <c r="N44" s="84">
        <f t="shared" si="20"/>
        <v>-26.795310526100423</v>
      </c>
      <c r="O44" s="84">
        <f t="shared" si="20"/>
        <v>-26.795310526100423</v>
      </c>
    </row>
    <row r="45" spans="2:16">
      <c r="B45" s="20" t="s">
        <v>20</v>
      </c>
    </row>
    <row r="46" spans="2:16">
      <c r="B46" s="156"/>
      <c r="C46" s="156"/>
      <c r="D46" s="21" t="s">
        <v>5</v>
      </c>
      <c r="E46" s="21" t="s">
        <v>6</v>
      </c>
      <c r="F46" s="21" t="s">
        <v>7</v>
      </c>
      <c r="G46" s="21" t="s">
        <v>8</v>
      </c>
      <c r="H46" s="21" t="s">
        <v>9</v>
      </c>
      <c r="I46" s="21" t="s">
        <v>10</v>
      </c>
      <c r="J46" s="21" t="s">
        <v>11</v>
      </c>
      <c r="K46" s="21" t="s">
        <v>12</v>
      </c>
      <c r="L46" s="21" t="s">
        <v>13</v>
      </c>
      <c r="M46" s="21" t="s">
        <v>14</v>
      </c>
      <c r="N46" s="21" t="s">
        <v>15</v>
      </c>
      <c r="O46" s="21" t="s">
        <v>16</v>
      </c>
      <c r="P46" s="20" t="s">
        <v>137</v>
      </c>
    </row>
    <row r="47" spans="2:16">
      <c r="B47" s="156" t="s">
        <v>47</v>
      </c>
      <c r="C47" s="21" t="s">
        <v>36</v>
      </c>
      <c r="D47" s="75">
        <v>310.88909778548526</v>
      </c>
      <c r="E47" s="75">
        <v>310.88909778548526</v>
      </c>
      <c r="F47" s="75">
        <v>310.88909778548526</v>
      </c>
      <c r="G47" s="75">
        <v>310.88909778548526</v>
      </c>
      <c r="H47" s="75">
        <v>310.88909778548526</v>
      </c>
      <c r="I47" s="75">
        <v>310.88909778548526</v>
      </c>
      <c r="J47" s="75">
        <v>310.88909778548526</v>
      </c>
      <c r="K47" s="75">
        <v>310.88909778548526</v>
      </c>
      <c r="L47" s="75">
        <v>310.88909778548526</v>
      </c>
      <c r="M47" s="75">
        <v>310.88909778548526</v>
      </c>
      <c r="N47" s="75">
        <v>310.88909778548526</v>
      </c>
      <c r="O47" s="75">
        <v>310.88909778548526</v>
      </c>
    </row>
    <row r="48" spans="2:16">
      <c r="B48" s="156"/>
      <c r="C48" s="63" t="s">
        <v>19</v>
      </c>
      <c r="D48" s="100">
        <v>318</v>
      </c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2">
        <f>AVERAGE(D48:O48)</f>
        <v>318</v>
      </c>
    </row>
    <row r="49" spans="2:16">
      <c r="B49" s="156" t="s">
        <v>48</v>
      </c>
      <c r="C49" s="21" t="s">
        <v>36</v>
      </c>
      <c r="D49" s="75">
        <v>286.94198595283257</v>
      </c>
      <c r="E49" s="75">
        <v>286.94198595283257</v>
      </c>
      <c r="F49" s="75">
        <v>286.94198595283257</v>
      </c>
      <c r="G49" s="75">
        <v>286.94198595283257</v>
      </c>
      <c r="H49" s="75">
        <v>286.94198595283257</v>
      </c>
      <c r="I49" s="75">
        <v>286.94198595283257</v>
      </c>
      <c r="J49" s="75">
        <v>286.94198595283257</v>
      </c>
      <c r="K49" s="75">
        <v>286.94198595283257</v>
      </c>
      <c r="L49" s="75">
        <v>286.94198595283257</v>
      </c>
      <c r="M49" s="75">
        <v>286.94198595283257</v>
      </c>
      <c r="N49" s="75">
        <v>286.94198595283257</v>
      </c>
      <c r="O49" s="75">
        <v>286.94198595283257</v>
      </c>
    </row>
    <row r="50" spans="2:16">
      <c r="B50" s="156"/>
      <c r="C50" s="63" t="s">
        <v>19</v>
      </c>
      <c r="D50" s="100">
        <v>291.91000000000003</v>
      </c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2">
        <f>AVERAGE(D50:O50)</f>
        <v>291.91000000000003</v>
      </c>
    </row>
    <row r="51" spans="2:16">
      <c r="B51" s="156" t="s">
        <v>32</v>
      </c>
      <c r="C51" s="21" t="s">
        <v>36</v>
      </c>
      <c r="D51" s="75">
        <f>D47-D49</f>
        <v>23.947111832652695</v>
      </c>
      <c r="E51" s="75">
        <f t="shared" ref="E51:O51" si="21">E47-E49</f>
        <v>23.947111832652695</v>
      </c>
      <c r="F51" s="75">
        <f t="shared" si="21"/>
        <v>23.947111832652695</v>
      </c>
      <c r="G51" s="75">
        <f t="shared" si="21"/>
        <v>23.947111832652695</v>
      </c>
      <c r="H51" s="75">
        <f>H47-H49</f>
        <v>23.947111832652695</v>
      </c>
      <c r="I51" s="75">
        <f t="shared" si="21"/>
        <v>23.947111832652695</v>
      </c>
      <c r="J51" s="75">
        <f t="shared" si="21"/>
        <v>23.947111832652695</v>
      </c>
      <c r="K51" s="75">
        <f t="shared" si="21"/>
        <v>23.947111832652695</v>
      </c>
      <c r="L51" s="75">
        <f t="shared" si="21"/>
        <v>23.947111832652695</v>
      </c>
      <c r="M51" s="75">
        <f t="shared" si="21"/>
        <v>23.947111832652695</v>
      </c>
      <c r="N51" s="75">
        <f t="shared" si="21"/>
        <v>23.947111832652695</v>
      </c>
      <c r="O51" s="75">
        <f t="shared" si="21"/>
        <v>23.947111832652695</v>
      </c>
    </row>
    <row r="52" spans="2:16">
      <c r="B52" s="156"/>
      <c r="C52" s="63" t="s">
        <v>19</v>
      </c>
      <c r="D52" s="100">
        <f>D48-D50</f>
        <v>26.089999999999975</v>
      </c>
      <c r="E52" s="101">
        <f t="shared" ref="E52:I52" si="22">E48-E50</f>
        <v>0</v>
      </c>
      <c r="F52" s="101">
        <f t="shared" si="22"/>
        <v>0</v>
      </c>
      <c r="G52" s="101">
        <f t="shared" si="22"/>
        <v>0</v>
      </c>
      <c r="H52" s="101">
        <f t="shared" si="22"/>
        <v>0</v>
      </c>
      <c r="I52" s="101">
        <f t="shared" si="22"/>
        <v>0</v>
      </c>
      <c r="J52" s="101">
        <f>J48-J50</f>
        <v>0</v>
      </c>
      <c r="K52" s="101">
        <f>K48-K50</f>
        <v>0</v>
      </c>
      <c r="L52" s="101">
        <f>L48-L50</f>
        <v>0</v>
      </c>
      <c r="M52" s="101">
        <f t="shared" ref="M52:O52" si="23">M48-M50</f>
        <v>0</v>
      </c>
      <c r="N52" s="101">
        <f t="shared" si="23"/>
        <v>0</v>
      </c>
      <c r="O52" s="101">
        <f t="shared" si="23"/>
        <v>0</v>
      </c>
    </row>
    <row r="53" spans="2:16">
      <c r="D53" s="84">
        <f t="shared" ref="D53:O53" si="24">D52-D51</f>
        <v>2.1428881673472802</v>
      </c>
      <c r="E53" s="84">
        <f t="shared" si="24"/>
        <v>-23.947111832652695</v>
      </c>
      <c r="F53" s="84">
        <f t="shared" si="24"/>
        <v>-23.947111832652695</v>
      </c>
      <c r="G53" s="84">
        <f t="shared" si="24"/>
        <v>-23.947111832652695</v>
      </c>
      <c r="H53" s="84">
        <f t="shared" si="24"/>
        <v>-23.947111832652695</v>
      </c>
      <c r="I53" s="84">
        <f t="shared" si="24"/>
        <v>-23.947111832652695</v>
      </c>
      <c r="J53" s="84">
        <f t="shared" si="24"/>
        <v>-23.947111832652695</v>
      </c>
      <c r="K53" s="84">
        <f t="shared" si="24"/>
        <v>-23.947111832652695</v>
      </c>
      <c r="L53" s="84">
        <f t="shared" si="24"/>
        <v>-23.947111832652695</v>
      </c>
      <c r="M53" s="84">
        <f t="shared" si="24"/>
        <v>-23.947111832652695</v>
      </c>
      <c r="N53" s="84">
        <f t="shared" si="24"/>
        <v>-23.947111832652695</v>
      </c>
      <c r="O53" s="84">
        <f t="shared" si="24"/>
        <v>-23.947111832652695</v>
      </c>
    </row>
    <row r="54" spans="2:16">
      <c r="B54" s="20" t="s">
        <v>21</v>
      </c>
    </row>
    <row r="55" spans="2:16">
      <c r="B55" s="156"/>
      <c r="C55" s="156"/>
      <c r="D55" s="21" t="s">
        <v>5</v>
      </c>
      <c r="E55" s="21" t="s">
        <v>6</v>
      </c>
      <c r="F55" s="21" t="s">
        <v>7</v>
      </c>
      <c r="G55" s="21" t="s">
        <v>8</v>
      </c>
      <c r="H55" s="21" t="s">
        <v>9</v>
      </c>
      <c r="I55" s="21" t="s">
        <v>10</v>
      </c>
      <c r="J55" s="21" t="s">
        <v>11</v>
      </c>
      <c r="K55" s="21" t="s">
        <v>12</v>
      </c>
      <c r="L55" s="21" t="s">
        <v>13</v>
      </c>
      <c r="M55" s="21" t="s">
        <v>14</v>
      </c>
      <c r="N55" s="21" t="s">
        <v>15</v>
      </c>
      <c r="O55" s="21" t="s">
        <v>16</v>
      </c>
      <c r="P55" s="20" t="s">
        <v>137</v>
      </c>
    </row>
    <row r="56" spans="2:16">
      <c r="B56" s="156" t="s">
        <v>47</v>
      </c>
      <c r="C56" s="21" t="s">
        <v>36</v>
      </c>
      <c r="D56" s="75">
        <v>144.99531450843025</v>
      </c>
      <c r="E56" s="75">
        <v>144.99531450843025</v>
      </c>
      <c r="F56" s="75">
        <v>144.99531450843025</v>
      </c>
      <c r="G56" s="75">
        <v>144.99531450843025</v>
      </c>
      <c r="H56" s="75">
        <v>144.99531450843025</v>
      </c>
      <c r="I56" s="75">
        <v>144.99531450843025</v>
      </c>
      <c r="J56" s="75">
        <v>144.99531450843025</v>
      </c>
      <c r="K56" s="75">
        <v>144.99531450843025</v>
      </c>
      <c r="L56" s="75">
        <v>144.99531450843025</v>
      </c>
      <c r="M56" s="75">
        <v>144.99531450843025</v>
      </c>
      <c r="N56" s="75">
        <v>144.99531450843025</v>
      </c>
      <c r="O56" s="75">
        <v>144.99531450843025</v>
      </c>
    </row>
    <row r="57" spans="2:16">
      <c r="B57" s="156"/>
      <c r="C57" s="63" t="s">
        <v>19</v>
      </c>
      <c r="D57" s="100">
        <v>144.72999999999999</v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2">
        <f>AVERAGE(D57:O57)</f>
        <v>144.72999999999999</v>
      </c>
    </row>
    <row r="58" spans="2:16">
      <c r="B58" s="156" t="s">
        <v>48</v>
      </c>
      <c r="C58" s="21" t="s">
        <v>36</v>
      </c>
      <c r="D58" s="75">
        <v>133.49436035993503</v>
      </c>
      <c r="E58" s="75">
        <v>133.49436035993503</v>
      </c>
      <c r="F58" s="75">
        <v>133.49436035993503</v>
      </c>
      <c r="G58" s="75">
        <v>133.49436035993503</v>
      </c>
      <c r="H58" s="75">
        <v>133.49436035993503</v>
      </c>
      <c r="I58" s="75">
        <v>133.49436035993503</v>
      </c>
      <c r="J58" s="75">
        <v>133.49436035993503</v>
      </c>
      <c r="K58" s="75">
        <v>133.49436035993503</v>
      </c>
      <c r="L58" s="75">
        <v>133.49436035993503</v>
      </c>
      <c r="M58" s="75">
        <v>133.49436035993503</v>
      </c>
      <c r="N58" s="75">
        <v>133.49436035993503</v>
      </c>
      <c r="O58" s="75">
        <v>133.49436035993503</v>
      </c>
    </row>
    <row r="59" spans="2:16">
      <c r="B59" s="156"/>
      <c r="C59" s="63" t="s">
        <v>19</v>
      </c>
      <c r="D59" s="100">
        <v>132.63999999999999</v>
      </c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2">
        <f>AVERAGE(D59:O59)</f>
        <v>132.63999999999999</v>
      </c>
    </row>
    <row r="60" spans="2:16">
      <c r="B60" s="156" t="s">
        <v>32</v>
      </c>
      <c r="C60" s="21" t="s">
        <v>36</v>
      </c>
      <c r="D60" s="75">
        <f>D56-D58</f>
        <v>11.500954148495225</v>
      </c>
      <c r="E60" s="75">
        <f t="shared" ref="E60:O60" si="25">E56-E58</f>
        <v>11.500954148495225</v>
      </c>
      <c r="F60" s="75">
        <f t="shared" si="25"/>
        <v>11.500954148495225</v>
      </c>
      <c r="G60" s="75">
        <f t="shared" si="25"/>
        <v>11.500954148495225</v>
      </c>
      <c r="H60" s="75">
        <f>H56-H58</f>
        <v>11.500954148495225</v>
      </c>
      <c r="I60" s="75">
        <f t="shared" si="25"/>
        <v>11.500954148495225</v>
      </c>
      <c r="J60" s="75">
        <f t="shared" si="25"/>
        <v>11.500954148495225</v>
      </c>
      <c r="K60" s="75">
        <f t="shared" si="25"/>
        <v>11.500954148495225</v>
      </c>
      <c r="L60" s="75">
        <f t="shared" si="25"/>
        <v>11.500954148495225</v>
      </c>
      <c r="M60" s="75">
        <f t="shared" si="25"/>
        <v>11.500954148495225</v>
      </c>
      <c r="N60" s="75">
        <f t="shared" si="25"/>
        <v>11.500954148495225</v>
      </c>
      <c r="O60" s="75">
        <f t="shared" si="25"/>
        <v>11.500954148495225</v>
      </c>
    </row>
    <row r="61" spans="2:16">
      <c r="B61" s="156"/>
      <c r="C61" s="63" t="s">
        <v>19</v>
      </c>
      <c r="D61" s="100">
        <f t="shared" ref="D61:O61" si="26">D57-D59</f>
        <v>12.090000000000003</v>
      </c>
      <c r="E61" s="101">
        <f t="shared" si="26"/>
        <v>0</v>
      </c>
      <c r="F61" s="101">
        <f t="shared" si="26"/>
        <v>0</v>
      </c>
      <c r="G61" s="101">
        <f t="shared" si="26"/>
        <v>0</v>
      </c>
      <c r="H61" s="101">
        <f t="shared" si="26"/>
        <v>0</v>
      </c>
      <c r="I61" s="101">
        <f t="shared" si="26"/>
        <v>0</v>
      </c>
      <c r="J61" s="101">
        <f t="shared" si="26"/>
        <v>0</v>
      </c>
      <c r="K61" s="101">
        <f t="shared" si="26"/>
        <v>0</v>
      </c>
      <c r="L61" s="101">
        <f t="shared" si="26"/>
        <v>0</v>
      </c>
      <c r="M61" s="101">
        <f t="shared" si="26"/>
        <v>0</v>
      </c>
      <c r="N61" s="101">
        <f t="shared" si="26"/>
        <v>0</v>
      </c>
      <c r="O61" s="101">
        <f t="shared" si="26"/>
        <v>0</v>
      </c>
    </row>
    <row r="62" spans="2:16">
      <c r="D62" s="84">
        <f t="shared" ref="D62:O62" si="27">D61-D60</f>
        <v>0.58904585150477828</v>
      </c>
      <c r="E62" s="84">
        <f t="shared" si="27"/>
        <v>-11.500954148495225</v>
      </c>
      <c r="F62" s="84">
        <f t="shared" si="27"/>
        <v>-11.500954148495225</v>
      </c>
      <c r="G62" s="84">
        <f t="shared" si="27"/>
        <v>-11.500954148495225</v>
      </c>
      <c r="H62" s="84">
        <f t="shared" si="27"/>
        <v>-11.500954148495225</v>
      </c>
      <c r="I62" s="84">
        <f t="shared" si="27"/>
        <v>-11.500954148495225</v>
      </c>
      <c r="J62" s="84">
        <f t="shared" si="27"/>
        <v>-11.500954148495225</v>
      </c>
      <c r="K62" s="84">
        <f t="shared" si="27"/>
        <v>-11.500954148495225</v>
      </c>
      <c r="L62" s="84">
        <f t="shared" si="27"/>
        <v>-11.500954148495225</v>
      </c>
      <c r="M62" s="84">
        <f t="shared" si="27"/>
        <v>-11.500954148495225</v>
      </c>
      <c r="N62" s="84">
        <f t="shared" si="27"/>
        <v>-11.500954148495225</v>
      </c>
      <c r="O62" s="84">
        <f t="shared" si="27"/>
        <v>-11.500954148495225</v>
      </c>
    </row>
    <row r="63" spans="2:16">
      <c r="B63" s="20" t="s">
        <v>22</v>
      </c>
    </row>
    <row r="64" spans="2:16">
      <c r="B64" s="156"/>
      <c r="C64" s="156"/>
      <c r="D64" s="21" t="s">
        <v>5</v>
      </c>
      <c r="E64" s="21" t="s">
        <v>6</v>
      </c>
      <c r="F64" s="21" t="s">
        <v>7</v>
      </c>
      <c r="G64" s="21" t="s">
        <v>8</v>
      </c>
      <c r="H64" s="21" t="s">
        <v>9</v>
      </c>
      <c r="I64" s="21" t="s">
        <v>10</v>
      </c>
      <c r="J64" s="21" t="s">
        <v>11</v>
      </c>
      <c r="K64" s="21" t="s">
        <v>12</v>
      </c>
      <c r="L64" s="21" t="s">
        <v>13</v>
      </c>
      <c r="M64" s="21" t="s">
        <v>14</v>
      </c>
      <c r="N64" s="21" t="s">
        <v>15</v>
      </c>
      <c r="O64" s="21" t="s">
        <v>16</v>
      </c>
      <c r="P64" s="20" t="s">
        <v>137</v>
      </c>
    </row>
    <row r="65" spans="2:16">
      <c r="B65" s="156" t="s">
        <v>47</v>
      </c>
      <c r="C65" s="21" t="s">
        <v>36</v>
      </c>
      <c r="D65" s="75">
        <v>321.49694444444441</v>
      </c>
      <c r="E65" s="75">
        <v>321.49694444444441</v>
      </c>
      <c r="F65" s="75">
        <v>321.49694444444441</v>
      </c>
      <c r="G65" s="75">
        <v>321.49694444444441</v>
      </c>
      <c r="H65" s="75">
        <v>321.49694444444441</v>
      </c>
      <c r="I65" s="75">
        <v>321.49694444444441</v>
      </c>
      <c r="J65" s="75">
        <v>321.49694444444441</v>
      </c>
      <c r="K65" s="75">
        <v>321.49694444444441</v>
      </c>
      <c r="L65" s="75">
        <v>321.49694444444441</v>
      </c>
      <c r="M65" s="75">
        <v>321.49694444444441</v>
      </c>
      <c r="N65" s="75">
        <v>321.49694444444441</v>
      </c>
      <c r="O65" s="75">
        <v>321.49694444444441</v>
      </c>
    </row>
    <row r="66" spans="2:16">
      <c r="B66" s="156"/>
      <c r="C66" s="63" t="s">
        <v>19</v>
      </c>
      <c r="D66" s="100">
        <v>326.89</v>
      </c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2">
        <f>AVERAGE(D66:O66)</f>
        <v>326.89</v>
      </c>
    </row>
    <row r="67" spans="2:16">
      <c r="B67" s="156" t="s">
        <v>48</v>
      </c>
      <c r="C67" s="21" t="s">
        <v>36</v>
      </c>
      <c r="D67" s="75">
        <v>289.48898148148152</v>
      </c>
      <c r="E67" s="75">
        <v>289.48898148148152</v>
      </c>
      <c r="F67" s="75">
        <v>289.48898148148152</v>
      </c>
      <c r="G67" s="75">
        <v>289.48898148148152</v>
      </c>
      <c r="H67" s="75">
        <v>289.48898148148152</v>
      </c>
      <c r="I67" s="75">
        <v>289.48898148148152</v>
      </c>
      <c r="J67" s="75">
        <v>289.48898148148152</v>
      </c>
      <c r="K67" s="75">
        <v>289.48898148148152</v>
      </c>
      <c r="L67" s="75">
        <v>289.48898148148152</v>
      </c>
      <c r="M67" s="75">
        <v>289.48898148148152</v>
      </c>
      <c r="N67" s="75">
        <v>289.48898148148152</v>
      </c>
      <c r="O67" s="75">
        <v>289.48898148148152</v>
      </c>
    </row>
    <row r="68" spans="2:16">
      <c r="B68" s="156"/>
      <c r="C68" s="63" t="s">
        <v>19</v>
      </c>
      <c r="D68" s="100">
        <v>299.33</v>
      </c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2">
        <f>AVERAGE(D68:O68)</f>
        <v>299.33</v>
      </c>
    </row>
    <row r="69" spans="2:16">
      <c r="B69" s="156" t="s">
        <v>32</v>
      </c>
      <c r="C69" s="21" t="s">
        <v>36</v>
      </c>
      <c r="D69" s="75">
        <f>D65-D67</f>
        <v>32.007962962962893</v>
      </c>
      <c r="E69" s="75">
        <f t="shared" ref="E69:O69" si="28">E65-E67</f>
        <v>32.007962962962893</v>
      </c>
      <c r="F69" s="75">
        <f t="shared" si="28"/>
        <v>32.007962962962893</v>
      </c>
      <c r="G69" s="75">
        <f t="shared" si="28"/>
        <v>32.007962962962893</v>
      </c>
      <c r="H69" s="75">
        <f>H65-H67</f>
        <v>32.007962962962893</v>
      </c>
      <c r="I69" s="75">
        <f t="shared" si="28"/>
        <v>32.007962962962893</v>
      </c>
      <c r="J69" s="75">
        <f t="shared" si="28"/>
        <v>32.007962962962893</v>
      </c>
      <c r="K69" s="75">
        <f t="shared" si="28"/>
        <v>32.007962962962893</v>
      </c>
      <c r="L69" s="75">
        <f t="shared" si="28"/>
        <v>32.007962962962893</v>
      </c>
      <c r="M69" s="75">
        <f t="shared" si="28"/>
        <v>32.007962962962893</v>
      </c>
      <c r="N69" s="75">
        <f t="shared" si="28"/>
        <v>32.007962962962893</v>
      </c>
      <c r="O69" s="75">
        <f t="shared" si="28"/>
        <v>32.007962962962893</v>
      </c>
    </row>
    <row r="70" spans="2:16">
      <c r="B70" s="156"/>
      <c r="C70" s="63" t="s">
        <v>19</v>
      </c>
      <c r="D70" s="100">
        <f t="shared" ref="D70:O70" si="29">D66-D68</f>
        <v>27.560000000000002</v>
      </c>
      <c r="E70" s="101">
        <f t="shared" si="29"/>
        <v>0</v>
      </c>
      <c r="F70" s="101">
        <f t="shared" si="29"/>
        <v>0</v>
      </c>
      <c r="G70" s="101">
        <f t="shared" si="29"/>
        <v>0</v>
      </c>
      <c r="H70" s="101">
        <f t="shared" si="29"/>
        <v>0</v>
      </c>
      <c r="I70" s="101">
        <f t="shared" si="29"/>
        <v>0</v>
      </c>
      <c r="J70" s="101">
        <f t="shared" si="29"/>
        <v>0</v>
      </c>
      <c r="K70" s="101">
        <f t="shared" si="29"/>
        <v>0</v>
      </c>
      <c r="L70" s="101">
        <f t="shared" si="29"/>
        <v>0</v>
      </c>
      <c r="M70" s="101">
        <f t="shared" si="29"/>
        <v>0</v>
      </c>
      <c r="N70" s="101">
        <f t="shared" si="29"/>
        <v>0</v>
      </c>
      <c r="O70" s="101">
        <f t="shared" si="29"/>
        <v>0</v>
      </c>
    </row>
    <row r="71" spans="2:16">
      <c r="D71" s="84">
        <f>D70-D69</f>
        <v>-4.4479629629628903</v>
      </c>
      <c r="E71" s="84">
        <f>E70-E69</f>
        <v>-32.007962962962893</v>
      </c>
      <c r="F71" s="84">
        <f>F70-F69</f>
        <v>-32.007962962962893</v>
      </c>
      <c r="G71" s="84">
        <f t="shared" ref="G71:O71" si="30">G70-G69</f>
        <v>-32.007962962962893</v>
      </c>
      <c r="H71" s="84">
        <f t="shared" si="30"/>
        <v>-32.007962962962893</v>
      </c>
      <c r="I71" s="84">
        <f t="shared" si="30"/>
        <v>-32.007962962962893</v>
      </c>
      <c r="J71" s="84">
        <f t="shared" si="30"/>
        <v>-32.007962962962893</v>
      </c>
      <c r="K71" s="84">
        <f t="shared" si="30"/>
        <v>-32.007962962962893</v>
      </c>
      <c r="L71" s="84">
        <f t="shared" si="30"/>
        <v>-32.007962962962893</v>
      </c>
      <c r="M71" s="84">
        <f t="shared" si="30"/>
        <v>-32.007962962962893</v>
      </c>
      <c r="N71" s="84">
        <f t="shared" si="30"/>
        <v>-32.007962962962893</v>
      </c>
      <c r="O71" s="84">
        <f t="shared" si="30"/>
        <v>-32.007962962962893</v>
      </c>
    </row>
    <row r="72" spans="2:16">
      <c r="B72" s="20" t="s">
        <v>23</v>
      </c>
    </row>
    <row r="73" spans="2:16">
      <c r="B73" s="156"/>
      <c r="C73" s="156"/>
      <c r="D73" s="21" t="s">
        <v>5</v>
      </c>
      <c r="E73" s="21" t="s">
        <v>6</v>
      </c>
      <c r="F73" s="21" t="s">
        <v>7</v>
      </c>
      <c r="G73" s="21" t="s">
        <v>8</v>
      </c>
      <c r="H73" s="21" t="s">
        <v>9</v>
      </c>
      <c r="I73" s="21" t="s">
        <v>10</v>
      </c>
      <c r="J73" s="21" t="s">
        <v>11</v>
      </c>
      <c r="K73" s="21" t="s">
        <v>12</v>
      </c>
      <c r="L73" s="21" t="s">
        <v>13</v>
      </c>
      <c r="M73" s="21" t="s">
        <v>14</v>
      </c>
      <c r="N73" s="21" t="s">
        <v>15</v>
      </c>
      <c r="O73" s="21" t="s">
        <v>16</v>
      </c>
      <c r="P73" s="20" t="s">
        <v>137</v>
      </c>
    </row>
    <row r="74" spans="2:16">
      <c r="B74" s="156" t="s">
        <v>47</v>
      </c>
      <c r="C74" s="21" t="s">
        <v>36</v>
      </c>
      <c r="D74" s="75">
        <v>253.96265739417186</v>
      </c>
      <c r="E74" s="75">
        <v>253.96265739417186</v>
      </c>
      <c r="F74" s="75">
        <v>253.96265739417186</v>
      </c>
      <c r="G74" s="75">
        <v>253.96265739417186</v>
      </c>
      <c r="H74" s="75">
        <v>253.96265739417186</v>
      </c>
      <c r="I74" s="75">
        <v>253.96265739417186</v>
      </c>
      <c r="J74" s="75">
        <v>253.96265739417186</v>
      </c>
      <c r="K74" s="75">
        <v>253.96265739417186</v>
      </c>
      <c r="L74" s="75">
        <v>253.96265739417186</v>
      </c>
      <c r="M74" s="75">
        <v>253.96265739417186</v>
      </c>
      <c r="N74" s="75">
        <v>253.96265739417186</v>
      </c>
      <c r="O74" s="75">
        <v>253.96265739417186</v>
      </c>
    </row>
    <row r="75" spans="2:16">
      <c r="B75" s="156"/>
      <c r="C75" s="63" t="s">
        <v>19</v>
      </c>
      <c r="D75" s="100">
        <v>240.61</v>
      </c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2">
        <f>AVERAGE(D75:O75)</f>
        <v>240.61</v>
      </c>
    </row>
    <row r="76" spans="2:16">
      <c r="B76" s="156" t="s">
        <v>48</v>
      </c>
      <c r="C76" s="21" t="s">
        <v>36</v>
      </c>
      <c r="D76" s="75">
        <v>233.02690789528083</v>
      </c>
      <c r="E76" s="75">
        <v>233.02690789528083</v>
      </c>
      <c r="F76" s="75">
        <v>233.02690789528083</v>
      </c>
      <c r="G76" s="75">
        <v>233.02690789528083</v>
      </c>
      <c r="H76" s="75">
        <v>233.02690789528083</v>
      </c>
      <c r="I76" s="75">
        <v>233.02690789528083</v>
      </c>
      <c r="J76" s="75">
        <v>233.02690789528083</v>
      </c>
      <c r="K76" s="75">
        <v>233.02690789528083</v>
      </c>
      <c r="L76" s="75">
        <v>233.02690789528083</v>
      </c>
      <c r="M76" s="75">
        <v>233.02690789528083</v>
      </c>
      <c r="N76" s="75">
        <v>233.02690789528083</v>
      </c>
      <c r="O76" s="75">
        <v>233.02690789528083</v>
      </c>
    </row>
    <row r="77" spans="2:16">
      <c r="B77" s="156"/>
      <c r="C77" s="63" t="s">
        <v>19</v>
      </c>
      <c r="D77" s="100">
        <v>220.74</v>
      </c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2">
        <f>AVERAGE(D77:O77)</f>
        <v>220.74</v>
      </c>
    </row>
    <row r="78" spans="2:16">
      <c r="B78" s="156" t="s">
        <v>32</v>
      </c>
      <c r="C78" s="21" t="s">
        <v>36</v>
      </c>
      <c r="D78" s="75">
        <f>D74-D76</f>
        <v>20.935749498891028</v>
      </c>
      <c r="E78" s="75">
        <f t="shared" ref="E78:O78" si="31">E74-E76</f>
        <v>20.935749498891028</v>
      </c>
      <c r="F78" s="75">
        <f t="shared" si="31"/>
        <v>20.935749498891028</v>
      </c>
      <c r="G78" s="75">
        <f t="shared" si="31"/>
        <v>20.935749498891028</v>
      </c>
      <c r="H78" s="75">
        <f>H74-H76</f>
        <v>20.935749498891028</v>
      </c>
      <c r="I78" s="75">
        <f t="shared" si="31"/>
        <v>20.935749498891028</v>
      </c>
      <c r="J78" s="75">
        <f t="shared" si="31"/>
        <v>20.935749498891028</v>
      </c>
      <c r="K78" s="75">
        <f t="shared" si="31"/>
        <v>20.935749498891028</v>
      </c>
      <c r="L78" s="75">
        <f t="shared" si="31"/>
        <v>20.935749498891028</v>
      </c>
      <c r="M78" s="75">
        <f t="shared" si="31"/>
        <v>20.935749498891028</v>
      </c>
      <c r="N78" s="75">
        <f t="shared" si="31"/>
        <v>20.935749498891028</v>
      </c>
      <c r="O78" s="75">
        <f t="shared" si="31"/>
        <v>20.935749498891028</v>
      </c>
    </row>
    <row r="79" spans="2:16">
      <c r="B79" s="156"/>
      <c r="C79" s="63" t="s">
        <v>19</v>
      </c>
      <c r="D79" s="100">
        <f t="shared" ref="D79:J79" si="32">D75-D77</f>
        <v>19.870000000000005</v>
      </c>
      <c r="E79" s="101">
        <f t="shared" si="32"/>
        <v>0</v>
      </c>
      <c r="F79" s="101">
        <f t="shared" si="32"/>
        <v>0</v>
      </c>
      <c r="G79" s="101">
        <f t="shared" si="32"/>
        <v>0</v>
      </c>
      <c r="H79" s="101">
        <f t="shared" si="32"/>
        <v>0</v>
      </c>
      <c r="I79" s="101">
        <f t="shared" si="32"/>
        <v>0</v>
      </c>
      <c r="J79" s="101">
        <f t="shared" si="32"/>
        <v>0</v>
      </c>
      <c r="K79" s="101">
        <f>K75-K77</f>
        <v>0</v>
      </c>
      <c r="L79" s="101">
        <f>L75-L77</f>
        <v>0</v>
      </c>
      <c r="M79" s="101">
        <f t="shared" ref="M79:O79" si="33">M75-M77</f>
        <v>0</v>
      </c>
      <c r="N79" s="101">
        <f t="shared" si="33"/>
        <v>0</v>
      </c>
      <c r="O79" s="101">
        <f t="shared" si="33"/>
        <v>0</v>
      </c>
    </row>
    <row r="80" spans="2:16">
      <c r="B80" s="85"/>
      <c r="D80" s="84">
        <f>D79-D78</f>
        <v>-1.065749498891023</v>
      </c>
      <c r="E80" s="84">
        <f t="shared" ref="E80:O80" si="34">E79-E78</f>
        <v>-20.935749498891028</v>
      </c>
      <c r="F80" s="84">
        <f>F79-F78</f>
        <v>-20.935749498891028</v>
      </c>
      <c r="G80" s="84">
        <f t="shared" si="34"/>
        <v>-20.935749498891028</v>
      </c>
      <c r="H80" s="84">
        <f t="shared" si="34"/>
        <v>-20.935749498891028</v>
      </c>
      <c r="I80" s="84">
        <f t="shared" si="34"/>
        <v>-20.935749498891028</v>
      </c>
      <c r="J80" s="84">
        <f t="shared" si="34"/>
        <v>-20.935749498891028</v>
      </c>
      <c r="K80" s="84">
        <f t="shared" si="34"/>
        <v>-20.935749498891028</v>
      </c>
      <c r="L80" s="84">
        <f t="shared" si="34"/>
        <v>-20.935749498891028</v>
      </c>
      <c r="M80" s="84">
        <f t="shared" si="34"/>
        <v>-20.935749498891028</v>
      </c>
      <c r="N80" s="84">
        <f t="shared" si="34"/>
        <v>-20.935749498891028</v>
      </c>
      <c r="O80" s="84">
        <f t="shared" si="34"/>
        <v>-20.935749498891028</v>
      </c>
    </row>
    <row r="81" spans="2:8">
      <c r="D81" s="70">
        <f>3495262/21.86</f>
        <v>159893.04666056726</v>
      </c>
    </row>
    <row r="82" spans="2:8" ht="14.25">
      <c r="B82" s="22" t="s">
        <v>50</v>
      </c>
    </row>
    <row r="83" spans="2:8">
      <c r="B83" s="21" t="s">
        <v>5</v>
      </c>
      <c r="C83" s="155"/>
      <c r="D83" s="155"/>
      <c r="E83" s="155"/>
      <c r="F83" s="155"/>
      <c r="G83" s="155"/>
      <c r="H83" s="155"/>
    </row>
    <row r="84" spans="2:8">
      <c r="B84" s="21" t="s">
        <v>6</v>
      </c>
      <c r="C84" s="155"/>
      <c r="D84" s="155"/>
      <c r="E84" s="155"/>
      <c r="F84" s="155"/>
      <c r="G84" s="155"/>
      <c r="H84" s="155"/>
    </row>
    <row r="85" spans="2:8">
      <c r="B85" s="21" t="s">
        <v>7</v>
      </c>
      <c r="C85" s="155"/>
      <c r="D85" s="155"/>
      <c r="E85" s="155"/>
      <c r="F85" s="155"/>
      <c r="G85" s="155"/>
      <c r="H85" s="155"/>
    </row>
    <row r="86" spans="2:8">
      <c r="B86" s="21" t="s">
        <v>51</v>
      </c>
      <c r="C86" s="155"/>
      <c r="D86" s="155"/>
      <c r="E86" s="155"/>
      <c r="F86" s="155"/>
      <c r="G86" s="155"/>
      <c r="H86" s="155"/>
    </row>
    <row r="87" spans="2:8">
      <c r="B87" s="21" t="s">
        <v>9</v>
      </c>
      <c r="C87" s="155"/>
      <c r="D87" s="155"/>
      <c r="E87" s="155"/>
      <c r="F87" s="155"/>
      <c r="G87" s="155"/>
      <c r="H87" s="155"/>
    </row>
    <row r="88" spans="2:8">
      <c r="B88" s="21" t="s">
        <v>10</v>
      </c>
      <c r="C88" s="155"/>
      <c r="D88" s="155"/>
      <c r="E88" s="155"/>
      <c r="F88" s="155"/>
      <c r="G88" s="155"/>
      <c r="H88" s="155"/>
    </row>
    <row r="89" spans="2:8">
      <c r="B89" s="21" t="s">
        <v>11</v>
      </c>
      <c r="C89" s="155"/>
      <c r="D89" s="155"/>
      <c r="E89" s="155"/>
      <c r="F89" s="155"/>
      <c r="G89" s="155"/>
      <c r="H89" s="155"/>
    </row>
    <row r="90" spans="2:8">
      <c r="B90" s="21" t="s">
        <v>12</v>
      </c>
      <c r="C90" s="155"/>
      <c r="D90" s="155"/>
      <c r="E90" s="155"/>
      <c r="F90" s="155"/>
      <c r="G90" s="155"/>
      <c r="H90" s="155"/>
    </row>
    <row r="91" spans="2:8">
      <c r="B91" s="21" t="s">
        <v>13</v>
      </c>
      <c r="C91" s="155"/>
      <c r="D91" s="155"/>
      <c r="E91" s="155"/>
      <c r="F91" s="155"/>
      <c r="G91" s="155"/>
      <c r="H91" s="155"/>
    </row>
    <row r="92" spans="2:8">
      <c r="B92" s="21" t="s">
        <v>14</v>
      </c>
      <c r="C92" s="155"/>
      <c r="D92" s="155"/>
      <c r="E92" s="155"/>
      <c r="F92" s="155"/>
      <c r="G92" s="155"/>
      <c r="H92" s="155"/>
    </row>
    <row r="93" spans="2:8">
      <c r="B93" s="21" t="s">
        <v>15</v>
      </c>
      <c r="C93" s="155"/>
      <c r="D93" s="155"/>
      <c r="E93" s="155"/>
      <c r="F93" s="155"/>
      <c r="G93" s="155"/>
      <c r="H93" s="155"/>
    </row>
    <row r="94" spans="2:8">
      <c r="B94" s="21" t="s">
        <v>16</v>
      </c>
      <c r="C94" s="155"/>
      <c r="D94" s="155"/>
      <c r="E94" s="155"/>
      <c r="F94" s="155"/>
      <c r="G94" s="155"/>
      <c r="H94" s="155"/>
    </row>
  </sheetData>
  <mergeCells count="37">
    <mergeCell ref="B42:B43"/>
    <mergeCell ref="B37:C37"/>
    <mergeCell ref="B46:C46"/>
    <mergeCell ref="B47:B48"/>
    <mergeCell ref="B5:C5"/>
    <mergeCell ref="B11:C11"/>
    <mergeCell ref="B17:C17"/>
    <mergeCell ref="B23:C23"/>
    <mergeCell ref="B38:B39"/>
    <mergeCell ref="C87:H87"/>
    <mergeCell ref="B67:B68"/>
    <mergeCell ref="B69:B70"/>
    <mergeCell ref="B29:C29"/>
    <mergeCell ref="B73:C73"/>
    <mergeCell ref="B74:B75"/>
    <mergeCell ref="B76:B77"/>
    <mergeCell ref="B55:C55"/>
    <mergeCell ref="B56:B57"/>
    <mergeCell ref="B58:B59"/>
    <mergeCell ref="B60:B61"/>
    <mergeCell ref="B64:C64"/>
    <mergeCell ref="B65:B66"/>
    <mergeCell ref="B49:B50"/>
    <mergeCell ref="B51:B52"/>
    <mergeCell ref="B40:B41"/>
    <mergeCell ref="B78:B79"/>
    <mergeCell ref="C83:H83"/>
    <mergeCell ref="C84:H84"/>
    <mergeCell ref="C85:H85"/>
    <mergeCell ref="C86:H86"/>
    <mergeCell ref="C94:H94"/>
    <mergeCell ref="C88:H88"/>
    <mergeCell ref="C89:H89"/>
    <mergeCell ref="C90:H90"/>
    <mergeCell ref="C91:H91"/>
    <mergeCell ref="C92:H92"/>
    <mergeCell ref="C93:H93"/>
  </mergeCells>
  <phoneticPr fontId="2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AF008-A35C-494E-A5C1-5CAEF4C71D84}">
  <dimension ref="B1:R38"/>
  <sheetViews>
    <sheetView zoomScale="110" zoomScaleNormal="110" workbookViewId="0">
      <pane xSplit="4" ySplit="4" topLeftCell="I5" activePane="bottomRight" state="frozen"/>
      <selection pane="topRight" activeCell="E1" sqref="E1"/>
      <selection pane="bottomLeft" activeCell="A5" sqref="A5"/>
      <selection pane="bottomRight" activeCell="K30" sqref="K30"/>
    </sheetView>
  </sheetViews>
  <sheetFormatPr defaultColWidth="8.25" defaultRowHeight="13.5"/>
  <cols>
    <col min="1" max="1" width="1.25" style="48" customWidth="1"/>
    <col min="2" max="2" width="3" style="48" bestFit="1" customWidth="1"/>
    <col min="3" max="3" width="31.75" style="48" customWidth="1"/>
    <col min="4" max="4" width="6.75" style="48" bestFit="1" customWidth="1"/>
    <col min="5" max="10" width="9.5" style="48" bestFit="1" customWidth="1"/>
    <col min="11" max="11" width="10.375" style="48" bestFit="1" customWidth="1"/>
    <col min="12" max="12" width="10.375" style="48" customWidth="1"/>
    <col min="13" max="16" width="7.875" style="48" customWidth="1"/>
    <col min="17" max="17" width="11.25" style="48" customWidth="1"/>
    <col min="18" max="256" width="8.25" style="48"/>
    <col min="257" max="257" width="2.125" style="48" bestFit="1" customWidth="1"/>
    <col min="258" max="258" width="12.25" style="48" bestFit="1" customWidth="1"/>
    <col min="259" max="259" width="6.5" style="48" bestFit="1" customWidth="1"/>
    <col min="260" max="260" width="4.75" style="48" bestFit="1" customWidth="1"/>
    <col min="261" max="272" width="7.875" style="48" customWidth="1"/>
    <col min="273" max="273" width="9.375" style="48" customWidth="1"/>
    <col min="274" max="512" width="8.25" style="48"/>
    <col min="513" max="513" width="2.125" style="48" bestFit="1" customWidth="1"/>
    <col min="514" max="514" width="12.25" style="48" bestFit="1" customWidth="1"/>
    <col min="515" max="515" width="6.5" style="48" bestFit="1" customWidth="1"/>
    <col min="516" max="516" width="4.75" style="48" bestFit="1" customWidth="1"/>
    <col min="517" max="528" width="7.875" style="48" customWidth="1"/>
    <col min="529" max="529" width="9.375" style="48" customWidth="1"/>
    <col min="530" max="768" width="8.25" style="48"/>
    <col min="769" max="769" width="2.125" style="48" bestFit="1" customWidth="1"/>
    <col min="770" max="770" width="12.25" style="48" bestFit="1" customWidth="1"/>
    <col min="771" max="771" width="6.5" style="48" bestFit="1" customWidth="1"/>
    <col min="772" max="772" width="4.75" style="48" bestFit="1" customWidth="1"/>
    <col min="773" max="784" width="7.875" style="48" customWidth="1"/>
    <col min="785" max="785" width="9.375" style="48" customWidth="1"/>
    <col min="786" max="1024" width="8.25" style="48"/>
    <col min="1025" max="1025" width="2.125" style="48" bestFit="1" customWidth="1"/>
    <col min="1026" max="1026" width="12.25" style="48" bestFit="1" customWidth="1"/>
    <col min="1027" max="1027" width="6.5" style="48" bestFit="1" customWidth="1"/>
    <col min="1028" max="1028" width="4.75" style="48" bestFit="1" customWidth="1"/>
    <col min="1029" max="1040" width="7.875" style="48" customWidth="1"/>
    <col min="1041" max="1041" width="9.375" style="48" customWidth="1"/>
    <col min="1042" max="1280" width="8.25" style="48"/>
    <col min="1281" max="1281" width="2.125" style="48" bestFit="1" customWidth="1"/>
    <col min="1282" max="1282" width="12.25" style="48" bestFit="1" customWidth="1"/>
    <col min="1283" max="1283" width="6.5" style="48" bestFit="1" customWidth="1"/>
    <col min="1284" max="1284" width="4.75" style="48" bestFit="1" customWidth="1"/>
    <col min="1285" max="1296" width="7.875" style="48" customWidth="1"/>
    <col min="1297" max="1297" width="9.375" style="48" customWidth="1"/>
    <col min="1298" max="1536" width="8.25" style="48"/>
    <col min="1537" max="1537" width="2.125" style="48" bestFit="1" customWidth="1"/>
    <col min="1538" max="1538" width="12.25" style="48" bestFit="1" customWidth="1"/>
    <col min="1539" max="1539" width="6.5" style="48" bestFit="1" customWidth="1"/>
    <col min="1540" max="1540" width="4.75" style="48" bestFit="1" customWidth="1"/>
    <col min="1541" max="1552" width="7.875" style="48" customWidth="1"/>
    <col min="1553" max="1553" width="9.375" style="48" customWidth="1"/>
    <col min="1554" max="1792" width="8.25" style="48"/>
    <col min="1793" max="1793" width="2.125" style="48" bestFit="1" customWidth="1"/>
    <col min="1794" max="1794" width="12.25" style="48" bestFit="1" customWidth="1"/>
    <col min="1795" max="1795" width="6.5" style="48" bestFit="1" customWidth="1"/>
    <col min="1796" max="1796" width="4.75" style="48" bestFit="1" customWidth="1"/>
    <col min="1797" max="1808" width="7.875" style="48" customWidth="1"/>
    <col min="1809" max="1809" width="9.375" style="48" customWidth="1"/>
    <col min="1810" max="2048" width="8.25" style="48"/>
    <col min="2049" max="2049" width="2.125" style="48" bestFit="1" customWidth="1"/>
    <col min="2050" max="2050" width="12.25" style="48" bestFit="1" customWidth="1"/>
    <col min="2051" max="2051" width="6.5" style="48" bestFit="1" customWidth="1"/>
    <col min="2052" max="2052" width="4.75" style="48" bestFit="1" customWidth="1"/>
    <col min="2053" max="2064" width="7.875" style="48" customWidth="1"/>
    <col min="2065" max="2065" width="9.375" style="48" customWidth="1"/>
    <col min="2066" max="2304" width="8.25" style="48"/>
    <col min="2305" max="2305" width="2.125" style="48" bestFit="1" customWidth="1"/>
    <col min="2306" max="2306" width="12.25" style="48" bestFit="1" customWidth="1"/>
    <col min="2307" max="2307" width="6.5" style="48" bestFit="1" customWidth="1"/>
    <col min="2308" max="2308" width="4.75" style="48" bestFit="1" customWidth="1"/>
    <col min="2309" max="2320" width="7.875" style="48" customWidth="1"/>
    <col min="2321" max="2321" width="9.375" style="48" customWidth="1"/>
    <col min="2322" max="2560" width="8.25" style="48"/>
    <col min="2561" max="2561" width="2.125" style="48" bestFit="1" customWidth="1"/>
    <col min="2562" max="2562" width="12.25" style="48" bestFit="1" customWidth="1"/>
    <col min="2563" max="2563" width="6.5" style="48" bestFit="1" customWidth="1"/>
    <col min="2564" max="2564" width="4.75" style="48" bestFit="1" customWidth="1"/>
    <col min="2565" max="2576" width="7.875" style="48" customWidth="1"/>
    <col min="2577" max="2577" width="9.375" style="48" customWidth="1"/>
    <col min="2578" max="2816" width="8.25" style="48"/>
    <col min="2817" max="2817" width="2.125" style="48" bestFit="1" customWidth="1"/>
    <col min="2818" max="2818" width="12.25" style="48" bestFit="1" customWidth="1"/>
    <col min="2819" max="2819" width="6.5" style="48" bestFit="1" customWidth="1"/>
    <col min="2820" max="2820" width="4.75" style="48" bestFit="1" customWidth="1"/>
    <col min="2821" max="2832" width="7.875" style="48" customWidth="1"/>
    <col min="2833" max="2833" width="9.375" style="48" customWidth="1"/>
    <col min="2834" max="3072" width="8.25" style="48"/>
    <col min="3073" max="3073" width="2.125" style="48" bestFit="1" customWidth="1"/>
    <col min="3074" max="3074" width="12.25" style="48" bestFit="1" customWidth="1"/>
    <col min="3075" max="3075" width="6.5" style="48" bestFit="1" customWidth="1"/>
    <col min="3076" max="3076" width="4.75" style="48" bestFit="1" customWidth="1"/>
    <col min="3077" max="3088" width="7.875" style="48" customWidth="1"/>
    <col min="3089" max="3089" width="9.375" style="48" customWidth="1"/>
    <col min="3090" max="3328" width="8.25" style="48"/>
    <col min="3329" max="3329" width="2.125" style="48" bestFit="1" customWidth="1"/>
    <col min="3330" max="3330" width="12.25" style="48" bestFit="1" customWidth="1"/>
    <col min="3331" max="3331" width="6.5" style="48" bestFit="1" customWidth="1"/>
    <col min="3332" max="3332" width="4.75" style="48" bestFit="1" customWidth="1"/>
    <col min="3333" max="3344" width="7.875" style="48" customWidth="1"/>
    <col min="3345" max="3345" width="9.375" style="48" customWidth="1"/>
    <col min="3346" max="3584" width="8.25" style="48"/>
    <col min="3585" max="3585" width="2.125" style="48" bestFit="1" customWidth="1"/>
    <col min="3586" max="3586" width="12.25" style="48" bestFit="1" customWidth="1"/>
    <col min="3587" max="3587" width="6.5" style="48" bestFit="1" customWidth="1"/>
    <col min="3588" max="3588" width="4.75" style="48" bestFit="1" customWidth="1"/>
    <col min="3589" max="3600" width="7.875" style="48" customWidth="1"/>
    <col min="3601" max="3601" width="9.375" style="48" customWidth="1"/>
    <col min="3602" max="3840" width="8.25" style="48"/>
    <col min="3841" max="3841" width="2.125" style="48" bestFit="1" customWidth="1"/>
    <col min="3842" max="3842" width="12.25" style="48" bestFit="1" customWidth="1"/>
    <col min="3843" max="3843" width="6.5" style="48" bestFit="1" customWidth="1"/>
    <col min="3844" max="3844" width="4.75" style="48" bestFit="1" customWidth="1"/>
    <col min="3845" max="3856" width="7.875" style="48" customWidth="1"/>
    <col min="3857" max="3857" width="9.375" style="48" customWidth="1"/>
    <col min="3858" max="4096" width="8.25" style="48"/>
    <col min="4097" max="4097" width="2.125" style="48" bestFit="1" customWidth="1"/>
    <col min="4098" max="4098" width="12.25" style="48" bestFit="1" customWidth="1"/>
    <col min="4099" max="4099" width="6.5" style="48" bestFit="1" customWidth="1"/>
    <col min="4100" max="4100" width="4.75" style="48" bestFit="1" customWidth="1"/>
    <col min="4101" max="4112" width="7.875" style="48" customWidth="1"/>
    <col min="4113" max="4113" width="9.375" style="48" customWidth="1"/>
    <col min="4114" max="4352" width="8.25" style="48"/>
    <col min="4353" max="4353" width="2.125" style="48" bestFit="1" customWidth="1"/>
    <col min="4354" max="4354" width="12.25" style="48" bestFit="1" customWidth="1"/>
    <col min="4355" max="4355" width="6.5" style="48" bestFit="1" customWidth="1"/>
    <col min="4356" max="4356" width="4.75" style="48" bestFit="1" customWidth="1"/>
    <col min="4357" max="4368" width="7.875" style="48" customWidth="1"/>
    <col min="4369" max="4369" width="9.375" style="48" customWidth="1"/>
    <col min="4370" max="4608" width="8.25" style="48"/>
    <col min="4609" max="4609" width="2.125" style="48" bestFit="1" customWidth="1"/>
    <col min="4610" max="4610" width="12.25" style="48" bestFit="1" customWidth="1"/>
    <col min="4611" max="4611" width="6.5" style="48" bestFit="1" customWidth="1"/>
    <col min="4612" max="4612" width="4.75" style="48" bestFit="1" customWidth="1"/>
    <col min="4613" max="4624" width="7.875" style="48" customWidth="1"/>
    <col min="4625" max="4625" width="9.375" style="48" customWidth="1"/>
    <col min="4626" max="4864" width="8.25" style="48"/>
    <col min="4865" max="4865" width="2.125" style="48" bestFit="1" customWidth="1"/>
    <col min="4866" max="4866" width="12.25" style="48" bestFit="1" customWidth="1"/>
    <col min="4867" max="4867" width="6.5" style="48" bestFit="1" customWidth="1"/>
    <col min="4868" max="4868" width="4.75" style="48" bestFit="1" customWidth="1"/>
    <col min="4869" max="4880" width="7.875" style="48" customWidth="1"/>
    <col min="4881" max="4881" width="9.375" style="48" customWidth="1"/>
    <col min="4882" max="5120" width="8.25" style="48"/>
    <col min="5121" max="5121" width="2.125" style="48" bestFit="1" customWidth="1"/>
    <col min="5122" max="5122" width="12.25" style="48" bestFit="1" customWidth="1"/>
    <col min="5123" max="5123" width="6.5" style="48" bestFit="1" customWidth="1"/>
    <col min="5124" max="5124" width="4.75" style="48" bestFit="1" customWidth="1"/>
    <col min="5125" max="5136" width="7.875" style="48" customWidth="1"/>
    <col min="5137" max="5137" width="9.375" style="48" customWidth="1"/>
    <col min="5138" max="5376" width="8.25" style="48"/>
    <col min="5377" max="5377" width="2.125" style="48" bestFit="1" customWidth="1"/>
    <col min="5378" max="5378" width="12.25" style="48" bestFit="1" customWidth="1"/>
    <col min="5379" max="5379" width="6.5" style="48" bestFit="1" customWidth="1"/>
    <col min="5380" max="5380" width="4.75" style="48" bestFit="1" customWidth="1"/>
    <col min="5381" max="5392" width="7.875" style="48" customWidth="1"/>
    <col min="5393" max="5393" width="9.375" style="48" customWidth="1"/>
    <col min="5394" max="5632" width="8.25" style="48"/>
    <col min="5633" max="5633" width="2.125" style="48" bestFit="1" customWidth="1"/>
    <col min="5634" max="5634" width="12.25" style="48" bestFit="1" customWidth="1"/>
    <col min="5635" max="5635" width="6.5" style="48" bestFit="1" customWidth="1"/>
    <col min="5636" max="5636" width="4.75" style="48" bestFit="1" customWidth="1"/>
    <col min="5637" max="5648" width="7.875" style="48" customWidth="1"/>
    <col min="5649" max="5649" width="9.375" style="48" customWidth="1"/>
    <col min="5650" max="5888" width="8.25" style="48"/>
    <col min="5889" max="5889" width="2.125" style="48" bestFit="1" customWidth="1"/>
    <col min="5890" max="5890" width="12.25" style="48" bestFit="1" customWidth="1"/>
    <col min="5891" max="5891" width="6.5" style="48" bestFit="1" customWidth="1"/>
    <col min="5892" max="5892" width="4.75" style="48" bestFit="1" customWidth="1"/>
    <col min="5893" max="5904" width="7.875" style="48" customWidth="1"/>
    <col min="5905" max="5905" width="9.375" style="48" customWidth="1"/>
    <col min="5906" max="6144" width="8.25" style="48"/>
    <col min="6145" max="6145" width="2.125" style="48" bestFit="1" customWidth="1"/>
    <col min="6146" max="6146" width="12.25" style="48" bestFit="1" customWidth="1"/>
    <col min="6147" max="6147" width="6.5" style="48" bestFit="1" customWidth="1"/>
    <col min="6148" max="6148" width="4.75" style="48" bestFit="1" customWidth="1"/>
    <col min="6149" max="6160" width="7.875" style="48" customWidth="1"/>
    <col min="6161" max="6161" width="9.375" style="48" customWidth="1"/>
    <col min="6162" max="6400" width="8.25" style="48"/>
    <col min="6401" max="6401" width="2.125" style="48" bestFit="1" customWidth="1"/>
    <col min="6402" max="6402" width="12.25" style="48" bestFit="1" customWidth="1"/>
    <col min="6403" max="6403" width="6.5" style="48" bestFit="1" customWidth="1"/>
    <col min="6404" max="6404" width="4.75" style="48" bestFit="1" customWidth="1"/>
    <col min="6405" max="6416" width="7.875" style="48" customWidth="1"/>
    <col min="6417" max="6417" width="9.375" style="48" customWidth="1"/>
    <col min="6418" max="6656" width="8.25" style="48"/>
    <col min="6657" max="6657" width="2.125" style="48" bestFit="1" customWidth="1"/>
    <col min="6658" max="6658" width="12.25" style="48" bestFit="1" customWidth="1"/>
    <col min="6659" max="6659" width="6.5" style="48" bestFit="1" customWidth="1"/>
    <col min="6660" max="6660" width="4.75" style="48" bestFit="1" customWidth="1"/>
    <col min="6661" max="6672" width="7.875" style="48" customWidth="1"/>
    <col min="6673" max="6673" width="9.375" style="48" customWidth="1"/>
    <col min="6674" max="6912" width="8.25" style="48"/>
    <col min="6913" max="6913" width="2.125" style="48" bestFit="1" customWidth="1"/>
    <col min="6914" max="6914" width="12.25" style="48" bestFit="1" customWidth="1"/>
    <col min="6915" max="6915" width="6.5" style="48" bestFit="1" customWidth="1"/>
    <col min="6916" max="6916" width="4.75" style="48" bestFit="1" customWidth="1"/>
    <col min="6917" max="6928" width="7.875" style="48" customWidth="1"/>
    <col min="6929" max="6929" width="9.375" style="48" customWidth="1"/>
    <col min="6930" max="7168" width="8.25" style="48"/>
    <col min="7169" max="7169" width="2.125" style="48" bestFit="1" customWidth="1"/>
    <col min="7170" max="7170" width="12.25" style="48" bestFit="1" customWidth="1"/>
    <col min="7171" max="7171" width="6.5" style="48" bestFit="1" customWidth="1"/>
    <col min="7172" max="7172" width="4.75" style="48" bestFit="1" customWidth="1"/>
    <col min="7173" max="7184" width="7.875" style="48" customWidth="1"/>
    <col min="7185" max="7185" width="9.375" style="48" customWidth="1"/>
    <col min="7186" max="7424" width="8.25" style="48"/>
    <col min="7425" max="7425" width="2.125" style="48" bestFit="1" customWidth="1"/>
    <col min="7426" max="7426" width="12.25" style="48" bestFit="1" customWidth="1"/>
    <col min="7427" max="7427" width="6.5" style="48" bestFit="1" customWidth="1"/>
    <col min="7428" max="7428" width="4.75" style="48" bestFit="1" customWidth="1"/>
    <col min="7429" max="7440" width="7.875" style="48" customWidth="1"/>
    <col min="7441" max="7441" width="9.375" style="48" customWidth="1"/>
    <col min="7442" max="7680" width="8.25" style="48"/>
    <col min="7681" max="7681" width="2.125" style="48" bestFit="1" customWidth="1"/>
    <col min="7682" max="7682" width="12.25" style="48" bestFit="1" customWidth="1"/>
    <col min="7683" max="7683" width="6.5" style="48" bestFit="1" customWidth="1"/>
    <col min="7684" max="7684" width="4.75" style="48" bestFit="1" customWidth="1"/>
    <col min="7685" max="7696" width="7.875" style="48" customWidth="1"/>
    <col min="7697" max="7697" width="9.375" style="48" customWidth="1"/>
    <col min="7698" max="7936" width="8.25" style="48"/>
    <col min="7937" max="7937" width="2.125" style="48" bestFit="1" customWidth="1"/>
    <col min="7938" max="7938" width="12.25" style="48" bestFit="1" customWidth="1"/>
    <col min="7939" max="7939" width="6.5" style="48" bestFit="1" customWidth="1"/>
    <col min="7940" max="7940" width="4.75" style="48" bestFit="1" customWidth="1"/>
    <col min="7941" max="7952" width="7.875" style="48" customWidth="1"/>
    <col min="7953" max="7953" width="9.375" style="48" customWidth="1"/>
    <col min="7954" max="8192" width="8.25" style="48"/>
    <col min="8193" max="8193" width="2.125" style="48" bestFit="1" customWidth="1"/>
    <col min="8194" max="8194" width="12.25" style="48" bestFit="1" customWidth="1"/>
    <col min="8195" max="8195" width="6.5" style="48" bestFit="1" customWidth="1"/>
    <col min="8196" max="8196" width="4.75" style="48" bestFit="1" customWidth="1"/>
    <col min="8197" max="8208" width="7.875" style="48" customWidth="1"/>
    <col min="8209" max="8209" width="9.375" style="48" customWidth="1"/>
    <col min="8210" max="8448" width="8.25" style="48"/>
    <col min="8449" max="8449" width="2.125" style="48" bestFit="1" customWidth="1"/>
    <col min="8450" max="8450" width="12.25" style="48" bestFit="1" customWidth="1"/>
    <col min="8451" max="8451" width="6.5" style="48" bestFit="1" customWidth="1"/>
    <col min="8452" max="8452" width="4.75" style="48" bestFit="1" customWidth="1"/>
    <col min="8453" max="8464" width="7.875" style="48" customWidth="1"/>
    <col min="8465" max="8465" width="9.375" style="48" customWidth="1"/>
    <col min="8466" max="8704" width="8.25" style="48"/>
    <col min="8705" max="8705" width="2.125" style="48" bestFit="1" customWidth="1"/>
    <col min="8706" max="8706" width="12.25" style="48" bestFit="1" customWidth="1"/>
    <col min="8707" max="8707" width="6.5" style="48" bestFit="1" customWidth="1"/>
    <col min="8708" max="8708" width="4.75" style="48" bestFit="1" customWidth="1"/>
    <col min="8709" max="8720" width="7.875" style="48" customWidth="1"/>
    <col min="8721" max="8721" width="9.375" style="48" customWidth="1"/>
    <col min="8722" max="8960" width="8.25" style="48"/>
    <col min="8961" max="8961" width="2.125" style="48" bestFit="1" customWidth="1"/>
    <col min="8962" max="8962" width="12.25" style="48" bestFit="1" customWidth="1"/>
    <col min="8963" max="8963" width="6.5" style="48" bestFit="1" customWidth="1"/>
    <col min="8964" max="8964" width="4.75" style="48" bestFit="1" customWidth="1"/>
    <col min="8965" max="8976" width="7.875" style="48" customWidth="1"/>
    <col min="8977" max="8977" width="9.375" style="48" customWidth="1"/>
    <col min="8978" max="9216" width="8.25" style="48"/>
    <col min="9217" max="9217" width="2.125" style="48" bestFit="1" customWidth="1"/>
    <col min="9218" max="9218" width="12.25" style="48" bestFit="1" customWidth="1"/>
    <col min="9219" max="9219" width="6.5" style="48" bestFit="1" customWidth="1"/>
    <col min="9220" max="9220" width="4.75" style="48" bestFit="1" customWidth="1"/>
    <col min="9221" max="9232" width="7.875" style="48" customWidth="1"/>
    <col min="9233" max="9233" width="9.375" style="48" customWidth="1"/>
    <col min="9234" max="9472" width="8.25" style="48"/>
    <col min="9473" max="9473" width="2.125" style="48" bestFit="1" customWidth="1"/>
    <col min="9474" max="9474" width="12.25" style="48" bestFit="1" customWidth="1"/>
    <col min="9475" max="9475" width="6.5" style="48" bestFit="1" customWidth="1"/>
    <col min="9476" max="9476" width="4.75" style="48" bestFit="1" customWidth="1"/>
    <col min="9477" max="9488" width="7.875" style="48" customWidth="1"/>
    <col min="9489" max="9489" width="9.375" style="48" customWidth="1"/>
    <col min="9490" max="9728" width="8.25" style="48"/>
    <col min="9729" max="9729" width="2.125" style="48" bestFit="1" customWidth="1"/>
    <col min="9730" max="9730" width="12.25" style="48" bestFit="1" customWidth="1"/>
    <col min="9731" max="9731" width="6.5" style="48" bestFit="1" customWidth="1"/>
    <col min="9732" max="9732" width="4.75" style="48" bestFit="1" customWidth="1"/>
    <col min="9733" max="9744" width="7.875" style="48" customWidth="1"/>
    <col min="9745" max="9745" width="9.375" style="48" customWidth="1"/>
    <col min="9746" max="9984" width="8.25" style="48"/>
    <col min="9985" max="9985" width="2.125" style="48" bestFit="1" customWidth="1"/>
    <col min="9986" max="9986" width="12.25" style="48" bestFit="1" customWidth="1"/>
    <col min="9987" max="9987" width="6.5" style="48" bestFit="1" customWidth="1"/>
    <col min="9988" max="9988" width="4.75" style="48" bestFit="1" customWidth="1"/>
    <col min="9989" max="10000" width="7.875" style="48" customWidth="1"/>
    <col min="10001" max="10001" width="9.375" style="48" customWidth="1"/>
    <col min="10002" max="10240" width="8.25" style="48"/>
    <col min="10241" max="10241" width="2.125" style="48" bestFit="1" customWidth="1"/>
    <col min="10242" max="10242" width="12.25" style="48" bestFit="1" customWidth="1"/>
    <col min="10243" max="10243" width="6.5" style="48" bestFit="1" customWidth="1"/>
    <col min="10244" max="10244" width="4.75" style="48" bestFit="1" customWidth="1"/>
    <col min="10245" max="10256" width="7.875" style="48" customWidth="1"/>
    <col min="10257" max="10257" width="9.375" style="48" customWidth="1"/>
    <col min="10258" max="10496" width="8.25" style="48"/>
    <col min="10497" max="10497" width="2.125" style="48" bestFit="1" customWidth="1"/>
    <col min="10498" max="10498" width="12.25" style="48" bestFit="1" customWidth="1"/>
    <col min="10499" max="10499" width="6.5" style="48" bestFit="1" customWidth="1"/>
    <col min="10500" max="10500" width="4.75" style="48" bestFit="1" customWidth="1"/>
    <col min="10501" max="10512" width="7.875" style="48" customWidth="1"/>
    <col min="10513" max="10513" width="9.375" style="48" customWidth="1"/>
    <col min="10514" max="10752" width="8.25" style="48"/>
    <col min="10753" max="10753" width="2.125" style="48" bestFit="1" customWidth="1"/>
    <col min="10754" max="10754" width="12.25" style="48" bestFit="1" customWidth="1"/>
    <col min="10755" max="10755" width="6.5" style="48" bestFit="1" customWidth="1"/>
    <col min="10756" max="10756" width="4.75" style="48" bestFit="1" customWidth="1"/>
    <col min="10757" max="10768" width="7.875" style="48" customWidth="1"/>
    <col min="10769" max="10769" width="9.375" style="48" customWidth="1"/>
    <col min="10770" max="11008" width="8.25" style="48"/>
    <col min="11009" max="11009" width="2.125" style="48" bestFit="1" customWidth="1"/>
    <col min="11010" max="11010" width="12.25" style="48" bestFit="1" customWidth="1"/>
    <col min="11011" max="11011" width="6.5" style="48" bestFit="1" customWidth="1"/>
    <col min="11012" max="11012" width="4.75" style="48" bestFit="1" customWidth="1"/>
    <col min="11013" max="11024" width="7.875" style="48" customWidth="1"/>
    <col min="11025" max="11025" width="9.375" style="48" customWidth="1"/>
    <col min="11026" max="11264" width="8.25" style="48"/>
    <col min="11265" max="11265" width="2.125" style="48" bestFit="1" customWidth="1"/>
    <col min="11266" max="11266" width="12.25" style="48" bestFit="1" customWidth="1"/>
    <col min="11267" max="11267" width="6.5" style="48" bestFit="1" customWidth="1"/>
    <col min="11268" max="11268" width="4.75" style="48" bestFit="1" customWidth="1"/>
    <col min="11269" max="11280" width="7.875" style="48" customWidth="1"/>
    <col min="11281" max="11281" width="9.375" style="48" customWidth="1"/>
    <col min="11282" max="11520" width="8.25" style="48"/>
    <col min="11521" max="11521" width="2.125" style="48" bestFit="1" customWidth="1"/>
    <col min="11522" max="11522" width="12.25" style="48" bestFit="1" customWidth="1"/>
    <col min="11523" max="11523" width="6.5" style="48" bestFit="1" customWidth="1"/>
    <col min="11524" max="11524" width="4.75" style="48" bestFit="1" customWidth="1"/>
    <col min="11525" max="11536" width="7.875" style="48" customWidth="1"/>
    <col min="11537" max="11537" width="9.375" style="48" customWidth="1"/>
    <col min="11538" max="11776" width="8.25" style="48"/>
    <col min="11777" max="11777" width="2.125" style="48" bestFit="1" customWidth="1"/>
    <col min="11778" max="11778" width="12.25" style="48" bestFit="1" customWidth="1"/>
    <col min="11779" max="11779" width="6.5" style="48" bestFit="1" customWidth="1"/>
    <col min="11780" max="11780" width="4.75" style="48" bestFit="1" customWidth="1"/>
    <col min="11781" max="11792" width="7.875" style="48" customWidth="1"/>
    <col min="11793" max="11793" width="9.375" style="48" customWidth="1"/>
    <col min="11794" max="12032" width="8.25" style="48"/>
    <col min="12033" max="12033" width="2.125" style="48" bestFit="1" customWidth="1"/>
    <col min="12034" max="12034" width="12.25" style="48" bestFit="1" customWidth="1"/>
    <col min="12035" max="12035" width="6.5" style="48" bestFit="1" customWidth="1"/>
    <col min="12036" max="12036" width="4.75" style="48" bestFit="1" customWidth="1"/>
    <col min="12037" max="12048" width="7.875" style="48" customWidth="1"/>
    <col min="12049" max="12049" width="9.375" style="48" customWidth="1"/>
    <col min="12050" max="12288" width="8.25" style="48"/>
    <col min="12289" max="12289" width="2.125" style="48" bestFit="1" customWidth="1"/>
    <col min="12290" max="12290" width="12.25" style="48" bestFit="1" customWidth="1"/>
    <col min="12291" max="12291" width="6.5" style="48" bestFit="1" customWidth="1"/>
    <col min="12292" max="12292" width="4.75" style="48" bestFit="1" customWidth="1"/>
    <col min="12293" max="12304" width="7.875" style="48" customWidth="1"/>
    <col min="12305" max="12305" width="9.375" style="48" customWidth="1"/>
    <col min="12306" max="12544" width="8.25" style="48"/>
    <col min="12545" max="12545" width="2.125" style="48" bestFit="1" customWidth="1"/>
    <col min="12546" max="12546" width="12.25" style="48" bestFit="1" customWidth="1"/>
    <col min="12547" max="12547" width="6.5" style="48" bestFit="1" customWidth="1"/>
    <col min="12548" max="12548" width="4.75" style="48" bestFit="1" customWidth="1"/>
    <col min="12549" max="12560" width="7.875" style="48" customWidth="1"/>
    <col min="12561" max="12561" width="9.375" style="48" customWidth="1"/>
    <col min="12562" max="12800" width="8.25" style="48"/>
    <col min="12801" max="12801" width="2.125" style="48" bestFit="1" customWidth="1"/>
    <col min="12802" max="12802" width="12.25" style="48" bestFit="1" customWidth="1"/>
    <col min="12803" max="12803" width="6.5" style="48" bestFit="1" customWidth="1"/>
    <col min="12804" max="12804" width="4.75" style="48" bestFit="1" customWidth="1"/>
    <col min="12805" max="12816" width="7.875" style="48" customWidth="1"/>
    <col min="12817" max="12817" width="9.375" style="48" customWidth="1"/>
    <col min="12818" max="13056" width="8.25" style="48"/>
    <col min="13057" max="13057" width="2.125" style="48" bestFit="1" customWidth="1"/>
    <col min="13058" max="13058" width="12.25" style="48" bestFit="1" customWidth="1"/>
    <col min="13059" max="13059" width="6.5" style="48" bestFit="1" customWidth="1"/>
    <col min="13060" max="13060" width="4.75" style="48" bestFit="1" customWidth="1"/>
    <col min="13061" max="13072" width="7.875" style="48" customWidth="1"/>
    <col min="13073" max="13073" width="9.375" style="48" customWidth="1"/>
    <col min="13074" max="13312" width="8.25" style="48"/>
    <col min="13313" max="13313" width="2.125" style="48" bestFit="1" customWidth="1"/>
    <col min="13314" max="13314" width="12.25" style="48" bestFit="1" customWidth="1"/>
    <col min="13315" max="13315" width="6.5" style="48" bestFit="1" customWidth="1"/>
    <col min="13316" max="13316" width="4.75" style="48" bestFit="1" customWidth="1"/>
    <col min="13317" max="13328" width="7.875" style="48" customWidth="1"/>
    <col min="13329" max="13329" width="9.375" style="48" customWidth="1"/>
    <col min="13330" max="13568" width="8.25" style="48"/>
    <col min="13569" max="13569" width="2.125" style="48" bestFit="1" customWidth="1"/>
    <col min="13570" max="13570" width="12.25" style="48" bestFit="1" customWidth="1"/>
    <col min="13571" max="13571" width="6.5" style="48" bestFit="1" customWidth="1"/>
    <col min="13572" max="13572" width="4.75" style="48" bestFit="1" customWidth="1"/>
    <col min="13573" max="13584" width="7.875" style="48" customWidth="1"/>
    <col min="13585" max="13585" width="9.375" style="48" customWidth="1"/>
    <col min="13586" max="13824" width="8.25" style="48"/>
    <col min="13825" max="13825" width="2.125" style="48" bestFit="1" customWidth="1"/>
    <col min="13826" max="13826" width="12.25" style="48" bestFit="1" customWidth="1"/>
    <col min="13827" max="13827" width="6.5" style="48" bestFit="1" customWidth="1"/>
    <col min="13828" max="13828" width="4.75" style="48" bestFit="1" customWidth="1"/>
    <col min="13829" max="13840" width="7.875" style="48" customWidth="1"/>
    <col min="13841" max="13841" width="9.375" style="48" customWidth="1"/>
    <col min="13842" max="14080" width="8.25" style="48"/>
    <col min="14081" max="14081" width="2.125" style="48" bestFit="1" customWidth="1"/>
    <col min="14082" max="14082" width="12.25" style="48" bestFit="1" customWidth="1"/>
    <col min="14083" max="14083" width="6.5" style="48" bestFit="1" customWidth="1"/>
    <col min="14084" max="14084" width="4.75" style="48" bestFit="1" customWidth="1"/>
    <col min="14085" max="14096" width="7.875" style="48" customWidth="1"/>
    <col min="14097" max="14097" width="9.375" style="48" customWidth="1"/>
    <col min="14098" max="14336" width="8.25" style="48"/>
    <col min="14337" max="14337" width="2.125" style="48" bestFit="1" customWidth="1"/>
    <col min="14338" max="14338" width="12.25" style="48" bestFit="1" customWidth="1"/>
    <col min="14339" max="14339" width="6.5" style="48" bestFit="1" customWidth="1"/>
    <col min="14340" max="14340" width="4.75" style="48" bestFit="1" customWidth="1"/>
    <col min="14341" max="14352" width="7.875" style="48" customWidth="1"/>
    <col min="14353" max="14353" width="9.375" style="48" customWidth="1"/>
    <col min="14354" max="14592" width="8.25" style="48"/>
    <col min="14593" max="14593" width="2.125" style="48" bestFit="1" customWidth="1"/>
    <col min="14594" max="14594" width="12.25" style="48" bestFit="1" customWidth="1"/>
    <col min="14595" max="14595" width="6.5" style="48" bestFit="1" customWidth="1"/>
    <col min="14596" max="14596" width="4.75" style="48" bestFit="1" customWidth="1"/>
    <col min="14597" max="14608" width="7.875" style="48" customWidth="1"/>
    <col min="14609" max="14609" width="9.375" style="48" customWidth="1"/>
    <col min="14610" max="14848" width="8.25" style="48"/>
    <col min="14849" max="14849" width="2.125" style="48" bestFit="1" customWidth="1"/>
    <col min="14850" max="14850" width="12.25" style="48" bestFit="1" customWidth="1"/>
    <col min="14851" max="14851" width="6.5" style="48" bestFit="1" customWidth="1"/>
    <col min="14852" max="14852" width="4.75" style="48" bestFit="1" customWidth="1"/>
    <col min="14853" max="14864" width="7.875" style="48" customWidth="1"/>
    <col min="14865" max="14865" width="9.375" style="48" customWidth="1"/>
    <col min="14866" max="15104" width="8.25" style="48"/>
    <col min="15105" max="15105" width="2.125" style="48" bestFit="1" customWidth="1"/>
    <col min="15106" max="15106" width="12.25" style="48" bestFit="1" customWidth="1"/>
    <col min="15107" max="15107" width="6.5" style="48" bestFit="1" customWidth="1"/>
    <col min="15108" max="15108" width="4.75" style="48" bestFit="1" customWidth="1"/>
    <col min="15109" max="15120" width="7.875" style="48" customWidth="1"/>
    <col min="15121" max="15121" width="9.375" style="48" customWidth="1"/>
    <col min="15122" max="15360" width="8.25" style="48"/>
    <col min="15361" max="15361" width="2.125" style="48" bestFit="1" customWidth="1"/>
    <col min="15362" max="15362" width="12.25" style="48" bestFit="1" customWidth="1"/>
    <col min="15363" max="15363" width="6.5" style="48" bestFit="1" customWidth="1"/>
    <col min="15364" max="15364" width="4.75" style="48" bestFit="1" customWidth="1"/>
    <col min="15365" max="15376" width="7.875" style="48" customWidth="1"/>
    <col min="15377" max="15377" width="9.375" style="48" customWidth="1"/>
    <col min="15378" max="15616" width="8.25" style="48"/>
    <col min="15617" max="15617" width="2.125" style="48" bestFit="1" customWidth="1"/>
    <col min="15618" max="15618" width="12.25" style="48" bestFit="1" customWidth="1"/>
    <col min="15619" max="15619" width="6.5" style="48" bestFit="1" customWidth="1"/>
    <col min="15620" max="15620" width="4.75" style="48" bestFit="1" customWidth="1"/>
    <col min="15621" max="15632" width="7.875" style="48" customWidth="1"/>
    <col min="15633" max="15633" width="9.375" style="48" customWidth="1"/>
    <col min="15634" max="15872" width="8.25" style="48"/>
    <col min="15873" max="15873" width="2.125" style="48" bestFit="1" customWidth="1"/>
    <col min="15874" max="15874" width="12.25" style="48" bestFit="1" customWidth="1"/>
    <col min="15875" max="15875" width="6.5" style="48" bestFit="1" customWidth="1"/>
    <col min="15876" max="15876" width="4.75" style="48" bestFit="1" customWidth="1"/>
    <col min="15877" max="15888" width="7.875" style="48" customWidth="1"/>
    <col min="15889" max="15889" width="9.375" style="48" customWidth="1"/>
    <col min="15890" max="16128" width="8.25" style="48"/>
    <col min="16129" max="16129" width="2.125" style="48" bestFit="1" customWidth="1"/>
    <col min="16130" max="16130" width="12.25" style="48" bestFit="1" customWidth="1"/>
    <col min="16131" max="16131" width="6.5" style="48" bestFit="1" customWidth="1"/>
    <col min="16132" max="16132" width="4.75" style="48" bestFit="1" customWidth="1"/>
    <col min="16133" max="16143" width="7.875" style="48" customWidth="1"/>
    <col min="16144" max="16384" width="8.25" style="48"/>
  </cols>
  <sheetData>
    <row r="1" spans="2:18" ht="14.25">
      <c r="B1" s="57" t="s">
        <v>93</v>
      </c>
      <c r="H1" s="44"/>
      <c r="I1" s="44" t="s">
        <v>94</v>
      </c>
      <c r="J1" s="49"/>
      <c r="M1" s="49"/>
    </row>
    <row r="2" spans="2:18" ht="14.25">
      <c r="B2" s="57"/>
      <c r="H2" s="44"/>
      <c r="I2" s="44"/>
      <c r="J2" s="49"/>
      <c r="M2" s="49"/>
    </row>
    <row r="3" spans="2:18" s="22" customFormat="1" ht="14.25">
      <c r="B3" s="29" t="s">
        <v>1</v>
      </c>
    </row>
    <row r="4" spans="2:18">
      <c r="B4" s="47"/>
      <c r="C4" s="45" t="s">
        <v>95</v>
      </c>
      <c r="D4" s="45" t="s">
        <v>4</v>
      </c>
      <c r="E4" s="36" t="s">
        <v>5</v>
      </c>
      <c r="F4" s="36" t="s">
        <v>6</v>
      </c>
      <c r="G4" s="36" t="s">
        <v>7</v>
      </c>
      <c r="H4" s="36" t="s">
        <v>8</v>
      </c>
      <c r="I4" s="36" t="s">
        <v>9</v>
      </c>
      <c r="J4" s="36" t="s">
        <v>10</v>
      </c>
      <c r="K4" s="36" t="s">
        <v>11</v>
      </c>
      <c r="L4" s="36" t="s">
        <v>12</v>
      </c>
      <c r="M4" s="36" t="s">
        <v>13</v>
      </c>
      <c r="N4" s="36" t="s">
        <v>14</v>
      </c>
      <c r="O4" s="36" t="s">
        <v>15</v>
      </c>
      <c r="P4" s="36" t="s">
        <v>16</v>
      </c>
      <c r="Q4" s="50" t="s">
        <v>96</v>
      </c>
    </row>
    <row r="5" spans="2:18">
      <c r="B5" s="58">
        <v>1</v>
      </c>
      <c r="C5" s="59" t="s">
        <v>97</v>
      </c>
      <c r="D5" s="47" t="s">
        <v>19</v>
      </c>
      <c r="E5" s="72"/>
      <c r="F5" s="51"/>
      <c r="G5" s="52"/>
      <c r="H5" s="51"/>
      <c r="I5" s="51"/>
      <c r="J5" s="73">
        <v>3974953</v>
      </c>
      <c r="K5" s="72">
        <f>3659488+60000</f>
        <v>3719488</v>
      </c>
      <c r="L5" s="72">
        <f>2549216+60000</f>
        <v>2609216</v>
      </c>
      <c r="M5" s="72">
        <v>3665264</v>
      </c>
      <c r="N5" s="72">
        <v>4417878</v>
      </c>
      <c r="O5" s="72">
        <v>2180122</v>
      </c>
      <c r="P5" s="72"/>
      <c r="Q5" s="92"/>
      <c r="R5" s="49"/>
    </row>
    <row r="6" spans="2:18">
      <c r="B6" s="59">
        <v>2</v>
      </c>
      <c r="C6" s="59" t="s">
        <v>98</v>
      </c>
      <c r="D6" s="47" t="s">
        <v>19</v>
      </c>
      <c r="E6" s="73"/>
      <c r="F6" s="52"/>
      <c r="G6" s="52"/>
      <c r="H6" s="52"/>
      <c r="I6" s="52"/>
      <c r="J6" s="73"/>
      <c r="K6" s="73">
        <v>248327</v>
      </c>
      <c r="L6" s="73">
        <v>205720</v>
      </c>
      <c r="M6" s="73">
        <v>323622</v>
      </c>
      <c r="N6" s="73">
        <v>416317</v>
      </c>
      <c r="O6" s="73">
        <v>230519</v>
      </c>
      <c r="P6" s="73">
        <v>638706</v>
      </c>
      <c r="Q6" s="92"/>
    </row>
    <row r="7" spans="2:18">
      <c r="B7" s="59"/>
      <c r="C7" s="61" t="s">
        <v>99</v>
      </c>
      <c r="D7" s="47" t="s">
        <v>19</v>
      </c>
      <c r="E7" s="73"/>
      <c r="F7" s="52"/>
      <c r="G7" s="52"/>
      <c r="H7" s="52"/>
      <c r="I7" s="52"/>
      <c r="J7" s="73"/>
      <c r="K7" s="73"/>
      <c r="L7" s="73"/>
      <c r="M7" s="73"/>
      <c r="N7" s="73"/>
      <c r="O7" s="73"/>
      <c r="P7" s="73"/>
      <c r="Q7" s="92"/>
    </row>
    <row r="8" spans="2:18">
      <c r="B8" s="59">
        <v>3</v>
      </c>
      <c r="C8" s="59" t="s">
        <v>100</v>
      </c>
      <c r="D8" s="47" t="s">
        <v>19</v>
      </c>
      <c r="E8" s="73"/>
      <c r="F8" s="52"/>
      <c r="G8" s="52"/>
      <c r="H8" s="52"/>
      <c r="I8" s="52"/>
      <c r="J8" s="73"/>
      <c r="K8" s="73"/>
      <c r="L8" s="73"/>
      <c r="M8" s="73"/>
      <c r="N8" s="73"/>
      <c r="O8" s="73"/>
      <c r="P8" s="73"/>
      <c r="Q8" s="92"/>
    </row>
    <row r="9" spans="2:18">
      <c r="B9" s="59">
        <v>4</v>
      </c>
      <c r="C9" s="59" t="s">
        <v>101</v>
      </c>
      <c r="D9" s="47" t="s">
        <v>19</v>
      </c>
      <c r="E9" s="73"/>
      <c r="F9" s="52"/>
      <c r="G9" s="52"/>
      <c r="H9" s="52"/>
      <c r="I9" s="52"/>
      <c r="J9" s="73"/>
      <c r="K9" s="73"/>
      <c r="L9" s="73"/>
      <c r="M9" s="73"/>
      <c r="N9" s="73">
        <f>136362+66433</f>
        <v>202795</v>
      </c>
      <c r="O9" s="73"/>
      <c r="P9" s="73"/>
      <c r="Q9" s="92"/>
    </row>
    <row r="10" spans="2:18">
      <c r="B10" s="59">
        <v>5</v>
      </c>
      <c r="C10" s="59" t="s">
        <v>102</v>
      </c>
      <c r="D10" s="47" t="s">
        <v>19</v>
      </c>
      <c r="E10" s="73"/>
      <c r="F10" s="52"/>
      <c r="G10" s="52"/>
      <c r="H10" s="52"/>
      <c r="I10" s="52"/>
      <c r="J10" s="73"/>
      <c r="K10" s="73"/>
      <c r="L10" s="73"/>
      <c r="M10" s="73"/>
      <c r="N10" s="73"/>
      <c r="O10" s="73"/>
      <c r="P10" s="73"/>
      <c r="Q10" s="92"/>
    </row>
    <row r="11" spans="2:18">
      <c r="B11" s="59">
        <v>6</v>
      </c>
      <c r="C11" s="59" t="s">
        <v>103</v>
      </c>
      <c r="D11" s="47" t="s">
        <v>19</v>
      </c>
      <c r="E11" s="73"/>
      <c r="F11" s="52"/>
      <c r="G11" s="52"/>
      <c r="H11" s="52"/>
      <c r="I11" s="52"/>
      <c r="J11" s="73"/>
      <c r="K11" s="73"/>
      <c r="L11" s="73"/>
      <c r="M11" s="73"/>
      <c r="N11" s="73"/>
      <c r="O11" s="73"/>
      <c r="P11" s="73"/>
      <c r="Q11" s="92"/>
    </row>
    <row r="12" spans="2:18">
      <c r="B12" s="46">
        <v>7</v>
      </c>
      <c r="C12" s="47" t="s">
        <v>104</v>
      </c>
      <c r="D12" s="47"/>
      <c r="E12" s="73"/>
      <c r="F12" s="52"/>
      <c r="G12" s="52"/>
      <c r="H12" s="52"/>
      <c r="I12" s="52"/>
      <c r="J12" s="73">
        <v>124417</v>
      </c>
      <c r="K12" s="73">
        <v>110161</v>
      </c>
      <c r="L12" s="73">
        <v>117055</v>
      </c>
      <c r="M12" s="73">
        <v>121470</v>
      </c>
      <c r="N12" s="73">
        <v>364167</v>
      </c>
      <c r="O12" s="73">
        <v>236152</v>
      </c>
      <c r="P12" s="73"/>
      <c r="Q12" s="92"/>
    </row>
    <row r="13" spans="2:18" s="22" customFormat="1" ht="14.25">
      <c r="B13" s="29"/>
    </row>
    <row r="14" spans="2:18" s="22" customFormat="1" ht="14.25">
      <c r="B14" s="29" t="s">
        <v>49</v>
      </c>
    </row>
    <row r="15" spans="2:18">
      <c r="B15" s="47"/>
      <c r="C15" s="45" t="s">
        <v>95</v>
      </c>
      <c r="D15" s="45" t="s">
        <v>4</v>
      </c>
      <c r="E15" s="36" t="s">
        <v>5</v>
      </c>
      <c r="F15" s="36" t="s">
        <v>6</v>
      </c>
      <c r="G15" s="36" t="s">
        <v>7</v>
      </c>
      <c r="H15" s="36" t="s">
        <v>8</v>
      </c>
      <c r="I15" s="36" t="s">
        <v>9</v>
      </c>
      <c r="J15" s="36" t="s">
        <v>10</v>
      </c>
      <c r="K15" s="36" t="s">
        <v>11</v>
      </c>
      <c r="L15" s="36" t="s">
        <v>12</v>
      </c>
      <c r="M15" s="36" t="s">
        <v>13</v>
      </c>
      <c r="N15" s="36" t="s">
        <v>14</v>
      </c>
      <c r="O15" s="36" t="s">
        <v>15</v>
      </c>
      <c r="P15" s="36" t="s">
        <v>16</v>
      </c>
      <c r="Q15" s="50" t="s">
        <v>96</v>
      </c>
    </row>
    <row r="16" spans="2:18">
      <c r="B16" s="164">
        <v>1</v>
      </c>
      <c r="C16" s="162" t="s">
        <v>97</v>
      </c>
      <c r="D16" s="47" t="s">
        <v>36</v>
      </c>
      <c r="E16" s="72"/>
      <c r="F16" s="51"/>
      <c r="G16" s="52"/>
      <c r="H16" s="51"/>
      <c r="I16" s="51"/>
      <c r="J16" s="52"/>
      <c r="K16" s="51"/>
      <c r="L16" s="51"/>
      <c r="M16" s="51"/>
      <c r="N16" s="51"/>
      <c r="O16" s="51"/>
      <c r="P16" s="51"/>
      <c r="Q16" s="53"/>
      <c r="R16" s="49"/>
    </row>
    <row r="17" spans="2:17" ht="13.5" customHeight="1">
      <c r="B17" s="165"/>
      <c r="C17" s="163"/>
      <c r="D17" s="47" t="s">
        <v>19</v>
      </c>
      <c r="E17" s="72">
        <f>1149400+2073491</f>
        <v>3222891</v>
      </c>
      <c r="F17" s="51">
        <v>3242549</v>
      </c>
      <c r="G17" s="52">
        <v>2022556</v>
      </c>
      <c r="H17" s="52">
        <v>5133660</v>
      </c>
      <c r="I17" s="51">
        <v>3314955</v>
      </c>
      <c r="J17" s="52">
        <v>3379185</v>
      </c>
      <c r="K17" s="52">
        <v>3337024</v>
      </c>
      <c r="L17" s="52">
        <v>2737036</v>
      </c>
      <c r="M17" s="52"/>
      <c r="N17" s="52"/>
      <c r="O17" s="51"/>
      <c r="P17" s="51"/>
      <c r="Q17" s="53"/>
    </row>
    <row r="18" spans="2:17">
      <c r="B18" s="165"/>
      <c r="C18" s="163"/>
      <c r="D18" s="47" t="s">
        <v>37</v>
      </c>
      <c r="E18" s="73"/>
      <c r="F18" s="51"/>
      <c r="G18" s="51"/>
      <c r="H18" s="52"/>
      <c r="I18" s="52"/>
      <c r="J18" s="52"/>
      <c r="K18" s="52"/>
      <c r="L18" s="52"/>
      <c r="M18" s="52"/>
      <c r="N18" s="52"/>
      <c r="O18" s="52"/>
      <c r="P18" s="52"/>
      <c r="Q18" s="53"/>
    </row>
    <row r="19" spans="2:17">
      <c r="B19" s="159">
        <v>2</v>
      </c>
      <c r="C19" s="159" t="s">
        <v>98</v>
      </c>
      <c r="D19" s="47" t="s">
        <v>36</v>
      </c>
      <c r="E19" s="73"/>
      <c r="F19" s="51"/>
      <c r="G19" s="51"/>
      <c r="H19" s="52"/>
      <c r="I19" s="52"/>
      <c r="J19" s="52"/>
      <c r="K19" s="52"/>
      <c r="L19" s="52"/>
      <c r="M19" s="52"/>
      <c r="N19" s="52"/>
      <c r="O19" s="52"/>
      <c r="P19" s="52"/>
      <c r="Q19" s="53"/>
    </row>
    <row r="20" spans="2:17">
      <c r="B20" s="160"/>
      <c r="C20" s="160"/>
      <c r="D20" s="47" t="s">
        <v>19</v>
      </c>
      <c r="E20" s="73">
        <v>244601</v>
      </c>
      <c r="F20" s="51">
        <v>307360</v>
      </c>
      <c r="G20" s="51">
        <v>152460</v>
      </c>
      <c r="H20" s="52">
        <v>443447</v>
      </c>
      <c r="I20" s="52">
        <v>169942</v>
      </c>
      <c r="J20" s="52">
        <v>307197</v>
      </c>
      <c r="K20" s="52">
        <v>268330</v>
      </c>
      <c r="L20" s="52">
        <v>178886</v>
      </c>
      <c r="M20" s="52"/>
      <c r="N20" s="52"/>
      <c r="O20" s="52"/>
      <c r="P20" s="52"/>
      <c r="Q20" s="53"/>
    </row>
    <row r="21" spans="2:17">
      <c r="B21" s="161"/>
      <c r="C21" s="161"/>
      <c r="D21" s="47" t="s">
        <v>37</v>
      </c>
      <c r="E21" s="73"/>
      <c r="F21" s="51"/>
      <c r="G21" s="51"/>
      <c r="H21" s="52"/>
      <c r="I21" s="52"/>
      <c r="J21" s="52"/>
      <c r="K21" s="52"/>
      <c r="L21" s="52"/>
      <c r="M21" s="52"/>
      <c r="N21" s="52"/>
      <c r="O21" s="52"/>
      <c r="P21" s="52"/>
      <c r="Q21" s="53"/>
    </row>
    <row r="22" spans="2:17">
      <c r="B22" s="60"/>
      <c r="C22" s="61" t="s">
        <v>99</v>
      </c>
      <c r="D22" s="47" t="s">
        <v>19</v>
      </c>
      <c r="E22" s="80">
        <f>(E17+E20)/208248</f>
        <v>16.650781760208982</v>
      </c>
      <c r="F22" s="80">
        <f>(F17+F20)/219018</f>
        <v>16.208297948113852</v>
      </c>
      <c r="G22" s="80">
        <f>(G17+G20)/144864</f>
        <v>15.014192622045504</v>
      </c>
      <c r="H22" s="80">
        <f>(H17+H20)/335932</f>
        <v>16.601892644940047</v>
      </c>
      <c r="I22" s="80">
        <f>(I17+I20)/262371</f>
        <v>13.282325409439306</v>
      </c>
      <c r="J22" s="80">
        <f>(J17+J20)/217276</f>
        <v>16.966356155304773</v>
      </c>
      <c r="K22" s="80">
        <f>(K17+K20)/283500</f>
        <v>12.717298059964726</v>
      </c>
      <c r="L22" s="80">
        <f>(L17+L20)/206400</f>
        <v>14.127529069767442</v>
      </c>
      <c r="M22" s="52"/>
      <c r="N22" s="52"/>
      <c r="O22" s="52"/>
      <c r="P22" s="52"/>
      <c r="Q22" s="53"/>
    </row>
    <row r="23" spans="2:17">
      <c r="B23" s="159">
        <v>3</v>
      </c>
      <c r="C23" s="159" t="s">
        <v>100</v>
      </c>
      <c r="D23" s="47" t="s">
        <v>36</v>
      </c>
      <c r="E23" s="73"/>
      <c r="F23" s="51"/>
      <c r="G23" s="51"/>
      <c r="H23" s="52"/>
      <c r="I23" s="52"/>
      <c r="J23" s="52"/>
      <c r="K23" s="52"/>
      <c r="L23" s="52"/>
      <c r="M23" s="52"/>
      <c r="N23" s="52"/>
      <c r="O23" s="52"/>
      <c r="P23" s="52"/>
      <c r="Q23" s="53"/>
    </row>
    <row r="24" spans="2:17">
      <c r="B24" s="160"/>
      <c r="C24" s="160"/>
      <c r="D24" s="47" t="s">
        <v>19</v>
      </c>
      <c r="E24" s="52">
        <v>0</v>
      </c>
      <c r="F24" s="51">
        <v>0</v>
      </c>
      <c r="G24" s="51">
        <v>0</v>
      </c>
      <c r="H24" s="52">
        <v>0</v>
      </c>
      <c r="I24" s="52">
        <v>0</v>
      </c>
      <c r="J24" s="52">
        <v>0</v>
      </c>
      <c r="K24" s="52">
        <v>0</v>
      </c>
      <c r="L24" s="52">
        <v>0</v>
      </c>
      <c r="M24" s="52"/>
      <c r="N24" s="52"/>
      <c r="O24" s="52"/>
      <c r="P24" s="52"/>
      <c r="Q24" s="53"/>
    </row>
    <row r="25" spans="2:17">
      <c r="B25" s="161"/>
      <c r="C25" s="161"/>
      <c r="D25" s="47" t="s">
        <v>37</v>
      </c>
      <c r="E25" s="52"/>
      <c r="F25" s="51"/>
      <c r="G25" s="51"/>
      <c r="H25" s="52"/>
      <c r="I25" s="52"/>
      <c r="J25" s="52"/>
      <c r="K25" s="52"/>
      <c r="L25" s="52"/>
      <c r="M25" s="52"/>
      <c r="N25" s="52"/>
      <c r="O25" s="52"/>
      <c r="P25" s="52"/>
      <c r="Q25" s="53"/>
    </row>
    <row r="26" spans="2:17">
      <c r="B26" s="159">
        <v>4</v>
      </c>
      <c r="C26" s="159" t="s">
        <v>101</v>
      </c>
      <c r="D26" s="47" t="s">
        <v>36</v>
      </c>
      <c r="E26" s="52"/>
      <c r="F26" s="51"/>
      <c r="G26" s="51"/>
      <c r="H26" s="52"/>
      <c r="I26" s="52"/>
      <c r="J26" s="52"/>
      <c r="K26" s="52"/>
      <c r="L26" s="52"/>
      <c r="M26" s="52"/>
      <c r="N26" s="52"/>
      <c r="O26" s="52"/>
      <c r="P26" s="52"/>
      <c r="Q26" s="53"/>
    </row>
    <row r="27" spans="2:17">
      <c r="B27" s="160"/>
      <c r="C27" s="160"/>
      <c r="D27" s="47" t="s">
        <v>19</v>
      </c>
      <c r="E27" s="52">
        <v>0</v>
      </c>
      <c r="F27" s="51">
        <v>144684</v>
      </c>
      <c r="G27" s="51">
        <v>0</v>
      </c>
      <c r="H27" s="52">
        <v>0</v>
      </c>
      <c r="I27" s="52">
        <v>0</v>
      </c>
      <c r="J27" s="52">
        <v>0</v>
      </c>
      <c r="K27" s="52">
        <v>0</v>
      </c>
      <c r="L27" s="52">
        <v>0</v>
      </c>
      <c r="M27" s="52"/>
      <c r="N27" s="52"/>
      <c r="O27" s="52"/>
      <c r="P27" s="52"/>
      <c r="Q27" s="53"/>
    </row>
    <row r="28" spans="2:17">
      <c r="B28" s="161"/>
      <c r="C28" s="161"/>
      <c r="D28" s="47" t="s">
        <v>37</v>
      </c>
      <c r="E28" s="52"/>
      <c r="F28" s="51"/>
      <c r="G28" s="51"/>
      <c r="H28" s="52"/>
      <c r="I28" s="52"/>
      <c r="J28" s="52"/>
      <c r="K28" s="52"/>
      <c r="L28" s="52"/>
      <c r="M28" s="52"/>
      <c r="N28" s="52"/>
      <c r="O28" s="52"/>
      <c r="P28" s="52"/>
      <c r="Q28" s="53"/>
    </row>
    <row r="29" spans="2:17">
      <c r="B29" s="159">
        <v>5</v>
      </c>
      <c r="C29" s="159" t="s">
        <v>102</v>
      </c>
      <c r="D29" s="47" t="s">
        <v>36</v>
      </c>
      <c r="E29" s="52"/>
      <c r="F29" s="51"/>
      <c r="G29" s="51"/>
      <c r="H29" s="52"/>
      <c r="I29" s="52"/>
      <c r="J29" s="52"/>
      <c r="K29" s="52"/>
      <c r="L29" s="52"/>
      <c r="M29" s="52"/>
      <c r="N29" s="52"/>
      <c r="O29" s="52"/>
      <c r="P29" s="52"/>
      <c r="Q29" s="53"/>
    </row>
    <row r="30" spans="2:17">
      <c r="B30" s="160"/>
      <c r="C30" s="160"/>
      <c r="D30" s="47" t="s">
        <v>19</v>
      </c>
      <c r="E30" s="52">
        <v>65460</v>
      </c>
      <c r="F30" s="51">
        <v>42493</v>
      </c>
      <c r="G30" s="51">
        <v>25091</v>
      </c>
      <c r="H30" s="52">
        <v>100980</v>
      </c>
      <c r="I30" s="52">
        <v>63613</v>
      </c>
      <c r="J30" s="52">
        <v>139513</v>
      </c>
      <c r="K30" s="52"/>
      <c r="L30" s="52">
        <v>28944</v>
      </c>
      <c r="M30" s="52"/>
      <c r="N30" s="52"/>
      <c r="O30" s="52"/>
      <c r="P30" s="52"/>
      <c r="Q30" s="53"/>
    </row>
    <row r="31" spans="2:17">
      <c r="B31" s="161"/>
      <c r="C31" s="161"/>
      <c r="D31" s="47" t="s">
        <v>37</v>
      </c>
      <c r="E31" s="52"/>
      <c r="F31" s="51"/>
      <c r="G31" s="51"/>
      <c r="H31" s="52"/>
      <c r="I31" s="52"/>
      <c r="J31" s="52"/>
      <c r="K31" s="52"/>
      <c r="L31" s="52"/>
      <c r="M31" s="52"/>
      <c r="N31" s="52"/>
      <c r="O31" s="52"/>
      <c r="P31" s="52"/>
      <c r="Q31" s="53"/>
    </row>
    <row r="32" spans="2:17">
      <c r="B32" s="159">
        <v>6</v>
      </c>
      <c r="C32" s="159" t="s">
        <v>103</v>
      </c>
      <c r="D32" s="47" t="s">
        <v>36</v>
      </c>
      <c r="E32" s="52"/>
      <c r="F32" s="51"/>
      <c r="G32" s="51"/>
      <c r="H32" s="52"/>
      <c r="I32" s="52"/>
      <c r="J32" s="52"/>
      <c r="K32" s="52"/>
      <c r="L32" s="52"/>
      <c r="M32" s="52"/>
      <c r="N32" s="52"/>
      <c r="O32" s="52"/>
      <c r="P32" s="52"/>
      <c r="Q32" s="53"/>
    </row>
    <row r="33" spans="2:17">
      <c r="B33" s="160"/>
      <c r="C33" s="160"/>
      <c r="D33" s="47" t="s">
        <v>19</v>
      </c>
      <c r="E33" s="52">
        <v>0</v>
      </c>
      <c r="F33" s="51">
        <v>6537</v>
      </c>
      <c r="G33" s="51">
        <v>7855</v>
      </c>
      <c r="H33" s="93"/>
      <c r="I33" s="52">
        <v>14749</v>
      </c>
      <c r="J33" s="93"/>
      <c r="K33" s="52"/>
      <c r="L33" s="52"/>
      <c r="M33" s="52"/>
      <c r="N33" s="52"/>
      <c r="O33" s="52"/>
      <c r="P33" s="52"/>
      <c r="Q33" s="53"/>
    </row>
    <row r="34" spans="2:17">
      <c r="B34" s="161"/>
      <c r="C34" s="161"/>
      <c r="D34" s="47" t="s">
        <v>37</v>
      </c>
      <c r="E34" s="52"/>
      <c r="F34" s="51"/>
      <c r="G34" s="51"/>
      <c r="H34" s="52"/>
      <c r="I34" s="52"/>
      <c r="J34" s="52"/>
      <c r="K34" s="52"/>
      <c r="L34" s="52"/>
      <c r="M34" s="52"/>
      <c r="N34" s="52"/>
      <c r="O34" s="52"/>
      <c r="P34" s="52"/>
      <c r="Q34" s="53"/>
    </row>
    <row r="35" spans="2:17">
      <c r="B35" s="158">
        <v>7</v>
      </c>
      <c r="C35" s="157" t="s">
        <v>104</v>
      </c>
      <c r="D35" s="47" t="s">
        <v>36</v>
      </c>
      <c r="E35" s="52"/>
      <c r="F35" s="51"/>
      <c r="G35" s="51"/>
      <c r="H35" s="52"/>
      <c r="I35" s="52"/>
      <c r="J35" s="52"/>
      <c r="K35" s="52"/>
      <c r="L35" s="52"/>
      <c r="M35" s="52"/>
      <c r="N35" s="52"/>
      <c r="O35" s="52"/>
      <c r="P35" s="52"/>
      <c r="Q35" s="52"/>
    </row>
    <row r="36" spans="2:17">
      <c r="B36" s="158"/>
      <c r="C36" s="157"/>
      <c r="D36" s="47" t="s">
        <v>19</v>
      </c>
      <c r="E36" s="79">
        <v>33680</v>
      </c>
      <c r="F36" s="51">
        <v>191848</v>
      </c>
      <c r="G36" s="51">
        <v>143235</v>
      </c>
      <c r="H36" s="52">
        <v>148813</v>
      </c>
      <c r="I36" s="52">
        <v>109302</v>
      </c>
      <c r="J36" s="52">
        <v>258632</v>
      </c>
      <c r="K36" s="52">
        <v>177120</v>
      </c>
      <c r="L36" s="52">
        <v>269512</v>
      </c>
      <c r="M36" s="47"/>
      <c r="N36" s="47"/>
      <c r="O36" s="47"/>
      <c r="P36" s="47"/>
      <c r="Q36" s="47"/>
    </row>
    <row r="37" spans="2:17">
      <c r="B37" s="158"/>
      <c r="C37" s="157"/>
      <c r="D37" s="47" t="s">
        <v>37</v>
      </c>
      <c r="E37" s="47"/>
      <c r="F37" s="51"/>
      <c r="G37" s="51"/>
      <c r="H37" s="47"/>
      <c r="I37" s="47"/>
      <c r="J37" s="47"/>
      <c r="K37" s="47"/>
      <c r="L37" s="47"/>
      <c r="M37" s="47"/>
      <c r="N37" s="47"/>
      <c r="O37" s="47"/>
      <c r="P37" s="47"/>
      <c r="Q37" s="47"/>
    </row>
    <row r="38" spans="2:17">
      <c r="C38" s="48" t="s">
        <v>105</v>
      </c>
      <c r="F38" s="48">
        <v>81956</v>
      </c>
    </row>
  </sheetData>
  <mergeCells count="14">
    <mergeCell ref="C16:C18"/>
    <mergeCell ref="B16:B18"/>
    <mergeCell ref="C19:C21"/>
    <mergeCell ref="C23:C25"/>
    <mergeCell ref="C26:C28"/>
    <mergeCell ref="C35:C37"/>
    <mergeCell ref="B35:B37"/>
    <mergeCell ref="C29:C31"/>
    <mergeCell ref="C32:C34"/>
    <mergeCell ref="B19:B21"/>
    <mergeCell ref="B23:B25"/>
    <mergeCell ref="B26:B28"/>
    <mergeCell ref="B29:B31"/>
    <mergeCell ref="B32:B34"/>
  </mergeCells>
  <phoneticPr fontId="2"/>
  <pageMargins left="0.39370078740157483" right="0.39370078740157483" top="0.59055118110236227" bottom="0.39370078740157483" header="0.51181102362204722" footer="0.31496062992125984"/>
  <pageSetup paperSize="9" orientation="landscape" r:id="rId1"/>
  <headerFooter alignWithMargins="0"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AF83-42A0-45DC-8C68-821D6BF1142C}">
  <dimension ref="B1:Q30"/>
  <sheetViews>
    <sheetView zoomScale="110" zoomScaleNormal="110" workbookViewId="0">
      <selection activeCell="C28" sqref="C28"/>
    </sheetView>
  </sheetViews>
  <sheetFormatPr defaultColWidth="8.25" defaultRowHeight="13.5"/>
  <cols>
    <col min="1" max="1" width="1.25" style="48" customWidth="1"/>
    <col min="2" max="2" width="3" style="48" bestFit="1" customWidth="1"/>
    <col min="3" max="3" width="30.125" style="48" bestFit="1" customWidth="1"/>
    <col min="4" max="15" width="7.875" style="48" customWidth="1"/>
    <col min="16" max="16" width="11.25" style="48" customWidth="1"/>
    <col min="17" max="255" width="8.25" style="48"/>
    <col min="256" max="256" width="2.125" style="48" bestFit="1" customWidth="1"/>
    <col min="257" max="257" width="12.25" style="48" bestFit="1" customWidth="1"/>
    <col min="258" max="258" width="6.5" style="48" bestFit="1" customWidth="1"/>
    <col min="259" max="259" width="4.75" style="48" bestFit="1" customWidth="1"/>
    <col min="260" max="271" width="7.875" style="48" customWidth="1"/>
    <col min="272" max="272" width="9.375" style="48" customWidth="1"/>
    <col min="273" max="511" width="8.25" style="48"/>
    <col min="512" max="512" width="2.125" style="48" bestFit="1" customWidth="1"/>
    <col min="513" max="513" width="12.25" style="48" bestFit="1" customWidth="1"/>
    <col min="514" max="514" width="6.5" style="48" bestFit="1" customWidth="1"/>
    <col min="515" max="515" width="4.75" style="48" bestFit="1" customWidth="1"/>
    <col min="516" max="527" width="7.875" style="48" customWidth="1"/>
    <col min="528" max="528" width="9.375" style="48" customWidth="1"/>
    <col min="529" max="767" width="8.25" style="48"/>
    <col min="768" max="768" width="2.125" style="48" bestFit="1" customWidth="1"/>
    <col min="769" max="769" width="12.25" style="48" bestFit="1" customWidth="1"/>
    <col min="770" max="770" width="6.5" style="48" bestFit="1" customWidth="1"/>
    <col min="771" max="771" width="4.75" style="48" bestFit="1" customWidth="1"/>
    <col min="772" max="783" width="7.875" style="48" customWidth="1"/>
    <col min="784" max="784" width="9.375" style="48" customWidth="1"/>
    <col min="785" max="1023" width="8.25" style="48"/>
    <col min="1024" max="1024" width="2.125" style="48" bestFit="1" customWidth="1"/>
    <col min="1025" max="1025" width="12.25" style="48" bestFit="1" customWidth="1"/>
    <col min="1026" max="1026" width="6.5" style="48" bestFit="1" customWidth="1"/>
    <col min="1027" max="1027" width="4.75" style="48" bestFit="1" customWidth="1"/>
    <col min="1028" max="1039" width="7.875" style="48" customWidth="1"/>
    <col min="1040" max="1040" width="9.375" style="48" customWidth="1"/>
    <col min="1041" max="1279" width="8.25" style="48"/>
    <col min="1280" max="1280" width="2.125" style="48" bestFit="1" customWidth="1"/>
    <col min="1281" max="1281" width="12.25" style="48" bestFit="1" customWidth="1"/>
    <col min="1282" max="1282" width="6.5" style="48" bestFit="1" customWidth="1"/>
    <col min="1283" max="1283" width="4.75" style="48" bestFit="1" customWidth="1"/>
    <col min="1284" max="1295" width="7.875" style="48" customWidth="1"/>
    <col min="1296" max="1296" width="9.375" style="48" customWidth="1"/>
    <col min="1297" max="1535" width="8.25" style="48"/>
    <col min="1536" max="1536" width="2.125" style="48" bestFit="1" customWidth="1"/>
    <col min="1537" max="1537" width="12.25" style="48" bestFit="1" customWidth="1"/>
    <col min="1538" max="1538" width="6.5" style="48" bestFit="1" customWidth="1"/>
    <col min="1539" max="1539" width="4.75" style="48" bestFit="1" customWidth="1"/>
    <col min="1540" max="1551" width="7.875" style="48" customWidth="1"/>
    <col min="1552" max="1552" width="9.375" style="48" customWidth="1"/>
    <col min="1553" max="1791" width="8.25" style="48"/>
    <col min="1792" max="1792" width="2.125" style="48" bestFit="1" customWidth="1"/>
    <col min="1793" max="1793" width="12.25" style="48" bestFit="1" customWidth="1"/>
    <col min="1794" max="1794" width="6.5" style="48" bestFit="1" customWidth="1"/>
    <col min="1795" max="1795" width="4.75" style="48" bestFit="1" customWidth="1"/>
    <col min="1796" max="1807" width="7.875" style="48" customWidth="1"/>
    <col min="1808" max="1808" width="9.375" style="48" customWidth="1"/>
    <col min="1809" max="2047" width="8.25" style="48"/>
    <col min="2048" max="2048" width="2.125" style="48" bestFit="1" customWidth="1"/>
    <col min="2049" max="2049" width="12.25" style="48" bestFit="1" customWidth="1"/>
    <col min="2050" max="2050" width="6.5" style="48" bestFit="1" customWidth="1"/>
    <col min="2051" max="2051" width="4.75" style="48" bestFit="1" customWidth="1"/>
    <col min="2052" max="2063" width="7.875" style="48" customWidth="1"/>
    <col min="2064" max="2064" width="9.375" style="48" customWidth="1"/>
    <col min="2065" max="2303" width="8.25" style="48"/>
    <col min="2304" max="2304" width="2.125" style="48" bestFit="1" customWidth="1"/>
    <col min="2305" max="2305" width="12.25" style="48" bestFit="1" customWidth="1"/>
    <col min="2306" max="2306" width="6.5" style="48" bestFit="1" customWidth="1"/>
    <col min="2307" max="2307" width="4.75" style="48" bestFit="1" customWidth="1"/>
    <col min="2308" max="2319" width="7.875" style="48" customWidth="1"/>
    <col min="2320" max="2320" width="9.375" style="48" customWidth="1"/>
    <col min="2321" max="2559" width="8.25" style="48"/>
    <col min="2560" max="2560" width="2.125" style="48" bestFit="1" customWidth="1"/>
    <col min="2561" max="2561" width="12.25" style="48" bestFit="1" customWidth="1"/>
    <col min="2562" max="2562" width="6.5" style="48" bestFit="1" customWidth="1"/>
    <col min="2563" max="2563" width="4.75" style="48" bestFit="1" customWidth="1"/>
    <col min="2564" max="2575" width="7.875" style="48" customWidth="1"/>
    <col min="2576" max="2576" width="9.375" style="48" customWidth="1"/>
    <col min="2577" max="2815" width="8.25" style="48"/>
    <col min="2816" max="2816" width="2.125" style="48" bestFit="1" customWidth="1"/>
    <col min="2817" max="2817" width="12.25" style="48" bestFit="1" customWidth="1"/>
    <col min="2818" max="2818" width="6.5" style="48" bestFit="1" customWidth="1"/>
    <col min="2819" max="2819" width="4.75" style="48" bestFit="1" customWidth="1"/>
    <col min="2820" max="2831" width="7.875" style="48" customWidth="1"/>
    <col min="2832" max="2832" width="9.375" style="48" customWidth="1"/>
    <col min="2833" max="3071" width="8.25" style="48"/>
    <col min="3072" max="3072" width="2.125" style="48" bestFit="1" customWidth="1"/>
    <col min="3073" max="3073" width="12.25" style="48" bestFit="1" customWidth="1"/>
    <col min="3074" max="3074" width="6.5" style="48" bestFit="1" customWidth="1"/>
    <col min="3075" max="3075" width="4.75" style="48" bestFit="1" customWidth="1"/>
    <col min="3076" max="3087" width="7.875" style="48" customWidth="1"/>
    <col min="3088" max="3088" width="9.375" style="48" customWidth="1"/>
    <col min="3089" max="3327" width="8.25" style="48"/>
    <col min="3328" max="3328" width="2.125" style="48" bestFit="1" customWidth="1"/>
    <col min="3329" max="3329" width="12.25" style="48" bestFit="1" customWidth="1"/>
    <col min="3330" max="3330" width="6.5" style="48" bestFit="1" customWidth="1"/>
    <col min="3331" max="3331" width="4.75" style="48" bestFit="1" customWidth="1"/>
    <col min="3332" max="3343" width="7.875" style="48" customWidth="1"/>
    <col min="3344" max="3344" width="9.375" style="48" customWidth="1"/>
    <col min="3345" max="3583" width="8.25" style="48"/>
    <col min="3584" max="3584" width="2.125" style="48" bestFit="1" customWidth="1"/>
    <col min="3585" max="3585" width="12.25" style="48" bestFit="1" customWidth="1"/>
    <col min="3586" max="3586" width="6.5" style="48" bestFit="1" customWidth="1"/>
    <col min="3587" max="3587" width="4.75" style="48" bestFit="1" customWidth="1"/>
    <col min="3588" max="3599" width="7.875" style="48" customWidth="1"/>
    <col min="3600" max="3600" width="9.375" style="48" customWidth="1"/>
    <col min="3601" max="3839" width="8.25" style="48"/>
    <col min="3840" max="3840" width="2.125" style="48" bestFit="1" customWidth="1"/>
    <col min="3841" max="3841" width="12.25" style="48" bestFit="1" customWidth="1"/>
    <col min="3842" max="3842" width="6.5" style="48" bestFit="1" customWidth="1"/>
    <col min="3843" max="3843" width="4.75" style="48" bestFit="1" customWidth="1"/>
    <col min="3844" max="3855" width="7.875" style="48" customWidth="1"/>
    <col min="3856" max="3856" width="9.375" style="48" customWidth="1"/>
    <col min="3857" max="4095" width="8.25" style="48"/>
    <col min="4096" max="4096" width="2.125" style="48" bestFit="1" customWidth="1"/>
    <col min="4097" max="4097" width="12.25" style="48" bestFit="1" customWidth="1"/>
    <col min="4098" max="4098" width="6.5" style="48" bestFit="1" customWidth="1"/>
    <col min="4099" max="4099" width="4.75" style="48" bestFit="1" customWidth="1"/>
    <col min="4100" max="4111" width="7.875" style="48" customWidth="1"/>
    <col min="4112" max="4112" width="9.375" style="48" customWidth="1"/>
    <col min="4113" max="4351" width="8.25" style="48"/>
    <col min="4352" max="4352" width="2.125" style="48" bestFit="1" customWidth="1"/>
    <col min="4353" max="4353" width="12.25" style="48" bestFit="1" customWidth="1"/>
    <col min="4354" max="4354" width="6.5" style="48" bestFit="1" customWidth="1"/>
    <col min="4355" max="4355" width="4.75" style="48" bestFit="1" customWidth="1"/>
    <col min="4356" max="4367" width="7.875" style="48" customWidth="1"/>
    <col min="4368" max="4368" width="9.375" style="48" customWidth="1"/>
    <col min="4369" max="4607" width="8.25" style="48"/>
    <col min="4608" max="4608" width="2.125" style="48" bestFit="1" customWidth="1"/>
    <col min="4609" max="4609" width="12.25" style="48" bestFit="1" customWidth="1"/>
    <col min="4610" max="4610" width="6.5" style="48" bestFit="1" customWidth="1"/>
    <col min="4611" max="4611" width="4.75" style="48" bestFit="1" customWidth="1"/>
    <col min="4612" max="4623" width="7.875" style="48" customWidth="1"/>
    <col min="4624" max="4624" width="9.375" style="48" customWidth="1"/>
    <col min="4625" max="4863" width="8.25" style="48"/>
    <col min="4864" max="4864" width="2.125" style="48" bestFit="1" customWidth="1"/>
    <col min="4865" max="4865" width="12.25" style="48" bestFit="1" customWidth="1"/>
    <col min="4866" max="4866" width="6.5" style="48" bestFit="1" customWidth="1"/>
    <col min="4867" max="4867" width="4.75" style="48" bestFit="1" customWidth="1"/>
    <col min="4868" max="4879" width="7.875" style="48" customWidth="1"/>
    <col min="4880" max="4880" width="9.375" style="48" customWidth="1"/>
    <col min="4881" max="5119" width="8.25" style="48"/>
    <col min="5120" max="5120" width="2.125" style="48" bestFit="1" customWidth="1"/>
    <col min="5121" max="5121" width="12.25" style="48" bestFit="1" customWidth="1"/>
    <col min="5122" max="5122" width="6.5" style="48" bestFit="1" customWidth="1"/>
    <col min="5123" max="5123" width="4.75" style="48" bestFit="1" customWidth="1"/>
    <col min="5124" max="5135" width="7.875" style="48" customWidth="1"/>
    <col min="5136" max="5136" width="9.375" style="48" customWidth="1"/>
    <col min="5137" max="5375" width="8.25" style="48"/>
    <col min="5376" max="5376" width="2.125" style="48" bestFit="1" customWidth="1"/>
    <col min="5377" max="5377" width="12.25" style="48" bestFit="1" customWidth="1"/>
    <col min="5378" max="5378" width="6.5" style="48" bestFit="1" customWidth="1"/>
    <col min="5379" max="5379" width="4.75" style="48" bestFit="1" customWidth="1"/>
    <col min="5380" max="5391" width="7.875" style="48" customWidth="1"/>
    <col min="5392" max="5392" width="9.375" style="48" customWidth="1"/>
    <col min="5393" max="5631" width="8.25" style="48"/>
    <col min="5632" max="5632" width="2.125" style="48" bestFit="1" customWidth="1"/>
    <col min="5633" max="5633" width="12.25" style="48" bestFit="1" customWidth="1"/>
    <col min="5634" max="5634" width="6.5" style="48" bestFit="1" customWidth="1"/>
    <col min="5635" max="5635" width="4.75" style="48" bestFit="1" customWidth="1"/>
    <col min="5636" max="5647" width="7.875" style="48" customWidth="1"/>
    <col min="5648" max="5648" width="9.375" style="48" customWidth="1"/>
    <col min="5649" max="5887" width="8.25" style="48"/>
    <col min="5888" max="5888" width="2.125" style="48" bestFit="1" customWidth="1"/>
    <col min="5889" max="5889" width="12.25" style="48" bestFit="1" customWidth="1"/>
    <col min="5890" max="5890" width="6.5" style="48" bestFit="1" customWidth="1"/>
    <col min="5891" max="5891" width="4.75" style="48" bestFit="1" customWidth="1"/>
    <col min="5892" max="5903" width="7.875" style="48" customWidth="1"/>
    <col min="5904" max="5904" width="9.375" style="48" customWidth="1"/>
    <col min="5905" max="6143" width="8.25" style="48"/>
    <col min="6144" max="6144" width="2.125" style="48" bestFit="1" customWidth="1"/>
    <col min="6145" max="6145" width="12.25" style="48" bestFit="1" customWidth="1"/>
    <col min="6146" max="6146" width="6.5" style="48" bestFit="1" customWidth="1"/>
    <col min="6147" max="6147" width="4.75" style="48" bestFit="1" customWidth="1"/>
    <col min="6148" max="6159" width="7.875" style="48" customWidth="1"/>
    <col min="6160" max="6160" width="9.375" style="48" customWidth="1"/>
    <col min="6161" max="6399" width="8.25" style="48"/>
    <col min="6400" max="6400" width="2.125" style="48" bestFit="1" customWidth="1"/>
    <col min="6401" max="6401" width="12.25" style="48" bestFit="1" customWidth="1"/>
    <col min="6402" max="6402" width="6.5" style="48" bestFit="1" customWidth="1"/>
    <col min="6403" max="6403" width="4.75" style="48" bestFit="1" customWidth="1"/>
    <col min="6404" max="6415" width="7.875" style="48" customWidth="1"/>
    <col min="6416" max="6416" width="9.375" style="48" customWidth="1"/>
    <col min="6417" max="6655" width="8.25" style="48"/>
    <col min="6656" max="6656" width="2.125" style="48" bestFit="1" customWidth="1"/>
    <col min="6657" max="6657" width="12.25" style="48" bestFit="1" customWidth="1"/>
    <col min="6658" max="6658" width="6.5" style="48" bestFit="1" customWidth="1"/>
    <col min="6659" max="6659" width="4.75" style="48" bestFit="1" customWidth="1"/>
    <col min="6660" max="6671" width="7.875" style="48" customWidth="1"/>
    <col min="6672" max="6672" width="9.375" style="48" customWidth="1"/>
    <col min="6673" max="6911" width="8.25" style="48"/>
    <col min="6912" max="6912" width="2.125" style="48" bestFit="1" customWidth="1"/>
    <col min="6913" max="6913" width="12.25" style="48" bestFit="1" customWidth="1"/>
    <col min="6914" max="6914" width="6.5" style="48" bestFit="1" customWidth="1"/>
    <col min="6915" max="6915" width="4.75" style="48" bestFit="1" customWidth="1"/>
    <col min="6916" max="6927" width="7.875" style="48" customWidth="1"/>
    <col min="6928" max="6928" width="9.375" style="48" customWidth="1"/>
    <col min="6929" max="7167" width="8.25" style="48"/>
    <col min="7168" max="7168" width="2.125" style="48" bestFit="1" customWidth="1"/>
    <col min="7169" max="7169" width="12.25" style="48" bestFit="1" customWidth="1"/>
    <col min="7170" max="7170" width="6.5" style="48" bestFit="1" customWidth="1"/>
    <col min="7171" max="7171" width="4.75" style="48" bestFit="1" customWidth="1"/>
    <col min="7172" max="7183" width="7.875" style="48" customWidth="1"/>
    <col min="7184" max="7184" width="9.375" style="48" customWidth="1"/>
    <col min="7185" max="7423" width="8.25" style="48"/>
    <col min="7424" max="7424" width="2.125" style="48" bestFit="1" customWidth="1"/>
    <col min="7425" max="7425" width="12.25" style="48" bestFit="1" customWidth="1"/>
    <col min="7426" max="7426" width="6.5" style="48" bestFit="1" customWidth="1"/>
    <col min="7427" max="7427" width="4.75" style="48" bestFit="1" customWidth="1"/>
    <col min="7428" max="7439" width="7.875" style="48" customWidth="1"/>
    <col min="7440" max="7440" width="9.375" style="48" customWidth="1"/>
    <col min="7441" max="7679" width="8.25" style="48"/>
    <col min="7680" max="7680" width="2.125" style="48" bestFit="1" customWidth="1"/>
    <col min="7681" max="7681" width="12.25" style="48" bestFit="1" customWidth="1"/>
    <col min="7682" max="7682" width="6.5" style="48" bestFit="1" customWidth="1"/>
    <col min="7683" max="7683" width="4.75" style="48" bestFit="1" customWidth="1"/>
    <col min="7684" max="7695" width="7.875" style="48" customWidth="1"/>
    <col min="7696" max="7696" width="9.375" style="48" customWidth="1"/>
    <col min="7697" max="7935" width="8.25" style="48"/>
    <col min="7936" max="7936" width="2.125" style="48" bestFit="1" customWidth="1"/>
    <col min="7937" max="7937" width="12.25" style="48" bestFit="1" customWidth="1"/>
    <col min="7938" max="7938" width="6.5" style="48" bestFit="1" customWidth="1"/>
    <col min="7939" max="7939" width="4.75" style="48" bestFit="1" customWidth="1"/>
    <col min="7940" max="7951" width="7.875" style="48" customWidth="1"/>
    <col min="7952" max="7952" width="9.375" style="48" customWidth="1"/>
    <col min="7953" max="8191" width="8.25" style="48"/>
    <col min="8192" max="8192" width="2.125" style="48" bestFit="1" customWidth="1"/>
    <col min="8193" max="8193" width="12.25" style="48" bestFit="1" customWidth="1"/>
    <col min="8194" max="8194" width="6.5" style="48" bestFit="1" customWidth="1"/>
    <col min="8195" max="8195" width="4.75" style="48" bestFit="1" customWidth="1"/>
    <col min="8196" max="8207" width="7.875" style="48" customWidth="1"/>
    <col min="8208" max="8208" width="9.375" style="48" customWidth="1"/>
    <col min="8209" max="8447" width="8.25" style="48"/>
    <col min="8448" max="8448" width="2.125" style="48" bestFit="1" customWidth="1"/>
    <col min="8449" max="8449" width="12.25" style="48" bestFit="1" customWidth="1"/>
    <col min="8450" max="8450" width="6.5" style="48" bestFit="1" customWidth="1"/>
    <col min="8451" max="8451" width="4.75" style="48" bestFit="1" customWidth="1"/>
    <col min="8452" max="8463" width="7.875" style="48" customWidth="1"/>
    <col min="8464" max="8464" width="9.375" style="48" customWidth="1"/>
    <col min="8465" max="8703" width="8.25" style="48"/>
    <col min="8704" max="8704" width="2.125" style="48" bestFit="1" customWidth="1"/>
    <col min="8705" max="8705" width="12.25" style="48" bestFit="1" customWidth="1"/>
    <col min="8706" max="8706" width="6.5" style="48" bestFit="1" customWidth="1"/>
    <col min="8707" max="8707" width="4.75" style="48" bestFit="1" customWidth="1"/>
    <col min="8708" max="8719" width="7.875" style="48" customWidth="1"/>
    <col min="8720" max="8720" width="9.375" style="48" customWidth="1"/>
    <col min="8721" max="8959" width="8.25" style="48"/>
    <col min="8960" max="8960" width="2.125" style="48" bestFit="1" customWidth="1"/>
    <col min="8961" max="8961" width="12.25" style="48" bestFit="1" customWidth="1"/>
    <col min="8962" max="8962" width="6.5" style="48" bestFit="1" customWidth="1"/>
    <col min="8963" max="8963" width="4.75" style="48" bestFit="1" customWidth="1"/>
    <col min="8964" max="8975" width="7.875" style="48" customWidth="1"/>
    <col min="8976" max="8976" width="9.375" style="48" customWidth="1"/>
    <col min="8977" max="9215" width="8.25" style="48"/>
    <col min="9216" max="9216" width="2.125" style="48" bestFit="1" customWidth="1"/>
    <col min="9217" max="9217" width="12.25" style="48" bestFit="1" customWidth="1"/>
    <col min="9218" max="9218" width="6.5" style="48" bestFit="1" customWidth="1"/>
    <col min="9219" max="9219" width="4.75" style="48" bestFit="1" customWidth="1"/>
    <col min="9220" max="9231" width="7.875" style="48" customWidth="1"/>
    <col min="9232" max="9232" width="9.375" style="48" customWidth="1"/>
    <col min="9233" max="9471" width="8.25" style="48"/>
    <col min="9472" max="9472" width="2.125" style="48" bestFit="1" customWidth="1"/>
    <col min="9473" max="9473" width="12.25" style="48" bestFit="1" customWidth="1"/>
    <col min="9474" max="9474" width="6.5" style="48" bestFit="1" customWidth="1"/>
    <col min="9475" max="9475" width="4.75" style="48" bestFit="1" customWidth="1"/>
    <col min="9476" max="9487" width="7.875" style="48" customWidth="1"/>
    <col min="9488" max="9488" width="9.375" style="48" customWidth="1"/>
    <col min="9489" max="9727" width="8.25" style="48"/>
    <col min="9728" max="9728" width="2.125" style="48" bestFit="1" customWidth="1"/>
    <col min="9729" max="9729" width="12.25" style="48" bestFit="1" customWidth="1"/>
    <col min="9730" max="9730" width="6.5" style="48" bestFit="1" customWidth="1"/>
    <col min="9731" max="9731" width="4.75" style="48" bestFit="1" customWidth="1"/>
    <col min="9732" max="9743" width="7.875" style="48" customWidth="1"/>
    <col min="9744" max="9744" width="9.375" style="48" customWidth="1"/>
    <col min="9745" max="9983" width="8.25" style="48"/>
    <col min="9984" max="9984" width="2.125" style="48" bestFit="1" customWidth="1"/>
    <col min="9985" max="9985" width="12.25" style="48" bestFit="1" customWidth="1"/>
    <col min="9986" max="9986" width="6.5" style="48" bestFit="1" customWidth="1"/>
    <col min="9987" max="9987" width="4.75" style="48" bestFit="1" customWidth="1"/>
    <col min="9988" max="9999" width="7.875" style="48" customWidth="1"/>
    <col min="10000" max="10000" width="9.375" style="48" customWidth="1"/>
    <col min="10001" max="10239" width="8.25" style="48"/>
    <col min="10240" max="10240" width="2.125" style="48" bestFit="1" customWidth="1"/>
    <col min="10241" max="10241" width="12.25" style="48" bestFit="1" customWidth="1"/>
    <col min="10242" max="10242" width="6.5" style="48" bestFit="1" customWidth="1"/>
    <col min="10243" max="10243" width="4.75" style="48" bestFit="1" customWidth="1"/>
    <col min="10244" max="10255" width="7.875" style="48" customWidth="1"/>
    <col min="10256" max="10256" width="9.375" style="48" customWidth="1"/>
    <col min="10257" max="10495" width="8.25" style="48"/>
    <col min="10496" max="10496" width="2.125" style="48" bestFit="1" customWidth="1"/>
    <col min="10497" max="10497" width="12.25" style="48" bestFit="1" customWidth="1"/>
    <col min="10498" max="10498" width="6.5" style="48" bestFit="1" customWidth="1"/>
    <col min="10499" max="10499" width="4.75" style="48" bestFit="1" customWidth="1"/>
    <col min="10500" max="10511" width="7.875" style="48" customWidth="1"/>
    <col min="10512" max="10512" width="9.375" style="48" customWidth="1"/>
    <col min="10513" max="10751" width="8.25" style="48"/>
    <col min="10752" max="10752" width="2.125" style="48" bestFit="1" customWidth="1"/>
    <col min="10753" max="10753" width="12.25" style="48" bestFit="1" customWidth="1"/>
    <col min="10754" max="10754" width="6.5" style="48" bestFit="1" customWidth="1"/>
    <col min="10755" max="10755" width="4.75" style="48" bestFit="1" customWidth="1"/>
    <col min="10756" max="10767" width="7.875" style="48" customWidth="1"/>
    <col min="10768" max="10768" width="9.375" style="48" customWidth="1"/>
    <col min="10769" max="11007" width="8.25" style="48"/>
    <col min="11008" max="11008" width="2.125" style="48" bestFit="1" customWidth="1"/>
    <col min="11009" max="11009" width="12.25" style="48" bestFit="1" customWidth="1"/>
    <col min="11010" max="11010" width="6.5" style="48" bestFit="1" customWidth="1"/>
    <col min="11011" max="11011" width="4.75" style="48" bestFit="1" customWidth="1"/>
    <col min="11012" max="11023" width="7.875" style="48" customWidth="1"/>
    <col min="11024" max="11024" width="9.375" style="48" customWidth="1"/>
    <col min="11025" max="11263" width="8.25" style="48"/>
    <col min="11264" max="11264" width="2.125" style="48" bestFit="1" customWidth="1"/>
    <col min="11265" max="11265" width="12.25" style="48" bestFit="1" customWidth="1"/>
    <col min="11266" max="11266" width="6.5" style="48" bestFit="1" customWidth="1"/>
    <col min="11267" max="11267" width="4.75" style="48" bestFit="1" customWidth="1"/>
    <col min="11268" max="11279" width="7.875" style="48" customWidth="1"/>
    <col min="11280" max="11280" width="9.375" style="48" customWidth="1"/>
    <col min="11281" max="11519" width="8.25" style="48"/>
    <col min="11520" max="11520" width="2.125" style="48" bestFit="1" customWidth="1"/>
    <col min="11521" max="11521" width="12.25" style="48" bestFit="1" customWidth="1"/>
    <col min="11522" max="11522" width="6.5" style="48" bestFit="1" customWidth="1"/>
    <col min="11523" max="11523" width="4.75" style="48" bestFit="1" customWidth="1"/>
    <col min="11524" max="11535" width="7.875" style="48" customWidth="1"/>
    <col min="11536" max="11536" width="9.375" style="48" customWidth="1"/>
    <col min="11537" max="11775" width="8.25" style="48"/>
    <col min="11776" max="11776" width="2.125" style="48" bestFit="1" customWidth="1"/>
    <col min="11777" max="11777" width="12.25" style="48" bestFit="1" customWidth="1"/>
    <col min="11778" max="11778" width="6.5" style="48" bestFit="1" customWidth="1"/>
    <col min="11779" max="11779" width="4.75" style="48" bestFit="1" customWidth="1"/>
    <col min="11780" max="11791" width="7.875" style="48" customWidth="1"/>
    <col min="11792" max="11792" width="9.375" style="48" customWidth="1"/>
    <col min="11793" max="12031" width="8.25" style="48"/>
    <col min="12032" max="12032" width="2.125" style="48" bestFit="1" customWidth="1"/>
    <col min="12033" max="12033" width="12.25" style="48" bestFit="1" customWidth="1"/>
    <col min="12034" max="12034" width="6.5" style="48" bestFit="1" customWidth="1"/>
    <col min="12035" max="12035" width="4.75" style="48" bestFit="1" customWidth="1"/>
    <col min="12036" max="12047" width="7.875" style="48" customWidth="1"/>
    <col min="12048" max="12048" width="9.375" style="48" customWidth="1"/>
    <col min="12049" max="12287" width="8.25" style="48"/>
    <col min="12288" max="12288" width="2.125" style="48" bestFit="1" customWidth="1"/>
    <col min="12289" max="12289" width="12.25" style="48" bestFit="1" customWidth="1"/>
    <col min="12290" max="12290" width="6.5" style="48" bestFit="1" customWidth="1"/>
    <col min="12291" max="12291" width="4.75" style="48" bestFit="1" customWidth="1"/>
    <col min="12292" max="12303" width="7.875" style="48" customWidth="1"/>
    <col min="12304" max="12304" width="9.375" style="48" customWidth="1"/>
    <col min="12305" max="12543" width="8.25" style="48"/>
    <col min="12544" max="12544" width="2.125" style="48" bestFit="1" customWidth="1"/>
    <col min="12545" max="12545" width="12.25" style="48" bestFit="1" customWidth="1"/>
    <col min="12546" max="12546" width="6.5" style="48" bestFit="1" customWidth="1"/>
    <col min="12547" max="12547" width="4.75" style="48" bestFit="1" customWidth="1"/>
    <col min="12548" max="12559" width="7.875" style="48" customWidth="1"/>
    <col min="12560" max="12560" width="9.375" style="48" customWidth="1"/>
    <col min="12561" max="12799" width="8.25" style="48"/>
    <col min="12800" max="12800" width="2.125" style="48" bestFit="1" customWidth="1"/>
    <col min="12801" max="12801" width="12.25" style="48" bestFit="1" customWidth="1"/>
    <col min="12802" max="12802" width="6.5" style="48" bestFit="1" customWidth="1"/>
    <col min="12803" max="12803" width="4.75" style="48" bestFit="1" customWidth="1"/>
    <col min="12804" max="12815" width="7.875" style="48" customWidth="1"/>
    <col min="12816" max="12816" width="9.375" style="48" customWidth="1"/>
    <col min="12817" max="13055" width="8.25" style="48"/>
    <col min="13056" max="13056" width="2.125" style="48" bestFit="1" customWidth="1"/>
    <col min="13057" max="13057" width="12.25" style="48" bestFit="1" customWidth="1"/>
    <col min="13058" max="13058" width="6.5" style="48" bestFit="1" customWidth="1"/>
    <col min="13059" max="13059" width="4.75" style="48" bestFit="1" customWidth="1"/>
    <col min="13060" max="13071" width="7.875" style="48" customWidth="1"/>
    <col min="13072" max="13072" width="9.375" style="48" customWidth="1"/>
    <col min="13073" max="13311" width="8.25" style="48"/>
    <col min="13312" max="13312" width="2.125" style="48" bestFit="1" customWidth="1"/>
    <col min="13313" max="13313" width="12.25" style="48" bestFit="1" customWidth="1"/>
    <col min="13314" max="13314" width="6.5" style="48" bestFit="1" customWidth="1"/>
    <col min="13315" max="13315" width="4.75" style="48" bestFit="1" customWidth="1"/>
    <col min="13316" max="13327" width="7.875" style="48" customWidth="1"/>
    <col min="13328" max="13328" width="9.375" style="48" customWidth="1"/>
    <col min="13329" max="13567" width="8.25" style="48"/>
    <col min="13568" max="13568" width="2.125" style="48" bestFit="1" customWidth="1"/>
    <col min="13569" max="13569" width="12.25" style="48" bestFit="1" customWidth="1"/>
    <col min="13570" max="13570" width="6.5" style="48" bestFit="1" customWidth="1"/>
    <col min="13571" max="13571" width="4.75" style="48" bestFit="1" customWidth="1"/>
    <col min="13572" max="13583" width="7.875" style="48" customWidth="1"/>
    <col min="13584" max="13584" width="9.375" style="48" customWidth="1"/>
    <col min="13585" max="13823" width="8.25" style="48"/>
    <col min="13824" max="13824" width="2.125" style="48" bestFit="1" customWidth="1"/>
    <col min="13825" max="13825" width="12.25" style="48" bestFit="1" customWidth="1"/>
    <col min="13826" max="13826" width="6.5" style="48" bestFit="1" customWidth="1"/>
    <col min="13827" max="13827" width="4.75" style="48" bestFit="1" customWidth="1"/>
    <col min="13828" max="13839" width="7.875" style="48" customWidth="1"/>
    <col min="13840" max="13840" width="9.375" style="48" customWidth="1"/>
    <col min="13841" max="14079" width="8.25" style="48"/>
    <col min="14080" max="14080" width="2.125" style="48" bestFit="1" customWidth="1"/>
    <col min="14081" max="14081" width="12.25" style="48" bestFit="1" customWidth="1"/>
    <col min="14082" max="14082" width="6.5" style="48" bestFit="1" customWidth="1"/>
    <col min="14083" max="14083" width="4.75" style="48" bestFit="1" customWidth="1"/>
    <col min="14084" max="14095" width="7.875" style="48" customWidth="1"/>
    <col min="14096" max="14096" width="9.375" style="48" customWidth="1"/>
    <col min="14097" max="14335" width="8.25" style="48"/>
    <col min="14336" max="14336" width="2.125" style="48" bestFit="1" customWidth="1"/>
    <col min="14337" max="14337" width="12.25" style="48" bestFit="1" customWidth="1"/>
    <col min="14338" max="14338" width="6.5" style="48" bestFit="1" customWidth="1"/>
    <col min="14339" max="14339" width="4.75" style="48" bestFit="1" customWidth="1"/>
    <col min="14340" max="14351" width="7.875" style="48" customWidth="1"/>
    <col min="14352" max="14352" width="9.375" style="48" customWidth="1"/>
    <col min="14353" max="14591" width="8.25" style="48"/>
    <col min="14592" max="14592" width="2.125" style="48" bestFit="1" customWidth="1"/>
    <col min="14593" max="14593" width="12.25" style="48" bestFit="1" customWidth="1"/>
    <col min="14594" max="14594" width="6.5" style="48" bestFit="1" customWidth="1"/>
    <col min="14595" max="14595" width="4.75" style="48" bestFit="1" customWidth="1"/>
    <col min="14596" max="14607" width="7.875" style="48" customWidth="1"/>
    <col min="14608" max="14608" width="9.375" style="48" customWidth="1"/>
    <col min="14609" max="14847" width="8.25" style="48"/>
    <col min="14848" max="14848" width="2.125" style="48" bestFit="1" customWidth="1"/>
    <col min="14849" max="14849" width="12.25" style="48" bestFit="1" customWidth="1"/>
    <col min="14850" max="14850" width="6.5" style="48" bestFit="1" customWidth="1"/>
    <col min="14851" max="14851" width="4.75" style="48" bestFit="1" customWidth="1"/>
    <col min="14852" max="14863" width="7.875" style="48" customWidth="1"/>
    <col min="14864" max="14864" width="9.375" style="48" customWidth="1"/>
    <col min="14865" max="15103" width="8.25" style="48"/>
    <col min="15104" max="15104" width="2.125" style="48" bestFit="1" customWidth="1"/>
    <col min="15105" max="15105" width="12.25" style="48" bestFit="1" customWidth="1"/>
    <col min="15106" max="15106" width="6.5" style="48" bestFit="1" customWidth="1"/>
    <col min="15107" max="15107" width="4.75" style="48" bestFit="1" customWidth="1"/>
    <col min="15108" max="15119" width="7.875" style="48" customWidth="1"/>
    <col min="15120" max="15120" width="9.375" style="48" customWidth="1"/>
    <col min="15121" max="15359" width="8.25" style="48"/>
    <col min="15360" max="15360" width="2.125" style="48" bestFit="1" customWidth="1"/>
    <col min="15361" max="15361" width="12.25" style="48" bestFit="1" customWidth="1"/>
    <col min="15362" max="15362" width="6.5" style="48" bestFit="1" customWidth="1"/>
    <col min="15363" max="15363" width="4.75" style="48" bestFit="1" customWidth="1"/>
    <col min="15364" max="15375" width="7.875" style="48" customWidth="1"/>
    <col min="15376" max="15376" width="9.375" style="48" customWidth="1"/>
    <col min="15377" max="15615" width="8.25" style="48"/>
    <col min="15616" max="15616" width="2.125" style="48" bestFit="1" customWidth="1"/>
    <col min="15617" max="15617" width="12.25" style="48" bestFit="1" customWidth="1"/>
    <col min="15618" max="15618" width="6.5" style="48" bestFit="1" customWidth="1"/>
    <col min="15619" max="15619" width="4.75" style="48" bestFit="1" customWidth="1"/>
    <col min="15620" max="15631" width="7.875" style="48" customWidth="1"/>
    <col min="15632" max="15632" width="9.375" style="48" customWidth="1"/>
    <col min="15633" max="15871" width="8.25" style="48"/>
    <col min="15872" max="15872" width="2.125" style="48" bestFit="1" customWidth="1"/>
    <col min="15873" max="15873" width="12.25" style="48" bestFit="1" customWidth="1"/>
    <col min="15874" max="15874" width="6.5" style="48" bestFit="1" customWidth="1"/>
    <col min="15875" max="15875" width="4.75" style="48" bestFit="1" customWidth="1"/>
    <col min="15876" max="15887" width="7.875" style="48" customWidth="1"/>
    <col min="15888" max="15888" width="9.375" style="48" customWidth="1"/>
    <col min="15889" max="16127" width="8.25" style="48"/>
    <col min="16128" max="16128" width="2.125" style="48" bestFit="1" customWidth="1"/>
    <col min="16129" max="16129" width="12.25" style="48" bestFit="1" customWidth="1"/>
    <col min="16130" max="16130" width="6.5" style="48" bestFit="1" customWidth="1"/>
    <col min="16131" max="16131" width="4.75" style="48" bestFit="1" customWidth="1"/>
    <col min="16132" max="16143" width="7.875" style="48" customWidth="1"/>
    <col min="16144" max="16144" width="9.375" style="48" customWidth="1"/>
    <col min="16145" max="16384" width="8.25" style="48"/>
  </cols>
  <sheetData>
    <row r="1" spans="2:17" ht="14.25">
      <c r="B1" s="57" t="s">
        <v>93</v>
      </c>
      <c r="G1" s="44"/>
      <c r="H1" s="44" t="s">
        <v>94</v>
      </c>
      <c r="I1" s="49"/>
      <c r="L1" s="49"/>
    </row>
    <row r="2" spans="2:17" ht="14.25">
      <c r="B2" s="57"/>
      <c r="G2" s="44"/>
      <c r="H2" s="44"/>
      <c r="I2" s="49"/>
      <c r="L2" s="49"/>
    </row>
    <row r="3" spans="2:17" s="22" customFormat="1" ht="14.25">
      <c r="B3" s="29" t="s">
        <v>1</v>
      </c>
    </row>
    <row r="4" spans="2:17">
      <c r="B4" s="47"/>
      <c r="C4" s="45" t="s">
        <v>95</v>
      </c>
      <c r="D4" s="36" t="s">
        <v>5</v>
      </c>
      <c r="E4" s="36" t="s">
        <v>6</v>
      </c>
      <c r="F4" s="36" t="s">
        <v>7</v>
      </c>
      <c r="G4" s="36" t="s">
        <v>8</v>
      </c>
      <c r="H4" s="36" t="s">
        <v>9</v>
      </c>
      <c r="I4" s="36" t="s">
        <v>10</v>
      </c>
      <c r="J4" s="36" t="s">
        <v>11</v>
      </c>
      <c r="K4" s="36" t="s">
        <v>12</v>
      </c>
      <c r="L4" s="36" t="s">
        <v>13</v>
      </c>
      <c r="M4" s="36" t="s">
        <v>14</v>
      </c>
      <c r="N4" s="36" t="s">
        <v>15</v>
      </c>
      <c r="O4" s="36" t="s">
        <v>16</v>
      </c>
      <c r="P4" s="50" t="s">
        <v>96</v>
      </c>
    </row>
    <row r="5" spans="2:17">
      <c r="B5" s="46">
        <v>1</v>
      </c>
      <c r="C5" s="47" t="s">
        <v>106</v>
      </c>
      <c r="D5" s="51"/>
      <c r="E5" s="51"/>
      <c r="F5" s="52"/>
      <c r="G5" s="51"/>
      <c r="H5" s="51"/>
      <c r="I5" s="52"/>
      <c r="J5" s="51"/>
      <c r="K5" s="51"/>
      <c r="L5" s="51"/>
      <c r="M5" s="51"/>
      <c r="N5" s="51"/>
      <c r="O5" s="51"/>
      <c r="P5" s="53"/>
      <c r="Q5" s="49"/>
    </row>
    <row r="6" spans="2:17" ht="13.5" customHeight="1">
      <c r="B6" s="46">
        <v>2</v>
      </c>
      <c r="C6" s="47" t="s">
        <v>107</v>
      </c>
      <c r="D6" s="52"/>
      <c r="E6" s="51"/>
      <c r="F6" s="52"/>
      <c r="G6" s="52"/>
      <c r="H6" s="51"/>
      <c r="I6" s="52"/>
      <c r="J6" s="52"/>
      <c r="K6" s="52"/>
      <c r="L6" s="52"/>
      <c r="M6" s="52"/>
      <c r="N6" s="51"/>
      <c r="O6" s="51"/>
      <c r="P6" s="53"/>
    </row>
    <row r="7" spans="2:17">
      <c r="B7" s="46">
        <v>3</v>
      </c>
      <c r="C7" s="47" t="s">
        <v>108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3"/>
    </row>
    <row r="8" spans="2:17">
      <c r="B8" s="46">
        <v>4</v>
      </c>
      <c r="C8" s="47" t="s">
        <v>109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3"/>
    </row>
    <row r="9" spans="2:17">
      <c r="B9" s="46">
        <v>5</v>
      </c>
      <c r="C9" s="47" t="s">
        <v>110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3"/>
    </row>
    <row r="10" spans="2:17">
      <c r="B10" s="46">
        <v>6</v>
      </c>
      <c r="C10" s="47" t="s">
        <v>111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3"/>
    </row>
    <row r="11" spans="2:17">
      <c r="B11" s="46">
        <v>7</v>
      </c>
      <c r="C11" s="47" t="s">
        <v>112</v>
      </c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3"/>
    </row>
    <row r="12" spans="2:17">
      <c r="B12" s="46">
        <v>8</v>
      </c>
      <c r="C12" s="47" t="s">
        <v>113</v>
      </c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3"/>
    </row>
    <row r="13" spans="2:17">
      <c r="B13" s="46">
        <v>9</v>
      </c>
      <c r="C13" s="47" t="s">
        <v>114</v>
      </c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3"/>
    </row>
    <row r="14" spans="2:17">
      <c r="B14" s="46">
        <v>10</v>
      </c>
      <c r="C14" s="47" t="s">
        <v>115</v>
      </c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3"/>
    </row>
    <row r="15" spans="2:17">
      <c r="B15" s="47"/>
      <c r="C15" s="47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3"/>
    </row>
    <row r="16" spans="2:17" ht="15.4" customHeight="1">
      <c r="B16" s="57"/>
      <c r="G16" s="44"/>
      <c r="H16" s="44"/>
      <c r="I16" s="49"/>
      <c r="L16" s="49"/>
    </row>
    <row r="17" spans="2:17" s="22" customFormat="1" ht="14.25">
      <c r="B17" s="29" t="s">
        <v>49</v>
      </c>
    </row>
    <row r="18" spans="2:17">
      <c r="B18" s="47"/>
      <c r="C18" s="45" t="s">
        <v>95</v>
      </c>
      <c r="D18" s="36" t="s">
        <v>5</v>
      </c>
      <c r="E18" s="36" t="s">
        <v>6</v>
      </c>
      <c r="F18" s="36" t="s">
        <v>7</v>
      </c>
      <c r="G18" s="36" t="s">
        <v>8</v>
      </c>
      <c r="H18" s="36" t="s">
        <v>9</v>
      </c>
      <c r="I18" s="36" t="s">
        <v>10</v>
      </c>
      <c r="J18" s="36" t="s">
        <v>11</v>
      </c>
      <c r="K18" s="36" t="s">
        <v>12</v>
      </c>
      <c r="L18" s="36" t="s">
        <v>13</v>
      </c>
      <c r="M18" s="36" t="s">
        <v>14</v>
      </c>
      <c r="N18" s="36" t="s">
        <v>15</v>
      </c>
      <c r="O18" s="36" t="s">
        <v>16</v>
      </c>
      <c r="P18" s="50" t="s">
        <v>96</v>
      </c>
    </row>
    <row r="19" spans="2:17">
      <c r="B19" s="46">
        <v>1</v>
      </c>
      <c r="C19" s="47" t="s">
        <v>106</v>
      </c>
      <c r="D19" s="51"/>
      <c r="E19" s="51"/>
      <c r="F19" s="52"/>
      <c r="G19" s="51"/>
      <c r="H19" s="51"/>
      <c r="I19" s="52"/>
      <c r="J19" s="51"/>
      <c r="K19" s="51"/>
      <c r="L19" s="51"/>
      <c r="M19" s="51"/>
      <c r="N19" s="51"/>
      <c r="O19" s="51"/>
      <c r="P19" s="53"/>
      <c r="Q19" s="49"/>
    </row>
    <row r="20" spans="2:17" ht="13.5" customHeight="1">
      <c r="B20" s="46">
        <v>2</v>
      </c>
      <c r="C20" s="47" t="s">
        <v>107</v>
      </c>
      <c r="D20" s="52"/>
      <c r="E20" s="51"/>
      <c r="F20" s="52"/>
      <c r="G20" s="52"/>
      <c r="H20" s="51"/>
      <c r="I20" s="52"/>
      <c r="J20" s="52"/>
      <c r="K20" s="52"/>
      <c r="L20" s="52"/>
      <c r="M20" s="52"/>
      <c r="N20" s="51"/>
      <c r="O20" s="51"/>
      <c r="P20" s="53"/>
    </row>
    <row r="21" spans="2:17">
      <c r="B21" s="46">
        <v>3</v>
      </c>
      <c r="C21" s="47" t="s">
        <v>108</v>
      </c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</row>
    <row r="22" spans="2:17">
      <c r="B22" s="46">
        <v>4</v>
      </c>
      <c r="C22" s="47" t="s">
        <v>109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3"/>
    </row>
    <row r="23" spans="2:17">
      <c r="B23" s="46">
        <v>5</v>
      </c>
      <c r="C23" s="47" t="s">
        <v>110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3"/>
    </row>
    <row r="24" spans="2:17">
      <c r="B24" s="46">
        <v>6</v>
      </c>
      <c r="C24" s="47" t="s">
        <v>111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3"/>
    </row>
    <row r="25" spans="2:17">
      <c r="B25" s="46">
        <v>7</v>
      </c>
      <c r="C25" s="47" t="s">
        <v>112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3"/>
    </row>
    <row r="26" spans="2:17">
      <c r="B26" s="46">
        <v>8</v>
      </c>
      <c r="C26" s="47" t="s">
        <v>113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3"/>
    </row>
    <row r="27" spans="2:17">
      <c r="B27" s="46">
        <v>9</v>
      </c>
      <c r="C27" s="47" t="s">
        <v>114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3"/>
    </row>
    <row r="28" spans="2:17">
      <c r="B28" s="46">
        <v>10</v>
      </c>
      <c r="C28" s="47" t="s">
        <v>115</v>
      </c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3"/>
    </row>
    <row r="29" spans="2:17">
      <c r="B29" s="47"/>
      <c r="C29" s="47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3"/>
    </row>
    <row r="30" spans="2:17">
      <c r="D30" s="54"/>
      <c r="E30" s="55"/>
      <c r="F30" s="56"/>
      <c r="G30" s="54"/>
      <c r="H30" s="55"/>
      <c r="I30" s="56"/>
      <c r="J30" s="54"/>
      <c r="K30" s="55"/>
      <c r="L30" s="56"/>
      <c r="M30" s="54"/>
      <c r="N30" s="55"/>
      <c r="O30" s="56"/>
    </row>
  </sheetData>
  <phoneticPr fontId="2"/>
  <pageMargins left="0.39370078740157483" right="0.39370078740157483" top="0.59055118110236227" bottom="0.39370078740157483" header="0.51181102362204722" footer="0.31496062992125984"/>
  <pageSetup paperSize="9" orientation="landscape" r:id="rId1"/>
  <headerFooter alignWithMargins="0"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490C-2125-4650-B58C-277FA33915CC}">
  <dimension ref="B1:Q30"/>
  <sheetViews>
    <sheetView zoomScale="110" zoomScaleNormal="110" zoomScaleSheetLayoutView="100" workbookViewId="0">
      <selection activeCell="J34" sqref="J34"/>
    </sheetView>
  </sheetViews>
  <sheetFormatPr defaultColWidth="8.25" defaultRowHeight="12"/>
  <cols>
    <col min="1" max="1" width="2" style="1" customWidth="1"/>
    <col min="2" max="2" width="2.75" style="33" bestFit="1" customWidth="1"/>
    <col min="3" max="3" width="5.375" style="15" customWidth="1"/>
    <col min="4" max="4" width="5.5" style="1" bestFit="1" customWidth="1"/>
    <col min="5" max="5" width="5.5" style="2" bestFit="1" customWidth="1"/>
    <col min="6" max="6" width="9.25" style="1" bestFit="1" customWidth="1"/>
    <col min="7" max="7" width="19.5" style="1" customWidth="1"/>
    <col min="8" max="8" width="8.25" style="1"/>
    <col min="9" max="9" width="5.5" style="1" bestFit="1" customWidth="1"/>
    <col min="10" max="10" width="9.75" style="4" bestFit="1" customWidth="1"/>
    <col min="11" max="11" width="5.25" style="1" bestFit="1" customWidth="1"/>
    <col min="12" max="12" width="5.625" style="1" bestFit="1" customWidth="1"/>
    <col min="13" max="13" width="4.25" style="1" bestFit="1" customWidth="1"/>
    <col min="14" max="14" width="8.5" style="4" bestFit="1" customWidth="1"/>
    <col min="15" max="15" width="12.5" style="1" customWidth="1"/>
    <col min="16" max="16" width="10" style="4" customWidth="1"/>
    <col min="17" max="17" width="19.25" style="5" customWidth="1"/>
    <col min="18" max="257" width="8.25" style="1"/>
    <col min="258" max="258" width="2.75" style="1" bestFit="1" customWidth="1"/>
    <col min="259" max="259" width="4.125" style="1" bestFit="1" customWidth="1"/>
    <col min="260" max="261" width="5.5" style="1" bestFit="1" customWidth="1"/>
    <col min="262" max="262" width="9.25" style="1" bestFit="1" customWidth="1"/>
    <col min="263" max="263" width="19.5" style="1" customWidth="1"/>
    <col min="264" max="264" width="8.25" style="1"/>
    <col min="265" max="265" width="5.5" style="1" bestFit="1" customWidth="1"/>
    <col min="266" max="266" width="9.625" style="1" bestFit="1" customWidth="1"/>
    <col min="267" max="267" width="5.25" style="1" bestFit="1" customWidth="1"/>
    <col min="268" max="268" width="5.5" style="1" bestFit="1" customWidth="1"/>
    <col min="269" max="269" width="4.25" style="1" bestFit="1" customWidth="1"/>
    <col min="270" max="270" width="7.25" style="1" bestFit="1" customWidth="1"/>
    <col min="271" max="271" width="11.875" style="1" bestFit="1" customWidth="1"/>
    <col min="272" max="272" width="8.25" style="1"/>
    <col min="273" max="273" width="21.25" style="1" customWidth="1"/>
    <col min="274" max="513" width="8.25" style="1"/>
    <col min="514" max="514" width="2.75" style="1" bestFit="1" customWidth="1"/>
    <col min="515" max="515" width="4.125" style="1" bestFit="1" customWidth="1"/>
    <col min="516" max="517" width="5.5" style="1" bestFit="1" customWidth="1"/>
    <col min="518" max="518" width="9.25" style="1" bestFit="1" customWidth="1"/>
    <col min="519" max="519" width="19.5" style="1" customWidth="1"/>
    <col min="520" max="520" width="8.25" style="1"/>
    <col min="521" max="521" width="5.5" style="1" bestFit="1" customWidth="1"/>
    <col min="522" max="522" width="9.625" style="1" bestFit="1" customWidth="1"/>
    <col min="523" max="523" width="5.25" style="1" bestFit="1" customWidth="1"/>
    <col min="524" max="524" width="5.5" style="1" bestFit="1" customWidth="1"/>
    <col min="525" max="525" width="4.25" style="1" bestFit="1" customWidth="1"/>
    <col min="526" max="526" width="7.25" style="1" bestFit="1" customWidth="1"/>
    <col min="527" max="527" width="11.875" style="1" bestFit="1" customWidth="1"/>
    <col min="528" max="528" width="8.25" style="1"/>
    <col min="529" max="529" width="21.25" style="1" customWidth="1"/>
    <col min="530" max="769" width="8.25" style="1"/>
    <col min="770" max="770" width="2.75" style="1" bestFit="1" customWidth="1"/>
    <col min="771" max="771" width="4.125" style="1" bestFit="1" customWidth="1"/>
    <col min="772" max="773" width="5.5" style="1" bestFit="1" customWidth="1"/>
    <col min="774" max="774" width="9.25" style="1" bestFit="1" customWidth="1"/>
    <col min="775" max="775" width="19.5" style="1" customWidth="1"/>
    <col min="776" max="776" width="8.25" style="1"/>
    <col min="777" max="777" width="5.5" style="1" bestFit="1" customWidth="1"/>
    <col min="778" max="778" width="9.625" style="1" bestFit="1" customWidth="1"/>
    <col min="779" max="779" width="5.25" style="1" bestFit="1" customWidth="1"/>
    <col min="780" max="780" width="5.5" style="1" bestFit="1" customWidth="1"/>
    <col min="781" max="781" width="4.25" style="1" bestFit="1" customWidth="1"/>
    <col min="782" max="782" width="7.25" style="1" bestFit="1" customWidth="1"/>
    <col min="783" max="783" width="11.875" style="1" bestFit="1" customWidth="1"/>
    <col min="784" max="784" width="8.25" style="1"/>
    <col min="785" max="785" width="21.25" style="1" customWidth="1"/>
    <col min="786" max="1025" width="8.25" style="1"/>
    <col min="1026" max="1026" width="2.75" style="1" bestFit="1" customWidth="1"/>
    <col min="1027" max="1027" width="4.125" style="1" bestFit="1" customWidth="1"/>
    <col min="1028" max="1029" width="5.5" style="1" bestFit="1" customWidth="1"/>
    <col min="1030" max="1030" width="9.25" style="1" bestFit="1" customWidth="1"/>
    <col min="1031" max="1031" width="19.5" style="1" customWidth="1"/>
    <col min="1032" max="1032" width="8.25" style="1"/>
    <col min="1033" max="1033" width="5.5" style="1" bestFit="1" customWidth="1"/>
    <col min="1034" max="1034" width="9.625" style="1" bestFit="1" customWidth="1"/>
    <col min="1035" max="1035" width="5.25" style="1" bestFit="1" customWidth="1"/>
    <col min="1036" max="1036" width="5.5" style="1" bestFit="1" customWidth="1"/>
    <col min="1037" max="1037" width="4.25" style="1" bestFit="1" customWidth="1"/>
    <col min="1038" max="1038" width="7.25" style="1" bestFit="1" customWidth="1"/>
    <col min="1039" max="1039" width="11.875" style="1" bestFit="1" customWidth="1"/>
    <col min="1040" max="1040" width="8.25" style="1"/>
    <col min="1041" max="1041" width="21.25" style="1" customWidth="1"/>
    <col min="1042" max="1281" width="8.25" style="1"/>
    <col min="1282" max="1282" width="2.75" style="1" bestFit="1" customWidth="1"/>
    <col min="1283" max="1283" width="4.125" style="1" bestFit="1" customWidth="1"/>
    <col min="1284" max="1285" width="5.5" style="1" bestFit="1" customWidth="1"/>
    <col min="1286" max="1286" width="9.25" style="1" bestFit="1" customWidth="1"/>
    <col min="1287" max="1287" width="19.5" style="1" customWidth="1"/>
    <col min="1288" max="1288" width="8.25" style="1"/>
    <col min="1289" max="1289" width="5.5" style="1" bestFit="1" customWidth="1"/>
    <col min="1290" max="1290" width="9.625" style="1" bestFit="1" customWidth="1"/>
    <col min="1291" max="1291" width="5.25" style="1" bestFit="1" customWidth="1"/>
    <col min="1292" max="1292" width="5.5" style="1" bestFit="1" customWidth="1"/>
    <col min="1293" max="1293" width="4.25" style="1" bestFit="1" customWidth="1"/>
    <col min="1294" max="1294" width="7.25" style="1" bestFit="1" customWidth="1"/>
    <col min="1295" max="1295" width="11.875" style="1" bestFit="1" customWidth="1"/>
    <col min="1296" max="1296" width="8.25" style="1"/>
    <col min="1297" max="1297" width="21.25" style="1" customWidth="1"/>
    <col min="1298" max="1537" width="8.25" style="1"/>
    <col min="1538" max="1538" width="2.75" style="1" bestFit="1" customWidth="1"/>
    <col min="1539" max="1539" width="4.125" style="1" bestFit="1" customWidth="1"/>
    <col min="1540" max="1541" width="5.5" style="1" bestFit="1" customWidth="1"/>
    <col min="1542" max="1542" width="9.25" style="1" bestFit="1" customWidth="1"/>
    <col min="1543" max="1543" width="19.5" style="1" customWidth="1"/>
    <col min="1544" max="1544" width="8.25" style="1"/>
    <col min="1545" max="1545" width="5.5" style="1" bestFit="1" customWidth="1"/>
    <col min="1546" max="1546" width="9.625" style="1" bestFit="1" customWidth="1"/>
    <col min="1547" max="1547" width="5.25" style="1" bestFit="1" customWidth="1"/>
    <col min="1548" max="1548" width="5.5" style="1" bestFit="1" customWidth="1"/>
    <col min="1549" max="1549" width="4.25" style="1" bestFit="1" customWidth="1"/>
    <col min="1550" max="1550" width="7.25" style="1" bestFit="1" customWidth="1"/>
    <col min="1551" max="1551" width="11.875" style="1" bestFit="1" customWidth="1"/>
    <col min="1552" max="1552" width="8.25" style="1"/>
    <col min="1553" max="1553" width="21.25" style="1" customWidth="1"/>
    <col min="1554" max="1793" width="8.25" style="1"/>
    <col min="1794" max="1794" width="2.75" style="1" bestFit="1" customWidth="1"/>
    <col min="1795" max="1795" width="4.125" style="1" bestFit="1" customWidth="1"/>
    <col min="1796" max="1797" width="5.5" style="1" bestFit="1" customWidth="1"/>
    <col min="1798" max="1798" width="9.25" style="1" bestFit="1" customWidth="1"/>
    <col min="1799" max="1799" width="19.5" style="1" customWidth="1"/>
    <col min="1800" max="1800" width="8.25" style="1"/>
    <col min="1801" max="1801" width="5.5" style="1" bestFit="1" customWidth="1"/>
    <col min="1802" max="1802" width="9.625" style="1" bestFit="1" customWidth="1"/>
    <col min="1803" max="1803" width="5.25" style="1" bestFit="1" customWidth="1"/>
    <col min="1804" max="1804" width="5.5" style="1" bestFit="1" customWidth="1"/>
    <col min="1805" max="1805" width="4.25" style="1" bestFit="1" customWidth="1"/>
    <col min="1806" max="1806" width="7.25" style="1" bestFit="1" customWidth="1"/>
    <col min="1807" max="1807" width="11.875" style="1" bestFit="1" customWidth="1"/>
    <col min="1808" max="1808" width="8.25" style="1"/>
    <col min="1809" max="1809" width="21.25" style="1" customWidth="1"/>
    <col min="1810" max="2049" width="8.25" style="1"/>
    <col min="2050" max="2050" width="2.75" style="1" bestFit="1" customWidth="1"/>
    <col min="2051" max="2051" width="4.125" style="1" bestFit="1" customWidth="1"/>
    <col min="2052" max="2053" width="5.5" style="1" bestFit="1" customWidth="1"/>
    <col min="2054" max="2054" width="9.25" style="1" bestFit="1" customWidth="1"/>
    <col min="2055" max="2055" width="19.5" style="1" customWidth="1"/>
    <col min="2056" max="2056" width="8.25" style="1"/>
    <col min="2057" max="2057" width="5.5" style="1" bestFit="1" customWidth="1"/>
    <col min="2058" max="2058" width="9.625" style="1" bestFit="1" customWidth="1"/>
    <col min="2059" max="2059" width="5.25" style="1" bestFit="1" customWidth="1"/>
    <col min="2060" max="2060" width="5.5" style="1" bestFit="1" customWidth="1"/>
    <col min="2061" max="2061" width="4.25" style="1" bestFit="1" customWidth="1"/>
    <col min="2062" max="2062" width="7.25" style="1" bestFit="1" customWidth="1"/>
    <col min="2063" max="2063" width="11.875" style="1" bestFit="1" customWidth="1"/>
    <col min="2064" max="2064" width="8.25" style="1"/>
    <col min="2065" max="2065" width="21.25" style="1" customWidth="1"/>
    <col min="2066" max="2305" width="8.25" style="1"/>
    <col min="2306" max="2306" width="2.75" style="1" bestFit="1" customWidth="1"/>
    <col min="2307" max="2307" width="4.125" style="1" bestFit="1" customWidth="1"/>
    <col min="2308" max="2309" width="5.5" style="1" bestFit="1" customWidth="1"/>
    <col min="2310" max="2310" width="9.25" style="1" bestFit="1" customWidth="1"/>
    <col min="2311" max="2311" width="19.5" style="1" customWidth="1"/>
    <col min="2312" max="2312" width="8.25" style="1"/>
    <col min="2313" max="2313" width="5.5" style="1" bestFit="1" customWidth="1"/>
    <col min="2314" max="2314" width="9.625" style="1" bestFit="1" customWidth="1"/>
    <col min="2315" max="2315" width="5.25" style="1" bestFit="1" customWidth="1"/>
    <col min="2316" max="2316" width="5.5" style="1" bestFit="1" customWidth="1"/>
    <col min="2317" max="2317" width="4.25" style="1" bestFit="1" customWidth="1"/>
    <col min="2318" max="2318" width="7.25" style="1" bestFit="1" customWidth="1"/>
    <col min="2319" max="2319" width="11.875" style="1" bestFit="1" customWidth="1"/>
    <col min="2320" max="2320" width="8.25" style="1"/>
    <col min="2321" max="2321" width="21.25" style="1" customWidth="1"/>
    <col min="2322" max="2561" width="8.25" style="1"/>
    <col min="2562" max="2562" width="2.75" style="1" bestFit="1" customWidth="1"/>
    <col min="2563" max="2563" width="4.125" style="1" bestFit="1" customWidth="1"/>
    <col min="2564" max="2565" width="5.5" style="1" bestFit="1" customWidth="1"/>
    <col min="2566" max="2566" width="9.25" style="1" bestFit="1" customWidth="1"/>
    <col min="2567" max="2567" width="19.5" style="1" customWidth="1"/>
    <col min="2568" max="2568" width="8.25" style="1"/>
    <col min="2569" max="2569" width="5.5" style="1" bestFit="1" customWidth="1"/>
    <col min="2570" max="2570" width="9.625" style="1" bestFit="1" customWidth="1"/>
    <col min="2571" max="2571" width="5.25" style="1" bestFit="1" customWidth="1"/>
    <col min="2572" max="2572" width="5.5" style="1" bestFit="1" customWidth="1"/>
    <col min="2573" max="2573" width="4.25" style="1" bestFit="1" customWidth="1"/>
    <col min="2574" max="2574" width="7.25" style="1" bestFit="1" customWidth="1"/>
    <col min="2575" max="2575" width="11.875" style="1" bestFit="1" customWidth="1"/>
    <col min="2576" max="2576" width="8.25" style="1"/>
    <col min="2577" max="2577" width="21.25" style="1" customWidth="1"/>
    <col min="2578" max="2817" width="8.25" style="1"/>
    <col min="2818" max="2818" width="2.75" style="1" bestFit="1" customWidth="1"/>
    <col min="2819" max="2819" width="4.125" style="1" bestFit="1" customWidth="1"/>
    <col min="2820" max="2821" width="5.5" style="1" bestFit="1" customWidth="1"/>
    <col min="2822" max="2822" width="9.25" style="1" bestFit="1" customWidth="1"/>
    <col min="2823" max="2823" width="19.5" style="1" customWidth="1"/>
    <col min="2824" max="2824" width="8.25" style="1"/>
    <col min="2825" max="2825" width="5.5" style="1" bestFit="1" customWidth="1"/>
    <col min="2826" max="2826" width="9.625" style="1" bestFit="1" customWidth="1"/>
    <col min="2827" max="2827" width="5.25" style="1" bestFit="1" customWidth="1"/>
    <col min="2828" max="2828" width="5.5" style="1" bestFit="1" customWidth="1"/>
    <col min="2829" max="2829" width="4.25" style="1" bestFit="1" customWidth="1"/>
    <col min="2830" max="2830" width="7.25" style="1" bestFit="1" customWidth="1"/>
    <col min="2831" max="2831" width="11.875" style="1" bestFit="1" customWidth="1"/>
    <col min="2832" max="2832" width="8.25" style="1"/>
    <col min="2833" max="2833" width="21.25" style="1" customWidth="1"/>
    <col min="2834" max="3073" width="8.25" style="1"/>
    <col min="3074" max="3074" width="2.75" style="1" bestFit="1" customWidth="1"/>
    <col min="3075" max="3075" width="4.125" style="1" bestFit="1" customWidth="1"/>
    <col min="3076" max="3077" width="5.5" style="1" bestFit="1" customWidth="1"/>
    <col min="3078" max="3078" width="9.25" style="1" bestFit="1" customWidth="1"/>
    <col min="3079" max="3079" width="19.5" style="1" customWidth="1"/>
    <col min="3080" max="3080" width="8.25" style="1"/>
    <col min="3081" max="3081" width="5.5" style="1" bestFit="1" customWidth="1"/>
    <col min="3082" max="3082" width="9.625" style="1" bestFit="1" customWidth="1"/>
    <col min="3083" max="3083" width="5.25" style="1" bestFit="1" customWidth="1"/>
    <col min="3084" max="3084" width="5.5" style="1" bestFit="1" customWidth="1"/>
    <col min="3085" max="3085" width="4.25" style="1" bestFit="1" customWidth="1"/>
    <col min="3086" max="3086" width="7.25" style="1" bestFit="1" customWidth="1"/>
    <col min="3087" max="3087" width="11.875" style="1" bestFit="1" customWidth="1"/>
    <col min="3088" max="3088" width="8.25" style="1"/>
    <col min="3089" max="3089" width="21.25" style="1" customWidth="1"/>
    <col min="3090" max="3329" width="8.25" style="1"/>
    <col min="3330" max="3330" width="2.75" style="1" bestFit="1" customWidth="1"/>
    <col min="3331" max="3331" width="4.125" style="1" bestFit="1" customWidth="1"/>
    <col min="3332" max="3333" width="5.5" style="1" bestFit="1" customWidth="1"/>
    <col min="3334" max="3334" width="9.25" style="1" bestFit="1" customWidth="1"/>
    <col min="3335" max="3335" width="19.5" style="1" customWidth="1"/>
    <col min="3336" max="3336" width="8.25" style="1"/>
    <col min="3337" max="3337" width="5.5" style="1" bestFit="1" customWidth="1"/>
    <col min="3338" max="3338" width="9.625" style="1" bestFit="1" customWidth="1"/>
    <col min="3339" max="3339" width="5.25" style="1" bestFit="1" customWidth="1"/>
    <col min="3340" max="3340" width="5.5" style="1" bestFit="1" customWidth="1"/>
    <col min="3341" max="3341" width="4.25" style="1" bestFit="1" customWidth="1"/>
    <col min="3342" max="3342" width="7.25" style="1" bestFit="1" customWidth="1"/>
    <col min="3343" max="3343" width="11.875" style="1" bestFit="1" customWidth="1"/>
    <col min="3344" max="3344" width="8.25" style="1"/>
    <col min="3345" max="3345" width="21.25" style="1" customWidth="1"/>
    <col min="3346" max="3585" width="8.25" style="1"/>
    <col min="3586" max="3586" width="2.75" style="1" bestFit="1" customWidth="1"/>
    <col min="3587" max="3587" width="4.125" style="1" bestFit="1" customWidth="1"/>
    <col min="3588" max="3589" width="5.5" style="1" bestFit="1" customWidth="1"/>
    <col min="3590" max="3590" width="9.25" style="1" bestFit="1" customWidth="1"/>
    <col min="3591" max="3591" width="19.5" style="1" customWidth="1"/>
    <col min="3592" max="3592" width="8.25" style="1"/>
    <col min="3593" max="3593" width="5.5" style="1" bestFit="1" customWidth="1"/>
    <col min="3594" max="3594" width="9.625" style="1" bestFit="1" customWidth="1"/>
    <col min="3595" max="3595" width="5.25" style="1" bestFit="1" customWidth="1"/>
    <col min="3596" max="3596" width="5.5" style="1" bestFit="1" customWidth="1"/>
    <col min="3597" max="3597" width="4.25" style="1" bestFit="1" customWidth="1"/>
    <col min="3598" max="3598" width="7.25" style="1" bestFit="1" customWidth="1"/>
    <col min="3599" max="3599" width="11.875" style="1" bestFit="1" customWidth="1"/>
    <col min="3600" max="3600" width="8.25" style="1"/>
    <col min="3601" max="3601" width="21.25" style="1" customWidth="1"/>
    <col min="3602" max="3841" width="8.25" style="1"/>
    <col min="3842" max="3842" width="2.75" style="1" bestFit="1" customWidth="1"/>
    <col min="3843" max="3843" width="4.125" style="1" bestFit="1" customWidth="1"/>
    <col min="3844" max="3845" width="5.5" style="1" bestFit="1" customWidth="1"/>
    <col min="3846" max="3846" width="9.25" style="1" bestFit="1" customWidth="1"/>
    <col min="3847" max="3847" width="19.5" style="1" customWidth="1"/>
    <col min="3848" max="3848" width="8.25" style="1"/>
    <col min="3849" max="3849" width="5.5" style="1" bestFit="1" customWidth="1"/>
    <col min="3850" max="3850" width="9.625" style="1" bestFit="1" customWidth="1"/>
    <col min="3851" max="3851" width="5.25" style="1" bestFit="1" customWidth="1"/>
    <col min="3852" max="3852" width="5.5" style="1" bestFit="1" customWidth="1"/>
    <col min="3853" max="3853" width="4.25" style="1" bestFit="1" customWidth="1"/>
    <col min="3854" max="3854" width="7.25" style="1" bestFit="1" customWidth="1"/>
    <col min="3855" max="3855" width="11.875" style="1" bestFit="1" customWidth="1"/>
    <col min="3856" max="3856" width="8.25" style="1"/>
    <col min="3857" max="3857" width="21.25" style="1" customWidth="1"/>
    <col min="3858" max="4097" width="8.25" style="1"/>
    <col min="4098" max="4098" width="2.75" style="1" bestFit="1" customWidth="1"/>
    <col min="4099" max="4099" width="4.125" style="1" bestFit="1" customWidth="1"/>
    <col min="4100" max="4101" width="5.5" style="1" bestFit="1" customWidth="1"/>
    <col min="4102" max="4102" width="9.25" style="1" bestFit="1" customWidth="1"/>
    <col min="4103" max="4103" width="19.5" style="1" customWidth="1"/>
    <col min="4104" max="4104" width="8.25" style="1"/>
    <col min="4105" max="4105" width="5.5" style="1" bestFit="1" customWidth="1"/>
    <col min="4106" max="4106" width="9.625" style="1" bestFit="1" customWidth="1"/>
    <col min="4107" max="4107" width="5.25" style="1" bestFit="1" customWidth="1"/>
    <col min="4108" max="4108" width="5.5" style="1" bestFit="1" customWidth="1"/>
    <col min="4109" max="4109" width="4.25" style="1" bestFit="1" customWidth="1"/>
    <col min="4110" max="4110" width="7.25" style="1" bestFit="1" customWidth="1"/>
    <col min="4111" max="4111" width="11.875" style="1" bestFit="1" customWidth="1"/>
    <col min="4112" max="4112" width="8.25" style="1"/>
    <col min="4113" max="4113" width="21.25" style="1" customWidth="1"/>
    <col min="4114" max="4353" width="8.25" style="1"/>
    <col min="4354" max="4354" width="2.75" style="1" bestFit="1" customWidth="1"/>
    <col min="4355" max="4355" width="4.125" style="1" bestFit="1" customWidth="1"/>
    <col min="4356" max="4357" width="5.5" style="1" bestFit="1" customWidth="1"/>
    <col min="4358" max="4358" width="9.25" style="1" bestFit="1" customWidth="1"/>
    <col min="4359" max="4359" width="19.5" style="1" customWidth="1"/>
    <col min="4360" max="4360" width="8.25" style="1"/>
    <col min="4361" max="4361" width="5.5" style="1" bestFit="1" customWidth="1"/>
    <col min="4362" max="4362" width="9.625" style="1" bestFit="1" customWidth="1"/>
    <col min="4363" max="4363" width="5.25" style="1" bestFit="1" customWidth="1"/>
    <col min="4364" max="4364" width="5.5" style="1" bestFit="1" customWidth="1"/>
    <col min="4365" max="4365" width="4.25" style="1" bestFit="1" customWidth="1"/>
    <col min="4366" max="4366" width="7.25" style="1" bestFit="1" customWidth="1"/>
    <col min="4367" max="4367" width="11.875" style="1" bestFit="1" customWidth="1"/>
    <col min="4368" max="4368" width="8.25" style="1"/>
    <col min="4369" max="4369" width="21.25" style="1" customWidth="1"/>
    <col min="4370" max="4609" width="8.25" style="1"/>
    <col min="4610" max="4610" width="2.75" style="1" bestFit="1" customWidth="1"/>
    <col min="4611" max="4611" width="4.125" style="1" bestFit="1" customWidth="1"/>
    <col min="4612" max="4613" width="5.5" style="1" bestFit="1" customWidth="1"/>
    <col min="4614" max="4614" width="9.25" style="1" bestFit="1" customWidth="1"/>
    <col min="4615" max="4615" width="19.5" style="1" customWidth="1"/>
    <col min="4616" max="4616" width="8.25" style="1"/>
    <col min="4617" max="4617" width="5.5" style="1" bestFit="1" customWidth="1"/>
    <col min="4618" max="4618" width="9.625" style="1" bestFit="1" customWidth="1"/>
    <col min="4619" max="4619" width="5.25" style="1" bestFit="1" customWidth="1"/>
    <col min="4620" max="4620" width="5.5" style="1" bestFit="1" customWidth="1"/>
    <col min="4621" max="4621" width="4.25" style="1" bestFit="1" customWidth="1"/>
    <col min="4622" max="4622" width="7.25" style="1" bestFit="1" customWidth="1"/>
    <col min="4623" max="4623" width="11.875" style="1" bestFit="1" customWidth="1"/>
    <col min="4624" max="4624" width="8.25" style="1"/>
    <col min="4625" max="4625" width="21.25" style="1" customWidth="1"/>
    <col min="4626" max="4865" width="8.25" style="1"/>
    <col min="4866" max="4866" width="2.75" style="1" bestFit="1" customWidth="1"/>
    <col min="4867" max="4867" width="4.125" style="1" bestFit="1" customWidth="1"/>
    <col min="4868" max="4869" width="5.5" style="1" bestFit="1" customWidth="1"/>
    <col min="4870" max="4870" width="9.25" style="1" bestFit="1" customWidth="1"/>
    <col min="4871" max="4871" width="19.5" style="1" customWidth="1"/>
    <col min="4872" max="4872" width="8.25" style="1"/>
    <col min="4873" max="4873" width="5.5" style="1" bestFit="1" customWidth="1"/>
    <col min="4874" max="4874" width="9.625" style="1" bestFit="1" customWidth="1"/>
    <col min="4875" max="4875" width="5.25" style="1" bestFit="1" customWidth="1"/>
    <col min="4876" max="4876" width="5.5" style="1" bestFit="1" customWidth="1"/>
    <col min="4877" max="4877" width="4.25" style="1" bestFit="1" customWidth="1"/>
    <col min="4878" max="4878" width="7.25" style="1" bestFit="1" customWidth="1"/>
    <col min="4879" max="4879" width="11.875" style="1" bestFit="1" customWidth="1"/>
    <col min="4880" max="4880" width="8.25" style="1"/>
    <col min="4881" max="4881" width="21.25" style="1" customWidth="1"/>
    <col min="4882" max="5121" width="8.25" style="1"/>
    <col min="5122" max="5122" width="2.75" style="1" bestFit="1" customWidth="1"/>
    <col min="5123" max="5123" width="4.125" style="1" bestFit="1" customWidth="1"/>
    <col min="5124" max="5125" width="5.5" style="1" bestFit="1" customWidth="1"/>
    <col min="5126" max="5126" width="9.25" style="1" bestFit="1" customWidth="1"/>
    <col min="5127" max="5127" width="19.5" style="1" customWidth="1"/>
    <col min="5128" max="5128" width="8.25" style="1"/>
    <col min="5129" max="5129" width="5.5" style="1" bestFit="1" customWidth="1"/>
    <col min="5130" max="5130" width="9.625" style="1" bestFit="1" customWidth="1"/>
    <col min="5131" max="5131" width="5.25" style="1" bestFit="1" customWidth="1"/>
    <col min="5132" max="5132" width="5.5" style="1" bestFit="1" customWidth="1"/>
    <col min="5133" max="5133" width="4.25" style="1" bestFit="1" customWidth="1"/>
    <col min="5134" max="5134" width="7.25" style="1" bestFit="1" customWidth="1"/>
    <col min="5135" max="5135" width="11.875" style="1" bestFit="1" customWidth="1"/>
    <col min="5136" max="5136" width="8.25" style="1"/>
    <col min="5137" max="5137" width="21.25" style="1" customWidth="1"/>
    <col min="5138" max="5377" width="8.25" style="1"/>
    <col min="5378" max="5378" width="2.75" style="1" bestFit="1" customWidth="1"/>
    <col min="5379" max="5379" width="4.125" style="1" bestFit="1" customWidth="1"/>
    <col min="5380" max="5381" width="5.5" style="1" bestFit="1" customWidth="1"/>
    <col min="5382" max="5382" width="9.25" style="1" bestFit="1" customWidth="1"/>
    <col min="5383" max="5383" width="19.5" style="1" customWidth="1"/>
    <col min="5384" max="5384" width="8.25" style="1"/>
    <col min="5385" max="5385" width="5.5" style="1" bestFit="1" customWidth="1"/>
    <col min="5386" max="5386" width="9.625" style="1" bestFit="1" customWidth="1"/>
    <col min="5387" max="5387" width="5.25" style="1" bestFit="1" customWidth="1"/>
    <col min="5388" max="5388" width="5.5" style="1" bestFit="1" customWidth="1"/>
    <col min="5389" max="5389" width="4.25" style="1" bestFit="1" customWidth="1"/>
    <col min="5390" max="5390" width="7.25" style="1" bestFit="1" customWidth="1"/>
    <col min="5391" max="5391" width="11.875" style="1" bestFit="1" customWidth="1"/>
    <col min="5392" max="5392" width="8.25" style="1"/>
    <col min="5393" max="5393" width="21.25" style="1" customWidth="1"/>
    <col min="5394" max="5633" width="8.25" style="1"/>
    <col min="5634" max="5634" width="2.75" style="1" bestFit="1" customWidth="1"/>
    <col min="5635" max="5635" width="4.125" style="1" bestFit="1" customWidth="1"/>
    <col min="5636" max="5637" width="5.5" style="1" bestFit="1" customWidth="1"/>
    <col min="5638" max="5638" width="9.25" style="1" bestFit="1" customWidth="1"/>
    <col min="5639" max="5639" width="19.5" style="1" customWidth="1"/>
    <col min="5640" max="5640" width="8.25" style="1"/>
    <col min="5641" max="5641" width="5.5" style="1" bestFit="1" customWidth="1"/>
    <col min="5642" max="5642" width="9.625" style="1" bestFit="1" customWidth="1"/>
    <col min="5643" max="5643" width="5.25" style="1" bestFit="1" customWidth="1"/>
    <col min="5644" max="5644" width="5.5" style="1" bestFit="1" customWidth="1"/>
    <col min="5645" max="5645" width="4.25" style="1" bestFit="1" customWidth="1"/>
    <col min="5646" max="5646" width="7.25" style="1" bestFit="1" customWidth="1"/>
    <col min="5647" max="5647" width="11.875" style="1" bestFit="1" customWidth="1"/>
    <col min="5648" max="5648" width="8.25" style="1"/>
    <col min="5649" max="5649" width="21.25" style="1" customWidth="1"/>
    <col min="5650" max="5889" width="8.25" style="1"/>
    <col min="5890" max="5890" width="2.75" style="1" bestFit="1" customWidth="1"/>
    <col min="5891" max="5891" width="4.125" style="1" bestFit="1" customWidth="1"/>
    <col min="5892" max="5893" width="5.5" style="1" bestFit="1" customWidth="1"/>
    <col min="5894" max="5894" width="9.25" style="1" bestFit="1" customWidth="1"/>
    <col min="5895" max="5895" width="19.5" style="1" customWidth="1"/>
    <col min="5896" max="5896" width="8.25" style="1"/>
    <col min="5897" max="5897" width="5.5" style="1" bestFit="1" customWidth="1"/>
    <col min="5898" max="5898" width="9.625" style="1" bestFit="1" customWidth="1"/>
    <col min="5899" max="5899" width="5.25" style="1" bestFit="1" customWidth="1"/>
    <col min="5900" max="5900" width="5.5" style="1" bestFit="1" customWidth="1"/>
    <col min="5901" max="5901" width="4.25" style="1" bestFit="1" customWidth="1"/>
    <col min="5902" max="5902" width="7.25" style="1" bestFit="1" customWidth="1"/>
    <col min="5903" max="5903" width="11.875" style="1" bestFit="1" customWidth="1"/>
    <col min="5904" max="5904" width="8.25" style="1"/>
    <col min="5905" max="5905" width="21.25" style="1" customWidth="1"/>
    <col min="5906" max="6145" width="8.25" style="1"/>
    <col min="6146" max="6146" width="2.75" style="1" bestFit="1" customWidth="1"/>
    <col min="6147" max="6147" width="4.125" style="1" bestFit="1" customWidth="1"/>
    <col min="6148" max="6149" width="5.5" style="1" bestFit="1" customWidth="1"/>
    <col min="6150" max="6150" width="9.25" style="1" bestFit="1" customWidth="1"/>
    <col min="6151" max="6151" width="19.5" style="1" customWidth="1"/>
    <col min="6152" max="6152" width="8.25" style="1"/>
    <col min="6153" max="6153" width="5.5" style="1" bestFit="1" customWidth="1"/>
    <col min="6154" max="6154" width="9.625" style="1" bestFit="1" customWidth="1"/>
    <col min="6155" max="6155" width="5.25" style="1" bestFit="1" customWidth="1"/>
    <col min="6156" max="6156" width="5.5" style="1" bestFit="1" customWidth="1"/>
    <col min="6157" max="6157" width="4.25" style="1" bestFit="1" customWidth="1"/>
    <col min="6158" max="6158" width="7.25" style="1" bestFit="1" customWidth="1"/>
    <col min="6159" max="6159" width="11.875" style="1" bestFit="1" customWidth="1"/>
    <col min="6160" max="6160" width="8.25" style="1"/>
    <col min="6161" max="6161" width="21.25" style="1" customWidth="1"/>
    <col min="6162" max="6401" width="8.25" style="1"/>
    <col min="6402" max="6402" width="2.75" style="1" bestFit="1" customWidth="1"/>
    <col min="6403" max="6403" width="4.125" style="1" bestFit="1" customWidth="1"/>
    <col min="6404" max="6405" width="5.5" style="1" bestFit="1" customWidth="1"/>
    <col min="6406" max="6406" width="9.25" style="1" bestFit="1" customWidth="1"/>
    <col min="6407" max="6407" width="19.5" style="1" customWidth="1"/>
    <col min="6408" max="6408" width="8.25" style="1"/>
    <col min="6409" max="6409" width="5.5" style="1" bestFit="1" customWidth="1"/>
    <col min="6410" max="6410" width="9.625" style="1" bestFit="1" customWidth="1"/>
    <col min="6411" max="6411" width="5.25" style="1" bestFit="1" customWidth="1"/>
    <col min="6412" max="6412" width="5.5" style="1" bestFit="1" customWidth="1"/>
    <col min="6413" max="6413" width="4.25" style="1" bestFit="1" customWidth="1"/>
    <col min="6414" max="6414" width="7.25" style="1" bestFit="1" customWidth="1"/>
    <col min="6415" max="6415" width="11.875" style="1" bestFit="1" customWidth="1"/>
    <col min="6416" max="6416" width="8.25" style="1"/>
    <col min="6417" max="6417" width="21.25" style="1" customWidth="1"/>
    <col min="6418" max="6657" width="8.25" style="1"/>
    <col min="6658" max="6658" width="2.75" style="1" bestFit="1" customWidth="1"/>
    <col min="6659" max="6659" width="4.125" style="1" bestFit="1" customWidth="1"/>
    <col min="6660" max="6661" width="5.5" style="1" bestFit="1" customWidth="1"/>
    <col min="6662" max="6662" width="9.25" style="1" bestFit="1" customWidth="1"/>
    <col min="6663" max="6663" width="19.5" style="1" customWidth="1"/>
    <col min="6664" max="6664" width="8.25" style="1"/>
    <col min="6665" max="6665" width="5.5" style="1" bestFit="1" customWidth="1"/>
    <col min="6666" max="6666" width="9.625" style="1" bestFit="1" customWidth="1"/>
    <col min="6667" max="6667" width="5.25" style="1" bestFit="1" customWidth="1"/>
    <col min="6668" max="6668" width="5.5" style="1" bestFit="1" customWidth="1"/>
    <col min="6669" max="6669" width="4.25" style="1" bestFit="1" customWidth="1"/>
    <col min="6670" max="6670" width="7.25" style="1" bestFit="1" customWidth="1"/>
    <col min="6671" max="6671" width="11.875" style="1" bestFit="1" customWidth="1"/>
    <col min="6672" max="6672" width="8.25" style="1"/>
    <col min="6673" max="6673" width="21.25" style="1" customWidth="1"/>
    <col min="6674" max="6913" width="8.25" style="1"/>
    <col min="6914" max="6914" width="2.75" style="1" bestFit="1" customWidth="1"/>
    <col min="6915" max="6915" width="4.125" style="1" bestFit="1" customWidth="1"/>
    <col min="6916" max="6917" width="5.5" style="1" bestFit="1" customWidth="1"/>
    <col min="6918" max="6918" width="9.25" style="1" bestFit="1" customWidth="1"/>
    <col min="6919" max="6919" width="19.5" style="1" customWidth="1"/>
    <col min="6920" max="6920" width="8.25" style="1"/>
    <col min="6921" max="6921" width="5.5" style="1" bestFit="1" customWidth="1"/>
    <col min="6922" max="6922" width="9.625" style="1" bestFit="1" customWidth="1"/>
    <col min="6923" max="6923" width="5.25" style="1" bestFit="1" customWidth="1"/>
    <col min="6924" max="6924" width="5.5" style="1" bestFit="1" customWidth="1"/>
    <col min="6925" max="6925" width="4.25" style="1" bestFit="1" customWidth="1"/>
    <col min="6926" max="6926" width="7.25" style="1" bestFit="1" customWidth="1"/>
    <col min="6927" max="6927" width="11.875" style="1" bestFit="1" customWidth="1"/>
    <col min="6928" max="6928" width="8.25" style="1"/>
    <col min="6929" max="6929" width="21.25" style="1" customWidth="1"/>
    <col min="6930" max="7169" width="8.25" style="1"/>
    <col min="7170" max="7170" width="2.75" style="1" bestFit="1" customWidth="1"/>
    <col min="7171" max="7171" width="4.125" style="1" bestFit="1" customWidth="1"/>
    <col min="7172" max="7173" width="5.5" style="1" bestFit="1" customWidth="1"/>
    <col min="7174" max="7174" width="9.25" style="1" bestFit="1" customWidth="1"/>
    <col min="7175" max="7175" width="19.5" style="1" customWidth="1"/>
    <col min="7176" max="7176" width="8.25" style="1"/>
    <col min="7177" max="7177" width="5.5" style="1" bestFit="1" customWidth="1"/>
    <col min="7178" max="7178" width="9.625" style="1" bestFit="1" customWidth="1"/>
    <col min="7179" max="7179" width="5.25" style="1" bestFit="1" customWidth="1"/>
    <col min="7180" max="7180" width="5.5" style="1" bestFit="1" customWidth="1"/>
    <col min="7181" max="7181" width="4.25" style="1" bestFit="1" customWidth="1"/>
    <col min="7182" max="7182" width="7.25" style="1" bestFit="1" customWidth="1"/>
    <col min="7183" max="7183" width="11.875" style="1" bestFit="1" customWidth="1"/>
    <col min="7184" max="7184" width="8.25" style="1"/>
    <col min="7185" max="7185" width="21.25" style="1" customWidth="1"/>
    <col min="7186" max="7425" width="8.25" style="1"/>
    <col min="7426" max="7426" width="2.75" style="1" bestFit="1" customWidth="1"/>
    <col min="7427" max="7427" width="4.125" style="1" bestFit="1" customWidth="1"/>
    <col min="7428" max="7429" width="5.5" style="1" bestFit="1" customWidth="1"/>
    <col min="7430" max="7430" width="9.25" style="1" bestFit="1" customWidth="1"/>
    <col min="7431" max="7431" width="19.5" style="1" customWidth="1"/>
    <col min="7432" max="7432" width="8.25" style="1"/>
    <col min="7433" max="7433" width="5.5" style="1" bestFit="1" customWidth="1"/>
    <col min="7434" max="7434" width="9.625" style="1" bestFit="1" customWidth="1"/>
    <col min="7435" max="7435" width="5.25" style="1" bestFit="1" customWidth="1"/>
    <col min="7436" max="7436" width="5.5" style="1" bestFit="1" customWidth="1"/>
    <col min="7437" max="7437" width="4.25" style="1" bestFit="1" customWidth="1"/>
    <col min="7438" max="7438" width="7.25" style="1" bestFit="1" customWidth="1"/>
    <col min="7439" max="7439" width="11.875" style="1" bestFit="1" customWidth="1"/>
    <col min="7440" max="7440" width="8.25" style="1"/>
    <col min="7441" max="7441" width="21.25" style="1" customWidth="1"/>
    <col min="7442" max="7681" width="8.25" style="1"/>
    <col min="7682" max="7682" width="2.75" style="1" bestFit="1" customWidth="1"/>
    <col min="7683" max="7683" width="4.125" style="1" bestFit="1" customWidth="1"/>
    <col min="7684" max="7685" width="5.5" style="1" bestFit="1" customWidth="1"/>
    <col min="7686" max="7686" width="9.25" style="1" bestFit="1" customWidth="1"/>
    <col min="7687" max="7687" width="19.5" style="1" customWidth="1"/>
    <col min="7688" max="7688" width="8.25" style="1"/>
    <col min="7689" max="7689" width="5.5" style="1" bestFit="1" customWidth="1"/>
    <col min="7690" max="7690" width="9.625" style="1" bestFit="1" customWidth="1"/>
    <col min="7691" max="7691" width="5.25" style="1" bestFit="1" customWidth="1"/>
    <col min="7692" max="7692" width="5.5" style="1" bestFit="1" customWidth="1"/>
    <col min="7693" max="7693" width="4.25" style="1" bestFit="1" customWidth="1"/>
    <col min="7694" max="7694" width="7.25" style="1" bestFit="1" customWidth="1"/>
    <col min="7695" max="7695" width="11.875" style="1" bestFit="1" customWidth="1"/>
    <col min="7696" max="7696" width="8.25" style="1"/>
    <col min="7697" max="7697" width="21.25" style="1" customWidth="1"/>
    <col min="7698" max="7937" width="8.25" style="1"/>
    <col min="7938" max="7938" width="2.75" style="1" bestFit="1" customWidth="1"/>
    <col min="7939" max="7939" width="4.125" style="1" bestFit="1" customWidth="1"/>
    <col min="7940" max="7941" width="5.5" style="1" bestFit="1" customWidth="1"/>
    <col min="7942" max="7942" width="9.25" style="1" bestFit="1" customWidth="1"/>
    <col min="7943" max="7943" width="19.5" style="1" customWidth="1"/>
    <col min="7944" max="7944" width="8.25" style="1"/>
    <col min="7945" max="7945" width="5.5" style="1" bestFit="1" customWidth="1"/>
    <col min="7946" max="7946" width="9.625" style="1" bestFit="1" customWidth="1"/>
    <col min="7947" max="7947" width="5.25" style="1" bestFit="1" customWidth="1"/>
    <col min="7948" max="7948" width="5.5" style="1" bestFit="1" customWidth="1"/>
    <col min="7949" max="7949" width="4.25" style="1" bestFit="1" customWidth="1"/>
    <col min="7950" max="7950" width="7.25" style="1" bestFit="1" customWidth="1"/>
    <col min="7951" max="7951" width="11.875" style="1" bestFit="1" customWidth="1"/>
    <col min="7952" max="7952" width="8.25" style="1"/>
    <col min="7953" max="7953" width="21.25" style="1" customWidth="1"/>
    <col min="7954" max="8193" width="8.25" style="1"/>
    <col min="8194" max="8194" width="2.75" style="1" bestFit="1" customWidth="1"/>
    <col min="8195" max="8195" width="4.125" style="1" bestFit="1" customWidth="1"/>
    <col min="8196" max="8197" width="5.5" style="1" bestFit="1" customWidth="1"/>
    <col min="8198" max="8198" width="9.25" style="1" bestFit="1" customWidth="1"/>
    <col min="8199" max="8199" width="19.5" style="1" customWidth="1"/>
    <col min="8200" max="8200" width="8.25" style="1"/>
    <col min="8201" max="8201" width="5.5" style="1" bestFit="1" customWidth="1"/>
    <col min="8202" max="8202" width="9.625" style="1" bestFit="1" customWidth="1"/>
    <col min="8203" max="8203" width="5.25" style="1" bestFit="1" customWidth="1"/>
    <col min="8204" max="8204" width="5.5" style="1" bestFit="1" customWidth="1"/>
    <col min="8205" max="8205" width="4.25" style="1" bestFit="1" customWidth="1"/>
    <col min="8206" max="8206" width="7.25" style="1" bestFit="1" customWidth="1"/>
    <col min="8207" max="8207" width="11.875" style="1" bestFit="1" customWidth="1"/>
    <col min="8208" max="8208" width="8.25" style="1"/>
    <col min="8209" max="8209" width="21.25" style="1" customWidth="1"/>
    <col min="8210" max="8449" width="8.25" style="1"/>
    <col min="8450" max="8450" width="2.75" style="1" bestFit="1" customWidth="1"/>
    <col min="8451" max="8451" width="4.125" style="1" bestFit="1" customWidth="1"/>
    <col min="8452" max="8453" width="5.5" style="1" bestFit="1" customWidth="1"/>
    <col min="8454" max="8454" width="9.25" style="1" bestFit="1" customWidth="1"/>
    <col min="8455" max="8455" width="19.5" style="1" customWidth="1"/>
    <col min="8456" max="8456" width="8.25" style="1"/>
    <col min="8457" max="8457" width="5.5" style="1" bestFit="1" customWidth="1"/>
    <col min="8458" max="8458" width="9.625" style="1" bestFit="1" customWidth="1"/>
    <col min="8459" max="8459" width="5.25" style="1" bestFit="1" customWidth="1"/>
    <col min="8460" max="8460" width="5.5" style="1" bestFit="1" customWidth="1"/>
    <col min="8461" max="8461" width="4.25" style="1" bestFit="1" customWidth="1"/>
    <col min="8462" max="8462" width="7.25" style="1" bestFit="1" customWidth="1"/>
    <col min="8463" max="8463" width="11.875" style="1" bestFit="1" customWidth="1"/>
    <col min="8464" max="8464" width="8.25" style="1"/>
    <col min="8465" max="8465" width="21.25" style="1" customWidth="1"/>
    <col min="8466" max="8705" width="8.25" style="1"/>
    <col min="8706" max="8706" width="2.75" style="1" bestFit="1" customWidth="1"/>
    <col min="8707" max="8707" width="4.125" style="1" bestFit="1" customWidth="1"/>
    <col min="8708" max="8709" width="5.5" style="1" bestFit="1" customWidth="1"/>
    <col min="8710" max="8710" width="9.25" style="1" bestFit="1" customWidth="1"/>
    <col min="8711" max="8711" width="19.5" style="1" customWidth="1"/>
    <col min="8712" max="8712" width="8.25" style="1"/>
    <col min="8713" max="8713" width="5.5" style="1" bestFit="1" customWidth="1"/>
    <col min="8714" max="8714" width="9.625" style="1" bestFit="1" customWidth="1"/>
    <col min="8715" max="8715" width="5.25" style="1" bestFit="1" customWidth="1"/>
    <col min="8716" max="8716" width="5.5" style="1" bestFit="1" customWidth="1"/>
    <col min="8717" max="8717" width="4.25" style="1" bestFit="1" customWidth="1"/>
    <col min="8718" max="8718" width="7.25" style="1" bestFit="1" customWidth="1"/>
    <col min="8719" max="8719" width="11.875" style="1" bestFit="1" customWidth="1"/>
    <col min="8720" max="8720" width="8.25" style="1"/>
    <col min="8721" max="8721" width="21.25" style="1" customWidth="1"/>
    <col min="8722" max="8961" width="8.25" style="1"/>
    <col min="8962" max="8962" width="2.75" style="1" bestFit="1" customWidth="1"/>
    <col min="8963" max="8963" width="4.125" style="1" bestFit="1" customWidth="1"/>
    <col min="8964" max="8965" width="5.5" style="1" bestFit="1" customWidth="1"/>
    <col min="8966" max="8966" width="9.25" style="1" bestFit="1" customWidth="1"/>
    <col min="8967" max="8967" width="19.5" style="1" customWidth="1"/>
    <col min="8968" max="8968" width="8.25" style="1"/>
    <col min="8969" max="8969" width="5.5" style="1" bestFit="1" customWidth="1"/>
    <col min="8970" max="8970" width="9.625" style="1" bestFit="1" customWidth="1"/>
    <col min="8971" max="8971" width="5.25" style="1" bestFit="1" customWidth="1"/>
    <col min="8972" max="8972" width="5.5" style="1" bestFit="1" customWidth="1"/>
    <col min="8973" max="8973" width="4.25" style="1" bestFit="1" customWidth="1"/>
    <col min="8974" max="8974" width="7.25" style="1" bestFit="1" customWidth="1"/>
    <col min="8975" max="8975" width="11.875" style="1" bestFit="1" customWidth="1"/>
    <col min="8976" max="8976" width="8.25" style="1"/>
    <col min="8977" max="8977" width="21.25" style="1" customWidth="1"/>
    <col min="8978" max="9217" width="8.25" style="1"/>
    <col min="9218" max="9218" width="2.75" style="1" bestFit="1" customWidth="1"/>
    <col min="9219" max="9219" width="4.125" style="1" bestFit="1" customWidth="1"/>
    <col min="9220" max="9221" width="5.5" style="1" bestFit="1" customWidth="1"/>
    <col min="9222" max="9222" width="9.25" style="1" bestFit="1" customWidth="1"/>
    <col min="9223" max="9223" width="19.5" style="1" customWidth="1"/>
    <col min="9224" max="9224" width="8.25" style="1"/>
    <col min="9225" max="9225" width="5.5" style="1" bestFit="1" customWidth="1"/>
    <col min="9226" max="9226" width="9.625" style="1" bestFit="1" customWidth="1"/>
    <col min="9227" max="9227" width="5.25" style="1" bestFit="1" customWidth="1"/>
    <col min="9228" max="9228" width="5.5" style="1" bestFit="1" customWidth="1"/>
    <col min="9229" max="9229" width="4.25" style="1" bestFit="1" customWidth="1"/>
    <col min="9230" max="9230" width="7.25" style="1" bestFit="1" customWidth="1"/>
    <col min="9231" max="9231" width="11.875" style="1" bestFit="1" customWidth="1"/>
    <col min="9232" max="9232" width="8.25" style="1"/>
    <col min="9233" max="9233" width="21.25" style="1" customWidth="1"/>
    <col min="9234" max="9473" width="8.25" style="1"/>
    <col min="9474" max="9474" width="2.75" style="1" bestFit="1" customWidth="1"/>
    <col min="9475" max="9475" width="4.125" style="1" bestFit="1" customWidth="1"/>
    <col min="9476" max="9477" width="5.5" style="1" bestFit="1" customWidth="1"/>
    <col min="9478" max="9478" width="9.25" style="1" bestFit="1" customWidth="1"/>
    <col min="9479" max="9479" width="19.5" style="1" customWidth="1"/>
    <col min="9480" max="9480" width="8.25" style="1"/>
    <col min="9481" max="9481" width="5.5" style="1" bestFit="1" customWidth="1"/>
    <col min="9482" max="9482" width="9.625" style="1" bestFit="1" customWidth="1"/>
    <col min="9483" max="9483" width="5.25" style="1" bestFit="1" customWidth="1"/>
    <col min="9484" max="9484" width="5.5" style="1" bestFit="1" customWidth="1"/>
    <col min="9485" max="9485" width="4.25" style="1" bestFit="1" customWidth="1"/>
    <col min="9486" max="9486" width="7.25" style="1" bestFit="1" customWidth="1"/>
    <col min="9487" max="9487" width="11.875" style="1" bestFit="1" customWidth="1"/>
    <col min="9488" max="9488" width="8.25" style="1"/>
    <col min="9489" max="9489" width="21.25" style="1" customWidth="1"/>
    <col min="9490" max="9729" width="8.25" style="1"/>
    <col min="9730" max="9730" width="2.75" style="1" bestFit="1" customWidth="1"/>
    <col min="9731" max="9731" width="4.125" style="1" bestFit="1" customWidth="1"/>
    <col min="9732" max="9733" width="5.5" style="1" bestFit="1" customWidth="1"/>
    <col min="9734" max="9734" width="9.25" style="1" bestFit="1" customWidth="1"/>
    <col min="9735" max="9735" width="19.5" style="1" customWidth="1"/>
    <col min="9736" max="9736" width="8.25" style="1"/>
    <col min="9737" max="9737" width="5.5" style="1" bestFit="1" customWidth="1"/>
    <col min="9738" max="9738" width="9.625" style="1" bestFit="1" customWidth="1"/>
    <col min="9739" max="9739" width="5.25" style="1" bestFit="1" customWidth="1"/>
    <col min="9740" max="9740" width="5.5" style="1" bestFit="1" customWidth="1"/>
    <col min="9741" max="9741" width="4.25" style="1" bestFit="1" customWidth="1"/>
    <col min="9742" max="9742" width="7.25" style="1" bestFit="1" customWidth="1"/>
    <col min="9743" max="9743" width="11.875" style="1" bestFit="1" customWidth="1"/>
    <col min="9744" max="9744" width="8.25" style="1"/>
    <col min="9745" max="9745" width="21.25" style="1" customWidth="1"/>
    <col min="9746" max="9985" width="8.25" style="1"/>
    <col min="9986" max="9986" width="2.75" style="1" bestFit="1" customWidth="1"/>
    <col min="9987" max="9987" width="4.125" style="1" bestFit="1" customWidth="1"/>
    <col min="9988" max="9989" width="5.5" style="1" bestFit="1" customWidth="1"/>
    <col min="9990" max="9990" width="9.25" style="1" bestFit="1" customWidth="1"/>
    <col min="9991" max="9991" width="19.5" style="1" customWidth="1"/>
    <col min="9992" max="9992" width="8.25" style="1"/>
    <col min="9993" max="9993" width="5.5" style="1" bestFit="1" customWidth="1"/>
    <col min="9994" max="9994" width="9.625" style="1" bestFit="1" customWidth="1"/>
    <col min="9995" max="9995" width="5.25" style="1" bestFit="1" customWidth="1"/>
    <col min="9996" max="9996" width="5.5" style="1" bestFit="1" customWidth="1"/>
    <col min="9997" max="9997" width="4.25" style="1" bestFit="1" customWidth="1"/>
    <col min="9998" max="9998" width="7.25" style="1" bestFit="1" customWidth="1"/>
    <col min="9999" max="9999" width="11.875" style="1" bestFit="1" customWidth="1"/>
    <col min="10000" max="10000" width="8.25" style="1"/>
    <col min="10001" max="10001" width="21.25" style="1" customWidth="1"/>
    <col min="10002" max="10241" width="8.25" style="1"/>
    <col min="10242" max="10242" width="2.75" style="1" bestFit="1" customWidth="1"/>
    <col min="10243" max="10243" width="4.125" style="1" bestFit="1" customWidth="1"/>
    <col min="10244" max="10245" width="5.5" style="1" bestFit="1" customWidth="1"/>
    <col min="10246" max="10246" width="9.25" style="1" bestFit="1" customWidth="1"/>
    <col min="10247" max="10247" width="19.5" style="1" customWidth="1"/>
    <col min="10248" max="10248" width="8.25" style="1"/>
    <col min="10249" max="10249" width="5.5" style="1" bestFit="1" customWidth="1"/>
    <col min="10250" max="10250" width="9.625" style="1" bestFit="1" customWidth="1"/>
    <col min="10251" max="10251" width="5.25" style="1" bestFit="1" customWidth="1"/>
    <col min="10252" max="10252" width="5.5" style="1" bestFit="1" customWidth="1"/>
    <col min="10253" max="10253" width="4.25" style="1" bestFit="1" customWidth="1"/>
    <col min="10254" max="10254" width="7.25" style="1" bestFit="1" customWidth="1"/>
    <col min="10255" max="10255" width="11.875" style="1" bestFit="1" customWidth="1"/>
    <col min="10256" max="10256" width="8.25" style="1"/>
    <col min="10257" max="10257" width="21.25" style="1" customWidth="1"/>
    <col min="10258" max="10497" width="8.25" style="1"/>
    <col min="10498" max="10498" width="2.75" style="1" bestFit="1" customWidth="1"/>
    <col min="10499" max="10499" width="4.125" style="1" bestFit="1" customWidth="1"/>
    <col min="10500" max="10501" width="5.5" style="1" bestFit="1" customWidth="1"/>
    <col min="10502" max="10502" width="9.25" style="1" bestFit="1" customWidth="1"/>
    <col min="10503" max="10503" width="19.5" style="1" customWidth="1"/>
    <col min="10504" max="10504" width="8.25" style="1"/>
    <col min="10505" max="10505" width="5.5" style="1" bestFit="1" customWidth="1"/>
    <col min="10506" max="10506" width="9.625" style="1" bestFit="1" customWidth="1"/>
    <col min="10507" max="10507" width="5.25" style="1" bestFit="1" customWidth="1"/>
    <col min="10508" max="10508" width="5.5" style="1" bestFit="1" customWidth="1"/>
    <col min="10509" max="10509" width="4.25" style="1" bestFit="1" customWidth="1"/>
    <col min="10510" max="10510" width="7.25" style="1" bestFit="1" customWidth="1"/>
    <col min="10511" max="10511" width="11.875" style="1" bestFit="1" customWidth="1"/>
    <col min="10512" max="10512" width="8.25" style="1"/>
    <col min="10513" max="10513" width="21.25" style="1" customWidth="1"/>
    <col min="10514" max="10753" width="8.25" style="1"/>
    <col min="10754" max="10754" width="2.75" style="1" bestFit="1" customWidth="1"/>
    <col min="10755" max="10755" width="4.125" style="1" bestFit="1" customWidth="1"/>
    <col min="10756" max="10757" width="5.5" style="1" bestFit="1" customWidth="1"/>
    <col min="10758" max="10758" width="9.25" style="1" bestFit="1" customWidth="1"/>
    <col min="10759" max="10759" width="19.5" style="1" customWidth="1"/>
    <col min="10760" max="10760" width="8.25" style="1"/>
    <col min="10761" max="10761" width="5.5" style="1" bestFit="1" customWidth="1"/>
    <col min="10762" max="10762" width="9.625" style="1" bestFit="1" customWidth="1"/>
    <col min="10763" max="10763" width="5.25" style="1" bestFit="1" customWidth="1"/>
    <col min="10764" max="10764" width="5.5" style="1" bestFit="1" customWidth="1"/>
    <col min="10765" max="10765" width="4.25" style="1" bestFit="1" customWidth="1"/>
    <col min="10766" max="10766" width="7.25" style="1" bestFit="1" customWidth="1"/>
    <col min="10767" max="10767" width="11.875" style="1" bestFit="1" customWidth="1"/>
    <col min="10768" max="10768" width="8.25" style="1"/>
    <col min="10769" max="10769" width="21.25" style="1" customWidth="1"/>
    <col min="10770" max="11009" width="8.25" style="1"/>
    <col min="11010" max="11010" width="2.75" style="1" bestFit="1" customWidth="1"/>
    <col min="11011" max="11011" width="4.125" style="1" bestFit="1" customWidth="1"/>
    <col min="11012" max="11013" width="5.5" style="1" bestFit="1" customWidth="1"/>
    <col min="11014" max="11014" width="9.25" style="1" bestFit="1" customWidth="1"/>
    <col min="11015" max="11015" width="19.5" style="1" customWidth="1"/>
    <col min="11016" max="11016" width="8.25" style="1"/>
    <col min="11017" max="11017" width="5.5" style="1" bestFit="1" customWidth="1"/>
    <col min="11018" max="11018" width="9.625" style="1" bestFit="1" customWidth="1"/>
    <col min="11019" max="11019" width="5.25" style="1" bestFit="1" customWidth="1"/>
    <col min="11020" max="11020" width="5.5" style="1" bestFit="1" customWidth="1"/>
    <col min="11021" max="11021" width="4.25" style="1" bestFit="1" customWidth="1"/>
    <col min="11022" max="11022" width="7.25" style="1" bestFit="1" customWidth="1"/>
    <col min="11023" max="11023" width="11.875" style="1" bestFit="1" customWidth="1"/>
    <col min="11024" max="11024" width="8.25" style="1"/>
    <col min="11025" max="11025" width="21.25" style="1" customWidth="1"/>
    <col min="11026" max="11265" width="8.25" style="1"/>
    <col min="11266" max="11266" width="2.75" style="1" bestFit="1" customWidth="1"/>
    <col min="11267" max="11267" width="4.125" style="1" bestFit="1" customWidth="1"/>
    <col min="11268" max="11269" width="5.5" style="1" bestFit="1" customWidth="1"/>
    <col min="11270" max="11270" width="9.25" style="1" bestFit="1" customWidth="1"/>
    <col min="11271" max="11271" width="19.5" style="1" customWidth="1"/>
    <col min="11272" max="11272" width="8.25" style="1"/>
    <col min="11273" max="11273" width="5.5" style="1" bestFit="1" customWidth="1"/>
    <col min="11274" max="11274" width="9.625" style="1" bestFit="1" customWidth="1"/>
    <col min="11275" max="11275" width="5.25" style="1" bestFit="1" customWidth="1"/>
    <col min="11276" max="11276" width="5.5" style="1" bestFit="1" customWidth="1"/>
    <col min="11277" max="11277" width="4.25" style="1" bestFit="1" customWidth="1"/>
    <col min="11278" max="11278" width="7.25" style="1" bestFit="1" customWidth="1"/>
    <col min="11279" max="11279" width="11.875" style="1" bestFit="1" customWidth="1"/>
    <col min="11280" max="11280" width="8.25" style="1"/>
    <col min="11281" max="11281" width="21.25" style="1" customWidth="1"/>
    <col min="11282" max="11521" width="8.25" style="1"/>
    <col min="11522" max="11522" width="2.75" style="1" bestFit="1" customWidth="1"/>
    <col min="11523" max="11523" width="4.125" style="1" bestFit="1" customWidth="1"/>
    <col min="11524" max="11525" width="5.5" style="1" bestFit="1" customWidth="1"/>
    <col min="11526" max="11526" width="9.25" style="1" bestFit="1" customWidth="1"/>
    <col min="11527" max="11527" width="19.5" style="1" customWidth="1"/>
    <col min="11528" max="11528" width="8.25" style="1"/>
    <col min="11529" max="11529" width="5.5" style="1" bestFit="1" customWidth="1"/>
    <col min="11530" max="11530" width="9.625" style="1" bestFit="1" customWidth="1"/>
    <col min="11531" max="11531" width="5.25" style="1" bestFit="1" customWidth="1"/>
    <col min="11532" max="11532" width="5.5" style="1" bestFit="1" customWidth="1"/>
    <col min="11533" max="11533" width="4.25" style="1" bestFit="1" customWidth="1"/>
    <col min="11534" max="11534" width="7.25" style="1" bestFit="1" customWidth="1"/>
    <col min="11535" max="11535" width="11.875" style="1" bestFit="1" customWidth="1"/>
    <col min="11536" max="11536" width="8.25" style="1"/>
    <col min="11537" max="11537" width="21.25" style="1" customWidth="1"/>
    <col min="11538" max="11777" width="8.25" style="1"/>
    <col min="11778" max="11778" width="2.75" style="1" bestFit="1" customWidth="1"/>
    <col min="11779" max="11779" width="4.125" style="1" bestFit="1" customWidth="1"/>
    <col min="11780" max="11781" width="5.5" style="1" bestFit="1" customWidth="1"/>
    <col min="11782" max="11782" width="9.25" style="1" bestFit="1" customWidth="1"/>
    <col min="11783" max="11783" width="19.5" style="1" customWidth="1"/>
    <col min="11784" max="11784" width="8.25" style="1"/>
    <col min="11785" max="11785" width="5.5" style="1" bestFit="1" customWidth="1"/>
    <col min="11786" max="11786" width="9.625" style="1" bestFit="1" customWidth="1"/>
    <col min="11787" max="11787" width="5.25" style="1" bestFit="1" customWidth="1"/>
    <col min="11788" max="11788" width="5.5" style="1" bestFit="1" customWidth="1"/>
    <col min="11789" max="11789" width="4.25" style="1" bestFit="1" customWidth="1"/>
    <col min="11790" max="11790" width="7.25" style="1" bestFit="1" customWidth="1"/>
    <col min="11791" max="11791" width="11.875" style="1" bestFit="1" customWidth="1"/>
    <col min="11792" max="11792" width="8.25" style="1"/>
    <col min="11793" max="11793" width="21.25" style="1" customWidth="1"/>
    <col min="11794" max="12033" width="8.25" style="1"/>
    <col min="12034" max="12034" width="2.75" style="1" bestFit="1" customWidth="1"/>
    <col min="12035" max="12035" width="4.125" style="1" bestFit="1" customWidth="1"/>
    <col min="12036" max="12037" width="5.5" style="1" bestFit="1" customWidth="1"/>
    <col min="12038" max="12038" width="9.25" style="1" bestFit="1" customWidth="1"/>
    <col min="12039" max="12039" width="19.5" style="1" customWidth="1"/>
    <col min="12040" max="12040" width="8.25" style="1"/>
    <col min="12041" max="12041" width="5.5" style="1" bestFit="1" customWidth="1"/>
    <col min="12042" max="12042" width="9.625" style="1" bestFit="1" customWidth="1"/>
    <col min="12043" max="12043" width="5.25" style="1" bestFit="1" customWidth="1"/>
    <col min="12044" max="12044" width="5.5" style="1" bestFit="1" customWidth="1"/>
    <col min="12045" max="12045" width="4.25" style="1" bestFit="1" customWidth="1"/>
    <col min="12046" max="12046" width="7.25" style="1" bestFit="1" customWidth="1"/>
    <col min="12047" max="12047" width="11.875" style="1" bestFit="1" customWidth="1"/>
    <col min="12048" max="12048" width="8.25" style="1"/>
    <col min="12049" max="12049" width="21.25" style="1" customWidth="1"/>
    <col min="12050" max="12289" width="8.25" style="1"/>
    <col min="12290" max="12290" width="2.75" style="1" bestFit="1" customWidth="1"/>
    <col min="12291" max="12291" width="4.125" style="1" bestFit="1" customWidth="1"/>
    <col min="12292" max="12293" width="5.5" style="1" bestFit="1" customWidth="1"/>
    <col min="12294" max="12294" width="9.25" style="1" bestFit="1" customWidth="1"/>
    <col min="12295" max="12295" width="19.5" style="1" customWidth="1"/>
    <col min="12296" max="12296" width="8.25" style="1"/>
    <col min="12297" max="12297" width="5.5" style="1" bestFit="1" customWidth="1"/>
    <col min="12298" max="12298" width="9.625" style="1" bestFit="1" customWidth="1"/>
    <col min="12299" max="12299" width="5.25" style="1" bestFit="1" customWidth="1"/>
    <col min="12300" max="12300" width="5.5" style="1" bestFit="1" customWidth="1"/>
    <col min="12301" max="12301" width="4.25" style="1" bestFit="1" customWidth="1"/>
    <col min="12302" max="12302" width="7.25" style="1" bestFit="1" customWidth="1"/>
    <col min="12303" max="12303" width="11.875" style="1" bestFit="1" customWidth="1"/>
    <col min="12304" max="12304" width="8.25" style="1"/>
    <col min="12305" max="12305" width="21.25" style="1" customWidth="1"/>
    <col min="12306" max="12545" width="8.25" style="1"/>
    <col min="12546" max="12546" width="2.75" style="1" bestFit="1" customWidth="1"/>
    <col min="12547" max="12547" width="4.125" style="1" bestFit="1" customWidth="1"/>
    <col min="12548" max="12549" width="5.5" style="1" bestFit="1" customWidth="1"/>
    <col min="12550" max="12550" width="9.25" style="1" bestFit="1" customWidth="1"/>
    <col min="12551" max="12551" width="19.5" style="1" customWidth="1"/>
    <col min="12552" max="12552" width="8.25" style="1"/>
    <col min="12553" max="12553" width="5.5" style="1" bestFit="1" customWidth="1"/>
    <col min="12554" max="12554" width="9.625" style="1" bestFit="1" customWidth="1"/>
    <col min="12555" max="12555" width="5.25" style="1" bestFit="1" customWidth="1"/>
    <col min="12556" max="12556" width="5.5" style="1" bestFit="1" customWidth="1"/>
    <col min="12557" max="12557" width="4.25" style="1" bestFit="1" customWidth="1"/>
    <col min="12558" max="12558" width="7.25" style="1" bestFit="1" customWidth="1"/>
    <col min="12559" max="12559" width="11.875" style="1" bestFit="1" customWidth="1"/>
    <col min="12560" max="12560" width="8.25" style="1"/>
    <col min="12561" max="12561" width="21.25" style="1" customWidth="1"/>
    <col min="12562" max="12801" width="8.25" style="1"/>
    <col min="12802" max="12802" width="2.75" style="1" bestFit="1" customWidth="1"/>
    <col min="12803" max="12803" width="4.125" style="1" bestFit="1" customWidth="1"/>
    <col min="12804" max="12805" width="5.5" style="1" bestFit="1" customWidth="1"/>
    <col min="12806" max="12806" width="9.25" style="1" bestFit="1" customWidth="1"/>
    <col min="12807" max="12807" width="19.5" style="1" customWidth="1"/>
    <col min="12808" max="12808" width="8.25" style="1"/>
    <col min="12809" max="12809" width="5.5" style="1" bestFit="1" customWidth="1"/>
    <col min="12810" max="12810" width="9.625" style="1" bestFit="1" customWidth="1"/>
    <col min="12811" max="12811" width="5.25" style="1" bestFit="1" customWidth="1"/>
    <col min="12812" max="12812" width="5.5" style="1" bestFit="1" customWidth="1"/>
    <col min="12813" max="12813" width="4.25" style="1" bestFit="1" customWidth="1"/>
    <col min="12814" max="12814" width="7.25" style="1" bestFit="1" customWidth="1"/>
    <col min="12815" max="12815" width="11.875" style="1" bestFit="1" customWidth="1"/>
    <col min="12816" max="12816" width="8.25" style="1"/>
    <col min="12817" max="12817" width="21.25" style="1" customWidth="1"/>
    <col min="12818" max="13057" width="8.25" style="1"/>
    <col min="13058" max="13058" width="2.75" style="1" bestFit="1" customWidth="1"/>
    <col min="13059" max="13059" width="4.125" style="1" bestFit="1" customWidth="1"/>
    <col min="13060" max="13061" width="5.5" style="1" bestFit="1" customWidth="1"/>
    <col min="13062" max="13062" width="9.25" style="1" bestFit="1" customWidth="1"/>
    <col min="13063" max="13063" width="19.5" style="1" customWidth="1"/>
    <col min="13064" max="13064" width="8.25" style="1"/>
    <col min="13065" max="13065" width="5.5" style="1" bestFit="1" customWidth="1"/>
    <col min="13066" max="13066" width="9.625" style="1" bestFit="1" customWidth="1"/>
    <col min="13067" max="13067" width="5.25" style="1" bestFit="1" customWidth="1"/>
    <col min="13068" max="13068" width="5.5" style="1" bestFit="1" customWidth="1"/>
    <col min="13069" max="13069" width="4.25" style="1" bestFit="1" customWidth="1"/>
    <col min="13070" max="13070" width="7.25" style="1" bestFit="1" customWidth="1"/>
    <col min="13071" max="13071" width="11.875" style="1" bestFit="1" customWidth="1"/>
    <col min="13072" max="13072" width="8.25" style="1"/>
    <col min="13073" max="13073" width="21.25" style="1" customWidth="1"/>
    <col min="13074" max="13313" width="8.25" style="1"/>
    <col min="13314" max="13314" width="2.75" style="1" bestFit="1" customWidth="1"/>
    <col min="13315" max="13315" width="4.125" style="1" bestFit="1" customWidth="1"/>
    <col min="13316" max="13317" width="5.5" style="1" bestFit="1" customWidth="1"/>
    <col min="13318" max="13318" width="9.25" style="1" bestFit="1" customWidth="1"/>
    <col min="13319" max="13319" width="19.5" style="1" customWidth="1"/>
    <col min="13320" max="13320" width="8.25" style="1"/>
    <col min="13321" max="13321" width="5.5" style="1" bestFit="1" customWidth="1"/>
    <col min="13322" max="13322" width="9.625" style="1" bestFit="1" customWidth="1"/>
    <col min="13323" max="13323" width="5.25" style="1" bestFit="1" customWidth="1"/>
    <col min="13324" max="13324" width="5.5" style="1" bestFit="1" customWidth="1"/>
    <col min="13325" max="13325" width="4.25" style="1" bestFit="1" customWidth="1"/>
    <col min="13326" max="13326" width="7.25" style="1" bestFit="1" customWidth="1"/>
    <col min="13327" max="13327" width="11.875" style="1" bestFit="1" customWidth="1"/>
    <col min="13328" max="13328" width="8.25" style="1"/>
    <col min="13329" max="13329" width="21.25" style="1" customWidth="1"/>
    <col min="13330" max="13569" width="8.25" style="1"/>
    <col min="13570" max="13570" width="2.75" style="1" bestFit="1" customWidth="1"/>
    <col min="13571" max="13571" width="4.125" style="1" bestFit="1" customWidth="1"/>
    <col min="13572" max="13573" width="5.5" style="1" bestFit="1" customWidth="1"/>
    <col min="13574" max="13574" width="9.25" style="1" bestFit="1" customWidth="1"/>
    <col min="13575" max="13575" width="19.5" style="1" customWidth="1"/>
    <col min="13576" max="13576" width="8.25" style="1"/>
    <col min="13577" max="13577" width="5.5" style="1" bestFit="1" customWidth="1"/>
    <col min="13578" max="13578" width="9.625" style="1" bestFit="1" customWidth="1"/>
    <col min="13579" max="13579" width="5.25" style="1" bestFit="1" customWidth="1"/>
    <col min="13580" max="13580" width="5.5" style="1" bestFit="1" customWidth="1"/>
    <col min="13581" max="13581" width="4.25" style="1" bestFit="1" customWidth="1"/>
    <col min="13582" max="13582" width="7.25" style="1" bestFit="1" customWidth="1"/>
    <col min="13583" max="13583" width="11.875" style="1" bestFit="1" customWidth="1"/>
    <col min="13584" max="13584" width="8.25" style="1"/>
    <col min="13585" max="13585" width="21.25" style="1" customWidth="1"/>
    <col min="13586" max="13825" width="8.25" style="1"/>
    <col min="13826" max="13826" width="2.75" style="1" bestFit="1" customWidth="1"/>
    <col min="13827" max="13827" width="4.125" style="1" bestFit="1" customWidth="1"/>
    <col min="13828" max="13829" width="5.5" style="1" bestFit="1" customWidth="1"/>
    <col min="13830" max="13830" width="9.25" style="1" bestFit="1" customWidth="1"/>
    <col min="13831" max="13831" width="19.5" style="1" customWidth="1"/>
    <col min="13832" max="13832" width="8.25" style="1"/>
    <col min="13833" max="13833" width="5.5" style="1" bestFit="1" customWidth="1"/>
    <col min="13834" max="13834" width="9.625" style="1" bestFit="1" customWidth="1"/>
    <col min="13835" max="13835" width="5.25" style="1" bestFit="1" customWidth="1"/>
    <col min="13836" max="13836" width="5.5" style="1" bestFit="1" customWidth="1"/>
    <col min="13837" max="13837" width="4.25" style="1" bestFit="1" customWidth="1"/>
    <col min="13838" max="13838" width="7.25" style="1" bestFit="1" customWidth="1"/>
    <col min="13839" max="13839" width="11.875" style="1" bestFit="1" customWidth="1"/>
    <col min="13840" max="13840" width="8.25" style="1"/>
    <col min="13841" max="13841" width="21.25" style="1" customWidth="1"/>
    <col min="13842" max="14081" width="8.25" style="1"/>
    <col min="14082" max="14082" width="2.75" style="1" bestFit="1" customWidth="1"/>
    <col min="14083" max="14083" width="4.125" style="1" bestFit="1" customWidth="1"/>
    <col min="14084" max="14085" width="5.5" style="1" bestFit="1" customWidth="1"/>
    <col min="14086" max="14086" width="9.25" style="1" bestFit="1" customWidth="1"/>
    <col min="14087" max="14087" width="19.5" style="1" customWidth="1"/>
    <col min="14088" max="14088" width="8.25" style="1"/>
    <col min="14089" max="14089" width="5.5" style="1" bestFit="1" customWidth="1"/>
    <col min="14090" max="14090" width="9.625" style="1" bestFit="1" customWidth="1"/>
    <col min="14091" max="14091" width="5.25" style="1" bestFit="1" customWidth="1"/>
    <col min="14092" max="14092" width="5.5" style="1" bestFit="1" customWidth="1"/>
    <col min="14093" max="14093" width="4.25" style="1" bestFit="1" customWidth="1"/>
    <col min="14094" max="14094" width="7.25" style="1" bestFit="1" customWidth="1"/>
    <col min="14095" max="14095" width="11.875" style="1" bestFit="1" customWidth="1"/>
    <col min="14096" max="14096" width="8.25" style="1"/>
    <col min="14097" max="14097" width="21.25" style="1" customWidth="1"/>
    <col min="14098" max="14337" width="8.25" style="1"/>
    <col min="14338" max="14338" width="2.75" style="1" bestFit="1" customWidth="1"/>
    <col min="14339" max="14339" width="4.125" style="1" bestFit="1" customWidth="1"/>
    <col min="14340" max="14341" width="5.5" style="1" bestFit="1" customWidth="1"/>
    <col min="14342" max="14342" width="9.25" style="1" bestFit="1" customWidth="1"/>
    <col min="14343" max="14343" width="19.5" style="1" customWidth="1"/>
    <col min="14344" max="14344" width="8.25" style="1"/>
    <col min="14345" max="14345" width="5.5" style="1" bestFit="1" customWidth="1"/>
    <col min="14346" max="14346" width="9.625" style="1" bestFit="1" customWidth="1"/>
    <col min="14347" max="14347" width="5.25" style="1" bestFit="1" customWidth="1"/>
    <col min="14348" max="14348" width="5.5" style="1" bestFit="1" customWidth="1"/>
    <col min="14349" max="14349" width="4.25" style="1" bestFit="1" customWidth="1"/>
    <col min="14350" max="14350" width="7.25" style="1" bestFit="1" customWidth="1"/>
    <col min="14351" max="14351" width="11.875" style="1" bestFit="1" customWidth="1"/>
    <col min="14352" max="14352" width="8.25" style="1"/>
    <col min="14353" max="14353" width="21.25" style="1" customWidth="1"/>
    <col min="14354" max="14593" width="8.25" style="1"/>
    <col min="14594" max="14594" width="2.75" style="1" bestFit="1" customWidth="1"/>
    <col min="14595" max="14595" width="4.125" style="1" bestFit="1" customWidth="1"/>
    <col min="14596" max="14597" width="5.5" style="1" bestFit="1" customWidth="1"/>
    <col min="14598" max="14598" width="9.25" style="1" bestFit="1" customWidth="1"/>
    <col min="14599" max="14599" width="19.5" style="1" customWidth="1"/>
    <col min="14600" max="14600" width="8.25" style="1"/>
    <col min="14601" max="14601" width="5.5" style="1" bestFit="1" customWidth="1"/>
    <col min="14602" max="14602" width="9.625" style="1" bestFit="1" customWidth="1"/>
    <col min="14603" max="14603" width="5.25" style="1" bestFit="1" customWidth="1"/>
    <col min="14604" max="14604" width="5.5" style="1" bestFit="1" customWidth="1"/>
    <col min="14605" max="14605" width="4.25" style="1" bestFit="1" customWidth="1"/>
    <col min="14606" max="14606" width="7.25" style="1" bestFit="1" customWidth="1"/>
    <col min="14607" max="14607" width="11.875" style="1" bestFit="1" customWidth="1"/>
    <col min="14608" max="14608" width="8.25" style="1"/>
    <col min="14609" max="14609" width="21.25" style="1" customWidth="1"/>
    <col min="14610" max="14849" width="8.25" style="1"/>
    <col min="14850" max="14850" width="2.75" style="1" bestFit="1" customWidth="1"/>
    <col min="14851" max="14851" width="4.125" style="1" bestFit="1" customWidth="1"/>
    <col min="14852" max="14853" width="5.5" style="1" bestFit="1" customWidth="1"/>
    <col min="14854" max="14854" width="9.25" style="1" bestFit="1" customWidth="1"/>
    <col min="14855" max="14855" width="19.5" style="1" customWidth="1"/>
    <col min="14856" max="14856" width="8.25" style="1"/>
    <col min="14857" max="14857" width="5.5" style="1" bestFit="1" customWidth="1"/>
    <col min="14858" max="14858" width="9.625" style="1" bestFit="1" customWidth="1"/>
    <col min="14859" max="14859" width="5.25" style="1" bestFit="1" customWidth="1"/>
    <col min="14860" max="14860" width="5.5" style="1" bestFit="1" customWidth="1"/>
    <col min="14861" max="14861" width="4.25" style="1" bestFit="1" customWidth="1"/>
    <col min="14862" max="14862" width="7.25" style="1" bestFit="1" customWidth="1"/>
    <col min="14863" max="14863" width="11.875" style="1" bestFit="1" customWidth="1"/>
    <col min="14864" max="14864" width="8.25" style="1"/>
    <col min="14865" max="14865" width="21.25" style="1" customWidth="1"/>
    <col min="14866" max="15105" width="8.25" style="1"/>
    <col min="15106" max="15106" width="2.75" style="1" bestFit="1" customWidth="1"/>
    <col min="15107" max="15107" width="4.125" style="1" bestFit="1" customWidth="1"/>
    <col min="15108" max="15109" width="5.5" style="1" bestFit="1" customWidth="1"/>
    <col min="15110" max="15110" width="9.25" style="1" bestFit="1" customWidth="1"/>
    <col min="15111" max="15111" width="19.5" style="1" customWidth="1"/>
    <col min="15112" max="15112" width="8.25" style="1"/>
    <col min="15113" max="15113" width="5.5" style="1" bestFit="1" customWidth="1"/>
    <col min="15114" max="15114" width="9.625" style="1" bestFit="1" customWidth="1"/>
    <col min="15115" max="15115" width="5.25" style="1" bestFit="1" customWidth="1"/>
    <col min="15116" max="15116" width="5.5" style="1" bestFit="1" customWidth="1"/>
    <col min="15117" max="15117" width="4.25" style="1" bestFit="1" customWidth="1"/>
    <col min="15118" max="15118" width="7.25" style="1" bestFit="1" customWidth="1"/>
    <col min="15119" max="15119" width="11.875" style="1" bestFit="1" customWidth="1"/>
    <col min="15120" max="15120" width="8.25" style="1"/>
    <col min="15121" max="15121" width="21.25" style="1" customWidth="1"/>
    <col min="15122" max="15361" width="8.25" style="1"/>
    <col min="15362" max="15362" width="2.75" style="1" bestFit="1" customWidth="1"/>
    <col min="15363" max="15363" width="4.125" style="1" bestFit="1" customWidth="1"/>
    <col min="15364" max="15365" width="5.5" style="1" bestFit="1" customWidth="1"/>
    <col min="15366" max="15366" width="9.25" style="1" bestFit="1" customWidth="1"/>
    <col min="15367" max="15367" width="19.5" style="1" customWidth="1"/>
    <col min="15368" max="15368" width="8.25" style="1"/>
    <col min="15369" max="15369" width="5.5" style="1" bestFit="1" customWidth="1"/>
    <col min="15370" max="15370" width="9.625" style="1" bestFit="1" customWidth="1"/>
    <col min="15371" max="15371" width="5.25" style="1" bestFit="1" customWidth="1"/>
    <col min="15372" max="15372" width="5.5" style="1" bestFit="1" customWidth="1"/>
    <col min="15373" max="15373" width="4.25" style="1" bestFit="1" customWidth="1"/>
    <col min="15374" max="15374" width="7.25" style="1" bestFit="1" customWidth="1"/>
    <col min="15375" max="15375" width="11.875" style="1" bestFit="1" customWidth="1"/>
    <col min="15376" max="15376" width="8.25" style="1"/>
    <col min="15377" max="15377" width="21.25" style="1" customWidth="1"/>
    <col min="15378" max="15617" width="8.25" style="1"/>
    <col min="15618" max="15618" width="2.75" style="1" bestFit="1" customWidth="1"/>
    <col min="15619" max="15619" width="4.125" style="1" bestFit="1" customWidth="1"/>
    <col min="15620" max="15621" width="5.5" style="1" bestFit="1" customWidth="1"/>
    <col min="15622" max="15622" width="9.25" style="1" bestFit="1" customWidth="1"/>
    <col min="15623" max="15623" width="19.5" style="1" customWidth="1"/>
    <col min="15624" max="15624" width="8.25" style="1"/>
    <col min="15625" max="15625" width="5.5" style="1" bestFit="1" customWidth="1"/>
    <col min="15626" max="15626" width="9.625" style="1" bestFit="1" customWidth="1"/>
    <col min="15627" max="15627" width="5.25" style="1" bestFit="1" customWidth="1"/>
    <col min="15628" max="15628" width="5.5" style="1" bestFit="1" customWidth="1"/>
    <col min="15629" max="15629" width="4.25" style="1" bestFit="1" customWidth="1"/>
    <col min="15630" max="15630" width="7.25" style="1" bestFit="1" customWidth="1"/>
    <col min="15631" max="15631" width="11.875" style="1" bestFit="1" customWidth="1"/>
    <col min="15632" max="15632" width="8.25" style="1"/>
    <col min="15633" max="15633" width="21.25" style="1" customWidth="1"/>
    <col min="15634" max="15873" width="8.25" style="1"/>
    <col min="15874" max="15874" width="2.75" style="1" bestFit="1" customWidth="1"/>
    <col min="15875" max="15875" width="4.125" style="1" bestFit="1" customWidth="1"/>
    <col min="15876" max="15877" width="5.5" style="1" bestFit="1" customWidth="1"/>
    <col min="15878" max="15878" width="9.25" style="1" bestFit="1" customWidth="1"/>
    <col min="15879" max="15879" width="19.5" style="1" customWidth="1"/>
    <col min="15880" max="15880" width="8.25" style="1"/>
    <col min="15881" max="15881" width="5.5" style="1" bestFit="1" customWidth="1"/>
    <col min="15882" max="15882" width="9.625" style="1" bestFit="1" customWidth="1"/>
    <col min="15883" max="15883" width="5.25" style="1" bestFit="1" customWidth="1"/>
    <col min="15884" max="15884" width="5.5" style="1" bestFit="1" customWidth="1"/>
    <col min="15885" max="15885" width="4.25" style="1" bestFit="1" customWidth="1"/>
    <col min="15886" max="15886" width="7.25" style="1" bestFit="1" customWidth="1"/>
    <col min="15887" max="15887" width="11.875" style="1" bestFit="1" customWidth="1"/>
    <col min="15888" max="15888" width="8.25" style="1"/>
    <col min="15889" max="15889" width="21.25" style="1" customWidth="1"/>
    <col min="15890" max="16129" width="8.25" style="1"/>
    <col min="16130" max="16130" width="2.75" style="1" bestFit="1" customWidth="1"/>
    <col min="16131" max="16131" width="4.125" style="1" bestFit="1" customWidth="1"/>
    <col min="16132" max="16133" width="5.5" style="1" bestFit="1" customWidth="1"/>
    <col min="16134" max="16134" width="9.25" style="1" bestFit="1" customWidth="1"/>
    <col min="16135" max="16135" width="19.5" style="1" customWidth="1"/>
    <col min="16136" max="16136" width="8.25" style="1"/>
    <col min="16137" max="16137" width="5.5" style="1" bestFit="1" customWidth="1"/>
    <col min="16138" max="16138" width="9.625" style="1" bestFit="1" customWidth="1"/>
    <col min="16139" max="16139" width="5.25" style="1" bestFit="1" customWidth="1"/>
    <col min="16140" max="16140" width="5.5" style="1" bestFit="1" customWidth="1"/>
    <col min="16141" max="16141" width="4.25" style="1" bestFit="1" customWidth="1"/>
    <col min="16142" max="16142" width="7.25" style="1" bestFit="1" customWidth="1"/>
    <col min="16143" max="16143" width="11.875" style="1" bestFit="1" customWidth="1"/>
    <col min="16144" max="16144" width="8.25" style="1"/>
    <col min="16145" max="16145" width="21.25" style="1" customWidth="1"/>
    <col min="16146" max="16384" width="8.25" style="1"/>
  </cols>
  <sheetData>
    <row r="1" spans="2:17" ht="14.25">
      <c r="B1" s="27" t="s">
        <v>116</v>
      </c>
      <c r="C1" s="1"/>
      <c r="J1" s="3"/>
      <c r="K1" s="3"/>
    </row>
    <row r="2" spans="2:17">
      <c r="B2" s="28"/>
      <c r="C2" s="1"/>
      <c r="J2" s="3"/>
      <c r="K2" s="3"/>
    </row>
    <row r="3" spans="2:17" s="22" customFormat="1" ht="14.25">
      <c r="B3" s="29" t="s">
        <v>1</v>
      </c>
    </row>
    <row r="4" spans="2:17" s="8" customFormat="1">
      <c r="B4" s="30"/>
      <c r="C4" s="9" t="s">
        <v>117</v>
      </c>
      <c r="D4" s="166" t="s">
        <v>118</v>
      </c>
      <c r="E4" s="166"/>
      <c r="F4" s="16" t="s">
        <v>119</v>
      </c>
      <c r="G4" s="16" t="s">
        <v>120</v>
      </c>
      <c r="H4" s="16" t="s">
        <v>121</v>
      </c>
      <c r="I4" s="16" t="s">
        <v>122</v>
      </c>
      <c r="J4" s="17" t="s">
        <v>123</v>
      </c>
      <c r="K4" s="16" t="s">
        <v>124</v>
      </c>
      <c r="L4" s="16" t="s">
        <v>125</v>
      </c>
      <c r="M4" s="16" t="s">
        <v>126</v>
      </c>
      <c r="N4" s="18" t="s">
        <v>127</v>
      </c>
      <c r="O4" s="16" t="s">
        <v>128</v>
      </c>
      <c r="P4" s="18" t="s">
        <v>129</v>
      </c>
      <c r="Q4" s="19" t="s">
        <v>130</v>
      </c>
    </row>
    <row r="5" spans="2:17">
      <c r="B5" s="30">
        <v>1</v>
      </c>
      <c r="C5" s="9"/>
      <c r="D5" s="166"/>
      <c r="E5" s="166"/>
      <c r="F5" s="10"/>
      <c r="G5" s="11"/>
      <c r="H5" s="10"/>
      <c r="I5" s="10"/>
      <c r="J5" s="12"/>
      <c r="K5" s="10"/>
      <c r="L5" s="10"/>
      <c r="M5" s="10"/>
      <c r="N5" s="12"/>
      <c r="O5" s="13"/>
      <c r="P5" s="12"/>
      <c r="Q5" s="14"/>
    </row>
    <row r="6" spans="2:17">
      <c r="B6" s="30">
        <v>2</v>
      </c>
      <c r="C6" s="9"/>
      <c r="D6" s="166"/>
      <c r="E6" s="166"/>
      <c r="F6" s="10"/>
      <c r="G6" s="11"/>
      <c r="H6" s="10"/>
      <c r="I6" s="10"/>
      <c r="J6" s="12"/>
      <c r="K6" s="10"/>
      <c r="L6" s="10"/>
      <c r="M6" s="10"/>
      <c r="N6" s="12"/>
      <c r="O6" s="13"/>
      <c r="P6" s="12"/>
      <c r="Q6" s="14"/>
    </row>
    <row r="7" spans="2:17">
      <c r="B7" s="30">
        <v>3</v>
      </c>
      <c r="C7" s="9"/>
      <c r="D7" s="166"/>
      <c r="E7" s="166"/>
      <c r="F7" s="10"/>
      <c r="G7" s="11"/>
      <c r="H7" s="10"/>
      <c r="I7" s="10"/>
      <c r="J7" s="12"/>
      <c r="K7" s="10"/>
      <c r="L7" s="10"/>
      <c r="M7" s="10"/>
      <c r="N7" s="12"/>
      <c r="O7" s="13"/>
      <c r="P7" s="12"/>
      <c r="Q7" s="14"/>
    </row>
    <row r="8" spans="2:17">
      <c r="B8" s="30">
        <v>4</v>
      </c>
      <c r="C8" s="9"/>
      <c r="D8" s="166"/>
      <c r="E8" s="166"/>
      <c r="F8" s="10"/>
      <c r="G8" s="11"/>
      <c r="H8" s="10"/>
      <c r="I8" s="10"/>
      <c r="J8" s="12"/>
      <c r="K8" s="10"/>
      <c r="L8" s="10"/>
      <c r="M8" s="10"/>
      <c r="N8" s="12"/>
      <c r="O8" s="13"/>
      <c r="P8" s="12"/>
      <c r="Q8" s="14"/>
    </row>
    <row r="9" spans="2:17">
      <c r="B9" s="30">
        <v>5</v>
      </c>
      <c r="C9" s="9"/>
      <c r="D9" s="166"/>
      <c r="E9" s="166"/>
      <c r="F9" s="10"/>
      <c r="G9" s="11"/>
      <c r="H9" s="10"/>
      <c r="I9" s="10"/>
      <c r="J9" s="12"/>
      <c r="K9" s="10"/>
      <c r="L9" s="10"/>
      <c r="M9" s="10"/>
      <c r="N9" s="12"/>
      <c r="O9" s="13"/>
      <c r="P9" s="12"/>
      <c r="Q9" s="14"/>
    </row>
    <row r="10" spans="2:17">
      <c r="B10" s="30">
        <v>6</v>
      </c>
      <c r="C10" s="9"/>
      <c r="D10" s="166"/>
      <c r="E10" s="166"/>
      <c r="F10" s="10"/>
      <c r="G10" s="11"/>
      <c r="H10" s="10"/>
      <c r="I10" s="10"/>
      <c r="J10" s="12"/>
      <c r="K10" s="10"/>
      <c r="L10" s="10"/>
      <c r="M10" s="10"/>
      <c r="N10" s="12"/>
      <c r="O10" s="13"/>
      <c r="P10" s="12"/>
      <c r="Q10" s="14"/>
    </row>
    <row r="11" spans="2:17">
      <c r="B11" s="30">
        <v>7</v>
      </c>
      <c r="C11" s="9"/>
      <c r="D11" s="166"/>
      <c r="E11" s="166"/>
      <c r="F11" s="10"/>
      <c r="G11" s="11"/>
      <c r="H11" s="10"/>
      <c r="I11" s="10"/>
      <c r="J11" s="12"/>
      <c r="K11" s="10"/>
      <c r="L11" s="10"/>
      <c r="M11" s="10"/>
      <c r="N11" s="12"/>
      <c r="O11" s="13"/>
      <c r="P11" s="12"/>
      <c r="Q11" s="14"/>
    </row>
    <row r="12" spans="2:17">
      <c r="B12" s="30">
        <v>8</v>
      </c>
      <c r="C12" s="9"/>
      <c r="D12" s="166"/>
      <c r="E12" s="166"/>
      <c r="F12" s="10"/>
      <c r="G12" s="11"/>
      <c r="H12" s="10"/>
      <c r="I12" s="10"/>
      <c r="J12" s="12"/>
      <c r="K12" s="10"/>
      <c r="L12" s="10"/>
      <c r="M12" s="10"/>
      <c r="N12" s="12"/>
      <c r="O12" s="13"/>
      <c r="P12" s="12"/>
      <c r="Q12" s="14"/>
    </row>
    <row r="13" spans="2:17">
      <c r="B13" s="30">
        <v>9</v>
      </c>
      <c r="C13" s="9"/>
      <c r="D13" s="166"/>
      <c r="E13" s="166"/>
      <c r="F13" s="10"/>
      <c r="G13" s="11"/>
      <c r="H13" s="10"/>
      <c r="I13" s="10"/>
      <c r="J13" s="12"/>
      <c r="K13" s="10"/>
      <c r="L13" s="10"/>
      <c r="M13" s="10"/>
      <c r="N13" s="12"/>
      <c r="O13" s="13"/>
      <c r="P13" s="12"/>
      <c r="Q13" s="14"/>
    </row>
    <row r="14" spans="2:17">
      <c r="B14" s="31">
        <v>10</v>
      </c>
      <c r="C14" s="10"/>
      <c r="D14" s="10"/>
      <c r="E14" s="23"/>
      <c r="F14" s="10"/>
      <c r="G14" s="10"/>
      <c r="H14" s="10"/>
      <c r="I14" s="10"/>
      <c r="J14" s="24"/>
      <c r="K14" s="24"/>
      <c r="L14" s="10"/>
      <c r="M14" s="10"/>
      <c r="N14" s="25"/>
      <c r="O14" s="10"/>
      <c r="P14" s="25"/>
      <c r="Q14" s="26"/>
    </row>
    <row r="15" spans="2:17">
      <c r="B15" s="28"/>
      <c r="C15" s="1"/>
      <c r="J15" s="3"/>
      <c r="K15" s="3"/>
    </row>
    <row r="16" spans="2:17" s="22" customFormat="1" ht="14.25">
      <c r="B16" s="29" t="s">
        <v>49</v>
      </c>
    </row>
    <row r="17" spans="2:17">
      <c r="B17" s="32"/>
      <c r="C17" s="6" t="s">
        <v>131</v>
      </c>
      <c r="E17" s="1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/>
    </row>
    <row r="18" spans="2:17" s="8" customFormat="1">
      <c r="B18" s="30"/>
      <c r="C18" s="9" t="s">
        <v>117</v>
      </c>
      <c r="D18" s="166" t="s">
        <v>118</v>
      </c>
      <c r="E18" s="166"/>
      <c r="F18" s="16" t="s">
        <v>119</v>
      </c>
      <c r="G18" s="16" t="s">
        <v>120</v>
      </c>
      <c r="H18" s="16" t="s">
        <v>121</v>
      </c>
      <c r="I18" s="16" t="s">
        <v>122</v>
      </c>
      <c r="J18" s="17" t="s">
        <v>123</v>
      </c>
      <c r="K18" s="16" t="s">
        <v>124</v>
      </c>
      <c r="L18" s="16" t="s">
        <v>125</v>
      </c>
      <c r="M18" s="16" t="s">
        <v>126</v>
      </c>
      <c r="N18" s="18" t="s">
        <v>127</v>
      </c>
      <c r="O18" s="16" t="s">
        <v>128</v>
      </c>
      <c r="P18" s="18" t="s">
        <v>129</v>
      </c>
      <c r="Q18" s="19" t="s">
        <v>130</v>
      </c>
    </row>
    <row r="19" spans="2:17">
      <c r="B19" s="30">
        <v>1</v>
      </c>
      <c r="C19" s="9"/>
      <c r="D19" s="166"/>
      <c r="E19" s="166"/>
      <c r="F19" s="10"/>
      <c r="G19" s="11"/>
      <c r="H19" s="10"/>
      <c r="I19" s="10"/>
      <c r="J19" s="12"/>
      <c r="K19" s="10"/>
      <c r="L19" s="10"/>
      <c r="M19" s="10"/>
      <c r="N19" s="12"/>
      <c r="O19" s="13"/>
      <c r="P19" s="12"/>
      <c r="Q19" s="14"/>
    </row>
    <row r="20" spans="2:17">
      <c r="B20" s="30">
        <v>2</v>
      </c>
      <c r="C20" s="9"/>
      <c r="D20" s="166"/>
      <c r="E20" s="166"/>
      <c r="F20" s="10"/>
      <c r="G20" s="11"/>
      <c r="H20" s="10"/>
      <c r="I20" s="10"/>
      <c r="J20" s="12"/>
      <c r="K20" s="10"/>
      <c r="L20" s="10"/>
      <c r="M20" s="10"/>
      <c r="N20" s="12"/>
      <c r="O20" s="13"/>
      <c r="P20" s="12"/>
      <c r="Q20" s="14"/>
    </row>
    <row r="21" spans="2:17">
      <c r="B21" s="30">
        <v>3</v>
      </c>
      <c r="C21" s="9"/>
      <c r="D21" s="166"/>
      <c r="E21" s="166"/>
      <c r="F21" s="10"/>
      <c r="G21" s="11"/>
      <c r="H21" s="10"/>
      <c r="I21" s="10"/>
      <c r="J21" s="12"/>
      <c r="K21" s="10"/>
      <c r="L21" s="10"/>
      <c r="M21" s="10"/>
      <c r="N21" s="12"/>
      <c r="O21" s="13"/>
      <c r="P21" s="12"/>
      <c r="Q21" s="14"/>
    </row>
    <row r="22" spans="2:17">
      <c r="B22" s="30">
        <v>4</v>
      </c>
      <c r="C22" s="9"/>
      <c r="D22" s="166"/>
      <c r="E22" s="166"/>
      <c r="F22" s="10"/>
      <c r="G22" s="11"/>
      <c r="H22" s="10"/>
      <c r="I22" s="10"/>
      <c r="J22" s="12"/>
      <c r="K22" s="10"/>
      <c r="L22" s="10"/>
      <c r="M22" s="10"/>
      <c r="N22" s="12"/>
      <c r="O22" s="13"/>
      <c r="P22" s="12"/>
      <c r="Q22" s="14"/>
    </row>
    <row r="23" spans="2:17">
      <c r="B23" s="30">
        <v>5</v>
      </c>
      <c r="C23" s="9"/>
      <c r="D23" s="166"/>
      <c r="E23" s="166"/>
      <c r="F23" s="10"/>
      <c r="G23" s="11"/>
      <c r="H23" s="10"/>
      <c r="I23" s="10"/>
      <c r="J23" s="12"/>
      <c r="K23" s="10"/>
      <c r="L23" s="10"/>
      <c r="M23" s="10"/>
      <c r="N23" s="12"/>
      <c r="O23" s="13"/>
      <c r="P23" s="12"/>
      <c r="Q23" s="14"/>
    </row>
    <row r="24" spans="2:17">
      <c r="B24" s="30">
        <v>6</v>
      </c>
      <c r="C24" s="9"/>
      <c r="D24" s="166"/>
      <c r="E24" s="166"/>
      <c r="F24" s="10"/>
      <c r="G24" s="11"/>
      <c r="H24" s="10"/>
      <c r="I24" s="10"/>
      <c r="J24" s="12"/>
      <c r="K24" s="10"/>
      <c r="L24" s="10"/>
      <c r="M24" s="10"/>
      <c r="N24" s="12"/>
      <c r="O24" s="13"/>
      <c r="P24" s="12"/>
      <c r="Q24" s="14"/>
    </row>
    <row r="25" spans="2:17">
      <c r="B25" s="30">
        <v>7</v>
      </c>
      <c r="C25" s="9"/>
      <c r="D25" s="166"/>
      <c r="E25" s="166"/>
      <c r="F25" s="10"/>
      <c r="G25" s="11"/>
      <c r="H25" s="10"/>
      <c r="I25" s="10"/>
      <c r="J25" s="12"/>
      <c r="K25" s="10"/>
      <c r="L25" s="10"/>
      <c r="M25" s="10"/>
      <c r="N25" s="12"/>
      <c r="O25" s="13"/>
      <c r="P25" s="12"/>
      <c r="Q25" s="14"/>
    </row>
    <row r="26" spans="2:17">
      <c r="B26" s="30">
        <v>8</v>
      </c>
      <c r="C26" s="9"/>
      <c r="D26" s="166"/>
      <c r="E26" s="166"/>
      <c r="F26" s="10"/>
      <c r="G26" s="11"/>
      <c r="H26" s="10"/>
      <c r="I26" s="10"/>
      <c r="J26" s="12"/>
      <c r="K26" s="10"/>
      <c r="L26" s="10"/>
      <c r="M26" s="10"/>
      <c r="N26" s="12"/>
      <c r="O26" s="13"/>
      <c r="P26" s="12"/>
      <c r="Q26" s="14"/>
    </row>
    <row r="27" spans="2:17">
      <c r="B27" s="30">
        <v>9</v>
      </c>
      <c r="C27" s="9"/>
      <c r="D27" s="166"/>
      <c r="E27" s="166"/>
      <c r="F27" s="10"/>
      <c r="G27" s="11"/>
      <c r="H27" s="10"/>
      <c r="I27" s="10"/>
      <c r="J27" s="12"/>
      <c r="K27" s="10"/>
      <c r="L27" s="10"/>
      <c r="M27" s="10"/>
      <c r="N27" s="12"/>
      <c r="O27" s="13"/>
      <c r="P27" s="12"/>
      <c r="Q27" s="14"/>
    </row>
    <row r="28" spans="2:17">
      <c r="B28" s="30">
        <v>10</v>
      </c>
      <c r="C28" s="9"/>
      <c r="D28" s="166"/>
      <c r="E28" s="166"/>
      <c r="F28" s="10"/>
      <c r="G28" s="11"/>
      <c r="H28" s="10"/>
      <c r="I28" s="10"/>
      <c r="J28" s="12"/>
      <c r="K28" s="10"/>
      <c r="L28" s="10"/>
      <c r="M28" s="10"/>
      <c r="N28" s="12"/>
      <c r="O28" s="13"/>
      <c r="P28" s="12"/>
      <c r="Q28" s="14"/>
    </row>
    <row r="30" spans="2:17">
      <c r="C30" s="1"/>
    </row>
  </sheetData>
  <mergeCells count="21">
    <mergeCell ref="D23:E23"/>
    <mergeCell ref="D18:E18"/>
    <mergeCell ref="D19:E19"/>
    <mergeCell ref="D20:E20"/>
    <mergeCell ref="D21:E21"/>
    <mergeCell ref="D22:E22"/>
    <mergeCell ref="D4:E4"/>
    <mergeCell ref="D5:E5"/>
    <mergeCell ref="D6:E6"/>
    <mergeCell ref="D7:E7"/>
    <mergeCell ref="D8:E8"/>
    <mergeCell ref="D24:E24"/>
    <mergeCell ref="D25:E25"/>
    <mergeCell ref="D26:E26"/>
    <mergeCell ref="D27:E27"/>
    <mergeCell ref="D28:E28"/>
    <mergeCell ref="D9:E9"/>
    <mergeCell ref="D10:E10"/>
    <mergeCell ref="D11:E11"/>
    <mergeCell ref="D12:E12"/>
    <mergeCell ref="D13:E13"/>
  </mergeCells>
  <phoneticPr fontId="2"/>
  <pageMargins left="0.19685039370078741" right="0.19685039370078741" top="0.39370078740157483" bottom="0.59055118110236227" header="0.51181102362204722" footer="0.31496062992125984"/>
  <pageSetup paperSize="9" orientation="landscape" r:id="rId1"/>
  <headerFooter alignWithMargins="0"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7F792-6B53-4FF6-8E44-59908D10F698}">
  <dimension ref="B1:B8"/>
  <sheetViews>
    <sheetView zoomScale="110" zoomScaleNormal="110" workbookViewId="0">
      <selection activeCell="J26" sqref="J26"/>
    </sheetView>
  </sheetViews>
  <sheetFormatPr defaultColWidth="8.75" defaultRowHeight="13.5"/>
  <cols>
    <col min="1" max="1" width="2.375" style="71" customWidth="1"/>
    <col min="2" max="16384" width="8.75" style="71"/>
  </cols>
  <sheetData>
    <row r="1" spans="2:2" ht="14.25">
      <c r="B1" s="22" t="s">
        <v>132</v>
      </c>
    </row>
    <row r="3" spans="2:2">
      <c r="B3" s="71" t="s">
        <v>133</v>
      </c>
    </row>
    <row r="4" spans="2:2">
      <c r="B4" s="71" t="s">
        <v>50</v>
      </c>
    </row>
    <row r="5" spans="2:2">
      <c r="B5" s="71" t="s">
        <v>134</v>
      </c>
    </row>
    <row r="6" spans="2:2">
      <c r="B6" s="71" t="s">
        <v>135</v>
      </c>
    </row>
    <row r="8" spans="2:2">
      <c r="B8" s="71" t="s">
        <v>136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4</vt:i4>
      </vt:variant>
    </vt:vector>
  </HeadingPairs>
  <TitlesOfParts>
    <vt:vector size="11" baseType="lpstr">
      <vt:lpstr>売上仕入総利益</vt:lpstr>
      <vt:lpstr>一般販管費（管理可能項目）</vt:lpstr>
      <vt:lpstr>単価</vt:lpstr>
      <vt:lpstr>運賃</vt:lpstr>
      <vt:lpstr>苦情関連費用</vt:lpstr>
      <vt:lpstr>試作・新規・失注管理</vt:lpstr>
      <vt:lpstr>月次纏め資料</vt:lpstr>
      <vt:lpstr>'一般販管費（管理可能項目）'!Print_Area</vt:lpstr>
      <vt:lpstr>試作・新規・失注管理!Print_Area</vt:lpstr>
      <vt:lpstr>売上仕入総利益!Print_Area</vt:lpstr>
      <vt:lpstr>試作・新規・失注管理!Print_Titles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ikawa</dc:creator>
  <cp:keywords/>
  <dc:description/>
  <cp:lastModifiedBy>LIU YIRAN</cp:lastModifiedBy>
  <cp:revision/>
  <dcterms:created xsi:type="dcterms:W3CDTF">2022-01-10T22:47:44Z</dcterms:created>
  <dcterms:modified xsi:type="dcterms:W3CDTF">2023-03-07T10:47:38Z</dcterms:modified>
  <cp:category/>
  <cp:contentStatus/>
</cp:coreProperties>
</file>