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860" tabRatio="831" activeTab="1"/>
  </bookViews>
  <sheets>
    <sheet name="Atmos" sheetId="1" r:id="rId1"/>
    <sheet name="Orbit" sheetId="2" r:id="rId2"/>
  </sheets>
  <definedNames>
    <definedName name="Ep" localSheetId="1">Orbit!#REF!</definedName>
    <definedName name="Ep">Atmos!$D$13</definedName>
    <definedName name="Etwo" localSheetId="1">Orbit!#REF!</definedName>
    <definedName name="Etwo">Atmos!$D$12</definedName>
    <definedName name="f" localSheetId="1">Orbit!#REF!</definedName>
    <definedName name="f">Atmos!$D$10</definedName>
    <definedName name="inv_f" localSheetId="1">Orbit!#REF!</definedName>
    <definedName name="inv_f">Atmos!$D$6</definedName>
    <definedName name="Jtwo" localSheetId="1">Orbit!#REF!</definedName>
    <definedName name="Jtwo">Atmos!$D$11</definedName>
    <definedName name="mu" localSheetId="1">Orbit!#REF!</definedName>
    <definedName name="mu">Atmos!$D$7</definedName>
    <definedName name="omega" localSheetId="1">Orbit!#REF!</definedName>
    <definedName name="omega">Atmos!$D$8</definedName>
    <definedName name="omega_rad" localSheetId="1">Orbit!#REF!</definedName>
    <definedName name="omega_rad">Atmos!$D$9</definedName>
    <definedName name="Re" localSheetId="1">Orbit!#REF!</definedName>
    <definedName name="Re">Atmos!$D$5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8" i="1" l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E190" i="1"/>
  <c r="E189" i="1"/>
  <c r="E188" i="1"/>
  <c r="X38" i="1"/>
  <c r="U36" i="1"/>
  <c r="U37" i="1"/>
  <c r="P33" i="1"/>
  <c r="Q33" i="1"/>
  <c r="R33" i="1"/>
  <c r="S33" i="1"/>
  <c r="T33" i="1"/>
  <c r="U33" i="1"/>
  <c r="P34" i="1"/>
  <c r="Q34" i="1"/>
  <c r="R34" i="1"/>
  <c r="S34" i="1"/>
  <c r="T34" i="1"/>
  <c r="U34" i="1"/>
  <c r="P37" i="1"/>
  <c r="P36" i="1"/>
  <c r="T56" i="1"/>
  <c r="T58" i="1"/>
  <c r="T57" i="1"/>
  <c r="T54" i="1"/>
  <c r="T59" i="1"/>
  <c r="T66" i="1"/>
  <c r="T67" i="1"/>
  <c r="T55" i="1"/>
  <c r="T68" i="1"/>
  <c r="T63" i="1"/>
  <c r="T64" i="1"/>
  <c r="T65" i="1"/>
  <c r="T60" i="1"/>
  <c r="T61" i="1"/>
  <c r="T62" i="1"/>
  <c r="T10" i="1"/>
  <c r="T12" i="1"/>
  <c r="T120" i="1"/>
  <c r="T121" i="1"/>
  <c r="T46" i="1"/>
  <c r="T122" i="1"/>
  <c r="T123" i="1"/>
  <c r="T44" i="1"/>
  <c r="T124" i="1"/>
  <c r="T45" i="1"/>
  <c r="T156" i="1"/>
  <c r="T157" i="1"/>
  <c r="T170" i="1"/>
  <c r="T143" i="1"/>
  <c r="T144" i="1"/>
  <c r="T145" i="1"/>
  <c r="T146" i="1"/>
  <c r="T147" i="1"/>
  <c r="T148" i="1"/>
  <c r="T150" i="1"/>
  <c r="T158" i="1"/>
  <c r="T153" i="1"/>
  <c r="T152" i="1"/>
  <c r="T154" i="1"/>
  <c r="T159" i="1"/>
  <c r="T151" i="1"/>
  <c r="T155" i="1"/>
  <c r="T160" i="1"/>
  <c r="T178" i="1"/>
  <c r="T171" i="1"/>
  <c r="T161" i="1"/>
  <c r="T162" i="1"/>
  <c r="T163" i="1"/>
  <c r="T179" i="1"/>
  <c r="T172" i="1"/>
  <c r="T164" i="1"/>
  <c r="T165" i="1"/>
  <c r="T180" i="1"/>
  <c r="T182" i="1"/>
  <c r="T167" i="1"/>
  <c r="T168" i="1"/>
  <c r="T169" i="1"/>
  <c r="T181" i="1"/>
  <c r="T184" i="1"/>
  <c r="T176" i="1"/>
  <c r="T185" i="1"/>
  <c r="T173" i="1"/>
  <c r="T174" i="1"/>
  <c r="T183" i="1"/>
  <c r="T149" i="1"/>
  <c r="T5" i="1"/>
  <c r="T47" i="1"/>
  <c r="T48" i="1"/>
  <c r="T133" i="1"/>
  <c r="T134" i="1"/>
  <c r="T140" i="1"/>
  <c r="T139" i="1"/>
  <c r="T138" i="1"/>
  <c r="T50" i="1"/>
  <c r="T135" i="1"/>
  <c r="T137" i="1"/>
  <c r="T136" i="1"/>
  <c r="T49" i="1"/>
  <c r="T81" i="1"/>
  <c r="T82" i="1"/>
  <c r="T84" i="1"/>
  <c r="T83" i="1"/>
  <c r="T86" i="1"/>
  <c r="T96" i="1"/>
  <c r="T99" i="1"/>
  <c r="T51" i="1"/>
  <c r="T90" i="1"/>
  <c r="T92" i="1"/>
  <c r="T102" i="1"/>
  <c r="T130" i="1"/>
  <c r="T70" i="1"/>
  <c r="T73" i="1"/>
  <c r="T71" i="1"/>
  <c r="T76" i="1"/>
  <c r="T95" i="1"/>
  <c r="T98" i="1"/>
  <c r="T101" i="1"/>
  <c r="T129" i="1"/>
  <c r="T72" i="1"/>
  <c r="T75" i="1"/>
  <c r="T94" i="1"/>
  <c r="T97" i="1"/>
  <c r="T100" i="1"/>
  <c r="T128" i="1"/>
  <c r="T112" i="1"/>
  <c r="T105" i="1"/>
  <c r="T127" i="1"/>
  <c r="T109" i="1"/>
  <c r="T126" i="1"/>
  <c r="T106" i="1"/>
  <c r="T125" i="1"/>
  <c r="T117" i="1"/>
  <c r="T116" i="1"/>
  <c r="T8" i="1"/>
  <c r="T115" i="1"/>
  <c r="T111" i="1"/>
  <c r="T110" i="1"/>
  <c r="T108" i="1"/>
  <c r="T107" i="1"/>
  <c r="T104" i="1"/>
  <c r="T23" i="1"/>
  <c r="T24" i="1"/>
  <c r="T25" i="1"/>
  <c r="T30" i="1"/>
  <c r="T29" i="1"/>
  <c r="T28" i="1"/>
  <c r="T6" i="1"/>
  <c r="T13" i="1"/>
  <c r="T11" i="1"/>
  <c r="T9" i="1"/>
  <c r="T7" i="1"/>
  <c r="S56" i="1"/>
  <c r="S58" i="1"/>
  <c r="S57" i="1"/>
  <c r="S54" i="1"/>
  <c r="S59" i="1"/>
  <c r="S66" i="1"/>
  <c r="S67" i="1"/>
  <c r="S55" i="1"/>
  <c r="S68" i="1"/>
  <c r="S63" i="1"/>
  <c r="S64" i="1"/>
  <c r="S65" i="1"/>
  <c r="S60" i="1"/>
  <c r="S61" i="1"/>
  <c r="S62" i="1"/>
  <c r="S10" i="1"/>
  <c r="S12" i="1"/>
  <c r="S120" i="1"/>
  <c r="S121" i="1"/>
  <c r="S46" i="1"/>
  <c r="S122" i="1"/>
  <c r="S123" i="1"/>
  <c r="S44" i="1"/>
  <c r="S124" i="1"/>
  <c r="S45" i="1"/>
  <c r="S156" i="1"/>
  <c r="S157" i="1"/>
  <c r="S170" i="1"/>
  <c r="S143" i="1"/>
  <c r="S144" i="1"/>
  <c r="S145" i="1"/>
  <c r="S146" i="1"/>
  <c r="S147" i="1"/>
  <c r="S148" i="1"/>
  <c r="S150" i="1"/>
  <c r="S158" i="1"/>
  <c r="S153" i="1"/>
  <c r="S152" i="1"/>
  <c r="S154" i="1"/>
  <c r="S159" i="1"/>
  <c r="S151" i="1"/>
  <c r="S155" i="1"/>
  <c r="S160" i="1"/>
  <c r="S178" i="1"/>
  <c r="S171" i="1"/>
  <c r="S161" i="1"/>
  <c r="S162" i="1"/>
  <c r="S163" i="1"/>
  <c r="S179" i="1"/>
  <c r="S172" i="1"/>
  <c r="S164" i="1"/>
  <c r="S165" i="1"/>
  <c r="S180" i="1"/>
  <c r="S182" i="1"/>
  <c r="S167" i="1"/>
  <c r="S168" i="1"/>
  <c r="S169" i="1"/>
  <c r="S181" i="1"/>
  <c r="S184" i="1"/>
  <c r="S176" i="1"/>
  <c r="S185" i="1"/>
  <c r="S173" i="1"/>
  <c r="S174" i="1"/>
  <c r="S183" i="1"/>
  <c r="S149" i="1"/>
  <c r="S5" i="1"/>
  <c r="S47" i="1"/>
  <c r="S48" i="1"/>
  <c r="S133" i="1"/>
  <c r="S134" i="1"/>
  <c r="S140" i="1"/>
  <c r="S139" i="1"/>
  <c r="S138" i="1"/>
  <c r="S50" i="1"/>
  <c r="S135" i="1"/>
  <c r="S137" i="1"/>
  <c r="S136" i="1"/>
  <c r="S49" i="1"/>
  <c r="S81" i="1"/>
  <c r="S82" i="1"/>
  <c r="S84" i="1"/>
  <c r="S83" i="1"/>
  <c r="S86" i="1"/>
  <c r="S96" i="1"/>
  <c r="S99" i="1"/>
  <c r="S51" i="1"/>
  <c r="S90" i="1"/>
  <c r="S92" i="1"/>
  <c r="S102" i="1"/>
  <c r="S130" i="1"/>
  <c r="S70" i="1"/>
  <c r="S73" i="1"/>
  <c r="S71" i="1"/>
  <c r="S76" i="1"/>
  <c r="S95" i="1"/>
  <c r="S98" i="1"/>
  <c r="S101" i="1"/>
  <c r="S129" i="1"/>
  <c r="S72" i="1"/>
  <c r="S75" i="1"/>
  <c r="S94" i="1"/>
  <c r="S97" i="1"/>
  <c r="S100" i="1"/>
  <c r="S128" i="1"/>
  <c r="S112" i="1"/>
  <c r="S105" i="1"/>
  <c r="S127" i="1"/>
  <c r="S109" i="1"/>
  <c r="S126" i="1"/>
  <c r="S106" i="1"/>
  <c r="S125" i="1"/>
  <c r="S117" i="1"/>
  <c r="S116" i="1"/>
  <c r="S8" i="1"/>
  <c r="S115" i="1"/>
  <c r="S111" i="1"/>
  <c r="S110" i="1"/>
  <c r="S108" i="1"/>
  <c r="S107" i="1"/>
  <c r="S104" i="1"/>
  <c r="S23" i="1"/>
  <c r="S24" i="1"/>
  <c r="S25" i="1"/>
  <c r="S30" i="1"/>
  <c r="S29" i="1"/>
  <c r="S28" i="1"/>
  <c r="S6" i="1"/>
  <c r="S13" i="1"/>
  <c r="S11" i="1"/>
  <c r="S9" i="1"/>
  <c r="S7" i="1"/>
  <c r="R56" i="1"/>
  <c r="R58" i="1"/>
  <c r="R57" i="1"/>
  <c r="R54" i="1"/>
  <c r="R59" i="1"/>
  <c r="R66" i="1"/>
  <c r="R67" i="1"/>
  <c r="R55" i="1"/>
  <c r="R68" i="1"/>
  <c r="R63" i="1"/>
  <c r="R64" i="1"/>
  <c r="R65" i="1"/>
  <c r="R60" i="1"/>
  <c r="R61" i="1"/>
  <c r="R62" i="1"/>
  <c r="R10" i="1"/>
  <c r="R12" i="1"/>
  <c r="R120" i="1"/>
  <c r="R121" i="1"/>
  <c r="R46" i="1"/>
  <c r="R122" i="1"/>
  <c r="R123" i="1"/>
  <c r="R44" i="1"/>
  <c r="R124" i="1"/>
  <c r="R45" i="1"/>
  <c r="R156" i="1"/>
  <c r="R157" i="1"/>
  <c r="R170" i="1"/>
  <c r="R143" i="1"/>
  <c r="R144" i="1"/>
  <c r="R145" i="1"/>
  <c r="R146" i="1"/>
  <c r="R147" i="1"/>
  <c r="R148" i="1"/>
  <c r="R150" i="1"/>
  <c r="R158" i="1"/>
  <c r="R153" i="1"/>
  <c r="R152" i="1"/>
  <c r="R154" i="1"/>
  <c r="R159" i="1"/>
  <c r="R151" i="1"/>
  <c r="R155" i="1"/>
  <c r="R160" i="1"/>
  <c r="R178" i="1"/>
  <c r="R171" i="1"/>
  <c r="R161" i="1"/>
  <c r="R162" i="1"/>
  <c r="R163" i="1"/>
  <c r="R179" i="1"/>
  <c r="R172" i="1"/>
  <c r="R164" i="1"/>
  <c r="R165" i="1"/>
  <c r="R180" i="1"/>
  <c r="R182" i="1"/>
  <c r="R167" i="1"/>
  <c r="R168" i="1"/>
  <c r="R169" i="1"/>
  <c r="R181" i="1"/>
  <c r="R184" i="1"/>
  <c r="R176" i="1"/>
  <c r="R185" i="1"/>
  <c r="R173" i="1"/>
  <c r="R174" i="1"/>
  <c r="R183" i="1"/>
  <c r="R149" i="1"/>
  <c r="R5" i="1"/>
  <c r="R47" i="1"/>
  <c r="R48" i="1"/>
  <c r="R133" i="1"/>
  <c r="R134" i="1"/>
  <c r="R140" i="1"/>
  <c r="R139" i="1"/>
  <c r="R138" i="1"/>
  <c r="R50" i="1"/>
  <c r="R135" i="1"/>
  <c r="R137" i="1"/>
  <c r="R136" i="1"/>
  <c r="R49" i="1"/>
  <c r="R81" i="1"/>
  <c r="R82" i="1"/>
  <c r="R84" i="1"/>
  <c r="R83" i="1"/>
  <c r="R86" i="1"/>
  <c r="R96" i="1"/>
  <c r="R99" i="1"/>
  <c r="R51" i="1"/>
  <c r="R90" i="1"/>
  <c r="R92" i="1"/>
  <c r="R102" i="1"/>
  <c r="R130" i="1"/>
  <c r="R70" i="1"/>
  <c r="R73" i="1"/>
  <c r="R71" i="1"/>
  <c r="R76" i="1"/>
  <c r="R95" i="1"/>
  <c r="R98" i="1"/>
  <c r="R101" i="1"/>
  <c r="R129" i="1"/>
  <c r="R72" i="1"/>
  <c r="R75" i="1"/>
  <c r="R94" i="1"/>
  <c r="R97" i="1"/>
  <c r="R100" i="1"/>
  <c r="R128" i="1"/>
  <c r="R112" i="1"/>
  <c r="R105" i="1"/>
  <c r="R127" i="1"/>
  <c r="R109" i="1"/>
  <c r="R126" i="1"/>
  <c r="R106" i="1"/>
  <c r="R125" i="1"/>
  <c r="R117" i="1"/>
  <c r="R116" i="1"/>
  <c r="R8" i="1"/>
  <c r="R115" i="1"/>
  <c r="R111" i="1"/>
  <c r="R110" i="1"/>
  <c r="R108" i="1"/>
  <c r="R107" i="1"/>
  <c r="R104" i="1"/>
  <c r="R23" i="1"/>
  <c r="R24" i="1"/>
  <c r="R25" i="1"/>
  <c r="R30" i="1"/>
  <c r="R29" i="1"/>
  <c r="R28" i="1"/>
  <c r="R6" i="1"/>
  <c r="R13" i="1"/>
  <c r="R11" i="1"/>
  <c r="R9" i="1"/>
  <c r="R7" i="1"/>
  <c r="X55" i="1"/>
  <c r="X60" i="1"/>
  <c r="X115" i="1"/>
  <c r="X23" i="1"/>
  <c r="X54" i="1"/>
  <c r="X63" i="1"/>
  <c r="X66" i="1"/>
  <c r="X104" i="1"/>
  <c r="X116" i="1"/>
  <c r="X24" i="1"/>
  <c r="X64" i="1"/>
  <c r="X65" i="1"/>
  <c r="X107" i="1"/>
  <c r="X117" i="1"/>
  <c r="X25" i="1"/>
  <c r="X67" i="1"/>
  <c r="X68" i="1"/>
  <c r="X110" i="1"/>
  <c r="X28" i="1"/>
  <c r="Y28" i="1"/>
  <c r="X61" i="1"/>
  <c r="X62" i="1"/>
  <c r="X105" i="1"/>
  <c r="X108" i="1"/>
  <c r="X111" i="1"/>
  <c r="X29" i="1"/>
  <c r="Y29" i="1"/>
  <c r="X106" i="1"/>
  <c r="X109" i="1"/>
  <c r="X112" i="1"/>
  <c r="X30" i="1"/>
  <c r="Y30" i="1"/>
  <c r="W30" i="1"/>
  <c r="W29" i="1"/>
  <c r="W28" i="1"/>
  <c r="V30" i="1"/>
  <c r="V29" i="1"/>
  <c r="V28" i="1"/>
  <c r="U81" i="1"/>
  <c r="U82" i="1"/>
  <c r="U84" i="1"/>
  <c r="U83" i="1"/>
  <c r="U86" i="1"/>
  <c r="U96" i="1"/>
  <c r="U90" i="1"/>
  <c r="U92" i="1"/>
  <c r="U102" i="1"/>
  <c r="U55" i="1"/>
  <c r="U59" i="1"/>
  <c r="U60" i="1"/>
  <c r="U58" i="1"/>
  <c r="U61" i="1"/>
  <c r="U54" i="1"/>
  <c r="U62" i="1"/>
  <c r="U106" i="1"/>
  <c r="U57" i="1"/>
  <c r="U56" i="1"/>
  <c r="U63" i="1"/>
  <c r="U64" i="1"/>
  <c r="U65" i="1"/>
  <c r="U109" i="1"/>
  <c r="U66" i="1"/>
  <c r="U67" i="1"/>
  <c r="U68" i="1"/>
  <c r="U112" i="1"/>
  <c r="U115" i="1"/>
  <c r="U23" i="1"/>
  <c r="U116" i="1"/>
  <c r="U24" i="1"/>
  <c r="U117" i="1"/>
  <c r="U25" i="1"/>
  <c r="U30" i="1"/>
  <c r="U46" i="1"/>
  <c r="U70" i="1"/>
  <c r="U73" i="1"/>
  <c r="U71" i="1"/>
  <c r="U76" i="1"/>
  <c r="U95" i="1"/>
  <c r="U98" i="1"/>
  <c r="U101" i="1"/>
  <c r="U105" i="1"/>
  <c r="U108" i="1"/>
  <c r="U111" i="1"/>
  <c r="U29" i="1"/>
  <c r="U72" i="1"/>
  <c r="U75" i="1"/>
  <c r="U94" i="1"/>
  <c r="U104" i="1"/>
  <c r="U97" i="1"/>
  <c r="U100" i="1"/>
  <c r="U107" i="1"/>
  <c r="U110" i="1"/>
  <c r="U28" i="1"/>
  <c r="Q81" i="1"/>
  <c r="Q82" i="1"/>
  <c r="Q84" i="1"/>
  <c r="Q83" i="1"/>
  <c r="Q86" i="1"/>
  <c r="Q96" i="1"/>
  <c r="Q90" i="1"/>
  <c r="Q92" i="1"/>
  <c r="Q102" i="1"/>
  <c r="Q59" i="1"/>
  <c r="Q60" i="1"/>
  <c r="Q58" i="1"/>
  <c r="Q61" i="1"/>
  <c r="Q106" i="1"/>
  <c r="Q63" i="1"/>
  <c r="Q64" i="1"/>
  <c r="Q109" i="1"/>
  <c r="Q66" i="1"/>
  <c r="Q67" i="1"/>
  <c r="Q112" i="1"/>
  <c r="Q115" i="1"/>
  <c r="Q23" i="1"/>
  <c r="Q116" i="1"/>
  <c r="Q24" i="1"/>
  <c r="Q117" i="1"/>
  <c r="Q25" i="1"/>
  <c r="Q30" i="1"/>
  <c r="Q46" i="1"/>
  <c r="Q70" i="1"/>
  <c r="Q73" i="1"/>
  <c r="Q71" i="1"/>
  <c r="Q76" i="1"/>
  <c r="Q95" i="1"/>
  <c r="Q98" i="1"/>
  <c r="Q101" i="1"/>
  <c r="Q105" i="1"/>
  <c r="Q108" i="1"/>
  <c r="Q111" i="1"/>
  <c r="Q29" i="1"/>
  <c r="Q72" i="1"/>
  <c r="Q75" i="1"/>
  <c r="Q94" i="1"/>
  <c r="Q104" i="1"/>
  <c r="Q97" i="1"/>
  <c r="Q100" i="1"/>
  <c r="Q107" i="1"/>
  <c r="Q110" i="1"/>
  <c r="Q28" i="1"/>
  <c r="N30" i="1"/>
  <c r="N29" i="1"/>
  <c r="N28" i="1"/>
  <c r="M25" i="1"/>
  <c r="M24" i="1"/>
  <c r="M23" i="1"/>
  <c r="V25" i="1"/>
  <c r="V24" i="1"/>
  <c r="V23" i="1"/>
  <c r="H18" i="1"/>
  <c r="I18" i="1"/>
  <c r="L18" i="1"/>
  <c r="K18" i="1"/>
  <c r="J18" i="1"/>
  <c r="X58" i="1"/>
  <c r="X59" i="1"/>
  <c r="D10" i="1"/>
  <c r="O10" i="1"/>
  <c r="O12" i="1"/>
  <c r="O120" i="1"/>
  <c r="O121" i="1"/>
  <c r="O123" i="1"/>
  <c r="O124" i="1"/>
  <c r="F10" i="1"/>
  <c r="F12" i="1"/>
  <c r="F120" i="1"/>
  <c r="F121" i="1"/>
  <c r="F124" i="1"/>
  <c r="G10" i="1"/>
  <c r="G12" i="1"/>
  <c r="G120" i="1"/>
  <c r="G121" i="1"/>
  <c r="G124" i="1"/>
  <c r="H12" i="1"/>
  <c r="H120" i="1"/>
  <c r="H121" i="1"/>
  <c r="H124" i="1"/>
  <c r="I121" i="1"/>
  <c r="I124" i="1"/>
  <c r="J10" i="1"/>
  <c r="J12" i="1"/>
  <c r="J120" i="1"/>
  <c r="J121" i="1"/>
  <c r="J124" i="1"/>
  <c r="K10" i="1"/>
  <c r="K12" i="1"/>
  <c r="K120" i="1"/>
  <c r="K121" i="1"/>
  <c r="K124" i="1"/>
  <c r="L10" i="1"/>
  <c r="L12" i="1"/>
  <c r="L120" i="1"/>
  <c r="L121" i="1"/>
  <c r="L124" i="1"/>
  <c r="M10" i="1"/>
  <c r="M12" i="1"/>
  <c r="M120" i="1"/>
  <c r="M121" i="1"/>
  <c r="M124" i="1"/>
  <c r="N10" i="1"/>
  <c r="N12" i="1"/>
  <c r="N120" i="1"/>
  <c r="N121" i="1"/>
  <c r="N124" i="1"/>
  <c r="P10" i="1"/>
  <c r="P12" i="1"/>
  <c r="P120" i="1"/>
  <c r="P121" i="1"/>
  <c r="P124" i="1"/>
  <c r="Q10" i="1"/>
  <c r="Q12" i="1"/>
  <c r="Q120" i="1"/>
  <c r="Q121" i="1"/>
  <c r="Q124" i="1"/>
  <c r="U10" i="1"/>
  <c r="U12" i="1"/>
  <c r="U120" i="1"/>
  <c r="U121" i="1"/>
  <c r="U124" i="1"/>
  <c r="V10" i="1"/>
  <c r="V12" i="1"/>
  <c r="V120" i="1"/>
  <c r="V121" i="1"/>
  <c r="V124" i="1"/>
  <c r="W10" i="1"/>
  <c r="W12" i="1"/>
  <c r="W120" i="1"/>
  <c r="W121" i="1"/>
  <c r="W124" i="1"/>
  <c r="X10" i="1"/>
  <c r="X12" i="1"/>
  <c r="X120" i="1"/>
  <c r="X121" i="1"/>
  <c r="X124" i="1"/>
  <c r="Y10" i="1"/>
  <c r="Y12" i="1"/>
  <c r="Y120" i="1"/>
  <c r="Y121" i="1"/>
  <c r="Y124" i="1"/>
  <c r="I120" i="1"/>
  <c r="E10" i="1"/>
  <c r="E12" i="1"/>
  <c r="E120" i="1"/>
  <c r="D12" i="1"/>
  <c r="F122" i="1"/>
  <c r="F123" i="1"/>
  <c r="F44" i="1"/>
  <c r="F45" i="1"/>
  <c r="F5" i="1"/>
  <c r="F47" i="1"/>
  <c r="G122" i="1"/>
  <c r="G123" i="1"/>
  <c r="G44" i="1"/>
  <c r="G45" i="1"/>
  <c r="G5" i="1"/>
  <c r="G47" i="1"/>
  <c r="H122" i="1"/>
  <c r="H123" i="1"/>
  <c r="H44" i="1"/>
  <c r="H45" i="1"/>
  <c r="H47" i="1"/>
  <c r="I122" i="1"/>
  <c r="I123" i="1"/>
  <c r="I44" i="1"/>
  <c r="I45" i="1"/>
  <c r="I47" i="1"/>
  <c r="J122" i="1"/>
  <c r="J123" i="1"/>
  <c r="J44" i="1"/>
  <c r="J45" i="1"/>
  <c r="J5" i="1"/>
  <c r="J47" i="1"/>
  <c r="K122" i="1"/>
  <c r="K123" i="1"/>
  <c r="K44" i="1"/>
  <c r="K45" i="1"/>
  <c r="K5" i="1"/>
  <c r="K47" i="1"/>
  <c r="L122" i="1"/>
  <c r="L123" i="1"/>
  <c r="L44" i="1"/>
  <c r="L45" i="1"/>
  <c r="L5" i="1"/>
  <c r="L47" i="1"/>
  <c r="M122" i="1"/>
  <c r="M123" i="1"/>
  <c r="M44" i="1"/>
  <c r="M45" i="1"/>
  <c r="M5" i="1"/>
  <c r="M47" i="1"/>
  <c r="N122" i="1"/>
  <c r="N123" i="1"/>
  <c r="N44" i="1"/>
  <c r="N45" i="1"/>
  <c r="N5" i="1"/>
  <c r="N47" i="1"/>
  <c r="O122" i="1"/>
  <c r="O44" i="1"/>
  <c r="O45" i="1"/>
  <c r="O5" i="1"/>
  <c r="O47" i="1"/>
  <c r="P46" i="1"/>
  <c r="P122" i="1"/>
  <c r="P123" i="1"/>
  <c r="P44" i="1"/>
  <c r="P45" i="1"/>
  <c r="P5" i="1"/>
  <c r="P47" i="1"/>
  <c r="Q122" i="1"/>
  <c r="Q123" i="1"/>
  <c r="Q44" i="1"/>
  <c r="Q45" i="1"/>
  <c r="Q5" i="1"/>
  <c r="Q47" i="1"/>
  <c r="U122" i="1"/>
  <c r="U123" i="1"/>
  <c r="U44" i="1"/>
  <c r="U45" i="1"/>
  <c r="U5" i="1"/>
  <c r="U47" i="1"/>
  <c r="V46" i="1"/>
  <c r="V122" i="1"/>
  <c r="V123" i="1"/>
  <c r="V44" i="1"/>
  <c r="V45" i="1"/>
  <c r="V5" i="1"/>
  <c r="V47" i="1"/>
  <c r="W46" i="1"/>
  <c r="W122" i="1"/>
  <c r="W123" i="1"/>
  <c r="W44" i="1"/>
  <c r="W45" i="1"/>
  <c r="W5" i="1"/>
  <c r="W47" i="1"/>
  <c r="X122" i="1"/>
  <c r="X123" i="1"/>
  <c r="X44" i="1"/>
  <c r="X45" i="1"/>
  <c r="X5" i="1"/>
  <c r="X47" i="1"/>
  <c r="Y122" i="1"/>
  <c r="Y123" i="1"/>
  <c r="Y44" i="1"/>
  <c r="Y45" i="1"/>
  <c r="Y5" i="1"/>
  <c r="Y47" i="1"/>
  <c r="F48" i="1"/>
  <c r="G48" i="1"/>
  <c r="H48" i="1"/>
  <c r="I48" i="1"/>
  <c r="J48" i="1"/>
  <c r="K48" i="1"/>
  <c r="L48" i="1"/>
  <c r="M48" i="1"/>
  <c r="N48" i="1"/>
  <c r="O48" i="1"/>
  <c r="P48" i="1"/>
  <c r="Q48" i="1"/>
  <c r="U48" i="1"/>
  <c r="V48" i="1"/>
  <c r="W48" i="1"/>
  <c r="X48" i="1"/>
  <c r="Y48" i="1"/>
  <c r="E5" i="1"/>
  <c r="E121" i="1"/>
  <c r="E122" i="1"/>
  <c r="E123" i="1"/>
  <c r="E44" i="1"/>
  <c r="E124" i="1"/>
  <c r="E45" i="1"/>
  <c r="E47" i="1"/>
  <c r="F133" i="1"/>
  <c r="F134" i="1"/>
  <c r="F138" i="1"/>
  <c r="G133" i="1"/>
  <c r="G134" i="1"/>
  <c r="G138" i="1"/>
  <c r="H133" i="1"/>
  <c r="H134" i="1"/>
  <c r="H138" i="1"/>
  <c r="I133" i="1"/>
  <c r="I134" i="1"/>
  <c r="I138" i="1"/>
  <c r="J133" i="1"/>
  <c r="J134" i="1"/>
  <c r="J138" i="1"/>
  <c r="K133" i="1"/>
  <c r="K134" i="1"/>
  <c r="K138" i="1"/>
  <c r="L133" i="1"/>
  <c r="L134" i="1"/>
  <c r="L138" i="1"/>
  <c r="M133" i="1"/>
  <c r="M134" i="1"/>
  <c r="M138" i="1"/>
  <c r="N133" i="1"/>
  <c r="N134" i="1"/>
  <c r="N138" i="1"/>
  <c r="O133" i="1"/>
  <c r="O134" i="1"/>
  <c r="O138" i="1"/>
  <c r="P133" i="1"/>
  <c r="P134" i="1"/>
  <c r="P138" i="1"/>
  <c r="Q133" i="1"/>
  <c r="Q134" i="1"/>
  <c r="Q138" i="1"/>
  <c r="U133" i="1"/>
  <c r="U134" i="1"/>
  <c r="U138" i="1"/>
  <c r="V133" i="1"/>
  <c r="V134" i="1"/>
  <c r="V138" i="1"/>
  <c r="W133" i="1"/>
  <c r="W134" i="1"/>
  <c r="W138" i="1"/>
  <c r="X133" i="1"/>
  <c r="X134" i="1"/>
  <c r="X138" i="1"/>
  <c r="Y133" i="1"/>
  <c r="Y134" i="1"/>
  <c r="Y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U139" i="1"/>
  <c r="V139" i="1"/>
  <c r="W139" i="1"/>
  <c r="X139" i="1"/>
  <c r="Y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U140" i="1"/>
  <c r="V140" i="1"/>
  <c r="W140" i="1"/>
  <c r="X140" i="1"/>
  <c r="Y140" i="1"/>
  <c r="E48" i="1"/>
  <c r="E11" i="1"/>
  <c r="E7" i="1"/>
  <c r="E133" i="1"/>
  <c r="E134" i="1"/>
  <c r="E139" i="1"/>
  <c r="E138" i="1"/>
  <c r="E140" i="1"/>
  <c r="Y6" i="1"/>
  <c r="Y7" i="1"/>
  <c r="Y8" i="1"/>
  <c r="Y9" i="1"/>
  <c r="Y11" i="1"/>
  <c r="Y13" i="1"/>
  <c r="Y55" i="1"/>
  <c r="Y59" i="1"/>
  <c r="Y60" i="1"/>
  <c r="Y115" i="1"/>
  <c r="Y23" i="1"/>
  <c r="Y57" i="1"/>
  <c r="Y58" i="1"/>
  <c r="Y56" i="1"/>
  <c r="Y54" i="1"/>
  <c r="Y63" i="1"/>
  <c r="Y116" i="1"/>
  <c r="Y24" i="1"/>
  <c r="Y66" i="1"/>
  <c r="Y117" i="1"/>
  <c r="Y25" i="1"/>
  <c r="Y81" i="1"/>
  <c r="Y82" i="1"/>
  <c r="Y84" i="1"/>
  <c r="Y46" i="1"/>
  <c r="Y71" i="1"/>
  <c r="Y72" i="1"/>
  <c r="Y70" i="1"/>
  <c r="Y75" i="1"/>
  <c r="Y83" i="1"/>
  <c r="Y86" i="1"/>
  <c r="Y94" i="1"/>
  <c r="Y73" i="1"/>
  <c r="Y76" i="1"/>
  <c r="Y95" i="1"/>
  <c r="Y96" i="1"/>
  <c r="Y104" i="1"/>
  <c r="Y64" i="1"/>
  <c r="Y97" i="1"/>
  <c r="Y65" i="1"/>
  <c r="Y90" i="1"/>
  <c r="Y92" i="1"/>
  <c r="Y100" i="1"/>
  <c r="Y107" i="1"/>
  <c r="Y67" i="1"/>
  <c r="Y68" i="1"/>
  <c r="Y110" i="1"/>
  <c r="Y61" i="1"/>
  <c r="Y98" i="1"/>
  <c r="Y62" i="1"/>
  <c r="Y101" i="1"/>
  <c r="Y105" i="1"/>
  <c r="Y108" i="1"/>
  <c r="Y111" i="1"/>
  <c r="Y99" i="1"/>
  <c r="Y102" i="1"/>
  <c r="Y106" i="1"/>
  <c r="Y109" i="1"/>
  <c r="Y112" i="1"/>
  <c r="Y49" i="1"/>
  <c r="Y50" i="1"/>
  <c r="Y51" i="1"/>
  <c r="Y125" i="1"/>
  <c r="Y126" i="1"/>
  <c r="Y127" i="1"/>
  <c r="Y128" i="1"/>
  <c r="Y129" i="1"/>
  <c r="Y130" i="1"/>
  <c r="Y135" i="1"/>
  <c r="Y136" i="1"/>
  <c r="Y137" i="1"/>
  <c r="Y143" i="1"/>
  <c r="D13" i="1"/>
  <c r="Y144" i="1"/>
  <c r="Y145" i="1"/>
  <c r="Y146" i="1"/>
  <c r="Y147" i="1"/>
  <c r="Y148" i="1"/>
  <c r="Y149" i="1"/>
  <c r="Y150" i="1"/>
  <c r="Y151" i="1"/>
  <c r="Y152" i="1"/>
  <c r="Y153" i="1"/>
  <c r="D9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7" i="1"/>
  <c r="Y168" i="1"/>
  <c r="Y169" i="1"/>
  <c r="Y170" i="1"/>
  <c r="Y171" i="1"/>
  <c r="Y172" i="1"/>
  <c r="Y173" i="1"/>
  <c r="Y174" i="1"/>
  <c r="Y176" i="1"/>
  <c r="Y178" i="1"/>
  <c r="Y179" i="1"/>
  <c r="Y180" i="1"/>
  <c r="Y181" i="1"/>
  <c r="Y182" i="1"/>
  <c r="Y183" i="1"/>
  <c r="Y184" i="1"/>
  <c r="Y185" i="1"/>
  <c r="O34" i="1"/>
  <c r="O33" i="1"/>
  <c r="E8" i="1"/>
  <c r="F18" i="1"/>
  <c r="F8" i="1"/>
  <c r="F115" i="1"/>
  <c r="F23" i="1"/>
  <c r="F116" i="1"/>
  <c r="F24" i="1"/>
  <c r="F117" i="1"/>
  <c r="F25" i="1"/>
  <c r="F28" i="1"/>
  <c r="G8" i="1"/>
  <c r="G18" i="1"/>
  <c r="G115" i="1"/>
  <c r="G23" i="1"/>
  <c r="G116" i="1"/>
  <c r="G24" i="1"/>
  <c r="G117" i="1"/>
  <c r="G25" i="1"/>
  <c r="G28" i="1"/>
  <c r="H116" i="1"/>
  <c r="H24" i="1"/>
  <c r="H117" i="1"/>
  <c r="H25" i="1"/>
  <c r="H23" i="1"/>
  <c r="H28" i="1"/>
  <c r="I8" i="1"/>
  <c r="I115" i="1"/>
  <c r="I23" i="1"/>
  <c r="I116" i="1"/>
  <c r="I24" i="1"/>
  <c r="I117" i="1"/>
  <c r="I25" i="1"/>
  <c r="I28" i="1"/>
  <c r="J8" i="1"/>
  <c r="J115" i="1"/>
  <c r="J23" i="1"/>
  <c r="J116" i="1"/>
  <c r="J24" i="1"/>
  <c r="J117" i="1"/>
  <c r="J25" i="1"/>
  <c r="J28" i="1"/>
  <c r="K8" i="1"/>
  <c r="K115" i="1"/>
  <c r="K23" i="1"/>
  <c r="K116" i="1"/>
  <c r="K24" i="1"/>
  <c r="K117" i="1"/>
  <c r="K25" i="1"/>
  <c r="K28" i="1"/>
  <c r="L8" i="1"/>
  <c r="L115" i="1"/>
  <c r="L23" i="1"/>
  <c r="L116" i="1"/>
  <c r="L24" i="1"/>
  <c r="L117" i="1"/>
  <c r="L25" i="1"/>
  <c r="L28" i="1"/>
  <c r="M8" i="1"/>
  <c r="M115" i="1"/>
  <c r="M116" i="1"/>
  <c r="M117" i="1"/>
  <c r="M28" i="1"/>
  <c r="N8" i="1"/>
  <c r="N115" i="1"/>
  <c r="N23" i="1"/>
  <c r="N116" i="1"/>
  <c r="N24" i="1"/>
  <c r="N117" i="1"/>
  <c r="N25" i="1"/>
  <c r="O59" i="1"/>
  <c r="O60" i="1"/>
  <c r="O8" i="1"/>
  <c r="O115" i="1"/>
  <c r="O23" i="1"/>
  <c r="O58" i="1"/>
  <c r="O63" i="1"/>
  <c r="O66" i="1"/>
  <c r="O81" i="1"/>
  <c r="O82" i="1"/>
  <c r="O84" i="1"/>
  <c r="O83" i="1"/>
  <c r="O86" i="1"/>
  <c r="O46" i="1"/>
  <c r="O71" i="1"/>
  <c r="O72" i="1"/>
  <c r="O70" i="1"/>
  <c r="O75" i="1"/>
  <c r="O94" i="1"/>
  <c r="O73" i="1"/>
  <c r="O76" i="1"/>
  <c r="O95" i="1"/>
  <c r="O96" i="1"/>
  <c r="O104" i="1"/>
  <c r="O116" i="1"/>
  <c r="O24" i="1"/>
  <c r="O64" i="1"/>
  <c r="O90" i="1"/>
  <c r="O92" i="1"/>
  <c r="O100" i="1"/>
  <c r="O97" i="1"/>
  <c r="O107" i="1"/>
  <c r="O117" i="1"/>
  <c r="O25" i="1"/>
  <c r="O67" i="1"/>
  <c r="O110" i="1"/>
  <c r="O28" i="1"/>
  <c r="P81" i="1"/>
  <c r="P82" i="1"/>
  <c r="P84" i="1"/>
  <c r="P71" i="1"/>
  <c r="P72" i="1"/>
  <c r="P70" i="1"/>
  <c r="P75" i="1"/>
  <c r="P83" i="1"/>
  <c r="P86" i="1"/>
  <c r="P94" i="1"/>
  <c r="P73" i="1"/>
  <c r="P76" i="1"/>
  <c r="P95" i="1"/>
  <c r="P96" i="1"/>
  <c r="P59" i="1"/>
  <c r="P60" i="1"/>
  <c r="P58" i="1"/>
  <c r="P63" i="1"/>
  <c r="P66" i="1"/>
  <c r="P104" i="1"/>
  <c r="P97" i="1"/>
  <c r="P90" i="1"/>
  <c r="P92" i="1"/>
  <c r="P100" i="1"/>
  <c r="P64" i="1"/>
  <c r="P107" i="1"/>
  <c r="P67" i="1"/>
  <c r="P110" i="1"/>
  <c r="P8" i="1"/>
  <c r="P115" i="1"/>
  <c r="P23" i="1"/>
  <c r="P116" i="1"/>
  <c r="P24" i="1"/>
  <c r="P117" i="1"/>
  <c r="P25" i="1"/>
  <c r="P28" i="1"/>
  <c r="Q8" i="1"/>
  <c r="U8" i="1"/>
  <c r="V81" i="1"/>
  <c r="V82" i="1"/>
  <c r="V84" i="1"/>
  <c r="V83" i="1"/>
  <c r="V86" i="1"/>
  <c r="V71" i="1"/>
  <c r="V72" i="1"/>
  <c r="V70" i="1"/>
  <c r="V75" i="1"/>
  <c r="V94" i="1"/>
  <c r="V73" i="1"/>
  <c r="V76" i="1"/>
  <c r="V95" i="1"/>
  <c r="V96" i="1"/>
  <c r="V59" i="1"/>
  <c r="V60" i="1"/>
  <c r="V58" i="1"/>
  <c r="V63" i="1"/>
  <c r="V66" i="1"/>
  <c r="V104" i="1"/>
  <c r="V90" i="1"/>
  <c r="V92" i="1"/>
  <c r="V100" i="1"/>
  <c r="V97" i="1"/>
  <c r="V64" i="1"/>
  <c r="V107" i="1"/>
  <c r="V67" i="1"/>
  <c r="V110" i="1"/>
  <c r="V8" i="1"/>
  <c r="V115" i="1"/>
  <c r="V116" i="1"/>
  <c r="V117" i="1"/>
  <c r="W71" i="1"/>
  <c r="W72" i="1"/>
  <c r="W70" i="1"/>
  <c r="W75" i="1"/>
  <c r="W94" i="1"/>
  <c r="W73" i="1"/>
  <c r="W76" i="1"/>
  <c r="W95" i="1"/>
  <c r="W104" i="1"/>
  <c r="W97" i="1"/>
  <c r="W100" i="1"/>
  <c r="W107" i="1"/>
  <c r="W110" i="1"/>
  <c r="W8" i="1"/>
  <c r="W115" i="1"/>
  <c r="W23" i="1"/>
  <c r="W116" i="1"/>
  <c r="W24" i="1"/>
  <c r="W117" i="1"/>
  <c r="W25" i="1"/>
  <c r="X8" i="1"/>
  <c r="F29" i="1"/>
  <c r="G29" i="1"/>
  <c r="H29" i="1"/>
  <c r="I29" i="1"/>
  <c r="J29" i="1"/>
  <c r="K29" i="1"/>
  <c r="L29" i="1"/>
  <c r="M29" i="1"/>
  <c r="O61" i="1"/>
  <c r="O101" i="1"/>
  <c r="O98" i="1"/>
  <c r="O105" i="1"/>
  <c r="O108" i="1"/>
  <c r="O111" i="1"/>
  <c r="O29" i="1"/>
  <c r="P98" i="1"/>
  <c r="P101" i="1"/>
  <c r="P61" i="1"/>
  <c r="P105" i="1"/>
  <c r="P108" i="1"/>
  <c r="P111" i="1"/>
  <c r="P29" i="1"/>
  <c r="V101" i="1"/>
  <c r="V98" i="1"/>
  <c r="V61" i="1"/>
  <c r="V105" i="1"/>
  <c r="V108" i="1"/>
  <c r="V111" i="1"/>
  <c r="W98" i="1"/>
  <c r="W101" i="1"/>
  <c r="W105" i="1"/>
  <c r="W108" i="1"/>
  <c r="W111" i="1"/>
  <c r="F30" i="1"/>
  <c r="G30" i="1"/>
  <c r="H30" i="1"/>
  <c r="I30" i="1"/>
  <c r="J30" i="1"/>
  <c r="K30" i="1"/>
  <c r="L30" i="1"/>
  <c r="M30" i="1"/>
  <c r="O102" i="1"/>
  <c r="O106" i="1"/>
  <c r="O109" i="1"/>
  <c r="O112" i="1"/>
  <c r="O30" i="1"/>
  <c r="P102" i="1"/>
  <c r="P106" i="1"/>
  <c r="P109" i="1"/>
  <c r="P112" i="1"/>
  <c r="P30" i="1"/>
  <c r="V102" i="1"/>
  <c r="V106" i="1"/>
  <c r="V109" i="1"/>
  <c r="V112" i="1"/>
  <c r="E81" i="1"/>
  <c r="E82" i="1"/>
  <c r="E84" i="1"/>
  <c r="E83" i="1"/>
  <c r="E86" i="1"/>
  <c r="E96" i="1"/>
  <c r="E90" i="1"/>
  <c r="E92" i="1"/>
  <c r="E102" i="1"/>
  <c r="E106" i="1"/>
  <c r="E109" i="1"/>
  <c r="E112" i="1"/>
  <c r="E18" i="1"/>
  <c r="E115" i="1"/>
  <c r="E23" i="1"/>
  <c r="E116" i="1"/>
  <c r="E24" i="1"/>
  <c r="E117" i="1"/>
  <c r="E25" i="1"/>
  <c r="E30" i="1"/>
  <c r="E95" i="1"/>
  <c r="E101" i="1"/>
  <c r="E105" i="1"/>
  <c r="E108" i="1"/>
  <c r="E111" i="1"/>
  <c r="E29" i="1"/>
  <c r="E94" i="1"/>
  <c r="E104" i="1"/>
  <c r="E100" i="1"/>
  <c r="E107" i="1"/>
  <c r="E110" i="1"/>
  <c r="E28" i="1"/>
  <c r="I7" i="1"/>
  <c r="I9" i="1"/>
  <c r="I12" i="1"/>
  <c r="I13" i="1"/>
  <c r="D5" i="1"/>
  <c r="H13" i="1"/>
  <c r="F6" i="1"/>
  <c r="F13" i="1"/>
  <c r="G6" i="1"/>
  <c r="G13" i="1"/>
  <c r="J6" i="1"/>
  <c r="J13" i="1"/>
  <c r="K6" i="1"/>
  <c r="K13" i="1"/>
  <c r="L6" i="1"/>
  <c r="L13" i="1"/>
  <c r="M6" i="1"/>
  <c r="M13" i="1"/>
  <c r="N6" i="1"/>
  <c r="N13" i="1"/>
  <c r="O6" i="1"/>
  <c r="O13" i="1"/>
  <c r="P6" i="1"/>
  <c r="P13" i="1"/>
  <c r="Q6" i="1"/>
  <c r="Q13" i="1"/>
  <c r="U6" i="1"/>
  <c r="U13" i="1"/>
  <c r="V6" i="1"/>
  <c r="V13" i="1"/>
  <c r="W6" i="1"/>
  <c r="W13" i="1"/>
  <c r="X6" i="1"/>
  <c r="X13" i="1"/>
  <c r="E6" i="1"/>
  <c r="E13" i="1"/>
  <c r="E144" i="1"/>
  <c r="E143" i="1"/>
  <c r="E145" i="1"/>
  <c r="E46" i="1"/>
  <c r="E146" i="1"/>
  <c r="E147" i="1"/>
  <c r="E148" i="1"/>
  <c r="E150" i="1"/>
  <c r="E151" i="1"/>
  <c r="E152" i="1"/>
  <c r="E9" i="1"/>
  <c r="E155" i="1"/>
  <c r="E153" i="1"/>
  <c r="E154" i="1"/>
  <c r="E56" i="1"/>
  <c r="E58" i="1"/>
  <c r="E57" i="1"/>
  <c r="E54" i="1"/>
  <c r="E59" i="1"/>
  <c r="E66" i="1"/>
  <c r="E63" i="1"/>
  <c r="F11" i="1"/>
  <c r="G11" i="1"/>
  <c r="J11" i="1"/>
  <c r="K11" i="1"/>
  <c r="L11" i="1"/>
  <c r="M11" i="1"/>
  <c r="N11" i="1"/>
  <c r="O11" i="1"/>
  <c r="P11" i="1"/>
  <c r="Q11" i="1"/>
  <c r="U11" i="1"/>
  <c r="V11" i="1"/>
  <c r="W11" i="1"/>
  <c r="X11" i="1"/>
  <c r="F7" i="1"/>
  <c r="G7" i="1"/>
  <c r="H7" i="1"/>
  <c r="J7" i="1"/>
  <c r="K7" i="1"/>
  <c r="L7" i="1"/>
  <c r="M7" i="1"/>
  <c r="N7" i="1"/>
  <c r="O7" i="1"/>
  <c r="P7" i="1"/>
  <c r="Q7" i="1"/>
  <c r="U7" i="1"/>
  <c r="V7" i="1"/>
  <c r="W7" i="1"/>
  <c r="X7" i="1"/>
  <c r="F55" i="1"/>
  <c r="F59" i="1"/>
  <c r="F60" i="1"/>
  <c r="G55" i="1"/>
  <c r="G59" i="1"/>
  <c r="G60" i="1"/>
  <c r="H55" i="1"/>
  <c r="H59" i="1"/>
  <c r="H60" i="1"/>
  <c r="H115" i="1"/>
  <c r="I55" i="1"/>
  <c r="I59" i="1"/>
  <c r="I60" i="1"/>
  <c r="J55" i="1"/>
  <c r="J59" i="1"/>
  <c r="J60" i="1"/>
  <c r="K55" i="1"/>
  <c r="K59" i="1"/>
  <c r="K60" i="1"/>
  <c r="L55" i="1"/>
  <c r="L59" i="1"/>
  <c r="L60" i="1"/>
  <c r="M55" i="1"/>
  <c r="M59" i="1"/>
  <c r="M60" i="1"/>
  <c r="N55" i="1"/>
  <c r="N59" i="1"/>
  <c r="N60" i="1"/>
  <c r="O55" i="1"/>
  <c r="P55" i="1"/>
  <c r="Q55" i="1"/>
  <c r="V55" i="1"/>
  <c r="W55" i="1"/>
  <c r="W59" i="1"/>
  <c r="W60" i="1"/>
  <c r="E55" i="1"/>
  <c r="E60" i="1"/>
  <c r="F9" i="1"/>
  <c r="G9" i="1"/>
  <c r="H9" i="1"/>
  <c r="J9" i="1"/>
  <c r="K9" i="1"/>
  <c r="L9" i="1"/>
  <c r="M9" i="1"/>
  <c r="N9" i="1"/>
  <c r="O9" i="1"/>
  <c r="P9" i="1"/>
  <c r="Q9" i="1"/>
  <c r="U9" i="1"/>
  <c r="V9" i="1"/>
  <c r="W9" i="1"/>
  <c r="X9" i="1"/>
  <c r="F57" i="1"/>
  <c r="F58" i="1"/>
  <c r="F56" i="1"/>
  <c r="F54" i="1"/>
  <c r="F63" i="1"/>
  <c r="G57" i="1"/>
  <c r="G58" i="1"/>
  <c r="G56" i="1"/>
  <c r="G54" i="1"/>
  <c r="G63" i="1"/>
  <c r="H57" i="1"/>
  <c r="H58" i="1"/>
  <c r="H56" i="1"/>
  <c r="H54" i="1"/>
  <c r="H63" i="1"/>
  <c r="I57" i="1"/>
  <c r="I58" i="1"/>
  <c r="I56" i="1"/>
  <c r="I54" i="1"/>
  <c r="I63" i="1"/>
  <c r="J57" i="1"/>
  <c r="J58" i="1"/>
  <c r="J56" i="1"/>
  <c r="J54" i="1"/>
  <c r="J63" i="1"/>
  <c r="K57" i="1"/>
  <c r="K58" i="1"/>
  <c r="K56" i="1"/>
  <c r="K54" i="1"/>
  <c r="K63" i="1"/>
  <c r="L57" i="1"/>
  <c r="L58" i="1"/>
  <c r="L56" i="1"/>
  <c r="L54" i="1"/>
  <c r="L63" i="1"/>
  <c r="M57" i="1"/>
  <c r="M58" i="1"/>
  <c r="M56" i="1"/>
  <c r="M54" i="1"/>
  <c r="M63" i="1"/>
  <c r="N57" i="1"/>
  <c r="N58" i="1"/>
  <c r="N56" i="1"/>
  <c r="N54" i="1"/>
  <c r="N63" i="1"/>
  <c r="O57" i="1"/>
  <c r="O56" i="1"/>
  <c r="O54" i="1"/>
  <c r="P57" i="1"/>
  <c r="P56" i="1"/>
  <c r="P54" i="1"/>
  <c r="Q57" i="1"/>
  <c r="Q56" i="1"/>
  <c r="Q54" i="1"/>
  <c r="V57" i="1"/>
  <c r="V56" i="1"/>
  <c r="V54" i="1"/>
  <c r="W57" i="1"/>
  <c r="W58" i="1"/>
  <c r="W56" i="1"/>
  <c r="W54" i="1"/>
  <c r="W63" i="1"/>
  <c r="X57" i="1"/>
  <c r="X56" i="1"/>
  <c r="F66" i="1"/>
  <c r="G66" i="1"/>
  <c r="H66" i="1"/>
  <c r="I66" i="1"/>
  <c r="J66" i="1"/>
  <c r="K66" i="1"/>
  <c r="L66" i="1"/>
  <c r="M66" i="1"/>
  <c r="N66" i="1"/>
  <c r="W66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U144" i="1"/>
  <c r="V144" i="1"/>
  <c r="W144" i="1"/>
  <c r="X144" i="1"/>
  <c r="F46" i="1"/>
  <c r="G46" i="1"/>
  <c r="H46" i="1"/>
  <c r="I46" i="1"/>
  <c r="J46" i="1"/>
  <c r="K46" i="1"/>
  <c r="L46" i="1"/>
  <c r="M46" i="1"/>
  <c r="N46" i="1"/>
  <c r="X46" i="1"/>
  <c r="F49" i="1"/>
  <c r="G49" i="1"/>
  <c r="H49" i="1"/>
  <c r="I49" i="1"/>
  <c r="J49" i="1"/>
  <c r="K49" i="1"/>
  <c r="L49" i="1"/>
  <c r="M49" i="1"/>
  <c r="N49" i="1"/>
  <c r="O49" i="1"/>
  <c r="P49" i="1"/>
  <c r="Q49" i="1"/>
  <c r="U49" i="1"/>
  <c r="V49" i="1"/>
  <c r="W49" i="1"/>
  <c r="X49" i="1"/>
  <c r="F50" i="1"/>
  <c r="G50" i="1"/>
  <c r="H50" i="1"/>
  <c r="I50" i="1"/>
  <c r="J50" i="1"/>
  <c r="K50" i="1"/>
  <c r="L50" i="1"/>
  <c r="M50" i="1"/>
  <c r="N50" i="1"/>
  <c r="O50" i="1"/>
  <c r="P50" i="1"/>
  <c r="Q50" i="1"/>
  <c r="U50" i="1"/>
  <c r="V50" i="1"/>
  <c r="W50" i="1"/>
  <c r="X50" i="1"/>
  <c r="F51" i="1"/>
  <c r="G51" i="1"/>
  <c r="H51" i="1"/>
  <c r="I51" i="1"/>
  <c r="J51" i="1"/>
  <c r="K51" i="1"/>
  <c r="L51" i="1"/>
  <c r="M51" i="1"/>
  <c r="N51" i="1"/>
  <c r="O51" i="1"/>
  <c r="P51" i="1"/>
  <c r="Q51" i="1"/>
  <c r="U51" i="1"/>
  <c r="V51" i="1"/>
  <c r="W51" i="1"/>
  <c r="X51" i="1"/>
  <c r="F61" i="1"/>
  <c r="G61" i="1"/>
  <c r="H61" i="1"/>
  <c r="I61" i="1"/>
  <c r="J61" i="1"/>
  <c r="K61" i="1"/>
  <c r="L61" i="1"/>
  <c r="M61" i="1"/>
  <c r="N61" i="1"/>
  <c r="W61" i="1"/>
  <c r="F62" i="1"/>
  <c r="G62" i="1"/>
  <c r="H62" i="1"/>
  <c r="I62" i="1"/>
  <c r="J62" i="1"/>
  <c r="K62" i="1"/>
  <c r="L62" i="1"/>
  <c r="M62" i="1"/>
  <c r="N62" i="1"/>
  <c r="O62" i="1"/>
  <c r="P62" i="1"/>
  <c r="Q62" i="1"/>
  <c r="V62" i="1"/>
  <c r="W62" i="1"/>
  <c r="F64" i="1"/>
  <c r="G64" i="1"/>
  <c r="H64" i="1"/>
  <c r="I64" i="1"/>
  <c r="J64" i="1"/>
  <c r="K64" i="1"/>
  <c r="L64" i="1"/>
  <c r="M64" i="1"/>
  <c r="N64" i="1"/>
  <c r="W64" i="1"/>
  <c r="F65" i="1"/>
  <c r="G65" i="1"/>
  <c r="H65" i="1"/>
  <c r="I65" i="1"/>
  <c r="J65" i="1"/>
  <c r="K65" i="1"/>
  <c r="L65" i="1"/>
  <c r="M65" i="1"/>
  <c r="N65" i="1"/>
  <c r="O65" i="1"/>
  <c r="P65" i="1"/>
  <c r="Q65" i="1"/>
  <c r="V65" i="1"/>
  <c r="W65" i="1"/>
  <c r="F67" i="1"/>
  <c r="G67" i="1"/>
  <c r="H67" i="1"/>
  <c r="I67" i="1"/>
  <c r="J67" i="1"/>
  <c r="K67" i="1"/>
  <c r="L67" i="1"/>
  <c r="M67" i="1"/>
  <c r="N67" i="1"/>
  <c r="W67" i="1"/>
  <c r="F68" i="1"/>
  <c r="G68" i="1"/>
  <c r="H68" i="1"/>
  <c r="I68" i="1"/>
  <c r="J68" i="1"/>
  <c r="K68" i="1"/>
  <c r="L68" i="1"/>
  <c r="M68" i="1"/>
  <c r="N68" i="1"/>
  <c r="O68" i="1"/>
  <c r="P68" i="1"/>
  <c r="Q68" i="1"/>
  <c r="V68" i="1"/>
  <c r="W68" i="1"/>
  <c r="F70" i="1"/>
  <c r="G70" i="1"/>
  <c r="H70" i="1"/>
  <c r="I70" i="1"/>
  <c r="J70" i="1"/>
  <c r="K70" i="1"/>
  <c r="L70" i="1"/>
  <c r="M70" i="1"/>
  <c r="N70" i="1"/>
  <c r="X70" i="1"/>
  <c r="F71" i="1"/>
  <c r="G71" i="1"/>
  <c r="H71" i="1"/>
  <c r="I71" i="1"/>
  <c r="J71" i="1"/>
  <c r="K71" i="1"/>
  <c r="L71" i="1"/>
  <c r="M71" i="1"/>
  <c r="N71" i="1"/>
  <c r="X71" i="1"/>
  <c r="F72" i="1"/>
  <c r="G72" i="1"/>
  <c r="H72" i="1"/>
  <c r="I72" i="1"/>
  <c r="J72" i="1"/>
  <c r="K72" i="1"/>
  <c r="L72" i="1"/>
  <c r="M72" i="1"/>
  <c r="N72" i="1"/>
  <c r="X72" i="1"/>
  <c r="F73" i="1"/>
  <c r="G73" i="1"/>
  <c r="H73" i="1"/>
  <c r="I73" i="1"/>
  <c r="J73" i="1"/>
  <c r="K73" i="1"/>
  <c r="L73" i="1"/>
  <c r="M73" i="1"/>
  <c r="N73" i="1"/>
  <c r="X73" i="1"/>
  <c r="F75" i="1"/>
  <c r="G75" i="1"/>
  <c r="H75" i="1"/>
  <c r="I75" i="1"/>
  <c r="J75" i="1"/>
  <c r="K75" i="1"/>
  <c r="L75" i="1"/>
  <c r="M75" i="1"/>
  <c r="N75" i="1"/>
  <c r="X75" i="1"/>
  <c r="F76" i="1"/>
  <c r="G76" i="1"/>
  <c r="H76" i="1"/>
  <c r="I76" i="1"/>
  <c r="J76" i="1"/>
  <c r="K76" i="1"/>
  <c r="L76" i="1"/>
  <c r="M76" i="1"/>
  <c r="N76" i="1"/>
  <c r="X76" i="1"/>
  <c r="F81" i="1"/>
  <c r="G81" i="1"/>
  <c r="H81" i="1"/>
  <c r="I81" i="1"/>
  <c r="J81" i="1"/>
  <c r="K81" i="1"/>
  <c r="L81" i="1"/>
  <c r="M81" i="1"/>
  <c r="N81" i="1"/>
  <c r="W81" i="1"/>
  <c r="X81" i="1"/>
  <c r="F82" i="1"/>
  <c r="G82" i="1"/>
  <c r="H82" i="1"/>
  <c r="I82" i="1"/>
  <c r="J82" i="1"/>
  <c r="K82" i="1"/>
  <c r="L82" i="1"/>
  <c r="M82" i="1"/>
  <c r="N82" i="1"/>
  <c r="W82" i="1"/>
  <c r="X82" i="1"/>
  <c r="F83" i="1"/>
  <c r="G83" i="1"/>
  <c r="H83" i="1"/>
  <c r="I83" i="1"/>
  <c r="J83" i="1"/>
  <c r="K83" i="1"/>
  <c r="L83" i="1"/>
  <c r="M83" i="1"/>
  <c r="N83" i="1"/>
  <c r="W83" i="1"/>
  <c r="X83" i="1"/>
  <c r="F84" i="1"/>
  <c r="G84" i="1"/>
  <c r="H84" i="1"/>
  <c r="I84" i="1"/>
  <c r="J84" i="1"/>
  <c r="K84" i="1"/>
  <c r="L84" i="1"/>
  <c r="M84" i="1"/>
  <c r="N84" i="1"/>
  <c r="W84" i="1"/>
  <c r="X84" i="1"/>
  <c r="F86" i="1"/>
  <c r="G86" i="1"/>
  <c r="H86" i="1"/>
  <c r="I86" i="1"/>
  <c r="J86" i="1"/>
  <c r="K86" i="1"/>
  <c r="L86" i="1"/>
  <c r="M86" i="1"/>
  <c r="N86" i="1"/>
  <c r="W86" i="1"/>
  <c r="X86" i="1"/>
  <c r="F90" i="1"/>
  <c r="G90" i="1"/>
  <c r="H90" i="1"/>
  <c r="I90" i="1"/>
  <c r="J90" i="1"/>
  <c r="K90" i="1"/>
  <c r="L90" i="1"/>
  <c r="M90" i="1"/>
  <c r="N90" i="1"/>
  <c r="W90" i="1"/>
  <c r="X90" i="1"/>
  <c r="F92" i="1"/>
  <c r="G92" i="1"/>
  <c r="H92" i="1"/>
  <c r="I92" i="1"/>
  <c r="J92" i="1"/>
  <c r="K92" i="1"/>
  <c r="L92" i="1"/>
  <c r="M92" i="1"/>
  <c r="N92" i="1"/>
  <c r="W92" i="1"/>
  <c r="X92" i="1"/>
  <c r="F94" i="1"/>
  <c r="G94" i="1"/>
  <c r="H94" i="1"/>
  <c r="I94" i="1"/>
  <c r="J94" i="1"/>
  <c r="K94" i="1"/>
  <c r="L94" i="1"/>
  <c r="M94" i="1"/>
  <c r="N94" i="1"/>
  <c r="X94" i="1"/>
  <c r="F95" i="1"/>
  <c r="G95" i="1"/>
  <c r="H95" i="1"/>
  <c r="I95" i="1"/>
  <c r="J95" i="1"/>
  <c r="K95" i="1"/>
  <c r="L95" i="1"/>
  <c r="M95" i="1"/>
  <c r="N95" i="1"/>
  <c r="X95" i="1"/>
  <c r="F96" i="1"/>
  <c r="G96" i="1"/>
  <c r="H96" i="1"/>
  <c r="I96" i="1"/>
  <c r="J96" i="1"/>
  <c r="K96" i="1"/>
  <c r="L96" i="1"/>
  <c r="M96" i="1"/>
  <c r="N96" i="1"/>
  <c r="W96" i="1"/>
  <c r="X96" i="1"/>
  <c r="F97" i="1"/>
  <c r="G97" i="1"/>
  <c r="H97" i="1"/>
  <c r="I97" i="1"/>
  <c r="J97" i="1"/>
  <c r="K97" i="1"/>
  <c r="L97" i="1"/>
  <c r="M97" i="1"/>
  <c r="N97" i="1"/>
  <c r="X97" i="1"/>
  <c r="F98" i="1"/>
  <c r="G98" i="1"/>
  <c r="H98" i="1"/>
  <c r="I98" i="1"/>
  <c r="J98" i="1"/>
  <c r="K98" i="1"/>
  <c r="L98" i="1"/>
  <c r="M98" i="1"/>
  <c r="N98" i="1"/>
  <c r="X98" i="1"/>
  <c r="F99" i="1"/>
  <c r="G99" i="1"/>
  <c r="H99" i="1"/>
  <c r="I99" i="1"/>
  <c r="J99" i="1"/>
  <c r="K99" i="1"/>
  <c r="L99" i="1"/>
  <c r="M99" i="1"/>
  <c r="N99" i="1"/>
  <c r="O99" i="1"/>
  <c r="P99" i="1"/>
  <c r="Q99" i="1"/>
  <c r="U99" i="1"/>
  <c r="V99" i="1"/>
  <c r="W99" i="1"/>
  <c r="X99" i="1"/>
  <c r="F100" i="1"/>
  <c r="G100" i="1"/>
  <c r="H100" i="1"/>
  <c r="I100" i="1"/>
  <c r="J100" i="1"/>
  <c r="K100" i="1"/>
  <c r="L100" i="1"/>
  <c r="M100" i="1"/>
  <c r="N100" i="1"/>
  <c r="X100" i="1"/>
  <c r="F101" i="1"/>
  <c r="G101" i="1"/>
  <c r="H101" i="1"/>
  <c r="I101" i="1"/>
  <c r="J101" i="1"/>
  <c r="K101" i="1"/>
  <c r="L101" i="1"/>
  <c r="M101" i="1"/>
  <c r="N101" i="1"/>
  <c r="X101" i="1"/>
  <c r="F102" i="1"/>
  <c r="G102" i="1"/>
  <c r="H102" i="1"/>
  <c r="I102" i="1"/>
  <c r="J102" i="1"/>
  <c r="K102" i="1"/>
  <c r="L102" i="1"/>
  <c r="M102" i="1"/>
  <c r="N102" i="1"/>
  <c r="W102" i="1"/>
  <c r="X102" i="1"/>
  <c r="F104" i="1"/>
  <c r="G104" i="1"/>
  <c r="H104" i="1"/>
  <c r="I104" i="1"/>
  <c r="J104" i="1"/>
  <c r="K104" i="1"/>
  <c r="L104" i="1"/>
  <c r="M104" i="1"/>
  <c r="N104" i="1"/>
  <c r="F105" i="1"/>
  <c r="G105" i="1"/>
  <c r="H105" i="1"/>
  <c r="I105" i="1"/>
  <c r="J105" i="1"/>
  <c r="K105" i="1"/>
  <c r="L105" i="1"/>
  <c r="M105" i="1"/>
  <c r="N105" i="1"/>
  <c r="F106" i="1"/>
  <c r="G106" i="1"/>
  <c r="H106" i="1"/>
  <c r="I106" i="1"/>
  <c r="J106" i="1"/>
  <c r="K106" i="1"/>
  <c r="L106" i="1"/>
  <c r="M106" i="1"/>
  <c r="N106" i="1"/>
  <c r="W106" i="1"/>
  <c r="F107" i="1"/>
  <c r="G107" i="1"/>
  <c r="H107" i="1"/>
  <c r="I107" i="1"/>
  <c r="J107" i="1"/>
  <c r="K107" i="1"/>
  <c r="L107" i="1"/>
  <c r="M107" i="1"/>
  <c r="N107" i="1"/>
  <c r="F108" i="1"/>
  <c r="G108" i="1"/>
  <c r="H108" i="1"/>
  <c r="I108" i="1"/>
  <c r="J108" i="1"/>
  <c r="K108" i="1"/>
  <c r="L108" i="1"/>
  <c r="M108" i="1"/>
  <c r="N108" i="1"/>
  <c r="F109" i="1"/>
  <c r="G109" i="1"/>
  <c r="H109" i="1"/>
  <c r="I109" i="1"/>
  <c r="J109" i="1"/>
  <c r="K109" i="1"/>
  <c r="L109" i="1"/>
  <c r="M109" i="1"/>
  <c r="N109" i="1"/>
  <c r="W109" i="1"/>
  <c r="F110" i="1"/>
  <c r="G110" i="1"/>
  <c r="H110" i="1"/>
  <c r="I110" i="1"/>
  <c r="J110" i="1"/>
  <c r="K110" i="1"/>
  <c r="L110" i="1"/>
  <c r="M110" i="1"/>
  <c r="N110" i="1"/>
  <c r="F111" i="1"/>
  <c r="G111" i="1"/>
  <c r="H111" i="1"/>
  <c r="I111" i="1"/>
  <c r="J111" i="1"/>
  <c r="K111" i="1"/>
  <c r="L111" i="1"/>
  <c r="M111" i="1"/>
  <c r="N111" i="1"/>
  <c r="F112" i="1"/>
  <c r="G112" i="1"/>
  <c r="H112" i="1"/>
  <c r="I112" i="1"/>
  <c r="J112" i="1"/>
  <c r="K112" i="1"/>
  <c r="L112" i="1"/>
  <c r="M112" i="1"/>
  <c r="N112" i="1"/>
  <c r="W112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U125" i="1"/>
  <c r="V125" i="1"/>
  <c r="W125" i="1"/>
  <c r="X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U126" i="1"/>
  <c r="V126" i="1"/>
  <c r="W126" i="1"/>
  <c r="X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U127" i="1"/>
  <c r="V127" i="1"/>
  <c r="W127" i="1"/>
  <c r="X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U128" i="1"/>
  <c r="V128" i="1"/>
  <c r="W128" i="1"/>
  <c r="X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U129" i="1"/>
  <c r="V129" i="1"/>
  <c r="W129" i="1"/>
  <c r="X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U130" i="1"/>
  <c r="V130" i="1"/>
  <c r="W130" i="1"/>
  <c r="X130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U135" i="1"/>
  <c r="V135" i="1"/>
  <c r="W135" i="1"/>
  <c r="X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U136" i="1"/>
  <c r="V136" i="1"/>
  <c r="W136" i="1"/>
  <c r="X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U137" i="1"/>
  <c r="V137" i="1"/>
  <c r="W137" i="1"/>
  <c r="X137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U143" i="1"/>
  <c r="V143" i="1"/>
  <c r="W143" i="1"/>
  <c r="X143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U145" i="1"/>
  <c r="V145" i="1"/>
  <c r="W145" i="1"/>
  <c r="X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U146" i="1"/>
  <c r="V146" i="1"/>
  <c r="W146" i="1"/>
  <c r="X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U147" i="1"/>
  <c r="V147" i="1"/>
  <c r="W147" i="1"/>
  <c r="X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U148" i="1"/>
  <c r="V148" i="1"/>
  <c r="W148" i="1"/>
  <c r="X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U149" i="1"/>
  <c r="V149" i="1"/>
  <c r="W149" i="1"/>
  <c r="X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U150" i="1"/>
  <c r="V150" i="1"/>
  <c r="W150" i="1"/>
  <c r="X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U151" i="1"/>
  <c r="V151" i="1"/>
  <c r="W151" i="1"/>
  <c r="X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U152" i="1"/>
  <c r="V152" i="1"/>
  <c r="W152" i="1"/>
  <c r="X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U153" i="1"/>
  <c r="V153" i="1"/>
  <c r="W153" i="1"/>
  <c r="X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U154" i="1"/>
  <c r="V154" i="1"/>
  <c r="W154" i="1"/>
  <c r="X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U155" i="1"/>
  <c r="V155" i="1"/>
  <c r="W155" i="1"/>
  <c r="X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U156" i="1"/>
  <c r="V156" i="1"/>
  <c r="W156" i="1"/>
  <c r="X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U157" i="1"/>
  <c r="V157" i="1"/>
  <c r="W157" i="1"/>
  <c r="X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U158" i="1"/>
  <c r="V158" i="1"/>
  <c r="W158" i="1"/>
  <c r="X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U159" i="1"/>
  <c r="V159" i="1"/>
  <c r="W159" i="1"/>
  <c r="X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U160" i="1"/>
  <c r="V160" i="1"/>
  <c r="W160" i="1"/>
  <c r="X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U161" i="1"/>
  <c r="V161" i="1"/>
  <c r="W161" i="1"/>
  <c r="X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U162" i="1"/>
  <c r="V162" i="1"/>
  <c r="W162" i="1"/>
  <c r="X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U163" i="1"/>
  <c r="V163" i="1"/>
  <c r="W163" i="1"/>
  <c r="X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U164" i="1"/>
  <c r="V164" i="1"/>
  <c r="W164" i="1"/>
  <c r="X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U165" i="1"/>
  <c r="V165" i="1"/>
  <c r="W165" i="1"/>
  <c r="X165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U167" i="1"/>
  <c r="V167" i="1"/>
  <c r="W167" i="1"/>
  <c r="X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U168" i="1"/>
  <c r="V168" i="1"/>
  <c r="W168" i="1"/>
  <c r="X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U169" i="1"/>
  <c r="V169" i="1"/>
  <c r="W169" i="1"/>
  <c r="X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U170" i="1"/>
  <c r="V170" i="1"/>
  <c r="W170" i="1"/>
  <c r="X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U171" i="1"/>
  <c r="V171" i="1"/>
  <c r="W171" i="1"/>
  <c r="X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U172" i="1"/>
  <c r="V172" i="1"/>
  <c r="W172" i="1"/>
  <c r="X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U173" i="1"/>
  <c r="V173" i="1"/>
  <c r="W173" i="1"/>
  <c r="X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U174" i="1"/>
  <c r="V174" i="1"/>
  <c r="W174" i="1"/>
  <c r="X174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U176" i="1"/>
  <c r="V176" i="1"/>
  <c r="W176" i="1"/>
  <c r="X176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U178" i="1"/>
  <c r="V178" i="1"/>
  <c r="W178" i="1"/>
  <c r="X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U179" i="1"/>
  <c r="V179" i="1"/>
  <c r="W179" i="1"/>
  <c r="X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U180" i="1"/>
  <c r="V180" i="1"/>
  <c r="W180" i="1"/>
  <c r="X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U181" i="1"/>
  <c r="V181" i="1"/>
  <c r="W181" i="1"/>
  <c r="X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U182" i="1"/>
  <c r="V182" i="1"/>
  <c r="W182" i="1"/>
  <c r="X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U183" i="1"/>
  <c r="V183" i="1"/>
  <c r="W183" i="1"/>
  <c r="X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U184" i="1"/>
  <c r="V184" i="1"/>
  <c r="W184" i="1"/>
  <c r="X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U185" i="1"/>
  <c r="V185" i="1"/>
  <c r="W185" i="1"/>
  <c r="X185" i="1"/>
  <c r="E156" i="1"/>
  <c r="E157" i="1"/>
  <c r="E170" i="1"/>
  <c r="E158" i="1"/>
  <c r="E159" i="1"/>
  <c r="E160" i="1"/>
  <c r="E178" i="1"/>
  <c r="E171" i="1"/>
  <c r="E161" i="1"/>
  <c r="E162" i="1"/>
  <c r="E163" i="1"/>
  <c r="E179" i="1"/>
  <c r="E172" i="1"/>
  <c r="E164" i="1"/>
  <c r="E165" i="1"/>
  <c r="E180" i="1"/>
  <c r="E182" i="1"/>
  <c r="E167" i="1"/>
  <c r="E168" i="1"/>
  <c r="E169" i="1"/>
  <c r="E181" i="1"/>
  <c r="E184" i="1"/>
  <c r="E176" i="1"/>
  <c r="E185" i="1"/>
  <c r="E173" i="1"/>
  <c r="E174" i="1"/>
  <c r="E183" i="1"/>
  <c r="E149" i="1"/>
  <c r="E50" i="1"/>
  <c r="E135" i="1"/>
  <c r="E137" i="1"/>
  <c r="E136" i="1"/>
  <c r="E67" i="1"/>
  <c r="E64" i="1"/>
  <c r="E62" i="1"/>
  <c r="E49" i="1"/>
  <c r="E99" i="1"/>
  <c r="E51" i="1"/>
  <c r="E130" i="1"/>
  <c r="E70" i="1"/>
  <c r="E73" i="1"/>
  <c r="E71" i="1"/>
  <c r="E76" i="1"/>
  <c r="E98" i="1"/>
  <c r="E129" i="1"/>
  <c r="E72" i="1"/>
  <c r="E75" i="1"/>
  <c r="E97" i="1"/>
  <c r="E128" i="1"/>
  <c r="E68" i="1"/>
  <c r="E61" i="1"/>
  <c r="E127" i="1"/>
  <c r="E65" i="1"/>
  <c r="E126" i="1"/>
  <c r="E125" i="1"/>
</calcChain>
</file>

<file path=xl/sharedStrings.xml><?xml version="1.0" encoding="utf-8"?>
<sst xmlns="http://schemas.openxmlformats.org/spreadsheetml/2006/main" count="779" uniqueCount="284">
  <si>
    <t>Initial conditions</t>
  </si>
  <si>
    <t>Earth rotation angle, deg</t>
  </si>
  <si>
    <t>Latitude</t>
  </si>
  <si>
    <t>ECI Geocentric coordinates</t>
  </si>
  <si>
    <t>ECEF Geodetic coordinates</t>
  </si>
  <si>
    <t>X</t>
  </si>
  <si>
    <t>Y</t>
  </si>
  <si>
    <t>deg</t>
  </si>
  <si>
    <t>deg/s</t>
  </si>
  <si>
    <t>ft</t>
  </si>
  <si>
    <t>ft/s</t>
  </si>
  <si>
    <t>Euler pitch angle</t>
  </si>
  <si>
    <t>Euler roll angle</t>
  </si>
  <si>
    <t>Euler yaw angle</t>
  </si>
  <si>
    <t>Z</t>
  </si>
  <si>
    <t>Vnorth</t>
  </si>
  <si>
    <t>Veast</t>
  </si>
  <si>
    <t>Vdown</t>
  </si>
  <si>
    <t>Longitude</t>
  </si>
  <si>
    <t>Altitude MSL</t>
  </si>
  <si>
    <t>Pitch rate</t>
  </si>
  <si>
    <t>Roll rate</t>
  </si>
  <si>
    <t>Yaw rate</t>
  </si>
  <si>
    <t>ft/s2</t>
  </si>
  <si>
    <t>Re</t>
  </si>
  <si>
    <t>Equatorial radius</t>
  </si>
  <si>
    <t>1/f</t>
  </si>
  <si>
    <t>n.d.</t>
  </si>
  <si>
    <t>Gravitational constant</t>
  </si>
  <si>
    <t>m</t>
  </si>
  <si>
    <t>ft3_s2</t>
  </si>
  <si>
    <t>w</t>
  </si>
  <si>
    <t>Earth rotation rate</t>
  </si>
  <si>
    <t>Xdot</t>
  </si>
  <si>
    <t>Ydot</t>
  </si>
  <si>
    <t>Zdot</t>
  </si>
  <si>
    <t>Radius to surface</t>
  </si>
  <si>
    <t>Radius to vehicle</t>
  </si>
  <si>
    <t>f</t>
  </si>
  <si>
    <t>Eccentricity</t>
  </si>
  <si>
    <t>flattening parameter</t>
  </si>
  <si>
    <t>Xg</t>
  </si>
  <si>
    <t>Yg</t>
  </si>
  <si>
    <t>Zg</t>
  </si>
  <si>
    <t>T1</t>
  </si>
  <si>
    <t>cos(inertial_longitude)</t>
  </si>
  <si>
    <t>sin(inertial_longitude)</t>
  </si>
  <si>
    <t>1,1</t>
  </si>
  <si>
    <t>1,2</t>
  </si>
  <si>
    <t>1,3</t>
  </si>
  <si>
    <t>2,1</t>
  </si>
  <si>
    <t>2,2</t>
  </si>
  <si>
    <t>2,3</t>
  </si>
  <si>
    <t>3,1</t>
  </si>
  <si>
    <t>3,2</t>
  </si>
  <si>
    <t>3,3</t>
  </si>
  <si>
    <t>cos(h)</t>
  </si>
  <si>
    <t>sin(h)</t>
  </si>
  <si>
    <t>T2</t>
  </si>
  <si>
    <t>TLI</t>
  </si>
  <si>
    <t>J2</t>
  </si>
  <si>
    <t>Gravitational harmonic</t>
  </si>
  <si>
    <t>h = geodetic_lat + 90</t>
  </si>
  <si>
    <t>Direction cosine matrices</t>
  </si>
  <si>
    <t>sin(theta)</t>
  </si>
  <si>
    <t>cos(theta)</t>
  </si>
  <si>
    <t>sin(phi)</t>
  </si>
  <si>
    <t>cos(phi)</t>
  </si>
  <si>
    <t>sin(psi)</t>
  </si>
  <si>
    <t>cos(psi)</t>
  </si>
  <si>
    <t>TBL</t>
  </si>
  <si>
    <t>Inertial to local</t>
  </si>
  <si>
    <t>Inertial to body</t>
  </si>
  <si>
    <t>TBI = TBL*TLI</t>
  </si>
  <si>
    <t>gr</t>
  </si>
  <si>
    <t>gpsi</t>
  </si>
  <si>
    <t>Gr (~Gh)</t>
  </si>
  <si>
    <t>Gpsi (~Gnorth)</t>
  </si>
  <si>
    <t>J2 Gravitation - inertial frame</t>
  </si>
  <si>
    <t>E2</t>
  </si>
  <si>
    <t>Eccentricity squared</t>
  </si>
  <si>
    <t>W (intermediate calc)</t>
  </si>
  <si>
    <t>N (intermediate calc)</t>
  </si>
  <si>
    <t>Inertial coordinates (from geodetic LLA via Burtch[1])</t>
  </si>
  <si>
    <t>References</t>
  </si>
  <si>
    <t>[1]</t>
  </si>
  <si>
    <t>Burtch, Robert: "A Comparison of Methods Used in Rectangular to Geodetic Coordinate Transformations," presented at the ACSM Annual Conference and Technology Exhibition, Orlando, FL April 21-26, 2006 http://www.ferris.edu/faculty/burtchr/papers/cartesian_to_geodetic.pdf</t>
  </si>
  <si>
    <t>dist. from Z axis</t>
  </si>
  <si>
    <t>Axy centripetal</t>
  </si>
  <si>
    <t>b</t>
  </si>
  <si>
    <t>Semi-minor axis (polar radius)</t>
  </si>
  <si>
    <t>a</t>
  </si>
  <si>
    <t>E</t>
  </si>
  <si>
    <t>u</t>
  </si>
  <si>
    <t>x^2+y^2+z^2-E^2</t>
  </si>
  <si>
    <t>Beta</t>
  </si>
  <si>
    <t>rad</t>
  </si>
  <si>
    <t>q</t>
  </si>
  <si>
    <t>q0</t>
  </si>
  <si>
    <t>qp</t>
  </si>
  <si>
    <t>gamma_u</t>
  </si>
  <si>
    <t>rad/s</t>
  </si>
  <si>
    <t>gamma_beta</t>
  </si>
  <si>
    <t>ft/s^2</t>
  </si>
  <si>
    <t>[2]</t>
  </si>
  <si>
    <t>Anon.: "Department of Defense World Geodetic System 1984," 3d edition, Amendment 1, National Imagery and Mapping Agency, NIMA TR8350.2, 3 Jan 2000</t>
  </si>
  <si>
    <t>WGS-84 gravitation calcs (eqs 4-5 to 4-22 in [2])</t>
  </si>
  <si>
    <t>R1</t>
  </si>
  <si>
    <t>R2</t>
  </si>
  <si>
    <t>Longitude, inertial</t>
  </si>
  <si>
    <t>Latitude, geocentric</t>
  </si>
  <si>
    <t>y</t>
  </si>
  <si>
    <t>l</t>
  </si>
  <si>
    <t>alpha</t>
  </si>
  <si>
    <t>theta</t>
  </si>
  <si>
    <t>gamma_X</t>
  </si>
  <si>
    <t>gamma_Y</t>
  </si>
  <si>
    <t>gamma_Z</t>
  </si>
  <si>
    <t>gamma_r</t>
  </si>
  <si>
    <t>gamma_psi</t>
  </si>
  <si>
    <t>gamma_lambda</t>
  </si>
  <si>
    <t>epsilon</t>
  </si>
  <si>
    <t>Veast (inertial)</t>
  </si>
  <si>
    <t>Atmospheric Scenario -&gt;</t>
  </si>
  <si>
    <t xml:space="preserve">Rates w.r.t. local frame in body axis </t>
  </si>
  <si>
    <t>Local frame rates w.r.t. inertial in body axis</t>
  </si>
  <si>
    <t>Tumbling brick with no damping or drag</t>
  </si>
  <si>
    <t>Dragless sphere</t>
  </si>
  <si>
    <t>Tumbling brick with damping but no drag</t>
  </si>
  <si>
    <t>Sphere with round rotating Earth</t>
  </si>
  <si>
    <t>Sphere with ellipsoidal rotating Earth</t>
  </si>
  <si>
    <t>WGS-84 values</t>
  </si>
  <si>
    <t>Sphere with round non-rotating Earth</t>
  </si>
  <si>
    <t>--</t>
  </si>
  <si>
    <t>Geodetic modeling parameters</t>
  </si>
  <si>
    <t>Sphere with steady wind</t>
  </si>
  <si>
    <t>Sphere with wind shear</t>
  </si>
  <si>
    <t>Sphere launched ballistically eastward along equator</t>
  </si>
  <si>
    <t>Inertial rotation components in inertial axis</t>
  </si>
  <si>
    <t>Inertial rotation components in body axis</t>
  </si>
  <si>
    <t>Rotation about X</t>
  </si>
  <si>
    <t>Rotation about Y</t>
  </si>
  <si>
    <t>Rotation about Z</t>
  </si>
  <si>
    <t>Sphere launched ballistically northward along prime meridian</t>
  </si>
  <si>
    <t>Maneuvering flight of 6DOF rigid aircraft with non-linear aerodynamics (supersonic)</t>
  </si>
  <si>
    <t>Circular flight around equator/dateline intersection</t>
  </si>
  <si>
    <t>Two-stage rocket to orbit</t>
  </si>
  <si>
    <t>Ballistic reentry blunt body, offset CG, constant rotation</t>
  </si>
  <si>
    <t>Text</t>
  </si>
  <si>
    <t>Geodesy</t>
  </si>
  <si>
    <t>Gravitation</t>
  </si>
  <si>
    <t>Atmosphere</t>
  </si>
  <si>
    <t>Vehicle</t>
  </si>
  <si>
    <t>Notes</t>
  </si>
  <si>
    <t>WGS-84 rotating</t>
  </si>
  <si>
    <t>Duration</t>
  </si>
  <si>
    <t>sec</t>
  </si>
  <si>
    <t>US 1976 STD; no wind</t>
  </si>
  <si>
    <t>Dragless rotating sphere with aero damping</t>
  </si>
  <si>
    <t>Round non-rotating</t>
  </si>
  <si>
    <t>inverse square</t>
  </si>
  <si>
    <t>Sphere with constant $C_D$</t>
  </si>
  <si>
    <t>Round rotating</t>
  </si>
  <si>
    <t>US 1976 STD; steady 20 ft/s wind from due West</t>
  </si>
  <si>
    <t>US 1976 STD; wind varies linearly with altitude</t>
  </si>
  <si>
    <t>Two-stage unguided rocket</t>
  </si>
  <si>
    <t>Apollo capsule</t>
  </si>
  <si>
    <t>Orbital Scenario -&gt;</t>
  </si>
  <si>
    <t>UTC</t>
  </si>
  <si>
    <t>2007/324:00:00:00</t>
  </si>
  <si>
    <t>ECEF (J2000) coordinates</t>
  </si>
  <si>
    <t>ECEF (J2000) velocities</t>
  </si>
  <si>
    <t>m/s</t>
  </si>
  <si>
    <t>Keplerian Propagation</t>
  </si>
  <si>
    <t>3A</t>
  </si>
  <si>
    <t>4x4 Gravity Model</t>
  </si>
  <si>
    <t>3B</t>
  </si>
  <si>
    <t>8x8 Gravity Model</t>
  </si>
  <si>
    <t>Planetary Ephemeris</t>
  </si>
  <si>
    <t>5A</t>
  </si>
  <si>
    <t>Minimum Solar Activity</t>
  </si>
  <si>
    <t>5B</t>
  </si>
  <si>
    <t>Mean Solar Activity</t>
  </si>
  <si>
    <t>5C</t>
  </si>
  <si>
    <t>Maximum Solar Activity</t>
  </si>
  <si>
    <t>6A</t>
  </si>
  <si>
    <t>Aerodynamic Drag with Constant Density</t>
  </si>
  <si>
    <t>6B</t>
  </si>
  <si>
    <t>Aerodynamic Drag with Dynamic Atmosphere</t>
  </si>
  <si>
    <t>6C</t>
  </si>
  <si>
    <t>Plane Change Maneuver</t>
  </si>
  <si>
    <t>6D</t>
  </si>
  <si>
    <t>7A</t>
  </si>
  <si>
    <t>No Drag with 4x4 Gravity</t>
  </si>
  <si>
    <t>7B</t>
  </si>
  <si>
    <t>No Drag with 8x8 Gravity</t>
  </si>
  <si>
    <t>7C</t>
  </si>
  <si>
    <t>All Models with 4x4 Gravity</t>
  </si>
  <si>
    <t>7D</t>
  </si>
  <si>
    <t>8A</t>
  </si>
  <si>
    <t>Zero Initial Attitude Rate</t>
  </si>
  <si>
    <t>8B</t>
  </si>
  <si>
    <t>Non-zero Initial Attitude Rate</t>
  </si>
  <si>
    <t>9A</t>
  </si>
  <si>
    <t>Zero Initial Attitude Rate with Torque</t>
  </si>
  <si>
    <t>9B</t>
  </si>
  <si>
    <t>Non-zero Initial Attitude Rate with Torque</t>
  </si>
  <si>
    <t>9C</t>
  </si>
  <si>
    <t>Zero Initial Attitude Rate with Torque and Force</t>
  </si>
  <si>
    <t>9D</t>
  </si>
  <si>
    <t>Non-zero Initial Attitude Rate with Torque and Force</t>
  </si>
  <si>
    <t>10A</t>
  </si>
  <si>
    <t>10B</t>
  </si>
  <si>
    <t>Zero Initial Rotation Rate in Circular Orbit with Gravity Gradient</t>
  </si>
  <si>
    <t>Non-zero Initial Rotation Rate in Circular Orbit with Gravity Gradient</t>
  </si>
  <si>
    <t>10C</t>
  </si>
  <si>
    <t>Zero Initial Rotation Rate in Elliptical Orbit with Gravity Gradient</t>
  </si>
  <si>
    <t>10D</t>
  </si>
  <si>
    <t>Non-zero Initial Rotation Rate in Elliptical Orbit with Gravity Gradient</t>
  </si>
  <si>
    <t>All Effects in Elliptical Orbit</t>
  </si>
  <si>
    <t>Geomagnetic Index</t>
  </si>
  <si>
    <t>Inertial rates in LVLH axis</t>
  </si>
  <si>
    <t>Orbit Description</t>
  </si>
  <si>
    <t>Nearly circular</t>
  </si>
  <si>
    <t>Highly Elliptical</t>
  </si>
  <si>
    <t>Time</t>
  </si>
  <si>
    <t>ISS</t>
  </si>
  <si>
    <t>Sun/Moon Perturbations</t>
  </si>
  <si>
    <t>Gravity Gradient Torque</t>
  </si>
  <si>
    <t>Sun only</t>
  </si>
  <si>
    <t>Sphere</t>
  </si>
  <si>
    <t>Cylinder</t>
  </si>
  <si>
    <t>Aerodynamic Drag</t>
  </si>
  <si>
    <t>Coefficient of Drag</t>
  </si>
  <si>
    <t>Drag reference area</t>
  </si>
  <si>
    <t>m^2</t>
  </si>
  <si>
    <t>N/A</t>
  </si>
  <si>
    <t>$4\times4$</t>
  </si>
  <si>
    <t>$8\times8$</t>
  </si>
  <si>
    <t>Atmosphere model</t>
  </si>
  <si>
    <t>Solar noise radio flux</t>
  </si>
  <si>
    <t>On</t>
  </si>
  <si>
    <t>Off</t>
  </si>
  <si>
    <t>Inverse square</t>
  </si>
  <si>
    <t>Highly elliptical</t>
  </si>
  <si>
    <t>US 1976 STD+MET; no wind</t>
  </si>
  <si>
    <t>Maneuvering flight of 6DOF rigid aircraft with non-linear aerodynamics (subsonic): Altitude change</t>
  </si>
  <si>
    <t>Maneuvering flight of 6DOF rigid aircraft with non-linear aerodynamics (subsonic): Velocity change</t>
  </si>
  <si>
    <t>Maneuvering flight of 6DOF rigid aircraft with non-linear aerodynamics (subsonic): Heading change</t>
  </si>
  <si>
    <t>Maneuvering flight of 6DOF rigid aircraft with non-linear aerodynamics (subsonic): Lateral course offset</t>
  </si>
  <si>
    <t>Subsonic winged flight (trimmed straight &amp; level)</t>
  </si>
  <si>
    <t>Supersonic winged flight (trimmed straight &amp; level)</t>
  </si>
  <si>
    <t>$C_D$ set to zero</t>
  </si>
  <si>
    <t>$C_{l_p}$, $C_{m_q}$, $C_{n_r}$ set to zero</t>
  </si>
  <si>
    <t>Dragless rotating brick</t>
  </si>
  <si>
    <t>$V_\text{wind} = (0.003 h - 20) \text{ ft/s from West}$; $h$ is height MSL in ft.</t>
  </si>
  <si>
    <t>Unaugmented F-16</t>
  </si>
  <si>
    <t>F-16 with simple autopilot</t>
  </si>
  <si>
    <t>F-16 with circumnavigating autopilot</t>
  </si>
  <si>
    <t>Circular flight around North Pole</t>
  </si>
  <si>
    <t>Initial conditions trimmed straight and level; engage autopilot at first time step.</t>
  </si>
  <si>
    <r>
      <t xml:space="preserve">$29,000$ N </t>
    </r>
    <r>
      <rPr>
        <sz val="12"/>
        <color indexed="205"/>
        <rFont val="Calibri"/>
        <family val="2"/>
      </rPr>
      <t>f</t>
    </r>
    <r>
      <rPr>
        <sz val="12"/>
        <color theme="1"/>
        <rFont val="Calibri"/>
        <family val="2"/>
        <scheme val="minor"/>
      </rPr>
      <t>orce in negative body $y$-axis direction, starting at $t=1,000$ s for 93 s</t>
    </r>
  </si>
  <si>
    <r>
      <t xml:space="preserve">$66,400$ N </t>
    </r>
    <r>
      <rPr>
        <sz val="12"/>
        <color indexed="205"/>
        <rFont val="Calibri"/>
        <family val="2"/>
      </rPr>
      <t>f</t>
    </r>
    <r>
      <rPr>
        <sz val="12"/>
        <color theme="1"/>
        <rFont val="Calibri"/>
        <family val="2"/>
        <scheme val="minor"/>
      </rPr>
      <t>orce in positive body $x$-axis direction, starting at $t=1,000$~s for 48~s</t>
    </r>
  </si>
  <si>
    <t>All Models with 8x8 Gravity</t>
  </si>
  <si>
    <t>V_n</t>
  </si>
  <si>
    <t>V_e</t>
  </si>
  <si>
    <t>V_d</t>
  </si>
  <si>
    <t>Earth-relative velocity in NED frame</t>
  </si>
  <si>
    <t>$J_2$</t>
  </si>
  <si>
    <t>Earth Departure Maneuver</t>
  </si>
  <si>
    <t>Initially straight &amp; level. $t = 5$ s: decrease commanded equivalent airspeed 5~knots.</t>
  </si>
  <si>
    <t>Initially straight &amp; level. $t =5$~s: command altitude 100~ft increase.</t>
  </si>
  <si>
    <t>Initially straight &amp; level. $t = 15$~s: command $15^{\circ}$ right heading change.</t>
  </si>
  <si>
    <t>Initially straight &amp; level. $t=20$~s: 2,000~ft lateral course offset.</t>
  </si>
  <si>
    <t>Initially straight &amp; level. $t=10$~s: increment throttle 0.5 (fraction) for 5~seconds. $t=20$~s: long. stick doublet amp 0.1 for 3~seconds each way (starting aft). $t=30$~s : rudder pedal doublet, starting right. $t=40$~s: roll stick doublet, starting right.</t>
  </si>
  <si>
    <t>Initial velocity is $\sqrt{2,000}$~ft/s aligned $45^{\circ}$ from vertical, heading East; zero angular rate relative to launch platform</t>
  </si>
  <si>
    <t>Initial velocity is $\sqrt{2,000}$~ft/s aligned $45^{\circ}$ from vertical, heading North; zero angular rate relative to launch platform</t>
  </si>
  <si>
    <t>Initial position is 10,000~ft above KFFA airport on a $45^{\circ}$ true course. True airspeed 335.15~knots. Stability augmentation off. Test of trim solution.</t>
  </si>
  <si>
    <t>Initial position is 30,000~ft above KFFA airport on a $45^{\circ}$ true course. True airspeed 2,000~ft/s. Stability augmentation off. Test of trim solution.</t>
  </si>
  <si>
    <t>Full</t>
  </si>
  <si>
    <t>Inertial att. 3-2-1 w.r.t. LVLH</t>
  </si>
  <si>
    <t>Roll angle</t>
  </si>
  <si>
    <t>Pitch angle</t>
  </si>
  <si>
    <t>Yaw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</si>
</sst>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000000E+00"/>
    <numFmt numFmtId="166" formatCode="0.00000000000000E+00"/>
    <numFmt numFmtId="167" formatCode="0.000000000"/>
    <numFmt numFmtId="168" formatCode="#,##0.000000"/>
    <numFmt numFmtId="169" formatCode="0.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ymbol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2"/>
      <color rgb="FF008000"/>
      <name val="Calibri"/>
      <scheme val="minor"/>
    </font>
    <font>
      <sz val="12"/>
      <color indexed="20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5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Alignment="1">
      <alignment vertical="top" wrapText="1"/>
    </xf>
    <xf numFmtId="0" fontId="6" fillId="0" borderId="0" xfId="0" applyFont="1"/>
    <xf numFmtId="0" fontId="0" fillId="0" borderId="0" xfId="0" applyNumberFormat="1"/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166" fontId="0" fillId="2" borderId="0" xfId="0" applyNumberFormat="1" applyFill="1"/>
    <xf numFmtId="0" fontId="0" fillId="2" borderId="0" xfId="0" applyNumberFormat="1" applyFill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4" fontId="8" fillId="0" borderId="0" xfId="0" applyNumberFormat="1" applyFont="1"/>
    <xf numFmtId="168" fontId="8" fillId="0" borderId="0" xfId="0" applyNumberFormat="1" applyFont="1"/>
    <xf numFmtId="0" fontId="0" fillId="0" borderId="0" xfId="0" applyAlignment="1">
      <alignment horizontal="right" wrapText="1"/>
    </xf>
    <xf numFmtId="0" fontId="0" fillId="0" borderId="0" xfId="0" quotePrefix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vertical="top" wrapText="1"/>
    </xf>
    <xf numFmtId="169" fontId="0" fillId="2" borderId="0" xfId="0" applyNumberFormat="1" applyFill="1"/>
    <xf numFmtId="167" fontId="0" fillId="2" borderId="0" xfId="0" applyNumberFormat="1" applyFill="1"/>
    <xf numFmtId="0" fontId="0" fillId="0" borderId="0" xfId="0" applyAlignment="1">
      <alignment vertical="top" wrapText="1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9"/>
  <sheetViews>
    <sheetView workbookViewId="0">
      <pane xSplit="7460" ySplit="2620" topLeftCell="I198" activePane="bottomRight"/>
      <selection activeCell="O122" sqref="O122"/>
      <selection pane="topRight" activeCell="V2" sqref="V2"/>
      <selection pane="bottomLeft" activeCell="A188" sqref="A188"/>
      <selection pane="bottomRight" activeCell="Q200" sqref="Q200"/>
    </sheetView>
  </sheetViews>
  <sheetFormatPr baseColWidth="10" defaultRowHeight="15" x14ac:dyDescent="0"/>
  <cols>
    <col min="1" max="1" width="4.83203125" customWidth="1"/>
    <col min="2" max="2" width="21.1640625" customWidth="1"/>
    <col min="4" max="4" width="20.5" bestFit="1" customWidth="1"/>
    <col min="5" max="5" width="13.33203125" customWidth="1"/>
    <col min="15" max="16" width="13.5" customWidth="1"/>
    <col min="17" max="20" width="13.6640625" customWidth="1"/>
    <col min="21" max="21" width="13.33203125" customWidth="1"/>
    <col min="22" max="22" width="13.1640625" customWidth="1"/>
    <col min="23" max="23" width="12.6640625" customWidth="1"/>
    <col min="24" max="25" width="12.83203125" bestFit="1" customWidth="1"/>
  </cols>
  <sheetData>
    <row r="1" spans="1:25" ht="18">
      <c r="A1" s="13" t="s">
        <v>0</v>
      </c>
      <c r="D1" t="s">
        <v>123</v>
      </c>
      <c r="E1" s="16">
        <v>1</v>
      </c>
      <c r="F1" s="16">
        <v>2</v>
      </c>
      <c r="G1" s="16">
        <v>3</v>
      </c>
      <c r="H1" s="16">
        <v>4</v>
      </c>
      <c r="I1" s="16">
        <v>5</v>
      </c>
      <c r="J1" s="16">
        <v>6</v>
      </c>
      <c r="K1" s="16">
        <v>7</v>
      </c>
      <c r="L1" s="16">
        <v>8</v>
      </c>
      <c r="M1" s="16">
        <v>9</v>
      </c>
      <c r="N1" s="16">
        <v>10</v>
      </c>
      <c r="O1" s="16">
        <v>11</v>
      </c>
      <c r="P1" s="16">
        <v>12</v>
      </c>
      <c r="Q1" s="16">
        <v>13.1</v>
      </c>
      <c r="R1" s="16">
        <v>13.2</v>
      </c>
      <c r="S1" s="16">
        <v>13.3</v>
      </c>
      <c r="T1" s="16">
        <v>13.4</v>
      </c>
      <c r="U1" s="16">
        <v>14</v>
      </c>
      <c r="V1" s="16">
        <v>15</v>
      </c>
      <c r="W1" s="16">
        <v>16</v>
      </c>
      <c r="X1" s="16">
        <v>17</v>
      </c>
      <c r="Y1" s="16">
        <v>18</v>
      </c>
    </row>
    <row r="2" spans="1:25" ht="100" customHeight="1">
      <c r="E2" s="12" t="s">
        <v>127</v>
      </c>
      <c r="F2" s="12" t="s">
        <v>126</v>
      </c>
      <c r="G2" s="12" t="s">
        <v>128</v>
      </c>
      <c r="H2" s="12" t="s">
        <v>132</v>
      </c>
      <c r="I2" s="12" t="s">
        <v>129</v>
      </c>
      <c r="J2" s="12" t="s">
        <v>130</v>
      </c>
      <c r="K2" s="12" t="s">
        <v>135</v>
      </c>
      <c r="L2" s="12" t="s">
        <v>136</v>
      </c>
      <c r="M2" s="12" t="s">
        <v>137</v>
      </c>
      <c r="N2" s="12" t="s">
        <v>143</v>
      </c>
      <c r="O2" s="12" t="s">
        <v>250</v>
      </c>
      <c r="P2" s="12" t="s">
        <v>251</v>
      </c>
      <c r="Q2" s="12" t="s">
        <v>246</v>
      </c>
      <c r="R2" s="28" t="s">
        <v>247</v>
      </c>
      <c r="S2" s="28" t="s">
        <v>248</v>
      </c>
      <c r="T2" s="28" t="s">
        <v>249</v>
      </c>
      <c r="U2" s="12" t="s">
        <v>144</v>
      </c>
      <c r="V2" s="12" t="s">
        <v>259</v>
      </c>
      <c r="W2" s="12" t="s">
        <v>145</v>
      </c>
      <c r="X2" s="12" t="s">
        <v>146</v>
      </c>
      <c r="Y2" s="17" t="s">
        <v>147</v>
      </c>
    </row>
    <row r="4" spans="1:25">
      <c r="A4" s="13" t="s">
        <v>134</v>
      </c>
      <c r="D4" t="s">
        <v>131</v>
      </c>
    </row>
    <row r="5" spans="1:25">
      <c r="A5" s="1" t="s">
        <v>24</v>
      </c>
      <c r="B5" t="s">
        <v>25</v>
      </c>
      <c r="C5" t="s">
        <v>9</v>
      </c>
      <c r="D5" s="6">
        <f>6378137*3.28084</f>
        <v>20925646.995080002</v>
      </c>
      <c r="E5">
        <f>Re</f>
        <v>20925646.995080002</v>
      </c>
      <c r="F5">
        <f>Re</f>
        <v>20925646.995080002</v>
      </c>
      <c r="G5">
        <f>Re</f>
        <v>20925646.995080002</v>
      </c>
      <c r="H5" s="14">
        <v>20902255.199000001</v>
      </c>
      <c r="I5" s="14">
        <v>20902255.199000001</v>
      </c>
      <c r="J5">
        <f t="shared" ref="J5:Y5" si="0">Re</f>
        <v>20925646.995080002</v>
      </c>
      <c r="K5">
        <f t="shared" si="0"/>
        <v>20925646.995080002</v>
      </c>
      <c r="L5">
        <f t="shared" si="0"/>
        <v>20925646.995080002</v>
      </c>
      <c r="M5">
        <f t="shared" si="0"/>
        <v>20925646.995080002</v>
      </c>
      <c r="N5">
        <f t="shared" si="0"/>
        <v>20925646.995080002</v>
      </c>
      <c r="O5">
        <f t="shared" si="0"/>
        <v>20925646.995080002</v>
      </c>
      <c r="P5">
        <f t="shared" si="0"/>
        <v>20925646.995080002</v>
      </c>
      <c r="Q5">
        <f t="shared" si="0"/>
        <v>20925646.995080002</v>
      </c>
      <c r="R5">
        <f t="shared" si="0"/>
        <v>20925646.995080002</v>
      </c>
      <c r="S5">
        <f t="shared" si="0"/>
        <v>20925646.995080002</v>
      </c>
      <c r="T5">
        <f t="shared" si="0"/>
        <v>20925646.995080002</v>
      </c>
      <c r="U5">
        <f t="shared" si="0"/>
        <v>20925646.995080002</v>
      </c>
      <c r="V5">
        <f t="shared" si="0"/>
        <v>20925646.995080002</v>
      </c>
      <c r="W5">
        <f t="shared" si="0"/>
        <v>20925646.995080002</v>
      </c>
      <c r="X5">
        <f t="shared" si="0"/>
        <v>20925646.995080002</v>
      </c>
      <c r="Y5">
        <f t="shared" si="0"/>
        <v>20925646.995080002</v>
      </c>
    </row>
    <row r="6" spans="1:25">
      <c r="A6" s="1" t="s">
        <v>26</v>
      </c>
      <c r="B6" t="s">
        <v>39</v>
      </c>
      <c r="C6" t="s">
        <v>27</v>
      </c>
      <c r="D6" s="9">
        <v>298.25722356300003</v>
      </c>
      <c r="E6">
        <f>inv_f</f>
        <v>298.25722356300003</v>
      </c>
      <c r="F6">
        <f>inv_f</f>
        <v>298.25722356300003</v>
      </c>
      <c r="G6">
        <f>inv_f</f>
        <v>298.25722356300003</v>
      </c>
      <c r="H6" s="15" t="s">
        <v>133</v>
      </c>
      <c r="I6" s="15" t="s">
        <v>133</v>
      </c>
      <c r="J6">
        <f t="shared" ref="J6:Y6" si="1">inv_f</f>
        <v>298.25722356300003</v>
      </c>
      <c r="K6">
        <f t="shared" si="1"/>
        <v>298.25722356300003</v>
      </c>
      <c r="L6">
        <f t="shared" si="1"/>
        <v>298.25722356300003</v>
      </c>
      <c r="M6">
        <f t="shared" si="1"/>
        <v>298.25722356300003</v>
      </c>
      <c r="N6">
        <f t="shared" si="1"/>
        <v>298.25722356300003</v>
      </c>
      <c r="O6">
        <f t="shared" si="1"/>
        <v>298.25722356300003</v>
      </c>
      <c r="P6">
        <f t="shared" si="1"/>
        <v>298.25722356300003</v>
      </c>
      <c r="Q6">
        <f t="shared" si="1"/>
        <v>298.25722356300003</v>
      </c>
      <c r="R6">
        <f t="shared" si="1"/>
        <v>298.25722356300003</v>
      </c>
      <c r="S6">
        <f t="shared" si="1"/>
        <v>298.25722356300003</v>
      </c>
      <c r="T6">
        <f t="shared" si="1"/>
        <v>298.25722356300003</v>
      </c>
      <c r="U6">
        <f t="shared" si="1"/>
        <v>298.25722356300003</v>
      </c>
      <c r="V6">
        <f t="shared" si="1"/>
        <v>298.25722356300003</v>
      </c>
      <c r="W6">
        <f t="shared" si="1"/>
        <v>298.25722356300003</v>
      </c>
      <c r="X6">
        <f t="shared" si="1"/>
        <v>298.25722356300003</v>
      </c>
      <c r="Y6">
        <f t="shared" si="1"/>
        <v>298.25722356300003</v>
      </c>
    </row>
    <row r="7" spans="1:25" ht="16">
      <c r="A7" s="2" t="s">
        <v>29</v>
      </c>
      <c r="B7" t="s">
        <v>28</v>
      </c>
      <c r="C7" t="s">
        <v>30</v>
      </c>
      <c r="D7" s="7">
        <v>1.407644311E+16</v>
      </c>
      <c r="E7">
        <f t="shared" ref="E7:Y7" si="2">mu</f>
        <v>1.407644311E+16</v>
      </c>
      <c r="F7">
        <f t="shared" si="2"/>
        <v>1.407644311E+16</v>
      </c>
      <c r="G7">
        <f t="shared" si="2"/>
        <v>1.407644311E+16</v>
      </c>
      <c r="H7">
        <f t="shared" si="2"/>
        <v>1.407644311E+16</v>
      </c>
      <c r="I7">
        <f t="shared" si="2"/>
        <v>1.407644311E+16</v>
      </c>
      <c r="J7">
        <f t="shared" si="2"/>
        <v>1.407644311E+16</v>
      </c>
      <c r="K7">
        <f t="shared" si="2"/>
        <v>1.407644311E+16</v>
      </c>
      <c r="L7">
        <f t="shared" si="2"/>
        <v>1.407644311E+16</v>
      </c>
      <c r="M7">
        <f t="shared" si="2"/>
        <v>1.407644311E+16</v>
      </c>
      <c r="N7">
        <f t="shared" si="2"/>
        <v>1.407644311E+16</v>
      </c>
      <c r="O7">
        <f t="shared" si="2"/>
        <v>1.407644311E+16</v>
      </c>
      <c r="P7">
        <f t="shared" si="2"/>
        <v>1.407644311E+16</v>
      </c>
      <c r="Q7">
        <f t="shared" si="2"/>
        <v>1.407644311E+16</v>
      </c>
      <c r="R7">
        <f t="shared" si="2"/>
        <v>1.407644311E+16</v>
      </c>
      <c r="S7">
        <f t="shared" si="2"/>
        <v>1.407644311E+16</v>
      </c>
      <c r="T7">
        <f t="shared" si="2"/>
        <v>1.407644311E+16</v>
      </c>
      <c r="U7">
        <f t="shared" si="2"/>
        <v>1.407644311E+16</v>
      </c>
      <c r="V7">
        <f t="shared" si="2"/>
        <v>1.407644311E+16</v>
      </c>
      <c r="W7">
        <f t="shared" si="2"/>
        <v>1.407644311E+16</v>
      </c>
      <c r="X7">
        <f t="shared" si="2"/>
        <v>1.407644311E+16</v>
      </c>
      <c r="Y7">
        <f t="shared" si="2"/>
        <v>1.407644311E+16</v>
      </c>
    </row>
    <row r="8" spans="1:25" ht="16">
      <c r="A8" s="2" t="s">
        <v>31</v>
      </c>
      <c r="B8" t="s">
        <v>32</v>
      </c>
      <c r="C8" t="s">
        <v>8</v>
      </c>
      <c r="D8" s="8">
        <v>4.178073E-3</v>
      </c>
      <c r="E8">
        <f>omega</f>
        <v>4.178073E-3</v>
      </c>
      <c r="F8">
        <f>omega</f>
        <v>4.178073E-3</v>
      </c>
      <c r="G8">
        <f>omega</f>
        <v>4.178073E-3</v>
      </c>
      <c r="H8">
        <v>0</v>
      </c>
      <c r="I8">
        <f t="shared" ref="I8:Y8" si="3">omega</f>
        <v>4.178073E-3</v>
      </c>
      <c r="J8">
        <f t="shared" si="3"/>
        <v>4.178073E-3</v>
      </c>
      <c r="K8">
        <f t="shared" si="3"/>
        <v>4.178073E-3</v>
      </c>
      <c r="L8">
        <f t="shared" si="3"/>
        <v>4.178073E-3</v>
      </c>
      <c r="M8">
        <f t="shared" si="3"/>
        <v>4.178073E-3</v>
      </c>
      <c r="N8">
        <f t="shared" si="3"/>
        <v>4.178073E-3</v>
      </c>
      <c r="O8">
        <f t="shared" si="3"/>
        <v>4.178073E-3</v>
      </c>
      <c r="P8">
        <f t="shared" si="3"/>
        <v>4.178073E-3</v>
      </c>
      <c r="Q8">
        <f t="shared" si="3"/>
        <v>4.178073E-3</v>
      </c>
      <c r="R8">
        <f t="shared" si="3"/>
        <v>4.178073E-3</v>
      </c>
      <c r="S8">
        <f t="shared" si="3"/>
        <v>4.178073E-3</v>
      </c>
      <c r="T8">
        <f t="shared" si="3"/>
        <v>4.178073E-3</v>
      </c>
      <c r="U8">
        <f t="shared" si="3"/>
        <v>4.178073E-3</v>
      </c>
      <c r="V8">
        <f t="shared" si="3"/>
        <v>4.178073E-3</v>
      </c>
      <c r="W8">
        <f t="shared" si="3"/>
        <v>4.178073E-3</v>
      </c>
      <c r="X8">
        <f t="shared" si="3"/>
        <v>4.178073E-3</v>
      </c>
      <c r="Y8">
        <f t="shared" si="3"/>
        <v>4.178073E-3</v>
      </c>
    </row>
    <row r="9" spans="1:25" ht="16">
      <c r="A9" s="2" t="s">
        <v>31</v>
      </c>
      <c r="B9" t="s">
        <v>32</v>
      </c>
      <c r="C9" t="s">
        <v>101</v>
      </c>
      <c r="D9" s="18">
        <f>omega*PI()/180</f>
        <v>7.2921130238677036E-5</v>
      </c>
      <c r="E9" s="4">
        <f>E8*PI()/180</f>
        <v>7.2921130238677036E-5</v>
      </c>
      <c r="F9" s="4">
        <f t="shared" ref="F9:Y9" si="4">F8*PI()/180</f>
        <v>7.2921130238677036E-5</v>
      </c>
      <c r="G9" s="4">
        <f t="shared" si="4"/>
        <v>7.2921130238677036E-5</v>
      </c>
      <c r="H9" s="4">
        <f t="shared" si="4"/>
        <v>0</v>
      </c>
      <c r="I9" s="4">
        <f t="shared" si="4"/>
        <v>7.2921130238677036E-5</v>
      </c>
      <c r="J9" s="4">
        <f t="shared" si="4"/>
        <v>7.2921130238677036E-5</v>
      </c>
      <c r="K9" s="4">
        <f t="shared" si="4"/>
        <v>7.2921130238677036E-5</v>
      </c>
      <c r="L9" s="4">
        <f t="shared" si="4"/>
        <v>7.2921130238677036E-5</v>
      </c>
      <c r="M9" s="4">
        <f t="shared" si="4"/>
        <v>7.2921130238677036E-5</v>
      </c>
      <c r="N9" s="4">
        <f t="shared" si="4"/>
        <v>7.2921130238677036E-5</v>
      </c>
      <c r="O9" s="4">
        <f t="shared" si="4"/>
        <v>7.2921130238677036E-5</v>
      </c>
      <c r="P9" s="4">
        <f t="shared" si="4"/>
        <v>7.2921130238677036E-5</v>
      </c>
      <c r="Q9" s="4">
        <f t="shared" si="4"/>
        <v>7.2921130238677036E-5</v>
      </c>
      <c r="R9" s="4">
        <f t="shared" ref="R9:T9" si="5">R8*PI()/180</f>
        <v>7.2921130238677036E-5</v>
      </c>
      <c r="S9" s="4">
        <f t="shared" si="5"/>
        <v>7.2921130238677036E-5</v>
      </c>
      <c r="T9" s="4">
        <f t="shared" si="5"/>
        <v>7.2921130238677036E-5</v>
      </c>
      <c r="U9" s="4">
        <f t="shared" si="4"/>
        <v>7.2921130238677036E-5</v>
      </c>
      <c r="V9" s="4">
        <f t="shared" si="4"/>
        <v>7.2921130238677036E-5</v>
      </c>
      <c r="W9" s="4">
        <f t="shared" si="4"/>
        <v>7.2921130238677036E-5</v>
      </c>
      <c r="X9" s="4">
        <f t="shared" si="4"/>
        <v>7.2921130238677036E-5</v>
      </c>
      <c r="Y9" s="4">
        <f t="shared" si="4"/>
        <v>7.2921130238677036E-5</v>
      </c>
    </row>
    <row r="10" spans="1:25">
      <c r="A10" s="3" t="s">
        <v>38</v>
      </c>
      <c r="B10" t="s">
        <v>40</v>
      </c>
      <c r="C10" t="s">
        <v>27</v>
      </c>
      <c r="D10" s="18">
        <f>1/inv_f</f>
        <v>3.3528106647474805E-3</v>
      </c>
      <c r="E10">
        <f>f</f>
        <v>3.3528106647474805E-3</v>
      </c>
      <c r="F10">
        <f>f</f>
        <v>3.3528106647474805E-3</v>
      </c>
      <c r="G10">
        <f>f</f>
        <v>3.3528106647474805E-3</v>
      </c>
      <c r="H10">
        <v>0</v>
      </c>
      <c r="I10">
        <v>0</v>
      </c>
      <c r="J10">
        <f t="shared" ref="J10:Y10" si="6">f</f>
        <v>3.3528106647474805E-3</v>
      </c>
      <c r="K10">
        <f t="shared" si="6"/>
        <v>3.3528106647474805E-3</v>
      </c>
      <c r="L10">
        <f t="shared" si="6"/>
        <v>3.3528106647474805E-3</v>
      </c>
      <c r="M10">
        <f t="shared" si="6"/>
        <v>3.3528106647474805E-3</v>
      </c>
      <c r="N10">
        <f t="shared" si="6"/>
        <v>3.3528106647474805E-3</v>
      </c>
      <c r="O10">
        <f t="shared" si="6"/>
        <v>3.3528106647474805E-3</v>
      </c>
      <c r="P10">
        <f t="shared" si="6"/>
        <v>3.3528106647474805E-3</v>
      </c>
      <c r="Q10">
        <f t="shared" si="6"/>
        <v>3.3528106647474805E-3</v>
      </c>
      <c r="R10">
        <f t="shared" si="6"/>
        <v>3.3528106647474805E-3</v>
      </c>
      <c r="S10">
        <f t="shared" si="6"/>
        <v>3.3528106647474805E-3</v>
      </c>
      <c r="T10">
        <f t="shared" si="6"/>
        <v>3.3528106647474805E-3</v>
      </c>
      <c r="U10">
        <f t="shared" si="6"/>
        <v>3.3528106647474805E-3</v>
      </c>
      <c r="V10">
        <f t="shared" si="6"/>
        <v>3.3528106647474805E-3</v>
      </c>
      <c r="W10">
        <f t="shared" si="6"/>
        <v>3.3528106647474805E-3</v>
      </c>
      <c r="X10">
        <f t="shared" si="6"/>
        <v>3.3528106647474805E-3</v>
      </c>
      <c r="Y10">
        <f t="shared" si="6"/>
        <v>3.3528106647474805E-3</v>
      </c>
    </row>
    <row r="11" spans="1:25">
      <c r="A11" s="1" t="s">
        <v>60</v>
      </c>
      <c r="B11" t="s">
        <v>61</v>
      </c>
      <c r="C11" t="s">
        <v>27</v>
      </c>
      <c r="D11" s="8">
        <v>1.0826298200000001E-3</v>
      </c>
      <c r="E11">
        <f>Jtwo</f>
        <v>1.0826298200000001E-3</v>
      </c>
      <c r="F11">
        <f>Jtwo</f>
        <v>1.0826298200000001E-3</v>
      </c>
      <c r="G11">
        <f>Jtwo</f>
        <v>1.0826298200000001E-3</v>
      </c>
      <c r="H11">
        <v>0</v>
      </c>
      <c r="I11">
        <v>0</v>
      </c>
      <c r="J11">
        <f t="shared" ref="J11:Y11" si="7">Jtwo</f>
        <v>1.0826298200000001E-3</v>
      </c>
      <c r="K11">
        <f t="shared" si="7"/>
        <v>1.0826298200000001E-3</v>
      </c>
      <c r="L11">
        <f t="shared" si="7"/>
        <v>1.0826298200000001E-3</v>
      </c>
      <c r="M11">
        <f t="shared" si="7"/>
        <v>1.0826298200000001E-3</v>
      </c>
      <c r="N11">
        <f t="shared" si="7"/>
        <v>1.0826298200000001E-3</v>
      </c>
      <c r="O11">
        <f t="shared" si="7"/>
        <v>1.0826298200000001E-3</v>
      </c>
      <c r="P11">
        <f t="shared" si="7"/>
        <v>1.0826298200000001E-3</v>
      </c>
      <c r="Q11">
        <f t="shared" si="7"/>
        <v>1.0826298200000001E-3</v>
      </c>
      <c r="R11">
        <f t="shared" si="7"/>
        <v>1.0826298200000001E-3</v>
      </c>
      <c r="S11">
        <f t="shared" si="7"/>
        <v>1.0826298200000001E-3</v>
      </c>
      <c r="T11">
        <f t="shared" si="7"/>
        <v>1.0826298200000001E-3</v>
      </c>
      <c r="U11">
        <f t="shared" si="7"/>
        <v>1.0826298200000001E-3</v>
      </c>
      <c r="V11">
        <f t="shared" si="7"/>
        <v>1.0826298200000001E-3</v>
      </c>
      <c r="W11">
        <f t="shared" si="7"/>
        <v>1.0826298200000001E-3</v>
      </c>
      <c r="X11">
        <f t="shared" si="7"/>
        <v>1.0826298200000001E-3</v>
      </c>
      <c r="Y11">
        <f t="shared" si="7"/>
        <v>1.0826298200000001E-3</v>
      </c>
    </row>
    <row r="12" spans="1:25">
      <c r="A12" s="1" t="s">
        <v>79</v>
      </c>
      <c r="B12" t="s">
        <v>80</v>
      </c>
      <c r="C12" t="s">
        <v>27</v>
      </c>
      <c r="D12" s="18">
        <f>f*(2-f)</f>
        <v>6.6943799901413165E-3</v>
      </c>
      <c r="E12" s="19">
        <f>E10*(2-E10)</f>
        <v>6.6943799901413165E-3</v>
      </c>
      <c r="F12" s="19">
        <f t="shared" ref="F12:X12" si="8">F10*(2-F10)</f>
        <v>6.6943799901413165E-3</v>
      </c>
      <c r="G12" s="19">
        <f t="shared" si="8"/>
        <v>6.6943799901413165E-3</v>
      </c>
      <c r="H12" s="19">
        <f t="shared" si="8"/>
        <v>0</v>
      </c>
      <c r="I12" s="19">
        <f t="shared" ref="I12" si="9">I10*(2-I10)</f>
        <v>0</v>
      </c>
      <c r="J12" s="19">
        <f t="shared" si="8"/>
        <v>6.6943799901413165E-3</v>
      </c>
      <c r="K12" s="19">
        <f t="shared" si="8"/>
        <v>6.6943799901413165E-3</v>
      </c>
      <c r="L12" s="19">
        <f t="shared" si="8"/>
        <v>6.6943799901413165E-3</v>
      </c>
      <c r="M12" s="19">
        <f t="shared" si="8"/>
        <v>6.6943799901413165E-3</v>
      </c>
      <c r="N12" s="19">
        <f t="shared" si="8"/>
        <v>6.6943799901413165E-3</v>
      </c>
      <c r="O12" s="19">
        <f t="shared" si="8"/>
        <v>6.6943799901413165E-3</v>
      </c>
      <c r="P12" s="19">
        <f t="shared" si="8"/>
        <v>6.6943799901413165E-3</v>
      </c>
      <c r="Q12" s="19">
        <f t="shared" si="8"/>
        <v>6.6943799901413165E-3</v>
      </c>
      <c r="R12" s="19">
        <f t="shared" ref="R12:T12" si="10">R10*(2-R10)</f>
        <v>6.6943799901413165E-3</v>
      </c>
      <c r="S12" s="19">
        <f t="shared" si="10"/>
        <v>6.6943799901413165E-3</v>
      </c>
      <c r="T12" s="19">
        <f t="shared" si="10"/>
        <v>6.6943799901413165E-3</v>
      </c>
      <c r="U12" s="19">
        <f t="shared" si="8"/>
        <v>6.6943799901413165E-3</v>
      </c>
      <c r="V12" s="19">
        <f t="shared" si="8"/>
        <v>6.6943799901413165E-3</v>
      </c>
      <c r="W12" s="19">
        <f t="shared" si="8"/>
        <v>6.6943799901413165E-3</v>
      </c>
      <c r="X12" s="19">
        <f t="shared" si="8"/>
        <v>6.6943799901413165E-3</v>
      </c>
      <c r="Y12" s="19">
        <f t="shared" ref="Y12" si="11">Y10*(2-Y10)</f>
        <v>6.6943799901413165E-3</v>
      </c>
    </row>
    <row r="13" spans="1:25">
      <c r="A13" s="3" t="s">
        <v>89</v>
      </c>
      <c r="B13" t="s">
        <v>90</v>
      </c>
      <c r="C13" t="s">
        <v>9</v>
      </c>
      <c r="D13" s="4">
        <f>(1-1/inv_f)*Re</f>
        <v>20855487.262668155</v>
      </c>
      <c r="E13" s="4">
        <f>(1-1/E6)*E5</f>
        <v>20855487.262668155</v>
      </c>
      <c r="F13" s="4">
        <f t="shared" ref="F13:X13" si="12">(1-1/F6)*F5</f>
        <v>20855487.262668155</v>
      </c>
      <c r="G13" s="4">
        <f t="shared" si="12"/>
        <v>20855487.262668155</v>
      </c>
      <c r="H13" s="4">
        <f>(1-H10)*H5</f>
        <v>20902255.199000001</v>
      </c>
      <c r="I13" s="4">
        <f>(1-I10)*I5</f>
        <v>20902255.199000001</v>
      </c>
      <c r="J13" s="4">
        <f t="shared" si="12"/>
        <v>20855487.262668155</v>
      </c>
      <c r="K13" s="4">
        <f t="shared" si="12"/>
        <v>20855487.262668155</v>
      </c>
      <c r="L13" s="4">
        <f t="shared" si="12"/>
        <v>20855487.262668155</v>
      </c>
      <c r="M13" s="4">
        <f t="shared" si="12"/>
        <v>20855487.262668155</v>
      </c>
      <c r="N13" s="4">
        <f t="shared" si="12"/>
        <v>20855487.262668155</v>
      </c>
      <c r="O13" s="4">
        <f t="shared" si="12"/>
        <v>20855487.262668155</v>
      </c>
      <c r="P13" s="4">
        <f t="shared" si="12"/>
        <v>20855487.262668155</v>
      </c>
      <c r="Q13" s="4">
        <f t="shared" si="12"/>
        <v>20855487.262668155</v>
      </c>
      <c r="R13" s="4">
        <f t="shared" ref="R13:T13" si="13">(1-1/R6)*R5</f>
        <v>20855487.262668155</v>
      </c>
      <c r="S13" s="4">
        <f t="shared" si="13"/>
        <v>20855487.262668155</v>
      </c>
      <c r="T13" s="4">
        <f t="shared" si="13"/>
        <v>20855487.262668155</v>
      </c>
      <c r="U13" s="4">
        <f t="shared" si="12"/>
        <v>20855487.262668155</v>
      </c>
      <c r="V13" s="4">
        <f t="shared" si="12"/>
        <v>20855487.262668155</v>
      </c>
      <c r="W13" s="4">
        <f t="shared" si="12"/>
        <v>20855487.262668155</v>
      </c>
      <c r="X13" s="4">
        <f t="shared" si="12"/>
        <v>20855487.262668155</v>
      </c>
      <c r="Y13" s="4">
        <f t="shared" ref="Y13" si="14">(1-1/Y6)*Y5</f>
        <v>20855487.262668155</v>
      </c>
    </row>
    <row r="15" spans="1:25">
      <c r="A15" t="s">
        <v>1</v>
      </c>
      <c r="C15" t="s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7" spans="1:25">
      <c r="A17" t="s">
        <v>124</v>
      </c>
    </row>
    <row r="18" spans="1:25">
      <c r="B18" t="s">
        <v>21</v>
      </c>
      <c r="C18" t="s">
        <v>8</v>
      </c>
      <c r="E18" s="20">
        <f>-E8</f>
        <v>-4.178073E-3</v>
      </c>
      <c r="F18" s="20">
        <f>10-E8</f>
        <v>9.9958219269999997</v>
      </c>
      <c r="G18" s="20">
        <f>10-G8</f>
        <v>9.9958219269999997</v>
      </c>
      <c r="H18" s="20">
        <f t="shared" ref="H18:I18" si="15">10-H8</f>
        <v>10</v>
      </c>
      <c r="I18" s="20">
        <f t="shared" si="15"/>
        <v>9.9958219269999997</v>
      </c>
      <c r="J18" s="20">
        <f>-J8</f>
        <v>-4.178073E-3</v>
      </c>
      <c r="K18" s="20">
        <f>-K8</f>
        <v>-4.178073E-3</v>
      </c>
      <c r="L18" s="20">
        <f>-L8</f>
        <v>-4.178073E-3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</row>
    <row r="19" spans="1:25">
      <c r="B19" t="s">
        <v>20</v>
      </c>
      <c r="C19" t="s">
        <v>8</v>
      </c>
      <c r="E19" s="20">
        <v>0</v>
      </c>
      <c r="F19" s="20">
        <v>20</v>
      </c>
      <c r="G19" s="20">
        <v>20</v>
      </c>
      <c r="H19" s="20">
        <v>20</v>
      </c>
      <c r="I19" s="20">
        <v>20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>
      <c r="B20" t="s">
        <v>22</v>
      </c>
      <c r="C20" t="s">
        <v>8</v>
      </c>
      <c r="E20" s="20">
        <v>0</v>
      </c>
      <c r="F20" s="20">
        <v>30</v>
      </c>
      <c r="G20" s="20">
        <v>30</v>
      </c>
      <c r="H20" s="20">
        <v>30</v>
      </c>
      <c r="I20" s="20">
        <v>30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</row>
    <row r="22" spans="1:25">
      <c r="A22" t="s">
        <v>139</v>
      </c>
    </row>
    <row r="23" spans="1:25">
      <c r="B23" t="s">
        <v>21</v>
      </c>
      <c r="C23" t="s">
        <v>8</v>
      </c>
      <c r="E23" s="4">
        <f t="shared" ref="E23:Y23" si="16">E18+E115</f>
        <v>0</v>
      </c>
      <c r="F23" s="4">
        <f t="shared" si="16"/>
        <v>10</v>
      </c>
      <c r="G23" s="4">
        <f t="shared" si="16"/>
        <v>10</v>
      </c>
      <c r="H23" s="4">
        <f t="shared" si="16"/>
        <v>10</v>
      </c>
      <c r="I23" s="4">
        <f t="shared" si="16"/>
        <v>10</v>
      </c>
      <c r="J23" s="4">
        <f t="shared" si="16"/>
        <v>0</v>
      </c>
      <c r="K23" s="4">
        <f t="shared" si="16"/>
        <v>0</v>
      </c>
      <c r="L23" s="4">
        <f t="shared" si="16"/>
        <v>0</v>
      </c>
      <c r="M23" s="29">
        <f t="shared" ref="M23" si="17">M18+M115</f>
        <v>2.5593798402227112E-19</v>
      </c>
      <c r="N23" s="4">
        <f t="shared" si="16"/>
        <v>4.178073E-3</v>
      </c>
      <c r="O23" s="4">
        <f t="shared" si="16"/>
        <v>2.9543437505924223E-3</v>
      </c>
      <c r="P23" s="4">
        <f t="shared" si="16"/>
        <v>2.9543437505924223E-3</v>
      </c>
      <c r="Q23" s="4">
        <f t="shared" si="16"/>
        <v>2.9543437505924223E-3</v>
      </c>
      <c r="R23" s="4">
        <f t="shared" ref="R23:T23" si="18">R18+R115</f>
        <v>2.9543437505924223E-3</v>
      </c>
      <c r="S23" s="4">
        <f t="shared" si="18"/>
        <v>2.9543437505924223E-3</v>
      </c>
      <c r="T23" s="4">
        <f t="shared" si="18"/>
        <v>2.9543437505924223E-3</v>
      </c>
      <c r="U23" s="4">
        <f t="shared" si="16"/>
        <v>2.9543437505924223E-3</v>
      </c>
      <c r="V23" s="29">
        <f t="shared" ref="V23" si="19">V18+V115</f>
        <v>2.5593798402227112E-19</v>
      </c>
      <c r="W23" s="4">
        <f t="shared" si="16"/>
        <v>4.178073E-3</v>
      </c>
      <c r="X23" s="29">
        <f t="shared" si="16"/>
        <v>1.4599391024820307E-19</v>
      </c>
      <c r="Y23" s="4">
        <f t="shared" si="16"/>
        <v>4.178073E-3</v>
      </c>
    </row>
    <row r="24" spans="1:25">
      <c r="B24" t="s">
        <v>20</v>
      </c>
      <c r="C24" t="s">
        <v>8</v>
      </c>
      <c r="E24" s="4">
        <f t="shared" ref="E24:Y24" si="20">E19+E116</f>
        <v>0</v>
      </c>
      <c r="F24" s="4">
        <f t="shared" si="20"/>
        <v>20</v>
      </c>
      <c r="G24" s="4">
        <f t="shared" si="20"/>
        <v>20</v>
      </c>
      <c r="H24" s="4">
        <f t="shared" si="20"/>
        <v>20</v>
      </c>
      <c r="I24" s="4">
        <f t="shared" si="20"/>
        <v>20</v>
      </c>
      <c r="J24" s="4">
        <f t="shared" si="20"/>
        <v>0</v>
      </c>
      <c r="K24" s="4">
        <f t="shared" si="20"/>
        <v>0</v>
      </c>
      <c r="L24" s="4">
        <f t="shared" si="20"/>
        <v>0</v>
      </c>
      <c r="M24" s="4">
        <f t="shared" ref="M24" si="21">M19+M116</f>
        <v>-4.178073E-3</v>
      </c>
      <c r="N24" s="4">
        <f t="shared" si="20"/>
        <v>0</v>
      </c>
      <c r="O24" s="4">
        <f t="shared" si="20"/>
        <v>-2.9543437505924219E-3</v>
      </c>
      <c r="P24" s="4">
        <f t="shared" si="20"/>
        <v>-2.9543437505924219E-3</v>
      </c>
      <c r="Q24" s="4">
        <f t="shared" si="20"/>
        <v>-2.9543437505924219E-3</v>
      </c>
      <c r="R24" s="4">
        <f t="shared" ref="R24:T24" si="22">R19+R116</f>
        <v>-2.9543437505924219E-3</v>
      </c>
      <c r="S24" s="4">
        <f t="shared" si="22"/>
        <v>-2.9543437505924219E-3</v>
      </c>
      <c r="T24" s="4">
        <f t="shared" si="22"/>
        <v>-2.9543437505924219E-3</v>
      </c>
      <c r="U24" s="4">
        <f t="shared" si="20"/>
        <v>-2.9543437505924219E-3</v>
      </c>
      <c r="V24" s="4">
        <f t="shared" ref="V24" si="23">V19+V116</f>
        <v>-4.178073E-3</v>
      </c>
      <c r="W24" s="4">
        <f t="shared" si="20"/>
        <v>0</v>
      </c>
      <c r="X24" s="4">
        <f t="shared" si="20"/>
        <v>-4.178073E-3</v>
      </c>
      <c r="Y24" s="4">
        <f t="shared" si="20"/>
        <v>0</v>
      </c>
    </row>
    <row r="25" spans="1:25">
      <c r="B25" t="s">
        <v>22</v>
      </c>
      <c r="C25" t="s">
        <v>8</v>
      </c>
      <c r="E25" s="4">
        <f t="shared" ref="E25:Y25" si="24">E20+E117</f>
        <v>0</v>
      </c>
      <c r="F25" s="4">
        <f t="shared" si="24"/>
        <v>30</v>
      </c>
      <c r="G25" s="4">
        <f t="shared" si="24"/>
        <v>30</v>
      </c>
      <c r="H25" s="4">
        <f t="shared" si="24"/>
        <v>30</v>
      </c>
      <c r="I25" s="4">
        <f t="shared" si="24"/>
        <v>30</v>
      </c>
      <c r="J25" s="4">
        <f t="shared" si="24"/>
        <v>0</v>
      </c>
      <c r="K25" s="4">
        <f t="shared" si="24"/>
        <v>0</v>
      </c>
      <c r="L25" s="4">
        <f t="shared" si="24"/>
        <v>0</v>
      </c>
      <c r="M25" s="29">
        <f t="shared" ref="M25" si="25">M20+M117</f>
        <v>0</v>
      </c>
      <c r="N25" s="4">
        <f t="shared" si="24"/>
        <v>0</v>
      </c>
      <c r="O25" s="4">
        <f t="shared" si="24"/>
        <v>0</v>
      </c>
      <c r="P25" s="4">
        <f t="shared" si="24"/>
        <v>0</v>
      </c>
      <c r="Q25" s="4">
        <f t="shared" si="24"/>
        <v>0</v>
      </c>
      <c r="R25" s="4">
        <f t="shared" ref="R25:T25" si="26">R20+R117</f>
        <v>0</v>
      </c>
      <c r="S25" s="4">
        <f t="shared" si="26"/>
        <v>0</v>
      </c>
      <c r="T25" s="4">
        <f t="shared" si="26"/>
        <v>0</v>
      </c>
      <c r="U25" s="4">
        <f t="shared" si="24"/>
        <v>0</v>
      </c>
      <c r="V25" s="29">
        <f t="shared" ref="V25" si="27">V20+V117</f>
        <v>0</v>
      </c>
      <c r="W25" s="4">
        <f t="shared" si="24"/>
        <v>0</v>
      </c>
      <c r="X25" s="29">
        <f t="shared" si="24"/>
        <v>2.1021424746154561E-19</v>
      </c>
      <c r="Y25" s="4">
        <f t="shared" si="24"/>
        <v>0</v>
      </c>
    </row>
    <row r="27" spans="1:25">
      <c r="A27" t="s">
        <v>138</v>
      </c>
    </row>
    <row r="28" spans="1:25">
      <c r="B28" t="s">
        <v>140</v>
      </c>
      <c r="C28" t="s">
        <v>8</v>
      </c>
      <c r="E28" s="4">
        <f>E23*E104+E24*E107+E25*E110</f>
        <v>0</v>
      </c>
      <c r="F28" s="4">
        <f t="shared" ref="F28:P28" si="28">F23*F104+F24*F107+F25*F110</f>
        <v>-30</v>
      </c>
      <c r="G28" s="4">
        <f t="shared" si="28"/>
        <v>-30</v>
      </c>
      <c r="H28" s="4">
        <f t="shared" si="28"/>
        <v>-30</v>
      </c>
      <c r="I28" s="4">
        <f t="shared" si="28"/>
        <v>-30</v>
      </c>
      <c r="J28" s="4">
        <f t="shared" si="28"/>
        <v>0</v>
      </c>
      <c r="K28" s="4">
        <f t="shared" si="28"/>
        <v>0</v>
      </c>
      <c r="L28" s="4">
        <f t="shared" si="28"/>
        <v>0</v>
      </c>
      <c r="M28" s="29">
        <f t="shared" si="28"/>
        <v>2.5593798402227112E-19</v>
      </c>
      <c r="N28" s="29">
        <f t="shared" ref="N28" si="29">N23*N104+N24*N107+N25*N110</f>
        <v>2.5593798402227112E-19</v>
      </c>
      <c r="O28" s="4">
        <f t="shared" si="28"/>
        <v>-3.8222739935863618E-3</v>
      </c>
      <c r="P28" s="4">
        <f t="shared" si="28"/>
        <v>-3.8222739935863618E-3</v>
      </c>
      <c r="Q28" s="30">
        <f t="shared" ref="Q28:U28" si="30">Q23*Q104+Q24*Q107+Q25*Q110</f>
        <v>-3.8222739935863618E-3</v>
      </c>
      <c r="R28" s="30">
        <f t="shared" ref="R28:T28" si="31">R23*R104+R24*R107+R25*R110</f>
        <v>-3.8222739935863618E-3</v>
      </c>
      <c r="S28" s="30">
        <f t="shared" si="31"/>
        <v>-3.8222739935863618E-3</v>
      </c>
      <c r="T28" s="30">
        <f t="shared" si="31"/>
        <v>-3.8222739935863618E-3</v>
      </c>
      <c r="U28" s="30">
        <f t="shared" si="30"/>
        <v>-3.8222739935863618E-3</v>
      </c>
      <c r="V28" s="30">
        <f t="shared" ref="V28:W28" si="32">V23*V104+V24*V107+V25*V110</f>
        <v>-2.9543426256617806E-3</v>
      </c>
      <c r="W28" s="30">
        <f t="shared" si="32"/>
        <v>-2.5593788656831692E-19</v>
      </c>
      <c r="X28" s="30">
        <f t="shared" ref="X28:Y28" si="33">X23*X104+X24*X107+X25*X110</f>
        <v>1.3602612297501107E-19</v>
      </c>
      <c r="Y28" s="30">
        <f t="shared" si="33"/>
        <v>2.5593798402227112E-19</v>
      </c>
    </row>
    <row r="29" spans="1:25">
      <c r="B29" t="s">
        <v>141</v>
      </c>
      <c r="C29" t="s">
        <v>8</v>
      </c>
      <c r="E29" s="4">
        <f>E105*E23+E108*E24+E111*E25</f>
        <v>0</v>
      </c>
      <c r="F29" s="4">
        <f t="shared" ref="F29:P29" si="34">F105*F23+F108*F24+F111*F25</f>
        <v>20</v>
      </c>
      <c r="G29" s="4">
        <f t="shared" si="34"/>
        <v>20</v>
      </c>
      <c r="H29" s="4">
        <f t="shared" si="34"/>
        <v>20</v>
      </c>
      <c r="I29" s="4">
        <f t="shared" si="34"/>
        <v>20</v>
      </c>
      <c r="J29" s="4">
        <f t="shared" si="34"/>
        <v>0</v>
      </c>
      <c r="K29" s="4">
        <f t="shared" si="34"/>
        <v>0</v>
      </c>
      <c r="L29" s="4">
        <f t="shared" si="34"/>
        <v>0</v>
      </c>
      <c r="M29" s="29">
        <f t="shared" si="34"/>
        <v>0</v>
      </c>
      <c r="N29" s="29">
        <f t="shared" ref="N29" si="35">N105*N23+N108*N24+N111*N25</f>
        <v>0</v>
      </c>
      <c r="O29" s="4">
        <f t="shared" si="34"/>
        <v>2.3805428694795073E-3</v>
      </c>
      <c r="P29" s="4">
        <f t="shared" si="34"/>
        <v>2.3805428694795073E-3</v>
      </c>
      <c r="Q29" s="30">
        <f t="shared" ref="Q29:U29" si="36">Q105*Q23+Q108*Q24+Q111*Q25</f>
        <v>2.3805428694795073E-3</v>
      </c>
      <c r="R29" s="30">
        <f t="shared" ref="R29:T29" si="37">R105*R23+R108*R24+R111*R25</f>
        <v>2.3805428694795073E-3</v>
      </c>
      <c r="S29" s="30">
        <f t="shared" si="37"/>
        <v>2.3805428694795073E-3</v>
      </c>
      <c r="T29" s="30">
        <f t="shared" si="37"/>
        <v>2.3805428694795073E-3</v>
      </c>
      <c r="U29" s="30">
        <f t="shared" si="36"/>
        <v>2.3805428694795073E-3</v>
      </c>
      <c r="V29" s="30">
        <f t="shared" ref="V29:W29" si="38">V105*V23+V108*V24+V111*V25</f>
        <v>2.9543426256617802E-3</v>
      </c>
      <c r="W29" s="30">
        <f t="shared" si="38"/>
        <v>-2.2334799675707415E-22</v>
      </c>
      <c r="X29" s="30">
        <f t="shared" ref="X29:Y29" si="39">X105*X23+X108*X24+X111*X25</f>
        <v>0</v>
      </c>
      <c r="Y29" s="30">
        <f t="shared" si="39"/>
        <v>0</v>
      </c>
    </row>
    <row r="30" spans="1:25">
      <c r="B30" t="s">
        <v>142</v>
      </c>
      <c r="C30" t="s">
        <v>8</v>
      </c>
      <c r="E30" s="4">
        <f>E106*E23+E109*E24+E112*E25</f>
        <v>0</v>
      </c>
      <c r="F30" s="4">
        <f t="shared" ref="F30:P30" si="40">F106*F23+F109*F24+F112*F25</f>
        <v>10.000000000000002</v>
      </c>
      <c r="G30" s="4">
        <f t="shared" si="40"/>
        <v>10.000000000000002</v>
      </c>
      <c r="H30" s="4">
        <f t="shared" si="40"/>
        <v>10.000000000000002</v>
      </c>
      <c r="I30" s="4">
        <f t="shared" si="40"/>
        <v>10.000000000000002</v>
      </c>
      <c r="J30" s="4">
        <f t="shared" si="40"/>
        <v>0</v>
      </c>
      <c r="K30" s="4">
        <f t="shared" si="40"/>
        <v>0</v>
      </c>
      <c r="L30" s="4">
        <f t="shared" si="40"/>
        <v>0</v>
      </c>
      <c r="M30" s="29">
        <f t="shared" si="40"/>
        <v>4.178073E-3</v>
      </c>
      <c r="N30" s="29">
        <f t="shared" ref="N30" si="41">N106*N23+N109*N24+N112*N25</f>
        <v>4.178073E-3</v>
      </c>
      <c r="O30" s="4">
        <f t="shared" si="40"/>
        <v>3.3793103506337078E-3</v>
      </c>
      <c r="P30" s="4">
        <f t="shared" si="40"/>
        <v>3.3793103506337078E-3</v>
      </c>
      <c r="Q30" s="30">
        <f t="shared" ref="Q30:U30" si="42">Q106*Q23+Q109*Q24+Q112*Q25</f>
        <v>3.3793103506337078E-3</v>
      </c>
      <c r="R30" s="30">
        <f t="shared" ref="R30:T30" si="43">R106*R23+R109*R24+R112*R25</f>
        <v>3.3793103506337078E-3</v>
      </c>
      <c r="S30" s="30">
        <f t="shared" si="43"/>
        <v>3.3793103506337078E-3</v>
      </c>
      <c r="T30" s="30">
        <f t="shared" si="43"/>
        <v>3.3793103506337078E-3</v>
      </c>
      <c r="U30" s="30">
        <f t="shared" si="42"/>
        <v>3.3793103506337078E-3</v>
      </c>
      <c r="V30" s="30">
        <f t="shared" ref="V30:W30" si="44">V106*V23+V109*V24+V112*V25</f>
        <v>3.6460560491623519E-6</v>
      </c>
      <c r="W30" s="30">
        <f t="shared" si="44"/>
        <v>4.178073E-3</v>
      </c>
      <c r="X30" s="30">
        <f t="shared" ref="X30:Y30" si="45">X106*X23+X109*X24+X112*X25</f>
        <v>4.178073E-3</v>
      </c>
      <c r="Y30" s="30">
        <f t="shared" si="45"/>
        <v>4.178073E-3</v>
      </c>
    </row>
    <row r="32" spans="1:25">
      <c r="A32" t="s">
        <v>4</v>
      </c>
    </row>
    <row r="33" spans="1:25">
      <c r="B33" t="s">
        <v>2</v>
      </c>
      <c r="C33" t="s">
        <v>7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f>36+1/60+9/3600</f>
        <v>36.019166666666663</v>
      </c>
      <c r="P33" s="20">
        <f t="shared" ref="P33:U33" si="46">36+1/60+9/3600</f>
        <v>36.019166666666663</v>
      </c>
      <c r="Q33" s="20">
        <f t="shared" si="46"/>
        <v>36.019166666666663</v>
      </c>
      <c r="R33" s="20">
        <f t="shared" si="46"/>
        <v>36.019166666666663</v>
      </c>
      <c r="S33" s="20">
        <f t="shared" si="46"/>
        <v>36.019166666666663</v>
      </c>
      <c r="T33" s="20">
        <f t="shared" si="46"/>
        <v>36.019166666666663</v>
      </c>
      <c r="U33" s="20">
        <f t="shared" si="46"/>
        <v>36.019166666666663</v>
      </c>
      <c r="V33" s="20">
        <v>89.95</v>
      </c>
      <c r="W33" s="20">
        <v>0</v>
      </c>
      <c r="X33" s="20">
        <v>0</v>
      </c>
      <c r="Y33" s="20">
        <v>0</v>
      </c>
    </row>
    <row r="34" spans="1:25">
      <c r="B34" t="s">
        <v>18</v>
      </c>
      <c r="C34" t="s">
        <v>7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f>-(75+40/60+28/3600)</f>
        <v>-75.674444444444447</v>
      </c>
      <c r="P34" s="20">
        <f t="shared" ref="P34:U34" si="47">-(75+40/60+28/3600)</f>
        <v>-75.674444444444447</v>
      </c>
      <c r="Q34" s="20">
        <f t="shared" si="47"/>
        <v>-75.674444444444447</v>
      </c>
      <c r="R34" s="20">
        <f t="shared" si="47"/>
        <v>-75.674444444444447</v>
      </c>
      <c r="S34" s="20">
        <f t="shared" si="47"/>
        <v>-75.674444444444447</v>
      </c>
      <c r="T34" s="20">
        <f t="shared" si="47"/>
        <v>-75.674444444444447</v>
      </c>
      <c r="U34" s="20">
        <f t="shared" si="47"/>
        <v>-75.674444444444447</v>
      </c>
      <c r="V34" s="20">
        <v>-45</v>
      </c>
      <c r="W34" s="20">
        <v>-179.95</v>
      </c>
      <c r="X34" s="20">
        <v>0</v>
      </c>
      <c r="Y34" s="20">
        <v>0</v>
      </c>
    </row>
    <row r="35" spans="1:25">
      <c r="B35" t="s">
        <v>19</v>
      </c>
      <c r="C35" t="s">
        <v>9</v>
      </c>
      <c r="E35" s="20">
        <v>30000</v>
      </c>
      <c r="F35" s="20">
        <v>0</v>
      </c>
      <c r="G35" s="20">
        <v>0</v>
      </c>
      <c r="H35" s="20">
        <v>30000</v>
      </c>
      <c r="I35" s="20">
        <v>30000</v>
      </c>
      <c r="J35" s="20">
        <v>30000</v>
      </c>
      <c r="K35" s="20">
        <v>30000</v>
      </c>
      <c r="L35" s="20">
        <v>30000</v>
      </c>
      <c r="M35" s="20">
        <v>0</v>
      </c>
      <c r="N35" s="20">
        <v>0</v>
      </c>
      <c r="O35" s="20">
        <v>10013</v>
      </c>
      <c r="P35" s="20">
        <v>30013</v>
      </c>
      <c r="Q35" s="20">
        <v>10013</v>
      </c>
      <c r="R35" s="20">
        <v>10013</v>
      </c>
      <c r="S35" s="20">
        <v>10013</v>
      </c>
      <c r="T35" s="20">
        <v>10013</v>
      </c>
      <c r="U35" s="20">
        <v>30013</v>
      </c>
      <c r="V35" s="20">
        <v>10000</v>
      </c>
      <c r="W35" s="20">
        <v>10000</v>
      </c>
      <c r="X35" s="20">
        <v>0</v>
      </c>
      <c r="Y35" s="20">
        <v>30000</v>
      </c>
    </row>
    <row r="36" spans="1:25">
      <c r="B36" t="s">
        <v>15</v>
      </c>
      <c r="C36" t="s">
        <v>10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1000</v>
      </c>
      <c r="O36" s="20">
        <v>400</v>
      </c>
      <c r="P36" s="20">
        <f>2000/SQRT(2)</f>
        <v>1414.2135623730949</v>
      </c>
      <c r="Q36" s="20">
        <v>400</v>
      </c>
      <c r="R36" s="20">
        <v>400</v>
      </c>
      <c r="S36" s="20">
        <v>400</v>
      </c>
      <c r="T36" s="20">
        <v>400</v>
      </c>
      <c r="U36" s="20">
        <f>2000/SQRT(2)</f>
        <v>1414.2135623730949</v>
      </c>
      <c r="V36" s="20">
        <v>0</v>
      </c>
      <c r="W36" s="20">
        <v>563.64300000000003</v>
      </c>
      <c r="X36" s="20">
        <v>0</v>
      </c>
      <c r="Y36" s="20">
        <v>0</v>
      </c>
    </row>
    <row r="37" spans="1:25">
      <c r="B37" t="s">
        <v>16</v>
      </c>
      <c r="C37" t="s">
        <v>10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1000</v>
      </c>
      <c r="N37" s="20">
        <v>0</v>
      </c>
      <c r="O37" s="20">
        <v>400</v>
      </c>
      <c r="P37" s="20">
        <f>P36</f>
        <v>1414.2135623730949</v>
      </c>
      <c r="Q37" s="20">
        <v>400</v>
      </c>
      <c r="R37" s="20">
        <v>400</v>
      </c>
      <c r="S37" s="20">
        <v>400</v>
      </c>
      <c r="T37" s="20">
        <v>400</v>
      </c>
      <c r="U37" s="20">
        <f>U36</f>
        <v>1414.2135623730949</v>
      </c>
      <c r="V37" s="20">
        <v>563.64300000000003</v>
      </c>
      <c r="W37" s="20">
        <v>0</v>
      </c>
      <c r="X37" s="20">
        <v>0</v>
      </c>
      <c r="Y37" s="20">
        <v>0</v>
      </c>
    </row>
    <row r="38" spans="1:25">
      <c r="B38" t="s">
        <v>17</v>
      </c>
      <c r="C38" t="s">
        <v>10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-1000</v>
      </c>
      <c r="N38" s="20">
        <v>-1000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f>-0.1/0.3048</f>
        <v>-0.32808398950131235</v>
      </c>
      <c r="Y38" s="20">
        <v>0</v>
      </c>
    </row>
    <row r="39" spans="1:25">
      <c r="B39" t="s">
        <v>11</v>
      </c>
      <c r="C39" t="s">
        <v>7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55.22</v>
      </c>
      <c r="Y39" s="20">
        <v>0</v>
      </c>
    </row>
    <row r="40" spans="1:25">
      <c r="B40" t="s">
        <v>12</v>
      </c>
      <c r="C40" t="s">
        <v>7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</row>
    <row r="41" spans="1:25">
      <c r="B41" t="s">
        <v>13</v>
      </c>
      <c r="C41" t="s">
        <v>7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90</v>
      </c>
      <c r="N41" s="20">
        <v>0</v>
      </c>
      <c r="O41" s="20">
        <v>45</v>
      </c>
      <c r="P41" s="20">
        <v>45</v>
      </c>
      <c r="Q41" s="20">
        <v>45</v>
      </c>
      <c r="R41" s="20">
        <v>45</v>
      </c>
      <c r="S41" s="20">
        <v>45</v>
      </c>
      <c r="T41" s="20">
        <v>45</v>
      </c>
      <c r="U41" s="20">
        <v>45</v>
      </c>
      <c r="V41" s="20">
        <v>90</v>
      </c>
      <c r="W41" s="20">
        <v>0</v>
      </c>
      <c r="X41" s="20">
        <v>90</v>
      </c>
      <c r="Y41" s="20">
        <v>0</v>
      </c>
    </row>
    <row r="43" spans="1:25">
      <c r="A43" t="s">
        <v>3</v>
      </c>
    </row>
    <row r="44" spans="1:25">
      <c r="B44" t="s">
        <v>87</v>
      </c>
      <c r="C44" t="s">
        <v>9</v>
      </c>
      <c r="E44" s="4">
        <f>SQRT(E122*E122+E123*E123)</f>
        <v>20955646.995080002</v>
      </c>
      <c r="F44" s="4">
        <f t="shared" ref="F44:X44" si="48">SQRT(F122*F122+F123*F123)</f>
        <v>20925646.995080002</v>
      </c>
      <c r="G44" s="4">
        <f t="shared" si="48"/>
        <v>20925646.995080002</v>
      </c>
      <c r="H44" s="4">
        <f t="shared" si="48"/>
        <v>20955646.995080002</v>
      </c>
      <c r="I44" s="4">
        <f t="shared" si="48"/>
        <v>20955646.995080002</v>
      </c>
      <c r="J44" s="4">
        <f t="shared" si="48"/>
        <v>20955646.995080002</v>
      </c>
      <c r="K44" s="4">
        <f t="shared" si="48"/>
        <v>20955646.995080002</v>
      </c>
      <c r="L44" s="4">
        <f t="shared" si="48"/>
        <v>20955646.995080002</v>
      </c>
      <c r="M44" s="4">
        <f t="shared" si="48"/>
        <v>20925646.995080002</v>
      </c>
      <c r="N44" s="4">
        <f t="shared" si="48"/>
        <v>20925646.995080002</v>
      </c>
      <c r="O44" s="4">
        <f t="shared" si="48"/>
        <v>16952811.978363294</v>
      </c>
      <c r="P44" s="4">
        <f t="shared" si="48"/>
        <v>16968988.384810157</v>
      </c>
      <c r="Q44" s="4">
        <f t="shared" si="48"/>
        <v>16952811.978363294</v>
      </c>
      <c r="R44" s="4">
        <f t="shared" ref="R44:T44" si="49">SQRT(R122*R122+R123*R123)</f>
        <v>16952811.978363294</v>
      </c>
      <c r="S44" s="4">
        <f t="shared" si="49"/>
        <v>16952811.978363294</v>
      </c>
      <c r="T44" s="4">
        <f t="shared" si="49"/>
        <v>16952811.978363294</v>
      </c>
      <c r="U44" s="4">
        <f t="shared" si="48"/>
        <v>16968988.384810157</v>
      </c>
      <c r="V44" s="4">
        <f t="shared" si="48"/>
        <v>18331.228067407508</v>
      </c>
      <c r="W44" s="4">
        <f t="shared" si="48"/>
        <v>20935646.995080002</v>
      </c>
      <c r="X44" s="4">
        <f t="shared" si="48"/>
        <v>20925646.995080002</v>
      </c>
      <c r="Y44" s="4">
        <f t="shared" ref="Y44" si="50">SQRT(Y122*Y122+Y123*Y123)</f>
        <v>20955646.995080002</v>
      </c>
    </row>
    <row r="45" spans="1:25">
      <c r="B45" t="s">
        <v>110</v>
      </c>
      <c r="C45" t="s">
        <v>7</v>
      </c>
      <c r="E45" s="4">
        <f>ATAN2(E44,E124)*180/PI()</f>
        <v>0</v>
      </c>
      <c r="F45" s="4">
        <f t="shared" ref="F45:Y45" si="51">ATAN2(F44,F124)*180/PI()</f>
        <v>0</v>
      </c>
      <c r="G45" s="4">
        <f t="shared" si="51"/>
        <v>0</v>
      </c>
      <c r="H45" s="4">
        <f t="shared" si="51"/>
        <v>0</v>
      </c>
      <c r="I45" s="4">
        <f t="shared" si="51"/>
        <v>0</v>
      </c>
      <c r="J45" s="4">
        <f t="shared" si="51"/>
        <v>0</v>
      </c>
      <c r="K45" s="4">
        <f t="shared" si="51"/>
        <v>0</v>
      </c>
      <c r="L45" s="4">
        <f t="shared" si="51"/>
        <v>0</v>
      </c>
      <c r="M45" s="4">
        <f t="shared" si="51"/>
        <v>0</v>
      </c>
      <c r="N45" s="4">
        <f t="shared" si="51"/>
        <v>0</v>
      </c>
      <c r="O45" s="4">
        <f t="shared" si="51"/>
        <v>35.836398440069324</v>
      </c>
      <c r="P45" s="4">
        <f t="shared" si="51"/>
        <v>35.836573074133661</v>
      </c>
      <c r="Q45" s="4">
        <f t="shared" si="51"/>
        <v>35.836398440069324</v>
      </c>
      <c r="R45" s="4">
        <f t="shared" ref="R45:T45" si="52">ATAN2(R44,R124)*180/PI()</f>
        <v>35.836398440069324</v>
      </c>
      <c r="S45" s="4">
        <f t="shared" si="52"/>
        <v>35.836398440069324</v>
      </c>
      <c r="T45" s="4">
        <f t="shared" si="52"/>
        <v>35.836398440069324</v>
      </c>
      <c r="U45" s="4">
        <f t="shared" si="51"/>
        <v>35.836573074133661</v>
      </c>
      <c r="V45" s="4">
        <f t="shared" si="51"/>
        <v>89.949663186834286</v>
      </c>
      <c r="W45" s="4">
        <f t="shared" si="51"/>
        <v>0</v>
      </c>
      <c r="X45" s="4">
        <f t="shared" si="51"/>
        <v>0</v>
      </c>
      <c r="Y45" s="4">
        <f t="shared" si="51"/>
        <v>0</v>
      </c>
    </row>
    <row r="46" spans="1:25">
      <c r="B46" t="s">
        <v>109</v>
      </c>
      <c r="C46" t="s">
        <v>7</v>
      </c>
      <c r="E46" s="4">
        <f>E34+E15</f>
        <v>0</v>
      </c>
      <c r="F46" s="4">
        <f t="shared" ref="F46:X46" si="53">F34+F15</f>
        <v>0</v>
      </c>
      <c r="G46" s="4">
        <f t="shared" si="53"/>
        <v>0</v>
      </c>
      <c r="H46" s="4">
        <f t="shared" si="53"/>
        <v>0</v>
      </c>
      <c r="I46" s="4">
        <f t="shared" si="53"/>
        <v>0</v>
      </c>
      <c r="J46" s="4">
        <f t="shared" si="53"/>
        <v>0</v>
      </c>
      <c r="K46" s="4">
        <f t="shared" si="53"/>
        <v>0</v>
      </c>
      <c r="L46" s="4">
        <f t="shared" si="53"/>
        <v>0</v>
      </c>
      <c r="M46" s="4">
        <f t="shared" si="53"/>
        <v>0</v>
      </c>
      <c r="N46" s="4">
        <f t="shared" si="53"/>
        <v>0</v>
      </c>
      <c r="O46" s="4">
        <f t="shared" si="53"/>
        <v>-75.674444444444447</v>
      </c>
      <c r="P46" s="4">
        <f t="shared" si="53"/>
        <v>-75.674444444444447</v>
      </c>
      <c r="Q46" s="4">
        <f t="shared" si="53"/>
        <v>-75.674444444444447</v>
      </c>
      <c r="R46" s="4">
        <f t="shared" ref="R46:T46" si="54">R34+R15</f>
        <v>-75.674444444444447</v>
      </c>
      <c r="S46" s="4">
        <f t="shared" si="54"/>
        <v>-75.674444444444447</v>
      </c>
      <c r="T46" s="4">
        <f t="shared" si="54"/>
        <v>-75.674444444444447</v>
      </c>
      <c r="U46" s="4">
        <f t="shared" si="53"/>
        <v>-75.674444444444447</v>
      </c>
      <c r="V46" s="4">
        <f t="shared" si="53"/>
        <v>-45</v>
      </c>
      <c r="W46" s="4">
        <f t="shared" si="53"/>
        <v>-179.95</v>
      </c>
      <c r="X46" s="4">
        <f t="shared" si="53"/>
        <v>0</v>
      </c>
      <c r="Y46" s="4">
        <f t="shared" ref="Y46" si="55">Y34+Y15</f>
        <v>0</v>
      </c>
    </row>
    <row r="47" spans="1:25">
      <c r="B47" t="s">
        <v>36</v>
      </c>
      <c r="C47" t="s">
        <v>9</v>
      </c>
      <c r="E47" s="4">
        <f t="shared" ref="E47:Y47" si="56">SQRT(E5^2/(1+(1/(1-f)^2-1)*SIN(E45*PI()/180)^2))</f>
        <v>20925646.995080002</v>
      </c>
      <c r="F47" s="4">
        <f t="shared" si="56"/>
        <v>20925646.995080002</v>
      </c>
      <c r="G47" s="4">
        <f t="shared" si="56"/>
        <v>20925646.995080002</v>
      </c>
      <c r="H47" s="4">
        <f t="shared" si="56"/>
        <v>20902255.199000001</v>
      </c>
      <c r="I47" s="4">
        <f t="shared" si="56"/>
        <v>20902255.199000001</v>
      </c>
      <c r="J47" s="4">
        <f t="shared" si="56"/>
        <v>20925646.995080002</v>
      </c>
      <c r="K47" s="4">
        <f t="shared" si="56"/>
        <v>20925646.995080002</v>
      </c>
      <c r="L47" s="4">
        <f t="shared" si="56"/>
        <v>20925646.995080002</v>
      </c>
      <c r="M47" s="4">
        <f t="shared" si="56"/>
        <v>20925646.995080002</v>
      </c>
      <c r="N47" s="4">
        <f t="shared" si="56"/>
        <v>20925646.995080002</v>
      </c>
      <c r="O47" s="4">
        <f t="shared" si="56"/>
        <v>20901518.060331363</v>
      </c>
      <c r="P47" s="4">
        <f t="shared" si="56"/>
        <v>20901517.857014887</v>
      </c>
      <c r="Q47" s="4">
        <f t="shared" si="56"/>
        <v>20901518.060331363</v>
      </c>
      <c r="R47" s="4">
        <f t="shared" ref="R47:T47" si="57">SQRT(R5^2/(1+(1/(1-f)^2-1)*SIN(R45*PI()/180)^2))</f>
        <v>20901518.060331363</v>
      </c>
      <c r="S47" s="4">
        <f t="shared" si="57"/>
        <v>20901518.060331363</v>
      </c>
      <c r="T47" s="4">
        <f t="shared" si="57"/>
        <v>20901518.060331363</v>
      </c>
      <c r="U47" s="4">
        <f t="shared" si="56"/>
        <v>20901517.857014887</v>
      </c>
      <c r="V47" s="4">
        <f t="shared" si="56"/>
        <v>20855487.316548053</v>
      </c>
      <c r="W47" s="4">
        <f t="shared" si="56"/>
        <v>20925646.995080002</v>
      </c>
      <c r="X47" s="4">
        <f t="shared" si="56"/>
        <v>20925646.995080002</v>
      </c>
      <c r="Y47" s="4">
        <f t="shared" si="56"/>
        <v>20925646.995080002</v>
      </c>
    </row>
    <row r="48" spans="1:25">
      <c r="B48" t="s">
        <v>37</v>
      </c>
      <c r="C48" t="s">
        <v>9</v>
      </c>
      <c r="E48" s="4">
        <f>E47+E35</f>
        <v>20955646.995080002</v>
      </c>
      <c r="F48" s="4">
        <f t="shared" ref="F48:Y48" si="58">F47+F35</f>
        <v>20925646.995080002</v>
      </c>
      <c r="G48" s="4">
        <f t="shared" si="58"/>
        <v>20925646.995080002</v>
      </c>
      <c r="H48" s="4">
        <f t="shared" si="58"/>
        <v>20932255.199000001</v>
      </c>
      <c r="I48" s="4">
        <f t="shared" si="58"/>
        <v>20932255.199000001</v>
      </c>
      <c r="J48" s="4">
        <f t="shared" si="58"/>
        <v>20955646.995080002</v>
      </c>
      <c r="K48" s="4">
        <f t="shared" si="58"/>
        <v>20955646.995080002</v>
      </c>
      <c r="L48" s="4">
        <f t="shared" si="58"/>
        <v>20955646.995080002</v>
      </c>
      <c r="M48" s="4">
        <f t="shared" si="58"/>
        <v>20925646.995080002</v>
      </c>
      <c r="N48" s="4">
        <f t="shared" si="58"/>
        <v>20925646.995080002</v>
      </c>
      <c r="O48" s="4">
        <f t="shared" si="58"/>
        <v>20911531.060331363</v>
      </c>
      <c r="P48" s="4">
        <f t="shared" si="58"/>
        <v>20931530.857014887</v>
      </c>
      <c r="Q48" s="4">
        <f t="shared" si="58"/>
        <v>20911531.060331363</v>
      </c>
      <c r="R48" s="4">
        <f t="shared" ref="R48:T48" si="59">R47+R35</f>
        <v>20911531.060331363</v>
      </c>
      <c r="S48" s="4">
        <f t="shared" si="59"/>
        <v>20911531.060331363</v>
      </c>
      <c r="T48" s="4">
        <f t="shared" si="59"/>
        <v>20911531.060331363</v>
      </c>
      <c r="U48" s="4">
        <f t="shared" si="58"/>
        <v>20931530.857014887</v>
      </c>
      <c r="V48" s="4">
        <f t="shared" si="58"/>
        <v>20865487.316548053</v>
      </c>
      <c r="W48" s="4">
        <f t="shared" si="58"/>
        <v>20935646.995080002</v>
      </c>
      <c r="X48" s="4">
        <f t="shared" si="58"/>
        <v>20925646.995080002</v>
      </c>
      <c r="Y48" s="4">
        <f t="shared" si="58"/>
        <v>20955646.995080002</v>
      </c>
    </row>
    <row r="49" spans="1:25">
      <c r="B49" t="s">
        <v>15</v>
      </c>
      <c r="C49" t="s">
        <v>10</v>
      </c>
      <c r="E49" s="4">
        <f>E36</f>
        <v>0</v>
      </c>
      <c r="F49" s="4">
        <f t="shared" ref="F49:X49" si="60">F36</f>
        <v>0</v>
      </c>
      <c r="G49" s="4">
        <f t="shared" si="60"/>
        <v>0</v>
      </c>
      <c r="H49" s="4">
        <f t="shared" si="60"/>
        <v>0</v>
      </c>
      <c r="I49" s="4">
        <f t="shared" si="60"/>
        <v>0</v>
      </c>
      <c r="J49" s="4">
        <f t="shared" si="60"/>
        <v>0</v>
      </c>
      <c r="K49" s="4">
        <f t="shared" si="60"/>
        <v>0</v>
      </c>
      <c r="L49" s="4">
        <f t="shared" si="60"/>
        <v>0</v>
      </c>
      <c r="M49" s="4">
        <f t="shared" si="60"/>
        <v>0</v>
      </c>
      <c r="N49" s="4">
        <f t="shared" si="60"/>
        <v>1000</v>
      </c>
      <c r="O49" s="4">
        <f t="shared" si="60"/>
        <v>400</v>
      </c>
      <c r="P49" s="4">
        <f t="shared" si="60"/>
        <v>1414.2135623730949</v>
      </c>
      <c r="Q49" s="4">
        <f t="shared" si="60"/>
        <v>400</v>
      </c>
      <c r="R49" s="4">
        <f t="shared" ref="R49:T49" si="61">R36</f>
        <v>400</v>
      </c>
      <c r="S49" s="4">
        <f t="shared" si="61"/>
        <v>400</v>
      </c>
      <c r="T49" s="4">
        <f t="shared" si="61"/>
        <v>400</v>
      </c>
      <c r="U49" s="4">
        <f t="shared" si="60"/>
        <v>1414.2135623730949</v>
      </c>
      <c r="V49" s="4">
        <f t="shared" si="60"/>
        <v>0</v>
      </c>
      <c r="W49" s="4">
        <f t="shared" si="60"/>
        <v>563.64300000000003</v>
      </c>
      <c r="X49" s="4">
        <f t="shared" si="60"/>
        <v>0</v>
      </c>
      <c r="Y49" s="4">
        <f t="shared" ref="Y49" si="62">Y36</f>
        <v>0</v>
      </c>
    </row>
    <row r="50" spans="1:25">
      <c r="B50" t="s">
        <v>122</v>
      </c>
      <c r="C50" t="s">
        <v>10</v>
      </c>
      <c r="E50" s="4">
        <f t="shared" ref="E50:Y50" si="63">E37+omega*PI()/180*SQRT(E122*E122+E123*E123)</f>
        <v>1528.1094637639699</v>
      </c>
      <c r="F50" s="4">
        <f t="shared" si="63"/>
        <v>1525.9218298568096</v>
      </c>
      <c r="G50" s="4">
        <f t="shared" si="63"/>
        <v>1525.9218298568096</v>
      </c>
      <c r="H50" s="4">
        <f t="shared" si="63"/>
        <v>1528.1094637639699</v>
      </c>
      <c r="I50" s="4">
        <f t="shared" si="63"/>
        <v>1528.1094637639699</v>
      </c>
      <c r="J50" s="4">
        <f t="shared" si="63"/>
        <v>1528.1094637639699</v>
      </c>
      <c r="K50" s="4">
        <f t="shared" si="63"/>
        <v>1528.1094637639699</v>
      </c>
      <c r="L50" s="4">
        <f t="shared" si="63"/>
        <v>1528.1094637639699</v>
      </c>
      <c r="M50" s="4">
        <f t="shared" si="63"/>
        <v>2525.9218298568094</v>
      </c>
      <c r="N50" s="4">
        <f t="shared" si="63"/>
        <v>1525.9218298568096</v>
      </c>
      <c r="O50" s="4">
        <f t="shared" si="63"/>
        <v>1636.218210186034</v>
      </c>
      <c r="P50" s="4">
        <f t="shared" si="63"/>
        <v>2651.6113744004342</v>
      </c>
      <c r="Q50" s="4">
        <f t="shared" si="63"/>
        <v>1636.218210186034</v>
      </c>
      <c r="R50" s="4">
        <f t="shared" ref="R50:T50" si="64">R37+omega*PI()/180*SQRT(R122*R122+R123*R123)</f>
        <v>1636.218210186034</v>
      </c>
      <c r="S50" s="4">
        <f t="shared" si="64"/>
        <v>1636.218210186034</v>
      </c>
      <c r="T50" s="4">
        <f t="shared" si="64"/>
        <v>1636.218210186034</v>
      </c>
      <c r="U50" s="4">
        <f t="shared" si="63"/>
        <v>2651.6113744004342</v>
      </c>
      <c r="V50" s="4">
        <f t="shared" si="63"/>
        <v>564.97973386933836</v>
      </c>
      <c r="W50" s="4">
        <f t="shared" si="63"/>
        <v>1526.6510411591964</v>
      </c>
      <c r="X50" s="4">
        <f t="shared" si="63"/>
        <v>1525.9218298568096</v>
      </c>
      <c r="Y50" s="4">
        <f t="shared" si="63"/>
        <v>1528.1094637639699</v>
      </c>
    </row>
    <row r="51" spans="1:25">
      <c r="B51" t="s">
        <v>17</v>
      </c>
      <c r="C51" t="s">
        <v>10</v>
      </c>
      <c r="E51" s="4">
        <f>E38</f>
        <v>0</v>
      </c>
      <c r="F51" s="4">
        <f t="shared" ref="F51:X51" si="65">F38</f>
        <v>0</v>
      </c>
      <c r="G51" s="4">
        <f t="shared" si="65"/>
        <v>0</v>
      </c>
      <c r="H51" s="4">
        <f t="shared" si="65"/>
        <v>0</v>
      </c>
      <c r="I51" s="4">
        <f t="shared" si="65"/>
        <v>0</v>
      </c>
      <c r="J51" s="4">
        <f t="shared" si="65"/>
        <v>0</v>
      </c>
      <c r="K51" s="4">
        <f t="shared" si="65"/>
        <v>0</v>
      </c>
      <c r="L51" s="4">
        <f t="shared" si="65"/>
        <v>0</v>
      </c>
      <c r="M51" s="4">
        <f t="shared" si="65"/>
        <v>-1000</v>
      </c>
      <c r="N51" s="4">
        <f t="shared" si="65"/>
        <v>-1000</v>
      </c>
      <c r="O51" s="4">
        <f t="shared" si="65"/>
        <v>0</v>
      </c>
      <c r="P51" s="4">
        <f t="shared" si="65"/>
        <v>0</v>
      </c>
      <c r="Q51" s="4">
        <f t="shared" si="65"/>
        <v>0</v>
      </c>
      <c r="R51" s="4">
        <f t="shared" ref="R51:T51" si="66">R38</f>
        <v>0</v>
      </c>
      <c r="S51" s="4">
        <f t="shared" si="66"/>
        <v>0</v>
      </c>
      <c r="T51" s="4">
        <f t="shared" si="66"/>
        <v>0</v>
      </c>
      <c r="U51" s="4">
        <f t="shared" si="65"/>
        <v>0</v>
      </c>
      <c r="V51" s="4">
        <f t="shared" si="65"/>
        <v>0</v>
      </c>
      <c r="W51" s="4">
        <f t="shared" si="65"/>
        <v>0</v>
      </c>
      <c r="X51" s="4">
        <f t="shared" si="65"/>
        <v>-0.32808398950131235</v>
      </c>
      <c r="Y51" s="4">
        <f t="shared" ref="Y51" si="67">Y38</f>
        <v>0</v>
      </c>
    </row>
    <row r="53" spans="1:25">
      <c r="A53" t="s">
        <v>63</v>
      </c>
    </row>
    <row r="54" spans="1:25">
      <c r="B54" t="s">
        <v>64</v>
      </c>
      <c r="E54" s="4">
        <f>SIN(E39*PI()/180)</f>
        <v>0</v>
      </c>
      <c r="F54" s="4">
        <f t="shared" ref="F54:X54" si="68">SIN(F39*PI()/180)</f>
        <v>0</v>
      </c>
      <c r="G54" s="4">
        <f t="shared" si="68"/>
        <v>0</v>
      </c>
      <c r="H54" s="4">
        <f t="shared" si="68"/>
        <v>0</v>
      </c>
      <c r="I54" s="4">
        <f t="shared" si="68"/>
        <v>0</v>
      </c>
      <c r="J54" s="4">
        <f t="shared" si="68"/>
        <v>0</v>
      </c>
      <c r="K54" s="4">
        <f t="shared" si="68"/>
        <v>0</v>
      </c>
      <c r="L54" s="4">
        <f t="shared" si="68"/>
        <v>0</v>
      </c>
      <c r="M54" s="4">
        <f t="shared" si="68"/>
        <v>0</v>
      </c>
      <c r="N54" s="4">
        <f t="shared" si="68"/>
        <v>0</v>
      </c>
      <c r="O54" s="4">
        <f t="shared" si="68"/>
        <v>0</v>
      </c>
      <c r="P54" s="4">
        <f t="shared" si="68"/>
        <v>0</v>
      </c>
      <c r="Q54" s="4">
        <f t="shared" si="68"/>
        <v>0</v>
      </c>
      <c r="R54" s="4">
        <f t="shared" ref="R54:T54" si="69">SIN(R39*PI()/180)</f>
        <v>0</v>
      </c>
      <c r="S54" s="4">
        <f t="shared" si="69"/>
        <v>0</v>
      </c>
      <c r="T54" s="4">
        <f t="shared" si="69"/>
        <v>0</v>
      </c>
      <c r="U54" s="4">
        <f t="shared" si="68"/>
        <v>0</v>
      </c>
      <c r="V54" s="4">
        <f t="shared" si="68"/>
        <v>0</v>
      </c>
      <c r="W54" s="4">
        <f t="shared" si="68"/>
        <v>0</v>
      </c>
      <c r="X54" s="4">
        <f t="shared" si="68"/>
        <v>0.82134837571922603</v>
      </c>
      <c r="Y54" s="4">
        <f t="shared" ref="Y54" si="70">SIN(Y39*PI()/180)</f>
        <v>0</v>
      </c>
    </row>
    <row r="55" spans="1:25">
      <c r="B55" t="s">
        <v>65</v>
      </c>
      <c r="E55" s="4">
        <f>COS(E39*PI()/180)</f>
        <v>1</v>
      </c>
      <c r="F55" s="4">
        <f t="shared" ref="F55:X55" si="71">COS(F39*PI()/180)</f>
        <v>1</v>
      </c>
      <c r="G55" s="4">
        <f t="shared" si="71"/>
        <v>1</v>
      </c>
      <c r="H55" s="4">
        <f t="shared" si="71"/>
        <v>1</v>
      </c>
      <c r="I55" s="4">
        <f t="shared" si="71"/>
        <v>1</v>
      </c>
      <c r="J55" s="4">
        <f t="shared" si="71"/>
        <v>1</v>
      </c>
      <c r="K55" s="4">
        <f t="shared" si="71"/>
        <v>1</v>
      </c>
      <c r="L55" s="4">
        <f t="shared" si="71"/>
        <v>1</v>
      </c>
      <c r="M55" s="4">
        <f t="shared" si="71"/>
        <v>1</v>
      </c>
      <c r="N55" s="4">
        <f t="shared" si="71"/>
        <v>1</v>
      </c>
      <c r="O55" s="4">
        <f t="shared" si="71"/>
        <v>1</v>
      </c>
      <c r="P55" s="4">
        <f t="shared" si="71"/>
        <v>1</v>
      </c>
      <c r="Q55" s="4">
        <f t="shared" si="71"/>
        <v>1</v>
      </c>
      <c r="R55" s="4">
        <f t="shared" ref="R55:T55" si="72">COS(R39*PI()/180)</f>
        <v>1</v>
      </c>
      <c r="S55" s="4">
        <f t="shared" si="72"/>
        <v>1</v>
      </c>
      <c r="T55" s="4">
        <f t="shared" si="72"/>
        <v>1</v>
      </c>
      <c r="U55" s="4">
        <f t="shared" si="71"/>
        <v>1</v>
      </c>
      <c r="V55" s="4">
        <f t="shared" si="71"/>
        <v>1</v>
      </c>
      <c r="W55" s="4">
        <f t="shared" si="71"/>
        <v>1</v>
      </c>
      <c r="X55" s="4">
        <f t="shared" si="71"/>
        <v>0.57042689777340361</v>
      </c>
      <c r="Y55" s="4">
        <f t="shared" ref="Y55" si="73">COS(Y39*PI()/180)</f>
        <v>1</v>
      </c>
    </row>
    <row r="56" spans="1:25">
      <c r="B56" t="s">
        <v>66</v>
      </c>
      <c r="E56" s="4">
        <f>SIN(E40*PI()/180)</f>
        <v>0</v>
      </c>
      <c r="F56" s="4">
        <f t="shared" ref="F56:X56" si="74">SIN(F40*PI()/180)</f>
        <v>0</v>
      </c>
      <c r="G56" s="4">
        <f t="shared" si="74"/>
        <v>0</v>
      </c>
      <c r="H56" s="4">
        <f t="shared" si="74"/>
        <v>0</v>
      </c>
      <c r="I56" s="4">
        <f t="shared" si="74"/>
        <v>0</v>
      </c>
      <c r="J56" s="4">
        <f t="shared" si="74"/>
        <v>0</v>
      </c>
      <c r="K56" s="4">
        <f t="shared" si="74"/>
        <v>0</v>
      </c>
      <c r="L56" s="4">
        <f t="shared" si="74"/>
        <v>0</v>
      </c>
      <c r="M56" s="4">
        <f t="shared" si="74"/>
        <v>0</v>
      </c>
      <c r="N56" s="4">
        <f t="shared" si="74"/>
        <v>0</v>
      </c>
      <c r="O56" s="4">
        <f t="shared" si="74"/>
        <v>0</v>
      </c>
      <c r="P56" s="4">
        <f t="shared" si="74"/>
        <v>0</v>
      </c>
      <c r="Q56" s="4">
        <f t="shared" si="74"/>
        <v>0</v>
      </c>
      <c r="R56" s="4">
        <f t="shared" ref="R56:T56" si="75">SIN(R40*PI()/180)</f>
        <v>0</v>
      </c>
      <c r="S56" s="4">
        <f t="shared" si="75"/>
        <v>0</v>
      </c>
      <c r="T56" s="4">
        <f t="shared" si="75"/>
        <v>0</v>
      </c>
      <c r="U56" s="4">
        <f t="shared" si="74"/>
        <v>0</v>
      </c>
      <c r="V56" s="4">
        <f t="shared" si="74"/>
        <v>0</v>
      </c>
      <c r="W56" s="4">
        <f t="shared" si="74"/>
        <v>0</v>
      </c>
      <c r="X56" s="4">
        <f t="shared" si="74"/>
        <v>0</v>
      </c>
      <c r="Y56" s="4">
        <f t="shared" ref="Y56" si="76">SIN(Y40*PI()/180)</f>
        <v>0</v>
      </c>
    </row>
    <row r="57" spans="1:25">
      <c r="B57" t="s">
        <v>67</v>
      </c>
      <c r="E57" s="4">
        <f>COS(E40*PI()/180)</f>
        <v>1</v>
      </c>
      <c r="F57" s="4">
        <f t="shared" ref="F57:X57" si="77">COS(F40*PI()/180)</f>
        <v>1</v>
      </c>
      <c r="G57" s="4">
        <f t="shared" si="77"/>
        <v>1</v>
      </c>
      <c r="H57" s="4">
        <f t="shared" si="77"/>
        <v>1</v>
      </c>
      <c r="I57" s="4">
        <f t="shared" si="77"/>
        <v>1</v>
      </c>
      <c r="J57" s="4">
        <f t="shared" si="77"/>
        <v>1</v>
      </c>
      <c r="K57" s="4">
        <f t="shared" si="77"/>
        <v>1</v>
      </c>
      <c r="L57" s="4">
        <f t="shared" si="77"/>
        <v>1</v>
      </c>
      <c r="M57" s="4">
        <f t="shared" si="77"/>
        <v>1</v>
      </c>
      <c r="N57" s="4">
        <f t="shared" si="77"/>
        <v>1</v>
      </c>
      <c r="O57" s="4">
        <f t="shared" si="77"/>
        <v>1</v>
      </c>
      <c r="P57" s="4">
        <f t="shared" si="77"/>
        <v>1</v>
      </c>
      <c r="Q57" s="4">
        <f t="shared" si="77"/>
        <v>1</v>
      </c>
      <c r="R57" s="4">
        <f t="shared" ref="R57:T57" si="78">COS(R40*PI()/180)</f>
        <v>1</v>
      </c>
      <c r="S57" s="4">
        <f t="shared" si="78"/>
        <v>1</v>
      </c>
      <c r="T57" s="4">
        <f t="shared" si="78"/>
        <v>1</v>
      </c>
      <c r="U57" s="4">
        <f t="shared" si="77"/>
        <v>1</v>
      </c>
      <c r="V57" s="4">
        <f t="shared" si="77"/>
        <v>1</v>
      </c>
      <c r="W57" s="4">
        <f t="shared" si="77"/>
        <v>1</v>
      </c>
      <c r="X57" s="4">
        <f t="shared" si="77"/>
        <v>1</v>
      </c>
      <c r="Y57" s="4">
        <f t="shared" ref="Y57" si="79">COS(Y40*PI()/180)</f>
        <v>1</v>
      </c>
    </row>
    <row r="58" spans="1:25">
      <c r="B58" t="s">
        <v>68</v>
      </c>
      <c r="E58" s="4">
        <f>SIN(E41*PI()/180)</f>
        <v>0</v>
      </c>
      <c r="F58" s="4">
        <f t="shared" ref="F58:X58" si="80">SIN(F41*PI()/180)</f>
        <v>0</v>
      </c>
      <c r="G58" s="4">
        <f t="shared" si="80"/>
        <v>0</v>
      </c>
      <c r="H58" s="4">
        <f t="shared" si="80"/>
        <v>0</v>
      </c>
      <c r="I58" s="4">
        <f t="shared" si="80"/>
        <v>0</v>
      </c>
      <c r="J58" s="4">
        <f t="shared" si="80"/>
        <v>0</v>
      </c>
      <c r="K58" s="4">
        <f t="shared" si="80"/>
        <v>0</v>
      </c>
      <c r="L58" s="4">
        <f t="shared" si="80"/>
        <v>0</v>
      </c>
      <c r="M58" s="4">
        <f t="shared" si="80"/>
        <v>1</v>
      </c>
      <c r="N58" s="4">
        <f t="shared" si="80"/>
        <v>0</v>
      </c>
      <c r="O58" s="4">
        <f t="shared" si="80"/>
        <v>0.70710678118654746</v>
      </c>
      <c r="P58" s="4">
        <f t="shared" si="80"/>
        <v>0.70710678118654746</v>
      </c>
      <c r="Q58" s="4">
        <f t="shared" si="80"/>
        <v>0.70710678118654746</v>
      </c>
      <c r="R58" s="4">
        <f t="shared" ref="R58:T58" si="81">SIN(R41*PI()/180)</f>
        <v>0.70710678118654746</v>
      </c>
      <c r="S58" s="4">
        <f t="shared" si="81"/>
        <v>0.70710678118654746</v>
      </c>
      <c r="T58" s="4">
        <f t="shared" si="81"/>
        <v>0.70710678118654746</v>
      </c>
      <c r="U58" s="4">
        <f t="shared" si="80"/>
        <v>0.70710678118654746</v>
      </c>
      <c r="V58" s="4">
        <f t="shared" si="80"/>
        <v>1</v>
      </c>
      <c r="W58" s="4">
        <f t="shared" si="80"/>
        <v>0</v>
      </c>
      <c r="X58" s="4">
        <f t="shared" si="80"/>
        <v>1</v>
      </c>
      <c r="Y58" s="4">
        <f t="shared" ref="Y58" si="82">SIN(Y41*PI()/180)</f>
        <v>0</v>
      </c>
    </row>
    <row r="59" spans="1:25">
      <c r="B59" t="s">
        <v>69</v>
      </c>
      <c r="E59" s="4">
        <f>COS(E41*PI()/180)</f>
        <v>1</v>
      </c>
      <c r="F59" s="4">
        <f t="shared" ref="F59:X59" si="83">COS(F41*PI()/180)</f>
        <v>1</v>
      </c>
      <c r="G59" s="4">
        <f t="shared" si="83"/>
        <v>1</v>
      </c>
      <c r="H59" s="4">
        <f t="shared" si="83"/>
        <v>1</v>
      </c>
      <c r="I59" s="4">
        <f t="shared" si="83"/>
        <v>1</v>
      </c>
      <c r="J59" s="4">
        <f t="shared" si="83"/>
        <v>1</v>
      </c>
      <c r="K59" s="4">
        <f t="shared" si="83"/>
        <v>1</v>
      </c>
      <c r="L59" s="4">
        <f t="shared" si="83"/>
        <v>1</v>
      </c>
      <c r="M59" s="4">
        <f t="shared" si="83"/>
        <v>6.1257422745431001E-17</v>
      </c>
      <c r="N59" s="4">
        <f t="shared" si="83"/>
        <v>1</v>
      </c>
      <c r="O59" s="4">
        <f t="shared" si="83"/>
        <v>0.70710678118654757</v>
      </c>
      <c r="P59" s="4">
        <f t="shared" si="83"/>
        <v>0.70710678118654757</v>
      </c>
      <c r="Q59" s="4">
        <f t="shared" si="83"/>
        <v>0.70710678118654757</v>
      </c>
      <c r="R59" s="4">
        <f t="shared" ref="R59:T59" si="84">COS(R41*PI()/180)</f>
        <v>0.70710678118654757</v>
      </c>
      <c r="S59" s="4">
        <f t="shared" si="84"/>
        <v>0.70710678118654757</v>
      </c>
      <c r="T59" s="4">
        <f t="shared" si="84"/>
        <v>0.70710678118654757</v>
      </c>
      <c r="U59" s="4">
        <f t="shared" si="83"/>
        <v>0.70710678118654757</v>
      </c>
      <c r="V59" s="4">
        <f t="shared" si="83"/>
        <v>6.1257422745431001E-17</v>
      </c>
      <c r="W59" s="4">
        <f t="shared" si="83"/>
        <v>1</v>
      </c>
      <c r="X59" s="4">
        <f t="shared" si="83"/>
        <v>6.1257422745431001E-17</v>
      </c>
      <c r="Y59" s="4">
        <f t="shared" ref="Y59" si="85">COS(Y41*PI()/180)</f>
        <v>1</v>
      </c>
    </row>
    <row r="60" spans="1:25">
      <c r="B60" t="s">
        <v>70</v>
      </c>
      <c r="C60" t="s">
        <v>47</v>
      </c>
      <c r="E60" s="4">
        <f>E55*E59</f>
        <v>1</v>
      </c>
      <c r="F60" s="4">
        <f t="shared" ref="F60:Y60" si="86">F55*F59</f>
        <v>1</v>
      </c>
      <c r="G60" s="4">
        <f t="shared" si="86"/>
        <v>1</v>
      </c>
      <c r="H60" s="4">
        <f t="shared" si="86"/>
        <v>1</v>
      </c>
      <c r="I60" s="4">
        <f t="shared" si="86"/>
        <v>1</v>
      </c>
      <c r="J60" s="4">
        <f t="shared" si="86"/>
        <v>1</v>
      </c>
      <c r="K60" s="4">
        <f t="shared" si="86"/>
        <v>1</v>
      </c>
      <c r="L60" s="4">
        <f t="shared" si="86"/>
        <v>1</v>
      </c>
      <c r="M60" s="4">
        <f t="shared" si="86"/>
        <v>6.1257422745431001E-17</v>
      </c>
      <c r="N60" s="4">
        <f t="shared" si="86"/>
        <v>1</v>
      </c>
      <c r="O60" s="4">
        <f t="shared" si="86"/>
        <v>0.70710678118654757</v>
      </c>
      <c r="P60" s="4">
        <f t="shared" si="86"/>
        <v>0.70710678118654757</v>
      </c>
      <c r="Q60" s="4">
        <f t="shared" si="86"/>
        <v>0.70710678118654757</v>
      </c>
      <c r="R60" s="4">
        <f t="shared" ref="R60:T60" si="87">R55*R59</f>
        <v>0.70710678118654757</v>
      </c>
      <c r="S60" s="4">
        <f t="shared" si="87"/>
        <v>0.70710678118654757</v>
      </c>
      <c r="T60" s="4">
        <f t="shared" si="87"/>
        <v>0.70710678118654757</v>
      </c>
      <c r="U60" s="4">
        <f t="shared" si="86"/>
        <v>0.70710678118654757</v>
      </c>
      <c r="V60" s="4">
        <f t="shared" si="86"/>
        <v>6.1257422745431001E-17</v>
      </c>
      <c r="W60" s="4">
        <f t="shared" si="86"/>
        <v>1</v>
      </c>
      <c r="X60" s="4">
        <f t="shared" si="86"/>
        <v>3.4942881622270141E-17</v>
      </c>
      <c r="Y60" s="4">
        <f t="shared" si="86"/>
        <v>1</v>
      </c>
    </row>
    <row r="61" spans="1:25">
      <c r="C61" t="s">
        <v>48</v>
      </c>
      <c r="E61" s="4">
        <f>E55*E58</f>
        <v>0</v>
      </c>
      <c r="F61" s="4">
        <f t="shared" ref="F61:X61" si="88">F55*F58</f>
        <v>0</v>
      </c>
      <c r="G61" s="4">
        <f t="shared" si="88"/>
        <v>0</v>
      </c>
      <c r="H61" s="4">
        <f t="shared" si="88"/>
        <v>0</v>
      </c>
      <c r="I61" s="4">
        <f t="shared" si="88"/>
        <v>0</v>
      </c>
      <c r="J61" s="4">
        <f t="shared" si="88"/>
        <v>0</v>
      </c>
      <c r="K61" s="4">
        <f t="shared" si="88"/>
        <v>0</v>
      </c>
      <c r="L61" s="4">
        <f t="shared" si="88"/>
        <v>0</v>
      </c>
      <c r="M61" s="4">
        <f t="shared" si="88"/>
        <v>1</v>
      </c>
      <c r="N61" s="4">
        <f t="shared" si="88"/>
        <v>0</v>
      </c>
      <c r="O61" s="4">
        <f t="shared" si="88"/>
        <v>0.70710678118654746</v>
      </c>
      <c r="P61" s="4">
        <f t="shared" si="88"/>
        <v>0.70710678118654746</v>
      </c>
      <c r="Q61" s="4">
        <f t="shared" si="88"/>
        <v>0.70710678118654746</v>
      </c>
      <c r="R61" s="4">
        <f t="shared" ref="R61:T61" si="89">R55*R58</f>
        <v>0.70710678118654746</v>
      </c>
      <c r="S61" s="4">
        <f t="shared" si="89"/>
        <v>0.70710678118654746</v>
      </c>
      <c r="T61" s="4">
        <f t="shared" si="89"/>
        <v>0.70710678118654746</v>
      </c>
      <c r="U61" s="4">
        <f t="shared" si="88"/>
        <v>0.70710678118654746</v>
      </c>
      <c r="V61" s="4">
        <f t="shared" si="88"/>
        <v>1</v>
      </c>
      <c r="W61" s="4">
        <f t="shared" si="88"/>
        <v>0</v>
      </c>
      <c r="X61" s="4">
        <f t="shared" si="88"/>
        <v>0.57042689777340361</v>
      </c>
      <c r="Y61" s="4">
        <f t="shared" ref="Y61" si="90">Y55*Y58</f>
        <v>0</v>
      </c>
    </row>
    <row r="62" spans="1:25">
      <c r="C62" t="s">
        <v>49</v>
      </c>
      <c r="E62" s="4">
        <f>-E54</f>
        <v>0</v>
      </c>
      <c r="F62" s="4">
        <f t="shared" ref="F62:X62" si="91">-F54</f>
        <v>0</v>
      </c>
      <c r="G62" s="4">
        <f t="shared" si="91"/>
        <v>0</v>
      </c>
      <c r="H62" s="4">
        <f t="shared" si="91"/>
        <v>0</v>
      </c>
      <c r="I62" s="4">
        <f t="shared" si="91"/>
        <v>0</v>
      </c>
      <c r="J62" s="4">
        <f t="shared" si="91"/>
        <v>0</v>
      </c>
      <c r="K62" s="4">
        <f t="shared" si="91"/>
        <v>0</v>
      </c>
      <c r="L62" s="4">
        <f t="shared" si="91"/>
        <v>0</v>
      </c>
      <c r="M62" s="4">
        <f t="shared" si="91"/>
        <v>0</v>
      </c>
      <c r="N62" s="4">
        <f t="shared" si="91"/>
        <v>0</v>
      </c>
      <c r="O62" s="4">
        <f t="shared" si="91"/>
        <v>0</v>
      </c>
      <c r="P62" s="4">
        <f t="shared" si="91"/>
        <v>0</v>
      </c>
      <c r="Q62" s="4">
        <f t="shared" si="91"/>
        <v>0</v>
      </c>
      <c r="R62" s="4">
        <f t="shared" ref="R62:T62" si="92">-R54</f>
        <v>0</v>
      </c>
      <c r="S62" s="4">
        <f t="shared" si="92"/>
        <v>0</v>
      </c>
      <c r="T62" s="4">
        <f t="shared" si="92"/>
        <v>0</v>
      </c>
      <c r="U62" s="4">
        <f t="shared" si="91"/>
        <v>0</v>
      </c>
      <c r="V62" s="4">
        <f t="shared" si="91"/>
        <v>0</v>
      </c>
      <c r="W62" s="4">
        <f t="shared" si="91"/>
        <v>0</v>
      </c>
      <c r="X62" s="4">
        <f t="shared" si="91"/>
        <v>-0.82134837571922603</v>
      </c>
      <c r="Y62" s="4">
        <f t="shared" ref="Y62" si="93">-Y54</f>
        <v>0</v>
      </c>
    </row>
    <row r="63" spans="1:25">
      <c r="C63" t="s">
        <v>50</v>
      </c>
      <c r="E63" s="4">
        <f>-E57*E58+E56*E54*E59</f>
        <v>0</v>
      </c>
      <c r="F63" s="4">
        <f t="shared" ref="F63:X63" si="94">-F57*F58+F56*F54*F59</f>
        <v>0</v>
      </c>
      <c r="G63" s="4">
        <f t="shared" si="94"/>
        <v>0</v>
      </c>
      <c r="H63" s="4">
        <f t="shared" si="94"/>
        <v>0</v>
      </c>
      <c r="I63" s="4">
        <f t="shared" si="94"/>
        <v>0</v>
      </c>
      <c r="J63" s="4">
        <f t="shared" si="94"/>
        <v>0</v>
      </c>
      <c r="K63" s="4">
        <f t="shared" si="94"/>
        <v>0</v>
      </c>
      <c r="L63" s="4">
        <f t="shared" si="94"/>
        <v>0</v>
      </c>
      <c r="M63" s="4">
        <f t="shared" si="94"/>
        <v>-1</v>
      </c>
      <c r="N63" s="4">
        <f t="shared" si="94"/>
        <v>0</v>
      </c>
      <c r="O63" s="4">
        <f t="shared" si="94"/>
        <v>-0.70710678118654746</v>
      </c>
      <c r="P63" s="4">
        <f t="shared" si="94"/>
        <v>-0.70710678118654746</v>
      </c>
      <c r="Q63" s="4">
        <f t="shared" si="94"/>
        <v>-0.70710678118654746</v>
      </c>
      <c r="R63" s="4">
        <f t="shared" ref="R63:T63" si="95">-R57*R58+R56*R54*R59</f>
        <v>-0.70710678118654746</v>
      </c>
      <c r="S63" s="4">
        <f t="shared" si="95"/>
        <v>-0.70710678118654746</v>
      </c>
      <c r="T63" s="4">
        <f t="shared" si="95"/>
        <v>-0.70710678118654746</v>
      </c>
      <c r="U63" s="4">
        <f t="shared" si="94"/>
        <v>-0.70710678118654746</v>
      </c>
      <c r="V63" s="4">
        <f t="shared" si="94"/>
        <v>-1</v>
      </c>
      <c r="W63" s="4">
        <f t="shared" si="94"/>
        <v>0</v>
      </c>
      <c r="X63" s="4">
        <f t="shared" si="94"/>
        <v>-1</v>
      </c>
      <c r="Y63" s="4">
        <f t="shared" ref="Y63" si="96">-Y57*Y58+Y56*Y54*Y59</f>
        <v>0</v>
      </c>
    </row>
    <row r="64" spans="1:25">
      <c r="C64" t="s">
        <v>51</v>
      </c>
      <c r="E64" s="4">
        <f>E57*E59+E56*E54*E58</f>
        <v>1</v>
      </c>
      <c r="F64" s="4">
        <f t="shared" ref="F64:X64" si="97">F57*F59+F56*F54*F58</f>
        <v>1</v>
      </c>
      <c r="G64" s="4">
        <f t="shared" si="97"/>
        <v>1</v>
      </c>
      <c r="H64" s="4">
        <f t="shared" si="97"/>
        <v>1</v>
      </c>
      <c r="I64" s="4">
        <f t="shared" si="97"/>
        <v>1</v>
      </c>
      <c r="J64" s="4">
        <f t="shared" si="97"/>
        <v>1</v>
      </c>
      <c r="K64" s="4">
        <f t="shared" si="97"/>
        <v>1</v>
      </c>
      <c r="L64" s="4">
        <f t="shared" si="97"/>
        <v>1</v>
      </c>
      <c r="M64" s="4">
        <f t="shared" si="97"/>
        <v>6.1257422745431001E-17</v>
      </c>
      <c r="N64" s="4">
        <f t="shared" si="97"/>
        <v>1</v>
      </c>
      <c r="O64" s="4">
        <f t="shared" si="97"/>
        <v>0.70710678118654757</v>
      </c>
      <c r="P64" s="4">
        <f t="shared" si="97"/>
        <v>0.70710678118654757</v>
      </c>
      <c r="Q64" s="4">
        <f t="shared" si="97"/>
        <v>0.70710678118654757</v>
      </c>
      <c r="R64" s="4">
        <f t="shared" ref="R64:T64" si="98">R57*R59+R56*R54*R58</f>
        <v>0.70710678118654757</v>
      </c>
      <c r="S64" s="4">
        <f t="shared" si="98"/>
        <v>0.70710678118654757</v>
      </c>
      <c r="T64" s="4">
        <f t="shared" si="98"/>
        <v>0.70710678118654757</v>
      </c>
      <c r="U64" s="4">
        <f t="shared" si="97"/>
        <v>0.70710678118654757</v>
      </c>
      <c r="V64" s="4">
        <f t="shared" si="97"/>
        <v>6.1257422745431001E-17</v>
      </c>
      <c r="W64" s="4">
        <f t="shared" si="97"/>
        <v>1</v>
      </c>
      <c r="X64" s="4">
        <f t="shared" si="97"/>
        <v>6.1257422745431001E-17</v>
      </c>
      <c r="Y64" s="4">
        <f t="shared" ref="Y64" si="99">Y57*Y59+Y56*Y54*Y58</f>
        <v>1</v>
      </c>
    </row>
    <row r="65" spans="2:25">
      <c r="C65" t="s">
        <v>52</v>
      </c>
      <c r="E65" s="4">
        <f>E56*E55</f>
        <v>0</v>
      </c>
      <c r="F65" s="4">
        <f t="shared" ref="F65:X65" si="100">F56*F55</f>
        <v>0</v>
      </c>
      <c r="G65" s="4">
        <f t="shared" si="100"/>
        <v>0</v>
      </c>
      <c r="H65" s="4">
        <f t="shared" si="100"/>
        <v>0</v>
      </c>
      <c r="I65" s="4">
        <f t="shared" si="100"/>
        <v>0</v>
      </c>
      <c r="J65" s="4">
        <f t="shared" si="100"/>
        <v>0</v>
      </c>
      <c r="K65" s="4">
        <f t="shared" si="100"/>
        <v>0</v>
      </c>
      <c r="L65" s="4">
        <f t="shared" si="100"/>
        <v>0</v>
      </c>
      <c r="M65" s="4">
        <f t="shared" si="100"/>
        <v>0</v>
      </c>
      <c r="N65" s="4">
        <f t="shared" si="100"/>
        <v>0</v>
      </c>
      <c r="O65" s="4">
        <f t="shared" si="100"/>
        <v>0</v>
      </c>
      <c r="P65" s="4">
        <f t="shared" si="100"/>
        <v>0</v>
      </c>
      <c r="Q65" s="4">
        <f t="shared" si="100"/>
        <v>0</v>
      </c>
      <c r="R65" s="4">
        <f t="shared" ref="R65:T65" si="101">R56*R55</f>
        <v>0</v>
      </c>
      <c r="S65" s="4">
        <f t="shared" si="101"/>
        <v>0</v>
      </c>
      <c r="T65" s="4">
        <f t="shared" si="101"/>
        <v>0</v>
      </c>
      <c r="U65" s="4">
        <f t="shared" si="100"/>
        <v>0</v>
      </c>
      <c r="V65" s="4">
        <f t="shared" si="100"/>
        <v>0</v>
      </c>
      <c r="W65" s="4">
        <f t="shared" si="100"/>
        <v>0</v>
      </c>
      <c r="X65" s="4">
        <f t="shared" si="100"/>
        <v>0</v>
      </c>
      <c r="Y65" s="4">
        <f t="shared" ref="Y65" si="102">Y56*Y55</f>
        <v>0</v>
      </c>
    </row>
    <row r="66" spans="2:25">
      <c r="C66" t="s">
        <v>53</v>
      </c>
      <c r="E66" s="4">
        <f>E56*E58+E57*E54*E59</f>
        <v>0</v>
      </c>
      <c r="F66" s="4">
        <f t="shared" ref="F66:X66" si="103">F56*F58+F57*F54*F59</f>
        <v>0</v>
      </c>
      <c r="G66" s="4">
        <f t="shared" si="103"/>
        <v>0</v>
      </c>
      <c r="H66" s="4">
        <f t="shared" si="103"/>
        <v>0</v>
      </c>
      <c r="I66" s="4">
        <f t="shared" si="103"/>
        <v>0</v>
      </c>
      <c r="J66" s="4">
        <f t="shared" si="103"/>
        <v>0</v>
      </c>
      <c r="K66" s="4">
        <f t="shared" si="103"/>
        <v>0</v>
      </c>
      <c r="L66" s="4">
        <f t="shared" si="103"/>
        <v>0</v>
      </c>
      <c r="M66" s="4">
        <f t="shared" si="103"/>
        <v>0</v>
      </c>
      <c r="N66" s="4">
        <f t="shared" si="103"/>
        <v>0</v>
      </c>
      <c r="O66" s="4">
        <f t="shared" si="103"/>
        <v>0</v>
      </c>
      <c r="P66" s="4">
        <f t="shared" si="103"/>
        <v>0</v>
      </c>
      <c r="Q66" s="4">
        <f t="shared" si="103"/>
        <v>0</v>
      </c>
      <c r="R66" s="4">
        <f t="shared" ref="R66:T66" si="104">R56*R58+R57*R54*R59</f>
        <v>0</v>
      </c>
      <c r="S66" s="4">
        <f t="shared" si="104"/>
        <v>0</v>
      </c>
      <c r="T66" s="4">
        <f t="shared" si="104"/>
        <v>0</v>
      </c>
      <c r="U66" s="4">
        <f t="shared" si="103"/>
        <v>0</v>
      </c>
      <c r="V66" s="4">
        <f t="shared" si="103"/>
        <v>0</v>
      </c>
      <c r="W66" s="4">
        <f t="shared" si="103"/>
        <v>0</v>
      </c>
      <c r="X66" s="4">
        <f t="shared" si="103"/>
        <v>5.0313684672705721E-17</v>
      </c>
      <c r="Y66" s="4">
        <f t="shared" ref="Y66" si="105">Y56*Y58+Y57*Y54*Y59</f>
        <v>0</v>
      </c>
    </row>
    <row r="67" spans="2:25">
      <c r="C67" t="s">
        <v>54</v>
      </c>
      <c r="E67" s="4">
        <f>-E56*E59+E57*E54*E58</f>
        <v>0</v>
      </c>
      <c r="F67" s="4">
        <f t="shared" ref="F67:X67" si="106">-F56*F59+F57*F54*F58</f>
        <v>0</v>
      </c>
      <c r="G67" s="4">
        <f t="shared" si="106"/>
        <v>0</v>
      </c>
      <c r="H67" s="4">
        <f t="shared" si="106"/>
        <v>0</v>
      </c>
      <c r="I67" s="4">
        <f t="shared" si="106"/>
        <v>0</v>
      </c>
      <c r="J67" s="4">
        <f t="shared" si="106"/>
        <v>0</v>
      </c>
      <c r="K67" s="4">
        <f t="shared" si="106"/>
        <v>0</v>
      </c>
      <c r="L67" s="4">
        <f t="shared" si="106"/>
        <v>0</v>
      </c>
      <c r="M67" s="4">
        <f t="shared" si="106"/>
        <v>0</v>
      </c>
      <c r="N67" s="4">
        <f t="shared" si="106"/>
        <v>0</v>
      </c>
      <c r="O67" s="4">
        <f t="shared" si="106"/>
        <v>0</v>
      </c>
      <c r="P67" s="4">
        <f t="shared" si="106"/>
        <v>0</v>
      </c>
      <c r="Q67" s="4">
        <f t="shared" si="106"/>
        <v>0</v>
      </c>
      <c r="R67" s="4">
        <f t="shared" ref="R67:T67" si="107">-R56*R59+R57*R54*R58</f>
        <v>0</v>
      </c>
      <c r="S67" s="4">
        <f t="shared" si="107"/>
        <v>0</v>
      </c>
      <c r="T67" s="4">
        <f t="shared" si="107"/>
        <v>0</v>
      </c>
      <c r="U67" s="4">
        <f t="shared" si="106"/>
        <v>0</v>
      </c>
      <c r="V67" s="4">
        <f t="shared" si="106"/>
        <v>0</v>
      </c>
      <c r="W67" s="4">
        <f t="shared" si="106"/>
        <v>0</v>
      </c>
      <c r="X67" s="4">
        <f t="shared" si="106"/>
        <v>0.82134837571922603</v>
      </c>
      <c r="Y67" s="4">
        <f t="shared" ref="Y67" si="108">-Y56*Y59+Y57*Y54*Y58</f>
        <v>0</v>
      </c>
    </row>
    <row r="68" spans="2:25">
      <c r="C68" t="s">
        <v>55</v>
      </c>
      <c r="E68" s="4">
        <f>E57*E55</f>
        <v>1</v>
      </c>
      <c r="F68" s="4">
        <f t="shared" ref="F68:X68" si="109">F57*F55</f>
        <v>1</v>
      </c>
      <c r="G68" s="4">
        <f t="shared" si="109"/>
        <v>1</v>
      </c>
      <c r="H68" s="4">
        <f t="shared" si="109"/>
        <v>1</v>
      </c>
      <c r="I68" s="4">
        <f t="shared" si="109"/>
        <v>1</v>
      </c>
      <c r="J68" s="4">
        <f t="shared" si="109"/>
        <v>1</v>
      </c>
      <c r="K68" s="4">
        <f t="shared" si="109"/>
        <v>1</v>
      </c>
      <c r="L68" s="4">
        <f t="shared" si="109"/>
        <v>1</v>
      </c>
      <c r="M68" s="4">
        <f t="shared" si="109"/>
        <v>1</v>
      </c>
      <c r="N68" s="4">
        <f t="shared" si="109"/>
        <v>1</v>
      </c>
      <c r="O68" s="4">
        <f t="shared" si="109"/>
        <v>1</v>
      </c>
      <c r="P68" s="4">
        <f t="shared" si="109"/>
        <v>1</v>
      </c>
      <c r="Q68" s="4">
        <f t="shared" si="109"/>
        <v>1</v>
      </c>
      <c r="R68" s="4">
        <f t="shared" ref="R68:T68" si="110">R57*R55</f>
        <v>1</v>
      </c>
      <c r="S68" s="4">
        <f t="shared" si="110"/>
        <v>1</v>
      </c>
      <c r="T68" s="4">
        <f t="shared" si="110"/>
        <v>1</v>
      </c>
      <c r="U68" s="4">
        <f t="shared" si="109"/>
        <v>1</v>
      </c>
      <c r="V68" s="4">
        <f t="shared" si="109"/>
        <v>1</v>
      </c>
      <c r="W68" s="4">
        <f t="shared" si="109"/>
        <v>1</v>
      </c>
      <c r="X68" s="4">
        <f t="shared" si="109"/>
        <v>0.57042689777340361</v>
      </c>
      <c r="Y68" s="4">
        <f t="shared" ref="Y68" si="111">Y57*Y55</f>
        <v>1</v>
      </c>
    </row>
    <row r="69" spans="2: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2:25">
      <c r="B70" t="s">
        <v>46</v>
      </c>
      <c r="E70" s="5">
        <f>SIN(E46*PI()/180)</f>
        <v>0</v>
      </c>
      <c r="F70" s="5">
        <f t="shared" ref="F70:X70" si="112">SIN(F46*PI()/180)</f>
        <v>0</v>
      </c>
      <c r="G70" s="5">
        <f t="shared" si="112"/>
        <v>0</v>
      </c>
      <c r="H70" s="5">
        <f t="shared" si="112"/>
        <v>0</v>
      </c>
      <c r="I70" s="5">
        <f t="shared" si="112"/>
        <v>0</v>
      </c>
      <c r="J70" s="5">
        <f t="shared" si="112"/>
        <v>0</v>
      </c>
      <c r="K70" s="5">
        <f t="shared" si="112"/>
        <v>0</v>
      </c>
      <c r="L70" s="5">
        <f t="shared" si="112"/>
        <v>0</v>
      </c>
      <c r="M70" s="5">
        <f t="shared" si="112"/>
        <v>0</v>
      </c>
      <c r="N70" s="5">
        <f t="shared" si="112"/>
        <v>0</v>
      </c>
      <c r="O70" s="5">
        <f t="shared" si="112"/>
        <v>-0.96890546640126096</v>
      </c>
      <c r="P70" s="5">
        <f t="shared" si="112"/>
        <v>-0.96890546640126096</v>
      </c>
      <c r="Q70" s="5">
        <f t="shared" si="112"/>
        <v>-0.96890546640126096</v>
      </c>
      <c r="R70" s="5">
        <f t="shared" ref="R70:T70" si="113">SIN(R46*PI()/180)</f>
        <v>-0.96890546640126096</v>
      </c>
      <c r="S70" s="5">
        <f t="shared" si="113"/>
        <v>-0.96890546640126096</v>
      </c>
      <c r="T70" s="5">
        <f t="shared" si="113"/>
        <v>-0.96890546640126096</v>
      </c>
      <c r="U70" s="5">
        <f t="shared" si="112"/>
        <v>-0.96890546640126096</v>
      </c>
      <c r="V70" s="5">
        <f t="shared" si="112"/>
        <v>-0.70710678118654746</v>
      </c>
      <c r="W70" s="5">
        <f t="shared" si="112"/>
        <v>-8.7266451523521776E-4</v>
      </c>
      <c r="X70" s="5">
        <f t="shared" si="112"/>
        <v>0</v>
      </c>
      <c r="Y70" s="5">
        <f t="shared" ref="Y70" si="114">SIN(Y46*PI()/180)</f>
        <v>0</v>
      </c>
    </row>
    <row r="71" spans="2:25">
      <c r="B71" t="s">
        <v>45</v>
      </c>
      <c r="E71" s="4">
        <f>COS(E46*PI()/180)</f>
        <v>1</v>
      </c>
      <c r="F71" s="4">
        <f t="shared" ref="F71:X71" si="115">COS(F46*PI()/180)</f>
        <v>1</v>
      </c>
      <c r="G71" s="4">
        <f t="shared" si="115"/>
        <v>1</v>
      </c>
      <c r="H71" s="4">
        <f t="shared" si="115"/>
        <v>1</v>
      </c>
      <c r="I71" s="4">
        <f t="shared" si="115"/>
        <v>1</v>
      </c>
      <c r="J71" s="4">
        <f t="shared" si="115"/>
        <v>1</v>
      </c>
      <c r="K71" s="4">
        <f t="shared" si="115"/>
        <v>1</v>
      </c>
      <c r="L71" s="4">
        <f t="shared" si="115"/>
        <v>1</v>
      </c>
      <c r="M71" s="4">
        <f t="shared" si="115"/>
        <v>1</v>
      </c>
      <c r="N71" s="4">
        <f t="shared" si="115"/>
        <v>1</v>
      </c>
      <c r="O71" s="4">
        <f t="shared" si="115"/>
        <v>0.24743119685632814</v>
      </c>
      <c r="P71" s="4">
        <f t="shared" si="115"/>
        <v>0.24743119685632814</v>
      </c>
      <c r="Q71" s="4">
        <f t="shared" si="115"/>
        <v>0.24743119685632814</v>
      </c>
      <c r="R71" s="4">
        <f t="shared" ref="R71:T71" si="116">COS(R46*PI()/180)</f>
        <v>0.24743119685632814</v>
      </c>
      <c r="S71" s="4">
        <f t="shared" si="116"/>
        <v>0.24743119685632814</v>
      </c>
      <c r="T71" s="4">
        <f t="shared" si="116"/>
        <v>0.24743119685632814</v>
      </c>
      <c r="U71" s="4">
        <f t="shared" si="115"/>
        <v>0.24743119685632814</v>
      </c>
      <c r="V71" s="4">
        <f t="shared" si="115"/>
        <v>0.70710678118654757</v>
      </c>
      <c r="W71" s="4">
        <f t="shared" si="115"/>
        <v>-0.99999961922824943</v>
      </c>
      <c r="X71" s="4">
        <f t="shared" si="115"/>
        <v>1</v>
      </c>
      <c r="Y71" s="4">
        <f t="shared" ref="Y71" si="117">COS(Y46*PI()/180)</f>
        <v>1</v>
      </c>
    </row>
    <row r="72" spans="2:25">
      <c r="B72" t="s">
        <v>44</v>
      </c>
      <c r="C72" t="s">
        <v>47</v>
      </c>
      <c r="E72" s="4">
        <f>E71</f>
        <v>1</v>
      </c>
      <c r="F72" s="4">
        <f t="shared" ref="F72:Y72" si="118">F71</f>
        <v>1</v>
      </c>
      <c r="G72" s="4">
        <f t="shared" si="118"/>
        <v>1</v>
      </c>
      <c r="H72" s="4">
        <f t="shared" si="118"/>
        <v>1</v>
      </c>
      <c r="I72" s="4">
        <f t="shared" si="118"/>
        <v>1</v>
      </c>
      <c r="J72" s="4">
        <f t="shared" si="118"/>
        <v>1</v>
      </c>
      <c r="K72" s="4">
        <f t="shared" si="118"/>
        <v>1</v>
      </c>
      <c r="L72" s="4">
        <f t="shared" si="118"/>
        <v>1</v>
      </c>
      <c r="M72" s="4">
        <f t="shared" si="118"/>
        <v>1</v>
      </c>
      <c r="N72" s="4">
        <f t="shared" si="118"/>
        <v>1</v>
      </c>
      <c r="O72" s="4">
        <f t="shared" si="118"/>
        <v>0.24743119685632814</v>
      </c>
      <c r="P72" s="4">
        <f t="shared" si="118"/>
        <v>0.24743119685632814</v>
      </c>
      <c r="Q72" s="4">
        <f t="shared" si="118"/>
        <v>0.24743119685632814</v>
      </c>
      <c r="R72" s="4">
        <f t="shared" ref="R72:T72" si="119">R71</f>
        <v>0.24743119685632814</v>
      </c>
      <c r="S72" s="4">
        <f t="shared" si="119"/>
        <v>0.24743119685632814</v>
      </c>
      <c r="T72" s="4">
        <f t="shared" si="119"/>
        <v>0.24743119685632814</v>
      </c>
      <c r="U72" s="4">
        <f t="shared" si="118"/>
        <v>0.24743119685632814</v>
      </c>
      <c r="V72" s="4">
        <f t="shared" si="118"/>
        <v>0.70710678118654757</v>
      </c>
      <c r="W72" s="4">
        <f t="shared" si="118"/>
        <v>-0.99999961922824943</v>
      </c>
      <c r="X72" s="4">
        <f t="shared" si="118"/>
        <v>1</v>
      </c>
      <c r="Y72" s="4">
        <f t="shared" si="118"/>
        <v>1</v>
      </c>
    </row>
    <row r="73" spans="2:25">
      <c r="C73" t="s">
        <v>48</v>
      </c>
      <c r="E73" s="4">
        <f>E70</f>
        <v>0</v>
      </c>
      <c r="F73" s="4">
        <f t="shared" ref="F73:X73" si="120">F70</f>
        <v>0</v>
      </c>
      <c r="G73" s="4">
        <f t="shared" si="120"/>
        <v>0</v>
      </c>
      <c r="H73" s="4">
        <f t="shared" si="120"/>
        <v>0</v>
      </c>
      <c r="I73" s="4">
        <f t="shared" si="120"/>
        <v>0</v>
      </c>
      <c r="J73" s="4">
        <f t="shared" si="120"/>
        <v>0</v>
      </c>
      <c r="K73" s="4">
        <f t="shared" si="120"/>
        <v>0</v>
      </c>
      <c r="L73" s="4">
        <f t="shared" si="120"/>
        <v>0</v>
      </c>
      <c r="M73" s="4">
        <f t="shared" si="120"/>
        <v>0</v>
      </c>
      <c r="N73" s="4">
        <f t="shared" si="120"/>
        <v>0</v>
      </c>
      <c r="O73" s="4">
        <f t="shared" si="120"/>
        <v>-0.96890546640126096</v>
      </c>
      <c r="P73" s="4">
        <f t="shared" si="120"/>
        <v>-0.96890546640126096</v>
      </c>
      <c r="Q73" s="4">
        <f t="shared" si="120"/>
        <v>-0.96890546640126096</v>
      </c>
      <c r="R73" s="4">
        <f t="shared" ref="R73:T73" si="121">R70</f>
        <v>-0.96890546640126096</v>
      </c>
      <c r="S73" s="4">
        <f t="shared" si="121"/>
        <v>-0.96890546640126096</v>
      </c>
      <c r="T73" s="4">
        <f t="shared" si="121"/>
        <v>-0.96890546640126096</v>
      </c>
      <c r="U73" s="4">
        <f t="shared" si="120"/>
        <v>-0.96890546640126096</v>
      </c>
      <c r="V73" s="4">
        <f t="shared" si="120"/>
        <v>-0.70710678118654746</v>
      </c>
      <c r="W73" s="4">
        <f t="shared" si="120"/>
        <v>-8.7266451523521776E-4</v>
      </c>
      <c r="X73" s="4">
        <f t="shared" si="120"/>
        <v>0</v>
      </c>
      <c r="Y73" s="4">
        <f t="shared" ref="Y73" si="122">Y70</f>
        <v>0</v>
      </c>
    </row>
    <row r="74" spans="2:25">
      <c r="C74" t="s">
        <v>49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2:25">
      <c r="C75" t="s">
        <v>50</v>
      </c>
      <c r="E75" s="4">
        <f>-E70</f>
        <v>0</v>
      </c>
      <c r="F75" s="4">
        <f t="shared" ref="F75:X75" si="123">-F70</f>
        <v>0</v>
      </c>
      <c r="G75" s="4">
        <f t="shared" si="123"/>
        <v>0</v>
      </c>
      <c r="H75" s="4">
        <f t="shared" si="123"/>
        <v>0</v>
      </c>
      <c r="I75" s="4">
        <f t="shared" si="123"/>
        <v>0</v>
      </c>
      <c r="J75" s="4">
        <f t="shared" si="123"/>
        <v>0</v>
      </c>
      <c r="K75" s="4">
        <f t="shared" si="123"/>
        <v>0</v>
      </c>
      <c r="L75" s="4">
        <f t="shared" si="123"/>
        <v>0</v>
      </c>
      <c r="M75" s="4">
        <f t="shared" si="123"/>
        <v>0</v>
      </c>
      <c r="N75" s="4">
        <f t="shared" si="123"/>
        <v>0</v>
      </c>
      <c r="O75" s="4">
        <f t="shared" si="123"/>
        <v>0.96890546640126096</v>
      </c>
      <c r="P75" s="4">
        <f t="shared" si="123"/>
        <v>0.96890546640126096</v>
      </c>
      <c r="Q75" s="4">
        <f t="shared" si="123"/>
        <v>0.96890546640126096</v>
      </c>
      <c r="R75" s="4">
        <f t="shared" ref="R75:T75" si="124">-R70</f>
        <v>0.96890546640126096</v>
      </c>
      <c r="S75" s="4">
        <f t="shared" si="124"/>
        <v>0.96890546640126096</v>
      </c>
      <c r="T75" s="4">
        <f t="shared" si="124"/>
        <v>0.96890546640126096</v>
      </c>
      <c r="U75" s="4">
        <f t="shared" si="123"/>
        <v>0.96890546640126096</v>
      </c>
      <c r="V75" s="4">
        <f t="shared" si="123"/>
        <v>0.70710678118654746</v>
      </c>
      <c r="W75" s="4">
        <f t="shared" si="123"/>
        <v>8.7266451523521776E-4</v>
      </c>
      <c r="X75" s="4">
        <f t="shared" si="123"/>
        <v>0</v>
      </c>
      <c r="Y75" s="4">
        <f t="shared" ref="Y75" si="125">-Y70</f>
        <v>0</v>
      </c>
    </row>
    <row r="76" spans="2:25">
      <c r="C76" t="s">
        <v>51</v>
      </c>
      <c r="E76" s="4">
        <f>E71</f>
        <v>1</v>
      </c>
      <c r="F76" s="4">
        <f t="shared" ref="F76:X76" si="126">F71</f>
        <v>1</v>
      </c>
      <c r="G76" s="4">
        <f t="shared" si="126"/>
        <v>1</v>
      </c>
      <c r="H76" s="4">
        <f t="shared" si="126"/>
        <v>1</v>
      </c>
      <c r="I76" s="4">
        <f t="shared" si="126"/>
        <v>1</v>
      </c>
      <c r="J76" s="4">
        <f t="shared" si="126"/>
        <v>1</v>
      </c>
      <c r="K76" s="4">
        <f t="shared" si="126"/>
        <v>1</v>
      </c>
      <c r="L76" s="4">
        <f t="shared" si="126"/>
        <v>1</v>
      </c>
      <c r="M76" s="4">
        <f t="shared" si="126"/>
        <v>1</v>
      </c>
      <c r="N76" s="4">
        <f t="shared" si="126"/>
        <v>1</v>
      </c>
      <c r="O76" s="4">
        <f t="shared" si="126"/>
        <v>0.24743119685632814</v>
      </c>
      <c r="P76" s="4">
        <f t="shared" si="126"/>
        <v>0.24743119685632814</v>
      </c>
      <c r="Q76" s="4">
        <f t="shared" si="126"/>
        <v>0.24743119685632814</v>
      </c>
      <c r="R76" s="4">
        <f t="shared" ref="R76:T76" si="127">R71</f>
        <v>0.24743119685632814</v>
      </c>
      <c r="S76" s="4">
        <f t="shared" si="127"/>
        <v>0.24743119685632814</v>
      </c>
      <c r="T76" s="4">
        <f t="shared" si="127"/>
        <v>0.24743119685632814</v>
      </c>
      <c r="U76" s="4">
        <f t="shared" si="126"/>
        <v>0.24743119685632814</v>
      </c>
      <c r="V76" s="4">
        <f t="shared" si="126"/>
        <v>0.70710678118654757</v>
      </c>
      <c r="W76" s="4">
        <f t="shared" si="126"/>
        <v>-0.99999961922824943</v>
      </c>
      <c r="X76" s="4">
        <f t="shared" si="126"/>
        <v>1</v>
      </c>
      <c r="Y76" s="4">
        <f t="shared" ref="Y76" si="128">Y71</f>
        <v>1</v>
      </c>
    </row>
    <row r="77" spans="2:25">
      <c r="C77" t="s">
        <v>52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2:25">
      <c r="C78" t="s">
        <v>53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2:25">
      <c r="C79" t="s">
        <v>54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</row>
    <row r="80" spans="2:25">
      <c r="C80" t="s">
        <v>55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</row>
    <row r="81" spans="2:25">
      <c r="B81" t="s">
        <v>62</v>
      </c>
      <c r="E81" s="4">
        <f>90+E33</f>
        <v>90</v>
      </c>
      <c r="F81" s="4">
        <f t="shared" ref="F81:X81" si="129">90+F33</f>
        <v>90</v>
      </c>
      <c r="G81" s="4">
        <f t="shared" si="129"/>
        <v>90</v>
      </c>
      <c r="H81" s="4">
        <f t="shared" si="129"/>
        <v>90</v>
      </c>
      <c r="I81" s="4">
        <f t="shared" si="129"/>
        <v>90</v>
      </c>
      <c r="J81" s="4">
        <f t="shared" si="129"/>
        <v>90</v>
      </c>
      <c r="K81" s="4">
        <f t="shared" si="129"/>
        <v>90</v>
      </c>
      <c r="L81" s="4">
        <f t="shared" si="129"/>
        <v>90</v>
      </c>
      <c r="M81" s="4">
        <f t="shared" si="129"/>
        <v>90</v>
      </c>
      <c r="N81" s="4">
        <f t="shared" si="129"/>
        <v>90</v>
      </c>
      <c r="O81" s="4">
        <f t="shared" si="129"/>
        <v>126.01916666666666</v>
      </c>
      <c r="P81" s="4">
        <f t="shared" si="129"/>
        <v>126.01916666666666</v>
      </c>
      <c r="Q81" s="4">
        <f t="shared" si="129"/>
        <v>126.01916666666666</v>
      </c>
      <c r="R81" s="4">
        <f t="shared" ref="R81:T81" si="130">90+R33</f>
        <v>126.01916666666666</v>
      </c>
      <c r="S81" s="4">
        <f t="shared" si="130"/>
        <v>126.01916666666666</v>
      </c>
      <c r="T81" s="4">
        <f t="shared" si="130"/>
        <v>126.01916666666666</v>
      </c>
      <c r="U81" s="4">
        <f t="shared" si="129"/>
        <v>126.01916666666666</v>
      </c>
      <c r="V81" s="4">
        <f t="shared" si="129"/>
        <v>179.95</v>
      </c>
      <c r="W81" s="4">
        <f t="shared" si="129"/>
        <v>90</v>
      </c>
      <c r="X81" s="4">
        <f t="shared" si="129"/>
        <v>90</v>
      </c>
      <c r="Y81" s="4">
        <f t="shared" ref="Y81" si="131">90+Y33</f>
        <v>90</v>
      </c>
    </row>
    <row r="82" spans="2:25">
      <c r="B82" t="s">
        <v>56</v>
      </c>
      <c r="E82" s="4">
        <f>COS(E81*PI()/180)</f>
        <v>6.1257422745431001E-17</v>
      </c>
      <c r="F82" s="4">
        <f t="shared" ref="F82:Y82" si="132">COS(F81*PI()/180)</f>
        <v>6.1257422745431001E-17</v>
      </c>
      <c r="G82" s="4">
        <f t="shared" si="132"/>
        <v>6.1257422745431001E-17</v>
      </c>
      <c r="H82" s="4">
        <f t="shared" si="132"/>
        <v>6.1257422745431001E-17</v>
      </c>
      <c r="I82" s="4">
        <f t="shared" si="132"/>
        <v>6.1257422745431001E-17</v>
      </c>
      <c r="J82" s="4">
        <f t="shared" si="132"/>
        <v>6.1257422745431001E-17</v>
      </c>
      <c r="K82" s="4">
        <f t="shared" si="132"/>
        <v>6.1257422745431001E-17</v>
      </c>
      <c r="L82" s="4">
        <f t="shared" si="132"/>
        <v>6.1257422745431001E-17</v>
      </c>
      <c r="M82" s="4">
        <f t="shared" si="132"/>
        <v>6.1257422745431001E-17</v>
      </c>
      <c r="N82" s="4">
        <f t="shared" si="132"/>
        <v>6.1257422745431001E-17</v>
      </c>
      <c r="O82" s="4">
        <f t="shared" si="132"/>
        <v>-0.58805585292940576</v>
      </c>
      <c r="P82" s="4">
        <f t="shared" si="132"/>
        <v>-0.58805585292940576</v>
      </c>
      <c r="Q82" s="4">
        <f t="shared" si="132"/>
        <v>-0.58805585292940576</v>
      </c>
      <c r="R82" s="4">
        <f t="shared" ref="R82:T82" si="133">COS(R81*PI()/180)</f>
        <v>-0.58805585292940576</v>
      </c>
      <c r="S82" s="4">
        <f t="shared" si="133"/>
        <v>-0.58805585292940576</v>
      </c>
      <c r="T82" s="4">
        <f t="shared" si="133"/>
        <v>-0.58805585292940576</v>
      </c>
      <c r="U82" s="4">
        <f t="shared" si="132"/>
        <v>-0.58805585292940576</v>
      </c>
      <c r="V82" s="4">
        <f t="shared" si="132"/>
        <v>-0.99999961922824943</v>
      </c>
      <c r="W82" s="4">
        <f t="shared" si="132"/>
        <v>6.1257422745431001E-17</v>
      </c>
      <c r="X82" s="4">
        <f t="shared" si="132"/>
        <v>6.1257422745431001E-17</v>
      </c>
      <c r="Y82" s="4">
        <f t="shared" si="132"/>
        <v>6.1257422745431001E-17</v>
      </c>
    </row>
    <row r="83" spans="2:25">
      <c r="B83" t="s">
        <v>57</v>
      </c>
      <c r="E83" s="4">
        <f>SIN(E81*PI()/180)</f>
        <v>1</v>
      </c>
      <c r="F83" s="4">
        <f t="shared" ref="F83:X83" si="134">SIN(F81*PI()/180)</f>
        <v>1</v>
      </c>
      <c r="G83" s="4">
        <f t="shared" si="134"/>
        <v>1</v>
      </c>
      <c r="H83" s="4">
        <f t="shared" si="134"/>
        <v>1</v>
      </c>
      <c r="I83" s="4">
        <f t="shared" si="134"/>
        <v>1</v>
      </c>
      <c r="J83" s="4">
        <f t="shared" si="134"/>
        <v>1</v>
      </c>
      <c r="K83" s="4">
        <f t="shared" si="134"/>
        <v>1</v>
      </c>
      <c r="L83" s="4">
        <f t="shared" si="134"/>
        <v>1</v>
      </c>
      <c r="M83" s="4">
        <f t="shared" si="134"/>
        <v>1</v>
      </c>
      <c r="N83" s="4">
        <f t="shared" si="134"/>
        <v>1</v>
      </c>
      <c r="O83" s="4">
        <f t="shared" si="134"/>
        <v>0.80882032234326873</v>
      </c>
      <c r="P83" s="4">
        <f t="shared" si="134"/>
        <v>0.80882032234326873</v>
      </c>
      <c r="Q83" s="4">
        <f t="shared" si="134"/>
        <v>0.80882032234326873</v>
      </c>
      <c r="R83" s="4">
        <f t="shared" ref="R83:T83" si="135">SIN(R81*PI()/180)</f>
        <v>0.80882032234326873</v>
      </c>
      <c r="S83" s="4">
        <f t="shared" si="135"/>
        <v>0.80882032234326873</v>
      </c>
      <c r="T83" s="4">
        <f t="shared" si="135"/>
        <v>0.80882032234326873</v>
      </c>
      <c r="U83" s="4">
        <f t="shared" si="134"/>
        <v>0.80882032234326873</v>
      </c>
      <c r="V83" s="4">
        <f t="shared" si="134"/>
        <v>8.7266451523521776E-4</v>
      </c>
      <c r="W83" s="4">
        <f t="shared" si="134"/>
        <v>1</v>
      </c>
      <c r="X83" s="4">
        <f t="shared" si="134"/>
        <v>1</v>
      </c>
      <c r="Y83" s="4">
        <f t="shared" ref="Y83" si="136">SIN(Y81*PI()/180)</f>
        <v>1</v>
      </c>
    </row>
    <row r="84" spans="2:25">
      <c r="B84" t="s">
        <v>58</v>
      </c>
      <c r="C84" t="s">
        <v>47</v>
      </c>
      <c r="E84" s="4">
        <f>E82</f>
        <v>6.1257422745431001E-17</v>
      </c>
      <c r="F84" s="4">
        <f t="shared" ref="F84:X84" si="137">F82</f>
        <v>6.1257422745431001E-17</v>
      </c>
      <c r="G84" s="4">
        <f t="shared" si="137"/>
        <v>6.1257422745431001E-17</v>
      </c>
      <c r="H84" s="4">
        <f t="shared" si="137"/>
        <v>6.1257422745431001E-17</v>
      </c>
      <c r="I84" s="4">
        <f t="shared" si="137"/>
        <v>6.1257422745431001E-17</v>
      </c>
      <c r="J84" s="4">
        <f t="shared" si="137"/>
        <v>6.1257422745431001E-17</v>
      </c>
      <c r="K84" s="4">
        <f t="shared" si="137"/>
        <v>6.1257422745431001E-17</v>
      </c>
      <c r="L84" s="4">
        <f t="shared" si="137"/>
        <v>6.1257422745431001E-17</v>
      </c>
      <c r="M84" s="4">
        <f t="shared" si="137"/>
        <v>6.1257422745431001E-17</v>
      </c>
      <c r="N84" s="4">
        <f t="shared" si="137"/>
        <v>6.1257422745431001E-17</v>
      </c>
      <c r="O84" s="4">
        <f t="shared" si="137"/>
        <v>-0.58805585292940576</v>
      </c>
      <c r="P84" s="4">
        <f t="shared" si="137"/>
        <v>-0.58805585292940576</v>
      </c>
      <c r="Q84" s="4">
        <f t="shared" si="137"/>
        <v>-0.58805585292940576</v>
      </c>
      <c r="R84" s="4">
        <f t="shared" ref="R84:T84" si="138">R82</f>
        <v>-0.58805585292940576</v>
      </c>
      <c r="S84" s="4">
        <f t="shared" si="138"/>
        <v>-0.58805585292940576</v>
      </c>
      <c r="T84" s="4">
        <f t="shared" si="138"/>
        <v>-0.58805585292940576</v>
      </c>
      <c r="U84" s="4">
        <f t="shared" si="137"/>
        <v>-0.58805585292940576</v>
      </c>
      <c r="V84" s="4">
        <f t="shared" si="137"/>
        <v>-0.99999961922824943</v>
      </c>
      <c r="W84" s="4">
        <f t="shared" si="137"/>
        <v>6.1257422745431001E-17</v>
      </c>
      <c r="X84" s="4">
        <f t="shared" si="137"/>
        <v>6.1257422745431001E-17</v>
      </c>
      <c r="Y84" s="4">
        <f t="shared" ref="Y84" si="139">Y82</f>
        <v>6.1257422745431001E-17</v>
      </c>
    </row>
    <row r="85" spans="2:25">
      <c r="C85" t="s">
        <v>48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</row>
    <row r="86" spans="2:25">
      <c r="C86" t="s">
        <v>49</v>
      </c>
      <c r="E86" s="4">
        <f>E83</f>
        <v>1</v>
      </c>
      <c r="F86" s="4">
        <f t="shared" ref="F86:X86" si="140">F83</f>
        <v>1</v>
      </c>
      <c r="G86" s="4">
        <f t="shared" si="140"/>
        <v>1</v>
      </c>
      <c r="H86" s="4">
        <f t="shared" si="140"/>
        <v>1</v>
      </c>
      <c r="I86" s="4">
        <f t="shared" si="140"/>
        <v>1</v>
      </c>
      <c r="J86" s="4">
        <f t="shared" si="140"/>
        <v>1</v>
      </c>
      <c r="K86" s="4">
        <f t="shared" si="140"/>
        <v>1</v>
      </c>
      <c r="L86" s="4">
        <f t="shared" si="140"/>
        <v>1</v>
      </c>
      <c r="M86" s="4">
        <f t="shared" si="140"/>
        <v>1</v>
      </c>
      <c r="N86" s="4">
        <f t="shared" si="140"/>
        <v>1</v>
      </c>
      <c r="O86" s="4">
        <f t="shared" si="140"/>
        <v>0.80882032234326873</v>
      </c>
      <c r="P86" s="4">
        <f t="shared" si="140"/>
        <v>0.80882032234326873</v>
      </c>
      <c r="Q86" s="4">
        <f t="shared" si="140"/>
        <v>0.80882032234326873</v>
      </c>
      <c r="R86" s="4">
        <f t="shared" ref="R86:T86" si="141">R83</f>
        <v>0.80882032234326873</v>
      </c>
      <c r="S86" s="4">
        <f t="shared" si="141"/>
        <v>0.80882032234326873</v>
      </c>
      <c r="T86" s="4">
        <f t="shared" si="141"/>
        <v>0.80882032234326873</v>
      </c>
      <c r="U86" s="4">
        <f t="shared" si="140"/>
        <v>0.80882032234326873</v>
      </c>
      <c r="V86" s="4">
        <f t="shared" si="140"/>
        <v>8.7266451523521776E-4</v>
      </c>
      <c r="W86" s="4">
        <f t="shared" si="140"/>
        <v>1</v>
      </c>
      <c r="X86" s="4">
        <f t="shared" si="140"/>
        <v>1</v>
      </c>
      <c r="Y86" s="4">
        <f t="shared" ref="Y86" si="142">Y83</f>
        <v>1</v>
      </c>
    </row>
    <row r="87" spans="2:25">
      <c r="C87" t="s">
        <v>50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2:25">
      <c r="C88" t="s">
        <v>51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</row>
    <row r="89" spans="2:25">
      <c r="C89" t="s">
        <v>52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2:25">
      <c r="C90" t="s">
        <v>53</v>
      </c>
      <c r="E90" s="4">
        <f>-E83</f>
        <v>-1</v>
      </c>
      <c r="F90" s="4">
        <f t="shared" ref="F90:X90" si="143">-F83</f>
        <v>-1</v>
      </c>
      <c r="G90" s="4">
        <f t="shared" si="143"/>
        <v>-1</v>
      </c>
      <c r="H90" s="4">
        <f t="shared" si="143"/>
        <v>-1</v>
      </c>
      <c r="I90" s="4">
        <f t="shared" si="143"/>
        <v>-1</v>
      </c>
      <c r="J90" s="4">
        <f t="shared" si="143"/>
        <v>-1</v>
      </c>
      <c r="K90" s="4">
        <f t="shared" si="143"/>
        <v>-1</v>
      </c>
      <c r="L90" s="4">
        <f t="shared" si="143"/>
        <v>-1</v>
      </c>
      <c r="M90" s="4">
        <f t="shared" si="143"/>
        <v>-1</v>
      </c>
      <c r="N90" s="4">
        <f t="shared" si="143"/>
        <v>-1</v>
      </c>
      <c r="O90" s="4">
        <f t="shared" si="143"/>
        <v>-0.80882032234326873</v>
      </c>
      <c r="P90" s="4">
        <f t="shared" si="143"/>
        <v>-0.80882032234326873</v>
      </c>
      <c r="Q90" s="4">
        <f t="shared" si="143"/>
        <v>-0.80882032234326873</v>
      </c>
      <c r="R90" s="4">
        <f t="shared" ref="R90:T90" si="144">-R83</f>
        <v>-0.80882032234326873</v>
      </c>
      <c r="S90" s="4">
        <f t="shared" si="144"/>
        <v>-0.80882032234326873</v>
      </c>
      <c r="T90" s="4">
        <f t="shared" si="144"/>
        <v>-0.80882032234326873</v>
      </c>
      <c r="U90" s="4">
        <f t="shared" si="143"/>
        <v>-0.80882032234326873</v>
      </c>
      <c r="V90" s="4">
        <f t="shared" si="143"/>
        <v>-8.7266451523521776E-4</v>
      </c>
      <c r="W90" s="4">
        <f t="shared" si="143"/>
        <v>-1</v>
      </c>
      <c r="X90" s="4">
        <f t="shared" si="143"/>
        <v>-1</v>
      </c>
      <c r="Y90" s="4">
        <f t="shared" ref="Y90" si="145">-Y83</f>
        <v>-1</v>
      </c>
    </row>
    <row r="91" spans="2:25">
      <c r="C91" t="s">
        <v>54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</row>
    <row r="92" spans="2:25">
      <c r="C92" t="s">
        <v>55</v>
      </c>
      <c r="E92" s="4">
        <f>E82</f>
        <v>6.1257422745431001E-17</v>
      </c>
      <c r="F92" s="4">
        <f t="shared" ref="F92:X92" si="146">F82</f>
        <v>6.1257422745431001E-17</v>
      </c>
      <c r="G92" s="4">
        <f t="shared" si="146"/>
        <v>6.1257422745431001E-17</v>
      </c>
      <c r="H92" s="4">
        <f t="shared" si="146"/>
        <v>6.1257422745431001E-17</v>
      </c>
      <c r="I92" s="4">
        <f t="shared" si="146"/>
        <v>6.1257422745431001E-17</v>
      </c>
      <c r="J92" s="4">
        <f t="shared" si="146"/>
        <v>6.1257422745431001E-17</v>
      </c>
      <c r="K92" s="4">
        <f t="shared" si="146"/>
        <v>6.1257422745431001E-17</v>
      </c>
      <c r="L92" s="4">
        <f t="shared" si="146"/>
        <v>6.1257422745431001E-17</v>
      </c>
      <c r="M92" s="4">
        <f t="shared" si="146"/>
        <v>6.1257422745431001E-17</v>
      </c>
      <c r="N92" s="4">
        <f t="shared" si="146"/>
        <v>6.1257422745431001E-17</v>
      </c>
      <c r="O92" s="4">
        <f t="shared" si="146"/>
        <v>-0.58805585292940576</v>
      </c>
      <c r="P92" s="4">
        <f t="shared" si="146"/>
        <v>-0.58805585292940576</v>
      </c>
      <c r="Q92" s="4">
        <f t="shared" si="146"/>
        <v>-0.58805585292940576</v>
      </c>
      <c r="R92" s="4">
        <f t="shared" ref="R92:T92" si="147">R82</f>
        <v>-0.58805585292940576</v>
      </c>
      <c r="S92" s="4">
        <f t="shared" si="147"/>
        <v>-0.58805585292940576</v>
      </c>
      <c r="T92" s="4">
        <f t="shared" si="147"/>
        <v>-0.58805585292940576</v>
      </c>
      <c r="U92" s="4">
        <f t="shared" si="146"/>
        <v>-0.58805585292940576</v>
      </c>
      <c r="V92" s="4">
        <f t="shared" si="146"/>
        <v>-0.99999961922824943</v>
      </c>
      <c r="W92" s="4">
        <f t="shared" si="146"/>
        <v>6.1257422745431001E-17</v>
      </c>
      <c r="X92" s="4">
        <f t="shared" si="146"/>
        <v>6.1257422745431001E-17</v>
      </c>
      <c r="Y92" s="4">
        <f t="shared" ref="Y92" si="148">Y82</f>
        <v>6.1257422745431001E-17</v>
      </c>
    </row>
    <row r="93" spans="2:25">
      <c r="B93" t="s">
        <v>71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2:25">
      <c r="B94" t="s">
        <v>59</v>
      </c>
      <c r="C94" t="s">
        <v>47</v>
      </c>
      <c r="E94" s="4">
        <f>E84*E72+E85*E75+E86*E78</f>
        <v>6.1257422745431001E-17</v>
      </c>
      <c r="F94" s="4">
        <f t="shared" ref="F94:X94" si="149">F84*F72+F85*F75+F86*F78</f>
        <v>6.1257422745431001E-17</v>
      </c>
      <c r="G94" s="4">
        <f t="shared" si="149"/>
        <v>6.1257422745431001E-17</v>
      </c>
      <c r="H94" s="4">
        <f t="shared" si="149"/>
        <v>6.1257422745431001E-17</v>
      </c>
      <c r="I94" s="4">
        <f t="shared" si="149"/>
        <v>6.1257422745431001E-17</v>
      </c>
      <c r="J94" s="4">
        <f t="shared" si="149"/>
        <v>6.1257422745431001E-17</v>
      </c>
      <c r="K94" s="4">
        <f t="shared" si="149"/>
        <v>6.1257422745431001E-17</v>
      </c>
      <c r="L94" s="4">
        <f t="shared" si="149"/>
        <v>6.1257422745431001E-17</v>
      </c>
      <c r="M94" s="4">
        <f t="shared" si="149"/>
        <v>6.1257422745431001E-17</v>
      </c>
      <c r="N94" s="4">
        <f t="shared" si="149"/>
        <v>6.1257422745431001E-17</v>
      </c>
      <c r="O94" s="4">
        <f t="shared" si="149"/>
        <v>-0.14550336350869175</v>
      </c>
      <c r="P94" s="4">
        <f t="shared" si="149"/>
        <v>-0.14550336350869175</v>
      </c>
      <c r="Q94" s="4">
        <f t="shared" si="149"/>
        <v>-0.14550336350869175</v>
      </c>
      <c r="R94" s="4">
        <f t="shared" ref="R94:T94" si="150">R84*R72+R85*R75+R86*R78</f>
        <v>-0.14550336350869175</v>
      </c>
      <c r="S94" s="4">
        <f t="shared" si="150"/>
        <v>-0.14550336350869175</v>
      </c>
      <c r="T94" s="4">
        <f t="shared" si="150"/>
        <v>-0.14550336350869175</v>
      </c>
      <c r="U94" s="4">
        <f t="shared" si="149"/>
        <v>-0.14550336350869175</v>
      </c>
      <c r="V94" s="4">
        <f t="shared" si="149"/>
        <v>-0.70710651194026064</v>
      </c>
      <c r="W94" s="4">
        <f t="shared" si="149"/>
        <v>-6.1257399420334908E-17</v>
      </c>
      <c r="X94" s="4">
        <f t="shared" si="149"/>
        <v>6.1257422745431001E-17</v>
      </c>
      <c r="Y94" s="4">
        <f t="shared" ref="Y94" si="151">Y84*Y72+Y85*Y75+Y86*Y78</f>
        <v>6.1257422745431001E-17</v>
      </c>
    </row>
    <row r="95" spans="2:25">
      <c r="C95" t="s">
        <v>48</v>
      </c>
      <c r="E95" s="4">
        <f>E84*E73+E85*E76+E86*E79</f>
        <v>0</v>
      </c>
      <c r="F95" s="4">
        <f t="shared" ref="F95:X95" si="152">F84*F73+F85*F76+F86*F79</f>
        <v>0</v>
      </c>
      <c r="G95" s="4">
        <f t="shared" si="152"/>
        <v>0</v>
      </c>
      <c r="H95" s="4">
        <f t="shared" si="152"/>
        <v>0</v>
      </c>
      <c r="I95" s="4">
        <f t="shared" si="152"/>
        <v>0</v>
      </c>
      <c r="J95" s="4">
        <f t="shared" si="152"/>
        <v>0</v>
      </c>
      <c r="K95" s="4">
        <f t="shared" si="152"/>
        <v>0</v>
      </c>
      <c r="L95" s="4">
        <f t="shared" si="152"/>
        <v>0</v>
      </c>
      <c r="M95" s="4">
        <f t="shared" si="152"/>
        <v>0</v>
      </c>
      <c r="N95" s="4">
        <f t="shared" si="152"/>
        <v>0</v>
      </c>
      <c r="O95" s="4">
        <f t="shared" si="152"/>
        <v>0.56977053045255721</v>
      </c>
      <c r="P95" s="4">
        <f t="shared" si="152"/>
        <v>0.56977053045255721</v>
      </c>
      <c r="Q95" s="4">
        <f t="shared" si="152"/>
        <v>0.56977053045255721</v>
      </c>
      <c r="R95" s="4">
        <f t="shared" ref="R95:T95" si="153">R84*R73+R85*R76+R86*R79</f>
        <v>0.56977053045255721</v>
      </c>
      <c r="S95" s="4">
        <f t="shared" si="153"/>
        <v>0.56977053045255721</v>
      </c>
      <c r="T95" s="4">
        <f t="shared" si="153"/>
        <v>0.56977053045255721</v>
      </c>
      <c r="U95" s="4">
        <f t="shared" si="152"/>
        <v>0.56977053045255721</v>
      </c>
      <c r="V95" s="4">
        <f t="shared" si="152"/>
        <v>0.70710651194026053</v>
      </c>
      <c r="W95" s="4">
        <f t="shared" si="152"/>
        <v>-5.3457179124700349E-20</v>
      </c>
      <c r="X95" s="4">
        <f t="shared" si="152"/>
        <v>0</v>
      </c>
      <c r="Y95" s="4">
        <f t="shared" ref="Y95" si="154">Y84*Y73+Y85*Y76+Y86*Y79</f>
        <v>0</v>
      </c>
    </row>
    <row r="96" spans="2:25">
      <c r="C96" t="s">
        <v>49</v>
      </c>
      <c r="E96" s="4">
        <f>E84*E74+E85*E77+E86*E80</f>
        <v>1</v>
      </c>
      <c r="F96" s="4">
        <f t="shared" ref="F96:X96" si="155">F84*F74+F85*F77+F86*F80</f>
        <v>1</v>
      </c>
      <c r="G96" s="4">
        <f t="shared" si="155"/>
        <v>1</v>
      </c>
      <c r="H96" s="4">
        <f t="shared" si="155"/>
        <v>1</v>
      </c>
      <c r="I96" s="4">
        <f t="shared" si="155"/>
        <v>1</v>
      </c>
      <c r="J96" s="4">
        <f t="shared" si="155"/>
        <v>1</v>
      </c>
      <c r="K96" s="4">
        <f t="shared" si="155"/>
        <v>1</v>
      </c>
      <c r="L96" s="4">
        <f t="shared" si="155"/>
        <v>1</v>
      </c>
      <c r="M96" s="4">
        <f t="shared" si="155"/>
        <v>1</v>
      </c>
      <c r="N96" s="4">
        <f t="shared" si="155"/>
        <v>1</v>
      </c>
      <c r="O96" s="4">
        <f t="shared" si="155"/>
        <v>0.80882032234326873</v>
      </c>
      <c r="P96" s="4">
        <f t="shared" si="155"/>
        <v>0.80882032234326873</v>
      </c>
      <c r="Q96" s="4">
        <f t="shared" si="155"/>
        <v>0.80882032234326873</v>
      </c>
      <c r="R96" s="4">
        <f t="shared" ref="R96:T96" si="156">R84*R74+R85*R77+R86*R80</f>
        <v>0.80882032234326873</v>
      </c>
      <c r="S96" s="4">
        <f t="shared" si="156"/>
        <v>0.80882032234326873</v>
      </c>
      <c r="T96" s="4">
        <f t="shared" si="156"/>
        <v>0.80882032234326873</v>
      </c>
      <c r="U96" s="4">
        <f t="shared" si="155"/>
        <v>0.80882032234326873</v>
      </c>
      <c r="V96" s="4">
        <f t="shared" si="155"/>
        <v>8.7266451523521776E-4</v>
      </c>
      <c r="W96" s="4">
        <f t="shared" si="155"/>
        <v>1</v>
      </c>
      <c r="X96" s="4">
        <f t="shared" si="155"/>
        <v>1</v>
      </c>
      <c r="Y96" s="4">
        <f t="shared" ref="Y96" si="157">Y84*Y74+Y85*Y77+Y86*Y80</f>
        <v>1</v>
      </c>
    </row>
    <row r="97" spans="2:25">
      <c r="C97" t="s">
        <v>50</v>
      </c>
      <c r="E97" s="4">
        <f>E87*E72+E88*E75+E89*E78</f>
        <v>0</v>
      </c>
      <c r="F97" s="4">
        <f t="shared" ref="F97:X97" si="158">F87*F72+F88*F75+F89*F78</f>
        <v>0</v>
      </c>
      <c r="G97" s="4">
        <f t="shared" si="158"/>
        <v>0</v>
      </c>
      <c r="H97" s="4">
        <f t="shared" si="158"/>
        <v>0</v>
      </c>
      <c r="I97" s="4">
        <f t="shared" si="158"/>
        <v>0</v>
      </c>
      <c r="J97" s="4">
        <f t="shared" si="158"/>
        <v>0</v>
      </c>
      <c r="K97" s="4">
        <f t="shared" si="158"/>
        <v>0</v>
      </c>
      <c r="L97" s="4">
        <f t="shared" si="158"/>
        <v>0</v>
      </c>
      <c r="M97" s="4">
        <f t="shared" si="158"/>
        <v>0</v>
      </c>
      <c r="N97" s="4">
        <f t="shared" si="158"/>
        <v>0</v>
      </c>
      <c r="O97" s="4">
        <f t="shared" si="158"/>
        <v>0.96890546640126096</v>
      </c>
      <c r="P97" s="4">
        <f t="shared" si="158"/>
        <v>0.96890546640126096</v>
      </c>
      <c r="Q97" s="4">
        <f t="shared" si="158"/>
        <v>0.96890546640126096</v>
      </c>
      <c r="R97" s="4">
        <f t="shared" ref="R97:T97" si="159">R87*R72+R88*R75+R89*R78</f>
        <v>0.96890546640126096</v>
      </c>
      <c r="S97" s="4">
        <f t="shared" si="159"/>
        <v>0.96890546640126096</v>
      </c>
      <c r="T97" s="4">
        <f t="shared" si="159"/>
        <v>0.96890546640126096</v>
      </c>
      <c r="U97" s="4">
        <f t="shared" si="158"/>
        <v>0.96890546640126096</v>
      </c>
      <c r="V97" s="4">
        <f t="shared" si="158"/>
        <v>0.70710678118654746</v>
      </c>
      <c r="W97" s="4">
        <f t="shared" si="158"/>
        <v>8.7266451523521776E-4</v>
      </c>
      <c r="X97" s="4">
        <f t="shared" si="158"/>
        <v>0</v>
      </c>
      <c r="Y97" s="4">
        <f t="shared" ref="Y97" si="160">Y87*Y72+Y88*Y75+Y89*Y78</f>
        <v>0</v>
      </c>
    </row>
    <row r="98" spans="2:25">
      <c r="C98" t="s">
        <v>51</v>
      </c>
      <c r="E98" s="4">
        <f>E87*E73+E88*E76+E89*E79</f>
        <v>1</v>
      </c>
      <c r="F98" s="4">
        <f t="shared" ref="F98:X98" si="161">F87*F73+F88*F76+F89*F79</f>
        <v>1</v>
      </c>
      <c r="G98" s="4">
        <f t="shared" si="161"/>
        <v>1</v>
      </c>
      <c r="H98" s="4">
        <f t="shared" si="161"/>
        <v>1</v>
      </c>
      <c r="I98" s="4">
        <f t="shared" si="161"/>
        <v>1</v>
      </c>
      <c r="J98" s="4">
        <f t="shared" si="161"/>
        <v>1</v>
      </c>
      <c r="K98" s="4">
        <f t="shared" si="161"/>
        <v>1</v>
      </c>
      <c r="L98" s="4">
        <f t="shared" si="161"/>
        <v>1</v>
      </c>
      <c r="M98" s="4">
        <f t="shared" si="161"/>
        <v>1</v>
      </c>
      <c r="N98" s="4">
        <f t="shared" si="161"/>
        <v>1</v>
      </c>
      <c r="O98" s="4">
        <f t="shared" si="161"/>
        <v>0.24743119685632814</v>
      </c>
      <c r="P98" s="4">
        <f t="shared" si="161"/>
        <v>0.24743119685632814</v>
      </c>
      <c r="Q98" s="4">
        <f t="shared" si="161"/>
        <v>0.24743119685632814</v>
      </c>
      <c r="R98" s="4">
        <f t="shared" ref="R98:T98" si="162">R87*R73+R88*R76+R89*R79</f>
        <v>0.24743119685632814</v>
      </c>
      <c r="S98" s="4">
        <f t="shared" si="162"/>
        <v>0.24743119685632814</v>
      </c>
      <c r="T98" s="4">
        <f t="shared" si="162"/>
        <v>0.24743119685632814</v>
      </c>
      <c r="U98" s="4">
        <f t="shared" si="161"/>
        <v>0.24743119685632814</v>
      </c>
      <c r="V98" s="4">
        <f t="shared" si="161"/>
        <v>0.70710678118654757</v>
      </c>
      <c r="W98" s="4">
        <f t="shared" si="161"/>
        <v>-0.99999961922824943</v>
      </c>
      <c r="X98" s="4">
        <f t="shared" si="161"/>
        <v>1</v>
      </c>
      <c r="Y98" s="4">
        <f t="shared" ref="Y98" si="163">Y87*Y73+Y88*Y76+Y89*Y79</f>
        <v>1</v>
      </c>
    </row>
    <row r="99" spans="2:25">
      <c r="C99" t="s">
        <v>52</v>
      </c>
      <c r="E99" s="4">
        <f>E87*E74+E88*E77+E89*E80</f>
        <v>0</v>
      </c>
      <c r="F99" s="4">
        <f t="shared" ref="F99:X99" si="164">F87*F74+F88*F77+F89*F80</f>
        <v>0</v>
      </c>
      <c r="G99" s="4">
        <f t="shared" si="164"/>
        <v>0</v>
      </c>
      <c r="H99" s="4">
        <f t="shared" si="164"/>
        <v>0</v>
      </c>
      <c r="I99" s="4">
        <f t="shared" si="164"/>
        <v>0</v>
      </c>
      <c r="J99" s="4">
        <f t="shared" si="164"/>
        <v>0</v>
      </c>
      <c r="K99" s="4">
        <f t="shared" si="164"/>
        <v>0</v>
      </c>
      <c r="L99" s="4">
        <f t="shared" si="164"/>
        <v>0</v>
      </c>
      <c r="M99" s="4">
        <f t="shared" si="164"/>
        <v>0</v>
      </c>
      <c r="N99" s="4">
        <f t="shared" si="164"/>
        <v>0</v>
      </c>
      <c r="O99" s="4">
        <f t="shared" si="164"/>
        <v>0</v>
      </c>
      <c r="P99" s="4">
        <f t="shared" si="164"/>
        <v>0</v>
      </c>
      <c r="Q99" s="4">
        <f t="shared" si="164"/>
        <v>0</v>
      </c>
      <c r="R99" s="4">
        <f t="shared" ref="R99:T99" si="165">R87*R74+R88*R77+R89*R80</f>
        <v>0</v>
      </c>
      <c r="S99" s="4">
        <f t="shared" si="165"/>
        <v>0</v>
      </c>
      <c r="T99" s="4">
        <f t="shared" si="165"/>
        <v>0</v>
      </c>
      <c r="U99" s="4">
        <f t="shared" si="164"/>
        <v>0</v>
      </c>
      <c r="V99" s="4">
        <f t="shared" si="164"/>
        <v>0</v>
      </c>
      <c r="W99" s="4">
        <f t="shared" si="164"/>
        <v>0</v>
      </c>
      <c r="X99" s="4">
        <f t="shared" si="164"/>
        <v>0</v>
      </c>
      <c r="Y99" s="4">
        <f t="shared" ref="Y99" si="166">Y87*Y74+Y88*Y77+Y89*Y80</f>
        <v>0</v>
      </c>
    </row>
    <row r="100" spans="2:25">
      <c r="C100" t="s">
        <v>53</v>
      </c>
      <c r="E100" s="4">
        <f>E90*E72+E91*E75+E92*E78</f>
        <v>-1</v>
      </c>
      <c r="F100" s="4">
        <f t="shared" ref="F100:X100" si="167">F90*F72+F91*F75+F92*F78</f>
        <v>-1</v>
      </c>
      <c r="G100" s="4">
        <f t="shared" si="167"/>
        <v>-1</v>
      </c>
      <c r="H100" s="4">
        <f t="shared" si="167"/>
        <v>-1</v>
      </c>
      <c r="I100" s="4">
        <f t="shared" si="167"/>
        <v>-1</v>
      </c>
      <c r="J100" s="4">
        <f t="shared" si="167"/>
        <v>-1</v>
      </c>
      <c r="K100" s="4">
        <f t="shared" si="167"/>
        <v>-1</v>
      </c>
      <c r="L100" s="4">
        <f t="shared" si="167"/>
        <v>-1</v>
      </c>
      <c r="M100" s="4">
        <f t="shared" si="167"/>
        <v>-1</v>
      </c>
      <c r="N100" s="4">
        <f t="shared" si="167"/>
        <v>-1</v>
      </c>
      <c r="O100" s="4">
        <f t="shared" si="167"/>
        <v>-0.20012738039911609</v>
      </c>
      <c r="P100" s="4">
        <f t="shared" si="167"/>
        <v>-0.20012738039911609</v>
      </c>
      <c r="Q100" s="4">
        <f t="shared" si="167"/>
        <v>-0.20012738039911609</v>
      </c>
      <c r="R100" s="4">
        <f t="shared" ref="R100:T100" si="168">R90*R72+R91*R75+R92*R78</f>
        <v>-0.20012738039911609</v>
      </c>
      <c r="S100" s="4">
        <f t="shared" si="168"/>
        <v>-0.20012738039911609</v>
      </c>
      <c r="T100" s="4">
        <f t="shared" si="168"/>
        <v>-0.20012738039911609</v>
      </c>
      <c r="U100" s="4">
        <f t="shared" si="167"/>
        <v>-0.20012738039911609</v>
      </c>
      <c r="V100" s="4">
        <f t="shared" si="167"/>
        <v>-6.1706699642369376E-4</v>
      </c>
      <c r="W100" s="4">
        <f t="shared" si="167"/>
        <v>0.99999961922824943</v>
      </c>
      <c r="X100" s="4">
        <f t="shared" si="167"/>
        <v>-1</v>
      </c>
      <c r="Y100" s="4">
        <f t="shared" ref="Y100" si="169">Y90*Y72+Y91*Y75+Y92*Y78</f>
        <v>-1</v>
      </c>
    </row>
    <row r="101" spans="2:25">
      <c r="C101" t="s">
        <v>54</v>
      </c>
      <c r="E101" s="4">
        <f>E90*E73+E91*E76+E92*E79</f>
        <v>0</v>
      </c>
      <c r="F101" s="4">
        <f t="shared" ref="F101:X101" si="170">F90*F73+F91*F76+F92*F79</f>
        <v>0</v>
      </c>
      <c r="G101" s="4">
        <f t="shared" si="170"/>
        <v>0</v>
      </c>
      <c r="H101" s="4">
        <f t="shared" si="170"/>
        <v>0</v>
      </c>
      <c r="I101" s="4">
        <f t="shared" si="170"/>
        <v>0</v>
      </c>
      <c r="J101" s="4">
        <f t="shared" si="170"/>
        <v>0</v>
      </c>
      <c r="K101" s="4">
        <f t="shared" si="170"/>
        <v>0</v>
      </c>
      <c r="L101" s="4">
        <f t="shared" si="170"/>
        <v>0</v>
      </c>
      <c r="M101" s="4">
        <f t="shared" si="170"/>
        <v>0</v>
      </c>
      <c r="N101" s="4">
        <f t="shared" si="170"/>
        <v>0</v>
      </c>
      <c r="O101" s="4">
        <f t="shared" si="170"/>
        <v>0.78367043165482297</v>
      </c>
      <c r="P101" s="4">
        <f t="shared" si="170"/>
        <v>0.78367043165482297</v>
      </c>
      <c r="Q101" s="4">
        <f t="shared" si="170"/>
        <v>0.78367043165482297</v>
      </c>
      <c r="R101" s="4">
        <f t="shared" ref="R101:T101" si="171">R90*R73+R91*R76+R92*R79</f>
        <v>0.78367043165482297</v>
      </c>
      <c r="S101" s="4">
        <f t="shared" si="171"/>
        <v>0.78367043165482297</v>
      </c>
      <c r="T101" s="4">
        <f t="shared" si="171"/>
        <v>0.78367043165482297</v>
      </c>
      <c r="U101" s="4">
        <f t="shared" si="170"/>
        <v>0.78367043165482297</v>
      </c>
      <c r="V101" s="4">
        <f t="shared" si="170"/>
        <v>6.1706699642369365E-4</v>
      </c>
      <c r="W101" s="4">
        <f t="shared" si="170"/>
        <v>8.7266451523521776E-4</v>
      </c>
      <c r="X101" s="4">
        <f t="shared" si="170"/>
        <v>0</v>
      </c>
      <c r="Y101" s="4">
        <f t="shared" ref="Y101" si="172">Y90*Y73+Y91*Y76+Y92*Y79</f>
        <v>0</v>
      </c>
    </row>
    <row r="102" spans="2:25">
      <c r="C102" t="s">
        <v>55</v>
      </c>
      <c r="E102" s="4">
        <f>E90*E74+E91*E77+E92*E80</f>
        <v>6.1257422745431001E-17</v>
      </c>
      <c r="F102" s="4">
        <f t="shared" ref="F102:X102" si="173">F90*F74+F91*F77+F92*F80</f>
        <v>6.1257422745431001E-17</v>
      </c>
      <c r="G102" s="4">
        <f t="shared" si="173"/>
        <v>6.1257422745431001E-17</v>
      </c>
      <c r="H102" s="4">
        <f t="shared" si="173"/>
        <v>6.1257422745431001E-17</v>
      </c>
      <c r="I102" s="4">
        <f t="shared" si="173"/>
        <v>6.1257422745431001E-17</v>
      </c>
      <c r="J102" s="4">
        <f t="shared" si="173"/>
        <v>6.1257422745431001E-17</v>
      </c>
      <c r="K102" s="4">
        <f t="shared" si="173"/>
        <v>6.1257422745431001E-17</v>
      </c>
      <c r="L102" s="4">
        <f t="shared" si="173"/>
        <v>6.1257422745431001E-17</v>
      </c>
      <c r="M102" s="4">
        <f t="shared" si="173"/>
        <v>6.1257422745431001E-17</v>
      </c>
      <c r="N102" s="4">
        <f t="shared" si="173"/>
        <v>6.1257422745431001E-17</v>
      </c>
      <c r="O102" s="4">
        <f t="shared" si="173"/>
        <v>-0.58805585292940576</v>
      </c>
      <c r="P102" s="4">
        <f t="shared" si="173"/>
        <v>-0.58805585292940576</v>
      </c>
      <c r="Q102" s="4">
        <f t="shared" si="173"/>
        <v>-0.58805585292940576</v>
      </c>
      <c r="R102" s="4">
        <f t="shared" ref="R102:T102" si="174">R90*R74+R91*R77+R92*R80</f>
        <v>-0.58805585292940576</v>
      </c>
      <c r="S102" s="4">
        <f t="shared" si="174"/>
        <v>-0.58805585292940576</v>
      </c>
      <c r="T102" s="4">
        <f t="shared" si="174"/>
        <v>-0.58805585292940576</v>
      </c>
      <c r="U102" s="4">
        <f t="shared" si="173"/>
        <v>-0.58805585292940576</v>
      </c>
      <c r="V102" s="4">
        <f t="shared" si="173"/>
        <v>-0.99999961922824943</v>
      </c>
      <c r="W102" s="4">
        <f t="shared" si="173"/>
        <v>6.1257422745431001E-17</v>
      </c>
      <c r="X102" s="4">
        <f t="shared" si="173"/>
        <v>6.1257422745431001E-17</v>
      </c>
      <c r="Y102" s="4">
        <f t="shared" ref="Y102" si="175">Y90*Y74+Y91*Y77+Y92*Y80</f>
        <v>6.1257422745431001E-17</v>
      </c>
    </row>
    <row r="103" spans="2:25">
      <c r="B103" t="s">
        <v>72</v>
      </c>
    </row>
    <row r="104" spans="2:25">
      <c r="B104" t="s">
        <v>73</v>
      </c>
      <c r="C104" t="s">
        <v>47</v>
      </c>
      <c r="E104" s="4">
        <f>E60*E94+E95*E63+E96*E66</f>
        <v>6.1257422745431001E-17</v>
      </c>
      <c r="F104" s="4">
        <f t="shared" ref="F104:X104" si="176">F60*F94+F95*F63+F96*F66</f>
        <v>6.1257422745431001E-17</v>
      </c>
      <c r="G104" s="4">
        <f t="shared" si="176"/>
        <v>6.1257422745431001E-17</v>
      </c>
      <c r="H104" s="4">
        <f t="shared" si="176"/>
        <v>6.1257422745431001E-17</v>
      </c>
      <c r="I104" s="4">
        <f t="shared" si="176"/>
        <v>6.1257422745431001E-17</v>
      </c>
      <c r="J104" s="4">
        <f t="shared" si="176"/>
        <v>6.1257422745431001E-17</v>
      </c>
      <c r="K104" s="4">
        <f t="shared" si="176"/>
        <v>6.1257422745431001E-17</v>
      </c>
      <c r="L104" s="4">
        <f t="shared" si="176"/>
        <v>6.1257422745431001E-17</v>
      </c>
      <c r="M104" s="4">
        <f t="shared" si="176"/>
        <v>3.7524718414124473E-33</v>
      </c>
      <c r="N104" s="4">
        <f t="shared" si="176"/>
        <v>6.1257422745431001E-17</v>
      </c>
      <c r="O104" s="4">
        <f t="shared" si="176"/>
        <v>-0.50577502082570669</v>
      </c>
      <c r="P104" s="4">
        <f t="shared" si="176"/>
        <v>-0.50577502082570669</v>
      </c>
      <c r="Q104" s="4">
        <f t="shared" si="176"/>
        <v>-0.50577502082570669</v>
      </c>
      <c r="R104" s="4">
        <f t="shared" ref="R104:T104" si="177">R60*R94+R95*R63+R96*R66</f>
        <v>-0.50577502082570669</v>
      </c>
      <c r="S104" s="4">
        <f t="shared" si="177"/>
        <v>-0.50577502082570669</v>
      </c>
      <c r="T104" s="4">
        <f t="shared" si="177"/>
        <v>-0.50577502082570669</v>
      </c>
      <c r="U104" s="4">
        <f t="shared" si="176"/>
        <v>-0.50577502082570669</v>
      </c>
      <c r="V104" s="4">
        <f t="shared" si="176"/>
        <v>-0.70710651194026053</v>
      </c>
      <c r="W104" s="4">
        <f t="shared" si="176"/>
        <v>-6.1257399420334908E-17</v>
      </c>
      <c r="X104" s="4">
        <f t="shared" si="176"/>
        <v>5.0313684672705721E-17</v>
      </c>
      <c r="Y104" s="4">
        <f t="shared" ref="Y104" si="178">Y60*Y94+Y95*Y63+Y96*Y66</f>
        <v>6.1257422745431001E-17</v>
      </c>
    </row>
    <row r="105" spans="2:25">
      <c r="C105" t="s">
        <v>48</v>
      </c>
      <c r="E105" s="4">
        <f>E60*E95+E61*E98+E62*E101</f>
        <v>0</v>
      </c>
      <c r="F105" s="4">
        <f t="shared" ref="F105:X105" si="179">F60*F95+F61*F98+F62*F101</f>
        <v>0</v>
      </c>
      <c r="G105" s="4">
        <f t="shared" si="179"/>
        <v>0</v>
      </c>
      <c r="H105" s="4">
        <f t="shared" si="179"/>
        <v>0</v>
      </c>
      <c r="I105" s="4">
        <f t="shared" si="179"/>
        <v>0</v>
      </c>
      <c r="J105" s="4">
        <f t="shared" si="179"/>
        <v>0</v>
      </c>
      <c r="K105" s="4">
        <f t="shared" si="179"/>
        <v>0</v>
      </c>
      <c r="L105" s="4">
        <f t="shared" si="179"/>
        <v>0</v>
      </c>
      <c r="M105" s="4">
        <f t="shared" si="179"/>
        <v>1</v>
      </c>
      <c r="N105" s="4">
        <f t="shared" si="179"/>
        <v>0</v>
      </c>
      <c r="O105" s="4">
        <f t="shared" si="179"/>
        <v>0.57784888297747272</v>
      </c>
      <c r="P105" s="4">
        <f t="shared" si="179"/>
        <v>0.57784888297747272</v>
      </c>
      <c r="Q105" s="4">
        <f t="shared" si="179"/>
        <v>0.57784888297747272</v>
      </c>
      <c r="R105" s="4">
        <f t="shared" ref="R105:T105" si="180">R60*R95+R61*R98+R62*R101</f>
        <v>0.57784888297747272</v>
      </c>
      <c r="S105" s="4">
        <f t="shared" si="180"/>
        <v>0.57784888297747272</v>
      </c>
      <c r="T105" s="4">
        <f t="shared" si="180"/>
        <v>0.57784888297747272</v>
      </c>
      <c r="U105" s="4">
        <f t="shared" si="179"/>
        <v>0.57784888297747272</v>
      </c>
      <c r="V105" s="4">
        <f t="shared" si="179"/>
        <v>0.70710678118654757</v>
      </c>
      <c r="W105" s="4">
        <f t="shared" si="179"/>
        <v>-5.3457179124700349E-20</v>
      </c>
      <c r="X105" s="4">
        <f t="shared" si="179"/>
        <v>0.57042689777340361</v>
      </c>
      <c r="Y105" s="4">
        <f t="shared" ref="Y105" si="181">Y60*Y95+Y61*Y98+Y62*Y101</f>
        <v>0</v>
      </c>
    </row>
    <row r="106" spans="2:25">
      <c r="C106" t="s">
        <v>49</v>
      </c>
      <c r="E106" s="4">
        <f>E60*E96+E61*E99+E62*E102</f>
        <v>1</v>
      </c>
      <c r="F106" s="4">
        <f t="shared" ref="F106:X106" si="182">F60*F96+F61*F99+F62*F102</f>
        <v>1</v>
      </c>
      <c r="G106" s="4">
        <f t="shared" si="182"/>
        <v>1</v>
      </c>
      <c r="H106" s="4">
        <f t="shared" si="182"/>
        <v>1</v>
      </c>
      <c r="I106" s="4">
        <f t="shared" si="182"/>
        <v>1</v>
      </c>
      <c r="J106" s="4">
        <f t="shared" si="182"/>
        <v>1</v>
      </c>
      <c r="K106" s="4">
        <f t="shared" si="182"/>
        <v>1</v>
      </c>
      <c r="L106" s="4">
        <f t="shared" si="182"/>
        <v>1</v>
      </c>
      <c r="M106" s="4">
        <f t="shared" si="182"/>
        <v>6.1257422745431001E-17</v>
      </c>
      <c r="N106" s="4">
        <f t="shared" si="182"/>
        <v>1</v>
      </c>
      <c r="O106" s="4">
        <f t="shared" si="182"/>
        <v>0.57192233469041465</v>
      </c>
      <c r="P106" s="4">
        <f t="shared" si="182"/>
        <v>0.57192233469041465</v>
      </c>
      <c r="Q106" s="4">
        <f t="shared" si="182"/>
        <v>0.57192233469041465</v>
      </c>
      <c r="R106" s="4">
        <f t="shared" ref="R106:T106" si="183">R60*R96+R61*R99+R62*R102</f>
        <v>0.57192233469041465</v>
      </c>
      <c r="S106" s="4">
        <f t="shared" si="183"/>
        <v>0.57192233469041465</v>
      </c>
      <c r="T106" s="4">
        <f t="shared" si="183"/>
        <v>0.57192233469041465</v>
      </c>
      <c r="U106" s="4">
        <f t="shared" si="182"/>
        <v>0.57192233469041465</v>
      </c>
      <c r="V106" s="4">
        <f t="shared" si="182"/>
        <v>5.3457179124700349E-20</v>
      </c>
      <c r="W106" s="4">
        <f t="shared" si="182"/>
        <v>1</v>
      </c>
      <c r="X106" s="4">
        <f t="shared" si="182"/>
        <v>-1.537080305043558E-17</v>
      </c>
      <c r="Y106" s="4">
        <f t="shared" ref="Y106" si="184">Y60*Y96+Y61*Y99+Y62*Y102</f>
        <v>1</v>
      </c>
    </row>
    <row r="107" spans="2:25">
      <c r="C107" t="s">
        <v>50</v>
      </c>
      <c r="E107" s="4">
        <f>E63*E94+E64*E97+E65*E100</f>
        <v>0</v>
      </c>
      <c r="F107" s="4">
        <f t="shared" ref="F107:X107" si="185">F63*F94+F64*F97+F65*F100</f>
        <v>0</v>
      </c>
      <c r="G107" s="4">
        <f t="shared" si="185"/>
        <v>0</v>
      </c>
      <c r="H107" s="4">
        <f t="shared" si="185"/>
        <v>0</v>
      </c>
      <c r="I107" s="4">
        <f t="shared" si="185"/>
        <v>0</v>
      </c>
      <c r="J107" s="4">
        <f t="shared" si="185"/>
        <v>0</v>
      </c>
      <c r="K107" s="4">
        <f t="shared" si="185"/>
        <v>0</v>
      </c>
      <c r="L107" s="4">
        <f t="shared" si="185"/>
        <v>0</v>
      </c>
      <c r="M107" s="4">
        <f t="shared" si="185"/>
        <v>-6.1257422745431001E-17</v>
      </c>
      <c r="N107" s="4">
        <f t="shared" si="185"/>
        <v>0</v>
      </c>
      <c r="O107" s="4">
        <f t="shared" si="185"/>
        <v>0.78800604064349344</v>
      </c>
      <c r="P107" s="4">
        <f t="shared" si="185"/>
        <v>0.78800604064349344</v>
      </c>
      <c r="Q107" s="4">
        <f t="shared" si="185"/>
        <v>0.78800604064349344</v>
      </c>
      <c r="R107" s="4">
        <f t="shared" ref="R107:T107" si="186">R63*R94+R64*R97+R65*R100</f>
        <v>0.78800604064349344</v>
      </c>
      <c r="S107" s="4">
        <f t="shared" si="186"/>
        <v>0.78800604064349344</v>
      </c>
      <c r="T107" s="4">
        <f t="shared" si="186"/>
        <v>0.78800604064349344</v>
      </c>
      <c r="U107" s="4">
        <f t="shared" si="185"/>
        <v>0.78800604064349344</v>
      </c>
      <c r="V107" s="4">
        <f t="shared" si="185"/>
        <v>0.70710651194026064</v>
      </c>
      <c r="W107" s="4">
        <f t="shared" si="185"/>
        <v>8.7266451523521776E-4</v>
      </c>
      <c r="X107" s="4">
        <f t="shared" si="185"/>
        <v>-6.1257422745431001E-17</v>
      </c>
      <c r="Y107" s="4">
        <f t="shared" ref="Y107" si="187">Y63*Y94+Y64*Y97+Y65*Y100</f>
        <v>0</v>
      </c>
    </row>
    <row r="108" spans="2:25">
      <c r="C108" t="s">
        <v>51</v>
      </c>
      <c r="E108" s="4">
        <f>E63*E95+E64*E98+E65*E101</f>
        <v>1</v>
      </c>
      <c r="F108" s="4">
        <f t="shared" ref="F108:X108" si="188">F63*F95+F64*F98+F65*F101</f>
        <v>1</v>
      </c>
      <c r="G108" s="4">
        <f t="shared" si="188"/>
        <v>1</v>
      </c>
      <c r="H108" s="4">
        <f t="shared" si="188"/>
        <v>1</v>
      </c>
      <c r="I108" s="4">
        <f t="shared" si="188"/>
        <v>1</v>
      </c>
      <c r="J108" s="4">
        <f t="shared" si="188"/>
        <v>1</v>
      </c>
      <c r="K108" s="4">
        <f t="shared" si="188"/>
        <v>1</v>
      </c>
      <c r="L108" s="4">
        <f t="shared" si="188"/>
        <v>1</v>
      </c>
      <c r="M108" s="4">
        <f t="shared" si="188"/>
        <v>6.1257422745431001E-17</v>
      </c>
      <c r="N108" s="4">
        <f t="shared" si="188"/>
        <v>1</v>
      </c>
      <c r="O108" s="4">
        <f t="shared" si="188"/>
        <v>-0.22792832862904627</v>
      </c>
      <c r="P108" s="4">
        <f t="shared" si="188"/>
        <v>-0.22792832862904627</v>
      </c>
      <c r="Q108" s="4">
        <f t="shared" si="188"/>
        <v>-0.22792832862904627</v>
      </c>
      <c r="R108" s="4">
        <f t="shared" ref="R108:T108" si="189">R63*R95+R64*R98+R65*R101</f>
        <v>-0.22792832862904627</v>
      </c>
      <c r="S108" s="4">
        <f t="shared" si="189"/>
        <v>-0.22792832862904627</v>
      </c>
      <c r="T108" s="4">
        <f t="shared" si="189"/>
        <v>-0.22792832862904627</v>
      </c>
      <c r="U108" s="4">
        <f t="shared" si="188"/>
        <v>-0.22792832862904627</v>
      </c>
      <c r="V108" s="4">
        <f t="shared" si="188"/>
        <v>-0.70710651194026053</v>
      </c>
      <c r="W108" s="4">
        <f t="shared" si="188"/>
        <v>-0.99999961922824943</v>
      </c>
      <c r="X108" s="4">
        <f t="shared" si="188"/>
        <v>6.1257422745431001E-17</v>
      </c>
      <c r="Y108" s="4">
        <f t="shared" ref="Y108" si="190">Y63*Y95+Y64*Y98+Y65*Y101</f>
        <v>1</v>
      </c>
    </row>
    <row r="109" spans="2:25">
      <c r="C109" t="s">
        <v>52</v>
      </c>
      <c r="E109" s="4">
        <f>E63*E96+E64*E99+E65*E102</f>
        <v>0</v>
      </c>
      <c r="F109" s="4">
        <f t="shared" ref="F109:X109" si="191">F63*F96+F64*F99+F65*F102</f>
        <v>0</v>
      </c>
      <c r="G109" s="4">
        <f t="shared" si="191"/>
        <v>0</v>
      </c>
      <c r="H109" s="4">
        <f t="shared" si="191"/>
        <v>0</v>
      </c>
      <c r="I109" s="4">
        <f t="shared" si="191"/>
        <v>0</v>
      </c>
      <c r="J109" s="4">
        <f t="shared" si="191"/>
        <v>0</v>
      </c>
      <c r="K109" s="4">
        <f t="shared" si="191"/>
        <v>0</v>
      </c>
      <c r="L109" s="4">
        <f t="shared" si="191"/>
        <v>0</v>
      </c>
      <c r="M109" s="4">
        <f t="shared" si="191"/>
        <v>-1</v>
      </c>
      <c r="N109" s="4">
        <f t="shared" si="191"/>
        <v>0</v>
      </c>
      <c r="O109" s="4">
        <f t="shared" si="191"/>
        <v>-0.57192233469041454</v>
      </c>
      <c r="P109" s="4">
        <f t="shared" si="191"/>
        <v>-0.57192233469041454</v>
      </c>
      <c r="Q109" s="4">
        <f t="shared" si="191"/>
        <v>-0.57192233469041454</v>
      </c>
      <c r="R109" s="4">
        <f t="shared" ref="R109:T109" si="192">R63*R96+R64*R99+R65*R102</f>
        <v>-0.57192233469041454</v>
      </c>
      <c r="S109" s="4">
        <f t="shared" si="192"/>
        <v>-0.57192233469041454</v>
      </c>
      <c r="T109" s="4">
        <f t="shared" si="192"/>
        <v>-0.57192233469041454</v>
      </c>
      <c r="U109" s="4">
        <f t="shared" si="191"/>
        <v>-0.57192233469041454</v>
      </c>
      <c r="V109" s="4">
        <f t="shared" si="191"/>
        <v>-8.7266451523521776E-4</v>
      </c>
      <c r="W109" s="4">
        <f t="shared" si="191"/>
        <v>0</v>
      </c>
      <c r="X109" s="4">
        <f t="shared" si="191"/>
        <v>-1</v>
      </c>
      <c r="Y109" s="4">
        <f t="shared" ref="Y109" si="193">Y63*Y96+Y64*Y99+Y65*Y102</f>
        <v>0</v>
      </c>
    </row>
    <row r="110" spans="2:25">
      <c r="C110" t="s">
        <v>53</v>
      </c>
      <c r="E110" s="4">
        <f>E66*E94+E67*E97+E68*E100</f>
        <v>-1</v>
      </c>
      <c r="F110" s="4">
        <f t="shared" ref="F110:X110" si="194">F66*F94+F67*F97+F68*F100</f>
        <v>-1</v>
      </c>
      <c r="G110" s="4">
        <f t="shared" si="194"/>
        <v>-1</v>
      </c>
      <c r="H110" s="4">
        <f t="shared" si="194"/>
        <v>-1</v>
      </c>
      <c r="I110" s="4">
        <f t="shared" si="194"/>
        <v>-1</v>
      </c>
      <c r="J110" s="4">
        <f t="shared" si="194"/>
        <v>-1</v>
      </c>
      <c r="K110" s="4">
        <f t="shared" si="194"/>
        <v>-1</v>
      </c>
      <c r="L110" s="4">
        <f t="shared" si="194"/>
        <v>-1</v>
      </c>
      <c r="M110" s="4">
        <f t="shared" si="194"/>
        <v>-1</v>
      </c>
      <c r="N110" s="4">
        <f t="shared" si="194"/>
        <v>-1</v>
      </c>
      <c r="O110" s="4">
        <f t="shared" si="194"/>
        <v>-0.20012738039911609</v>
      </c>
      <c r="P110" s="4">
        <f t="shared" si="194"/>
        <v>-0.20012738039911609</v>
      </c>
      <c r="Q110" s="4">
        <f t="shared" si="194"/>
        <v>-0.20012738039911609</v>
      </c>
      <c r="R110" s="4">
        <f t="shared" ref="R110:T110" si="195">R66*R94+R67*R97+R68*R100</f>
        <v>-0.20012738039911609</v>
      </c>
      <c r="S110" s="4">
        <f t="shared" si="195"/>
        <v>-0.20012738039911609</v>
      </c>
      <c r="T110" s="4">
        <f t="shared" si="195"/>
        <v>-0.20012738039911609</v>
      </c>
      <c r="U110" s="4">
        <f t="shared" si="194"/>
        <v>-0.20012738039911609</v>
      </c>
      <c r="V110" s="4">
        <f t="shared" si="194"/>
        <v>-6.1706699642369376E-4</v>
      </c>
      <c r="W110" s="4">
        <f t="shared" si="194"/>
        <v>0.99999961922824943</v>
      </c>
      <c r="X110" s="4">
        <f t="shared" si="194"/>
        <v>-0.57042689777340361</v>
      </c>
      <c r="Y110" s="4">
        <f t="shared" ref="Y110" si="196">Y66*Y94+Y67*Y97+Y68*Y100</f>
        <v>-1</v>
      </c>
    </row>
    <row r="111" spans="2:25">
      <c r="C111" t="s">
        <v>54</v>
      </c>
      <c r="E111" s="4">
        <f>E66*E95+E67*E98+E68*E101</f>
        <v>0</v>
      </c>
      <c r="F111" s="4">
        <f t="shared" ref="F111:X111" si="197">F66*F95+F67*F98+F68*F101</f>
        <v>0</v>
      </c>
      <c r="G111" s="4">
        <f t="shared" si="197"/>
        <v>0</v>
      </c>
      <c r="H111" s="4">
        <f t="shared" si="197"/>
        <v>0</v>
      </c>
      <c r="I111" s="4">
        <f t="shared" si="197"/>
        <v>0</v>
      </c>
      <c r="J111" s="4">
        <f t="shared" si="197"/>
        <v>0</v>
      </c>
      <c r="K111" s="4">
        <f t="shared" si="197"/>
        <v>0</v>
      </c>
      <c r="L111" s="4">
        <f t="shared" si="197"/>
        <v>0</v>
      </c>
      <c r="M111" s="4">
        <f t="shared" si="197"/>
        <v>0</v>
      </c>
      <c r="N111" s="4">
        <f t="shared" si="197"/>
        <v>0</v>
      </c>
      <c r="O111" s="4">
        <f t="shared" si="197"/>
        <v>0.78367043165482297</v>
      </c>
      <c r="P111" s="4">
        <f t="shared" si="197"/>
        <v>0.78367043165482297</v>
      </c>
      <c r="Q111" s="4">
        <f t="shared" si="197"/>
        <v>0.78367043165482297</v>
      </c>
      <c r="R111" s="4">
        <f t="shared" ref="R111:T111" si="198">R66*R95+R67*R98+R68*R101</f>
        <v>0.78367043165482297</v>
      </c>
      <c r="S111" s="4">
        <f t="shared" si="198"/>
        <v>0.78367043165482297</v>
      </c>
      <c r="T111" s="4">
        <f t="shared" si="198"/>
        <v>0.78367043165482297</v>
      </c>
      <c r="U111" s="4">
        <f t="shared" si="197"/>
        <v>0.78367043165482297</v>
      </c>
      <c r="V111" s="4">
        <f t="shared" si="197"/>
        <v>6.1706699642369365E-4</v>
      </c>
      <c r="W111" s="4">
        <f t="shared" si="197"/>
        <v>8.7266451523521776E-4</v>
      </c>
      <c r="X111" s="4">
        <f t="shared" si="197"/>
        <v>0.82134837571922603</v>
      </c>
      <c r="Y111" s="4">
        <f t="shared" ref="Y111" si="199">Y66*Y95+Y67*Y98+Y68*Y101</f>
        <v>0</v>
      </c>
    </row>
    <row r="112" spans="2:25">
      <c r="C112" t="s">
        <v>55</v>
      </c>
      <c r="E112" s="4">
        <f>E66*E96+E67*E99+E68*E102</f>
        <v>6.1257422745431001E-17</v>
      </c>
      <c r="F112" s="4">
        <f t="shared" ref="F112:X112" si="200">F66*F96+F67*F99+F68*F102</f>
        <v>6.1257422745431001E-17</v>
      </c>
      <c r="G112" s="4">
        <f t="shared" si="200"/>
        <v>6.1257422745431001E-17</v>
      </c>
      <c r="H112" s="4">
        <f t="shared" si="200"/>
        <v>6.1257422745431001E-17</v>
      </c>
      <c r="I112" s="4">
        <f t="shared" si="200"/>
        <v>6.1257422745431001E-17</v>
      </c>
      <c r="J112" s="4">
        <f t="shared" si="200"/>
        <v>6.1257422745431001E-17</v>
      </c>
      <c r="K112" s="4">
        <f t="shared" si="200"/>
        <v>6.1257422745431001E-17</v>
      </c>
      <c r="L112" s="4">
        <f t="shared" si="200"/>
        <v>6.1257422745431001E-17</v>
      </c>
      <c r="M112" s="4">
        <f t="shared" si="200"/>
        <v>6.1257422745431001E-17</v>
      </c>
      <c r="N112" s="4">
        <f t="shared" si="200"/>
        <v>6.1257422745431001E-17</v>
      </c>
      <c r="O112" s="4">
        <f t="shared" si="200"/>
        <v>-0.58805585292940576</v>
      </c>
      <c r="P112" s="4">
        <f t="shared" si="200"/>
        <v>-0.58805585292940576</v>
      </c>
      <c r="Q112" s="4">
        <f t="shared" si="200"/>
        <v>-0.58805585292940576</v>
      </c>
      <c r="R112" s="4">
        <f t="shared" ref="R112:T112" si="201">R66*R96+R67*R99+R68*R102</f>
        <v>-0.58805585292940576</v>
      </c>
      <c r="S112" s="4">
        <f t="shared" si="201"/>
        <v>-0.58805585292940576</v>
      </c>
      <c r="T112" s="4">
        <f t="shared" si="201"/>
        <v>-0.58805585292940576</v>
      </c>
      <c r="U112" s="4">
        <f t="shared" si="200"/>
        <v>-0.58805585292940576</v>
      </c>
      <c r="V112" s="4">
        <f t="shared" si="200"/>
        <v>-0.99999961922824943</v>
      </c>
      <c r="W112" s="4">
        <f t="shared" si="200"/>
        <v>6.1257422745431001E-17</v>
      </c>
      <c r="X112" s="4">
        <f t="shared" si="200"/>
        <v>8.5256566294975863E-17</v>
      </c>
      <c r="Y112" s="4">
        <f t="shared" ref="Y112" si="202">Y66*Y96+Y67*Y99+Y68*Y102</f>
        <v>6.1257422745431001E-17</v>
      </c>
    </row>
    <row r="114" spans="1:25">
      <c r="A114" t="s">
        <v>125</v>
      </c>
    </row>
    <row r="115" spans="1:25">
      <c r="B115" t="s">
        <v>21</v>
      </c>
      <c r="C115" t="s">
        <v>8</v>
      </c>
      <c r="E115" s="4">
        <f t="shared" ref="E115:Y115" si="203">E8*E60</f>
        <v>4.178073E-3</v>
      </c>
      <c r="F115" s="4">
        <f t="shared" si="203"/>
        <v>4.178073E-3</v>
      </c>
      <c r="G115" s="4">
        <f t="shared" si="203"/>
        <v>4.178073E-3</v>
      </c>
      <c r="H115" s="4">
        <f t="shared" si="203"/>
        <v>0</v>
      </c>
      <c r="I115" s="4">
        <f t="shared" si="203"/>
        <v>4.178073E-3</v>
      </c>
      <c r="J115" s="4">
        <f t="shared" si="203"/>
        <v>4.178073E-3</v>
      </c>
      <c r="K115" s="4">
        <f t="shared" si="203"/>
        <v>4.178073E-3</v>
      </c>
      <c r="L115" s="4">
        <f t="shared" si="203"/>
        <v>4.178073E-3</v>
      </c>
      <c r="M115" s="4">
        <f t="shared" si="203"/>
        <v>2.5593798402227112E-19</v>
      </c>
      <c r="N115" s="4">
        <f t="shared" si="203"/>
        <v>4.178073E-3</v>
      </c>
      <c r="O115" s="4">
        <f t="shared" si="203"/>
        <v>2.9543437505924223E-3</v>
      </c>
      <c r="P115" s="4">
        <f t="shared" si="203"/>
        <v>2.9543437505924223E-3</v>
      </c>
      <c r="Q115" s="4">
        <f t="shared" si="203"/>
        <v>2.9543437505924223E-3</v>
      </c>
      <c r="R115" s="4">
        <f t="shared" ref="R115:T115" si="204">R8*R60</f>
        <v>2.9543437505924223E-3</v>
      </c>
      <c r="S115" s="4">
        <f t="shared" si="204"/>
        <v>2.9543437505924223E-3</v>
      </c>
      <c r="T115" s="4">
        <f t="shared" si="204"/>
        <v>2.9543437505924223E-3</v>
      </c>
      <c r="U115" s="4">
        <f t="shared" si="203"/>
        <v>2.9543437505924223E-3</v>
      </c>
      <c r="V115" s="4">
        <f t="shared" si="203"/>
        <v>2.5593798402227112E-19</v>
      </c>
      <c r="W115" s="4">
        <f t="shared" si="203"/>
        <v>4.178073E-3</v>
      </c>
      <c r="X115" s="4">
        <f t="shared" si="203"/>
        <v>1.4599391024820307E-19</v>
      </c>
      <c r="Y115" s="4">
        <f t="shared" si="203"/>
        <v>4.178073E-3</v>
      </c>
    </row>
    <row r="116" spans="1:25">
      <c r="B116" t="s">
        <v>20</v>
      </c>
      <c r="C116" t="s">
        <v>8</v>
      </c>
      <c r="E116" s="4">
        <f>E8*E63</f>
        <v>0</v>
      </c>
      <c r="F116" s="4">
        <f t="shared" ref="F116:Y116" si="205">omega*F63</f>
        <v>0</v>
      </c>
      <c r="G116" s="4">
        <f t="shared" si="205"/>
        <v>0</v>
      </c>
      <c r="H116" s="4">
        <f t="shared" si="205"/>
        <v>0</v>
      </c>
      <c r="I116" s="4">
        <f t="shared" si="205"/>
        <v>0</v>
      </c>
      <c r="J116" s="4">
        <f t="shared" si="205"/>
        <v>0</v>
      </c>
      <c r="K116" s="4">
        <f t="shared" si="205"/>
        <v>0</v>
      </c>
      <c r="L116" s="4">
        <f t="shared" si="205"/>
        <v>0</v>
      </c>
      <c r="M116" s="4">
        <f t="shared" si="205"/>
        <v>-4.178073E-3</v>
      </c>
      <c r="N116" s="4">
        <f t="shared" si="205"/>
        <v>0</v>
      </c>
      <c r="O116" s="4">
        <f t="shared" si="205"/>
        <v>-2.9543437505924219E-3</v>
      </c>
      <c r="P116" s="4">
        <f t="shared" si="205"/>
        <v>-2.9543437505924219E-3</v>
      </c>
      <c r="Q116" s="4">
        <f t="shared" si="205"/>
        <v>-2.9543437505924219E-3</v>
      </c>
      <c r="R116" s="4">
        <f t="shared" ref="R116:T116" si="206">omega*R63</f>
        <v>-2.9543437505924219E-3</v>
      </c>
      <c r="S116" s="4">
        <f t="shared" si="206"/>
        <v>-2.9543437505924219E-3</v>
      </c>
      <c r="T116" s="4">
        <f t="shared" si="206"/>
        <v>-2.9543437505924219E-3</v>
      </c>
      <c r="U116" s="4">
        <f t="shared" si="205"/>
        <v>-2.9543437505924219E-3</v>
      </c>
      <c r="V116" s="4">
        <f t="shared" si="205"/>
        <v>-4.178073E-3</v>
      </c>
      <c r="W116" s="4">
        <f t="shared" si="205"/>
        <v>0</v>
      </c>
      <c r="X116" s="4">
        <f t="shared" si="205"/>
        <v>-4.178073E-3</v>
      </c>
      <c r="Y116" s="4">
        <f t="shared" si="205"/>
        <v>0</v>
      </c>
    </row>
    <row r="117" spans="1:25">
      <c r="B117" t="s">
        <v>22</v>
      </c>
      <c r="C117" t="s">
        <v>8</v>
      </c>
      <c r="E117" s="4">
        <f>E8*E66</f>
        <v>0</v>
      </c>
      <c r="F117" s="4">
        <f t="shared" ref="F117:Y117" si="207">omega*F66</f>
        <v>0</v>
      </c>
      <c r="G117" s="4">
        <f t="shared" si="207"/>
        <v>0</v>
      </c>
      <c r="H117" s="4">
        <f t="shared" si="207"/>
        <v>0</v>
      </c>
      <c r="I117" s="4">
        <f t="shared" si="207"/>
        <v>0</v>
      </c>
      <c r="J117" s="4">
        <f t="shared" si="207"/>
        <v>0</v>
      </c>
      <c r="K117" s="4">
        <f t="shared" si="207"/>
        <v>0</v>
      </c>
      <c r="L117" s="4">
        <f t="shared" si="207"/>
        <v>0</v>
      </c>
      <c r="M117" s="4">
        <f t="shared" si="207"/>
        <v>0</v>
      </c>
      <c r="N117" s="4">
        <f t="shared" si="207"/>
        <v>0</v>
      </c>
      <c r="O117" s="4">
        <f t="shared" si="207"/>
        <v>0</v>
      </c>
      <c r="P117" s="4">
        <f t="shared" si="207"/>
        <v>0</v>
      </c>
      <c r="Q117" s="4">
        <f t="shared" si="207"/>
        <v>0</v>
      </c>
      <c r="R117" s="4">
        <f t="shared" ref="R117:T117" si="208">omega*R66</f>
        <v>0</v>
      </c>
      <c r="S117" s="4">
        <f t="shared" si="208"/>
        <v>0</v>
      </c>
      <c r="T117" s="4">
        <f t="shared" si="208"/>
        <v>0</v>
      </c>
      <c r="U117" s="4">
        <f t="shared" si="207"/>
        <v>0</v>
      </c>
      <c r="V117" s="4">
        <f t="shared" si="207"/>
        <v>0</v>
      </c>
      <c r="W117" s="4">
        <f t="shared" si="207"/>
        <v>0</v>
      </c>
      <c r="X117" s="4">
        <f t="shared" si="207"/>
        <v>2.1021424746154561E-19</v>
      </c>
      <c r="Y117" s="4">
        <f t="shared" si="207"/>
        <v>0</v>
      </c>
    </row>
    <row r="119" spans="1:25">
      <c r="A119" t="s">
        <v>83</v>
      </c>
    </row>
    <row r="120" spans="1:25">
      <c r="B120" t="s">
        <v>81</v>
      </c>
      <c r="E120" s="4">
        <f>SQRT(1-E12*SIN(E33*PI()/180)^2)</f>
        <v>1</v>
      </c>
      <c r="F120" s="4">
        <f t="shared" ref="F120:Y120" si="209">SQRT(1-F12*SIN(F33*PI()/180)^2)</f>
        <v>1</v>
      </c>
      <c r="G120" s="4">
        <f t="shared" si="209"/>
        <v>1</v>
      </c>
      <c r="H120" s="4">
        <f t="shared" si="209"/>
        <v>1</v>
      </c>
      <c r="I120" s="4">
        <f t="shared" si="209"/>
        <v>1</v>
      </c>
      <c r="J120" s="4">
        <f t="shared" si="209"/>
        <v>1</v>
      </c>
      <c r="K120" s="4">
        <f t="shared" si="209"/>
        <v>1</v>
      </c>
      <c r="L120" s="4">
        <f t="shared" si="209"/>
        <v>1</v>
      </c>
      <c r="M120" s="4">
        <f t="shared" si="209"/>
        <v>1</v>
      </c>
      <c r="N120" s="4">
        <f t="shared" si="209"/>
        <v>1</v>
      </c>
      <c r="O120" s="4">
        <f t="shared" si="209"/>
        <v>0.99884183860936815</v>
      </c>
      <c r="P120" s="4">
        <f t="shared" si="209"/>
        <v>0.99884183860936815</v>
      </c>
      <c r="Q120" s="4">
        <f t="shared" si="209"/>
        <v>0.99884183860936815</v>
      </c>
      <c r="R120" s="4">
        <f t="shared" ref="R120:T120" si="210">SQRT(1-R12*SIN(R33*PI()/180)^2)</f>
        <v>0.99884183860936815</v>
      </c>
      <c r="S120" s="4">
        <f t="shared" si="210"/>
        <v>0.99884183860936815</v>
      </c>
      <c r="T120" s="4">
        <f t="shared" si="210"/>
        <v>0.99884183860936815</v>
      </c>
      <c r="U120" s="4">
        <f t="shared" si="209"/>
        <v>0.99884183860936815</v>
      </c>
      <c r="V120" s="4">
        <f t="shared" si="209"/>
        <v>0.996647191892858</v>
      </c>
      <c r="W120" s="4">
        <f t="shared" si="209"/>
        <v>1</v>
      </c>
      <c r="X120" s="4">
        <f t="shared" si="209"/>
        <v>1</v>
      </c>
      <c r="Y120" s="4">
        <f t="shared" si="209"/>
        <v>1</v>
      </c>
    </row>
    <row r="121" spans="1:25">
      <c r="B121" t="s">
        <v>82</v>
      </c>
      <c r="E121" s="4">
        <f>E5/E120</f>
        <v>20925646.995080002</v>
      </c>
      <c r="F121" s="4">
        <f t="shared" ref="F121:Y121" si="211">Re/F120</f>
        <v>20925646.995080002</v>
      </c>
      <c r="G121" s="4">
        <f t="shared" si="211"/>
        <v>20925646.995080002</v>
      </c>
      <c r="H121" s="4">
        <f t="shared" si="211"/>
        <v>20925646.995080002</v>
      </c>
      <c r="I121" s="4">
        <f t="shared" si="211"/>
        <v>20925646.995080002</v>
      </c>
      <c r="J121" s="4">
        <f t="shared" si="211"/>
        <v>20925646.995080002</v>
      </c>
      <c r="K121" s="4">
        <f t="shared" si="211"/>
        <v>20925646.995080002</v>
      </c>
      <c r="L121" s="4">
        <f t="shared" si="211"/>
        <v>20925646.995080002</v>
      </c>
      <c r="M121" s="4">
        <f t="shared" si="211"/>
        <v>20925646.995080002</v>
      </c>
      <c r="N121" s="4">
        <f t="shared" si="211"/>
        <v>20925646.995080002</v>
      </c>
      <c r="O121" s="4">
        <f t="shared" si="211"/>
        <v>20949910.372410525</v>
      </c>
      <c r="P121" s="4">
        <f t="shared" si="211"/>
        <v>20949910.372410525</v>
      </c>
      <c r="Q121" s="4">
        <f t="shared" si="211"/>
        <v>20949910.372410525</v>
      </c>
      <c r="R121" s="4">
        <f t="shared" ref="R121:T121" si="212">Re/R120</f>
        <v>20949910.372410525</v>
      </c>
      <c r="S121" s="4">
        <f t="shared" si="212"/>
        <v>20949910.372410525</v>
      </c>
      <c r="T121" s="4">
        <f t="shared" si="212"/>
        <v>20949910.372410525</v>
      </c>
      <c r="U121" s="4">
        <f t="shared" si="211"/>
        <v>20949910.372410525</v>
      </c>
      <c r="V121" s="4">
        <f t="shared" si="211"/>
        <v>20996042.697253253</v>
      </c>
      <c r="W121" s="4">
        <f t="shared" si="211"/>
        <v>20925646.995080002</v>
      </c>
      <c r="X121" s="4">
        <f t="shared" si="211"/>
        <v>20925646.995080002</v>
      </c>
      <c r="Y121" s="4">
        <f t="shared" si="211"/>
        <v>20925646.995080002</v>
      </c>
    </row>
    <row r="122" spans="1:25">
      <c r="B122" t="s">
        <v>5</v>
      </c>
      <c r="C122" t="s">
        <v>9</v>
      </c>
      <c r="E122" s="4">
        <f>(E121+E35)*COS(E33*PI()/180)*COS(E46*PI()/180)</f>
        <v>20955646.995080002</v>
      </c>
      <c r="F122" s="4">
        <f t="shared" ref="F122:Y122" si="213">(F121+F35)*COS(F33*PI()/180)*COS(F46*PI()/180)</f>
        <v>20925646.995080002</v>
      </c>
      <c r="G122" s="4">
        <f t="shared" si="213"/>
        <v>20925646.995080002</v>
      </c>
      <c r="H122" s="4">
        <f t="shared" si="213"/>
        <v>20955646.995080002</v>
      </c>
      <c r="I122" s="4">
        <f t="shared" si="213"/>
        <v>20955646.995080002</v>
      </c>
      <c r="J122" s="4">
        <f t="shared" si="213"/>
        <v>20955646.995080002</v>
      </c>
      <c r="K122" s="4">
        <f t="shared" si="213"/>
        <v>20955646.995080002</v>
      </c>
      <c r="L122" s="4">
        <f t="shared" si="213"/>
        <v>20955646.995080002</v>
      </c>
      <c r="M122" s="4">
        <f t="shared" si="213"/>
        <v>20925646.995080002</v>
      </c>
      <c r="N122" s="4">
        <f t="shared" si="213"/>
        <v>20925646.995080002</v>
      </c>
      <c r="O122" s="4">
        <f t="shared" si="213"/>
        <v>4194654.5578867262</v>
      </c>
      <c r="P122" s="4">
        <f t="shared" si="213"/>
        <v>4198657.1054947078</v>
      </c>
      <c r="Q122" s="4">
        <f t="shared" si="213"/>
        <v>4194654.5578867262</v>
      </c>
      <c r="R122" s="4">
        <f t="shared" ref="R122:T122" si="214">(R121+R35)*COS(R33*PI()/180)*COS(R46*PI()/180)</f>
        <v>4194654.5578867262</v>
      </c>
      <c r="S122" s="4">
        <f t="shared" si="214"/>
        <v>4194654.5578867262</v>
      </c>
      <c r="T122" s="4">
        <f t="shared" si="214"/>
        <v>4194654.5578867262</v>
      </c>
      <c r="U122" s="4">
        <f t="shared" si="213"/>
        <v>4198657.1054947078</v>
      </c>
      <c r="V122" s="4">
        <f t="shared" si="213"/>
        <v>12962.13567394102</v>
      </c>
      <c r="W122" s="4">
        <f t="shared" si="213"/>
        <v>-20935639.023377046</v>
      </c>
      <c r="X122" s="4">
        <f t="shared" si="213"/>
        <v>20925646.995080002</v>
      </c>
      <c r="Y122" s="4">
        <f t="shared" si="213"/>
        <v>20955646.995080002</v>
      </c>
    </row>
    <row r="123" spans="1:25">
      <c r="B123" t="s">
        <v>6</v>
      </c>
      <c r="C123" t="s">
        <v>9</v>
      </c>
      <c r="E123" s="4">
        <f t="shared" ref="E123:Y123" si="215">(E121+E35)*COS(E33*PI()/180)*SIN(E46*PI()/180)</f>
        <v>0</v>
      </c>
      <c r="F123" s="4">
        <f t="shared" si="215"/>
        <v>0</v>
      </c>
      <c r="G123" s="4">
        <f t="shared" si="215"/>
        <v>0</v>
      </c>
      <c r="H123" s="4">
        <f t="shared" si="215"/>
        <v>0</v>
      </c>
      <c r="I123" s="4">
        <f t="shared" si="215"/>
        <v>0</v>
      </c>
      <c r="J123" s="4">
        <f t="shared" si="215"/>
        <v>0</v>
      </c>
      <c r="K123" s="4">
        <f t="shared" si="215"/>
        <v>0</v>
      </c>
      <c r="L123" s="4">
        <f t="shared" si="215"/>
        <v>0</v>
      </c>
      <c r="M123" s="4">
        <f t="shared" si="215"/>
        <v>0</v>
      </c>
      <c r="N123" s="4">
        <f t="shared" si="215"/>
        <v>0</v>
      </c>
      <c r="O123" s="4">
        <f t="shared" si="215"/>
        <v>-16425672.196708972</v>
      </c>
      <c r="P123" s="4">
        <f t="shared" si="215"/>
        <v>-16441345.605342066</v>
      </c>
      <c r="Q123" s="4">
        <f t="shared" si="215"/>
        <v>-16425672.196708972</v>
      </c>
      <c r="R123" s="4">
        <f t="shared" ref="R123:T123" si="216">(R121+R35)*COS(R33*PI()/180)*SIN(R46*PI()/180)</f>
        <v>-16425672.196708972</v>
      </c>
      <c r="S123" s="4">
        <f t="shared" si="216"/>
        <v>-16425672.196708972</v>
      </c>
      <c r="T123" s="4">
        <f t="shared" si="216"/>
        <v>-16425672.196708972</v>
      </c>
      <c r="U123" s="4">
        <f t="shared" si="215"/>
        <v>-16441345.605342066</v>
      </c>
      <c r="V123" s="4">
        <f t="shared" si="215"/>
        <v>-12962.135673941018</v>
      </c>
      <c r="W123" s="4">
        <f t="shared" si="215"/>
        <v>-18269.796236097132</v>
      </c>
      <c r="X123" s="4">
        <f t="shared" si="215"/>
        <v>0</v>
      </c>
      <c r="Y123" s="4">
        <f t="shared" si="215"/>
        <v>0</v>
      </c>
    </row>
    <row r="124" spans="1:25">
      <c r="B124" t="s">
        <v>14</v>
      </c>
      <c r="C124" t="s">
        <v>9</v>
      </c>
      <c r="E124" s="4">
        <f>(E121*(1-E12)+E35)*SIN(E33*PI()/180)</f>
        <v>0</v>
      </c>
      <c r="F124" s="4">
        <f t="shared" ref="F124:Y124" si="217">(F121*(1-F12)+F35)*SIN(F33*PI()/180)</f>
        <v>0</v>
      </c>
      <c r="G124" s="4">
        <f t="shared" si="217"/>
        <v>0</v>
      </c>
      <c r="H124" s="4">
        <f t="shared" si="217"/>
        <v>0</v>
      </c>
      <c r="I124" s="4">
        <f t="shared" si="217"/>
        <v>0</v>
      </c>
      <c r="J124" s="4">
        <f t="shared" si="217"/>
        <v>0</v>
      </c>
      <c r="K124" s="4">
        <f t="shared" si="217"/>
        <v>0</v>
      </c>
      <c r="L124" s="4">
        <f t="shared" si="217"/>
        <v>0</v>
      </c>
      <c r="M124" s="4">
        <f t="shared" si="217"/>
        <v>0</v>
      </c>
      <c r="N124" s="4">
        <f t="shared" si="217"/>
        <v>0</v>
      </c>
      <c r="O124" s="4">
        <f>(O121*(1-O12)+O35)*SIN(O33*PI()/180)</f>
        <v>12243132.746365128</v>
      </c>
      <c r="P124" s="4">
        <f t="shared" si="217"/>
        <v>12254893.863423716</v>
      </c>
      <c r="Q124" s="4">
        <f t="shared" si="217"/>
        <v>12243132.746365128</v>
      </c>
      <c r="R124" s="4">
        <f t="shared" ref="R124:T124" si="218">(R121*(1-R12)+R35)*SIN(R33*PI()/180)</f>
        <v>12243132.746365128</v>
      </c>
      <c r="S124" s="4">
        <f t="shared" si="218"/>
        <v>12243132.746365128</v>
      </c>
      <c r="T124" s="4">
        <f t="shared" si="218"/>
        <v>12243132.746365128</v>
      </c>
      <c r="U124" s="4">
        <f t="shared" si="217"/>
        <v>12254893.863423716</v>
      </c>
      <c r="V124" s="4">
        <f t="shared" si="217"/>
        <v>20865479.264160518</v>
      </c>
      <c r="W124" s="4">
        <f t="shared" si="217"/>
        <v>0</v>
      </c>
      <c r="X124" s="4">
        <f t="shared" si="217"/>
        <v>0</v>
      </c>
      <c r="Y124" s="4">
        <f t="shared" si="217"/>
        <v>0</v>
      </c>
    </row>
    <row r="125" spans="1:25">
      <c r="B125" t="s">
        <v>11</v>
      </c>
      <c r="C125" t="s">
        <v>7</v>
      </c>
      <c r="E125" s="4">
        <f t="shared" ref="E125:Y125" si="219">ASIN(-E106)*180/PI()</f>
        <v>-90</v>
      </c>
      <c r="F125" s="4">
        <f t="shared" si="219"/>
        <v>-90</v>
      </c>
      <c r="G125" s="4">
        <f t="shared" si="219"/>
        <v>-90</v>
      </c>
      <c r="H125" s="4">
        <f t="shared" si="219"/>
        <v>-90</v>
      </c>
      <c r="I125" s="4">
        <f t="shared" si="219"/>
        <v>-90</v>
      </c>
      <c r="J125" s="4">
        <f t="shared" si="219"/>
        <v>-90</v>
      </c>
      <c r="K125" s="4">
        <f t="shared" si="219"/>
        <v>-90</v>
      </c>
      <c r="L125" s="4">
        <f t="shared" si="219"/>
        <v>-90</v>
      </c>
      <c r="M125" s="4">
        <f t="shared" si="219"/>
        <v>-3.5097917871618886E-15</v>
      </c>
      <c r="N125" s="4">
        <f t="shared" si="219"/>
        <v>-90</v>
      </c>
      <c r="O125" s="4">
        <f t="shared" si="219"/>
        <v>-34.884385075059406</v>
      </c>
      <c r="P125" s="4">
        <f t="shared" si="219"/>
        <v>-34.884385075059406</v>
      </c>
      <c r="Q125" s="4">
        <f t="shared" si="219"/>
        <v>-34.884385075059406</v>
      </c>
      <c r="R125" s="4">
        <f t="shared" ref="R125:T125" si="220">ASIN(-R106)*180/PI()</f>
        <v>-34.884385075059406</v>
      </c>
      <c r="S125" s="4">
        <f t="shared" si="220"/>
        <v>-34.884385075059406</v>
      </c>
      <c r="T125" s="4">
        <f t="shared" si="220"/>
        <v>-34.884385075059406</v>
      </c>
      <c r="U125" s="4">
        <f t="shared" si="219"/>
        <v>-34.884385075059406</v>
      </c>
      <c r="V125" s="4">
        <f t="shared" si="219"/>
        <v>-3.0628707485201783E-18</v>
      </c>
      <c r="W125" s="4">
        <f t="shared" si="219"/>
        <v>-90</v>
      </c>
      <c r="X125" s="4">
        <f t="shared" si="219"/>
        <v>8.8068214251677015E-16</v>
      </c>
      <c r="Y125" s="4">
        <f t="shared" si="219"/>
        <v>-90</v>
      </c>
    </row>
    <row r="126" spans="1:25">
      <c r="B126" t="s">
        <v>12</v>
      </c>
      <c r="C126" t="s">
        <v>7</v>
      </c>
      <c r="E126" s="4">
        <f t="shared" ref="E126:Y126" si="221">ATAN2(E112,E109)*180/PI()</f>
        <v>0</v>
      </c>
      <c r="F126" s="4">
        <f t="shared" si="221"/>
        <v>0</v>
      </c>
      <c r="G126" s="4">
        <f t="shared" si="221"/>
        <v>0</v>
      </c>
      <c r="H126" s="4">
        <f t="shared" si="221"/>
        <v>0</v>
      </c>
      <c r="I126" s="4">
        <f t="shared" si="221"/>
        <v>0</v>
      </c>
      <c r="J126" s="4">
        <f t="shared" si="221"/>
        <v>0</v>
      </c>
      <c r="K126" s="4">
        <f t="shared" si="221"/>
        <v>0</v>
      </c>
      <c r="L126" s="4">
        <f t="shared" si="221"/>
        <v>0</v>
      </c>
      <c r="M126" s="4">
        <f t="shared" si="221"/>
        <v>-90</v>
      </c>
      <c r="N126" s="4">
        <f t="shared" si="221"/>
        <v>0</v>
      </c>
      <c r="O126" s="4">
        <f t="shared" si="221"/>
        <v>-135.79684507408007</v>
      </c>
      <c r="P126" s="4">
        <f t="shared" si="221"/>
        <v>-135.79684507408007</v>
      </c>
      <c r="Q126" s="4">
        <f t="shared" si="221"/>
        <v>-135.79684507408007</v>
      </c>
      <c r="R126" s="4">
        <f t="shared" ref="R126:T126" si="222">ATAN2(R112,R109)*180/PI()</f>
        <v>-135.79684507408007</v>
      </c>
      <c r="S126" s="4">
        <f t="shared" si="222"/>
        <v>-135.79684507408007</v>
      </c>
      <c r="T126" s="4">
        <f t="shared" si="222"/>
        <v>-135.79684507408007</v>
      </c>
      <c r="U126" s="4">
        <f t="shared" si="221"/>
        <v>-135.79684507408007</v>
      </c>
      <c r="V126" s="4">
        <f t="shared" si="221"/>
        <v>-179.95000000000002</v>
      </c>
      <c r="W126" s="4">
        <f t="shared" si="221"/>
        <v>0</v>
      </c>
      <c r="X126" s="4">
        <f t="shared" si="221"/>
        <v>-90</v>
      </c>
      <c r="Y126" s="4">
        <f t="shared" si="221"/>
        <v>0</v>
      </c>
    </row>
    <row r="127" spans="1:25">
      <c r="B127" t="s">
        <v>13</v>
      </c>
      <c r="C127" t="s">
        <v>7</v>
      </c>
      <c r="E127" s="4">
        <f t="shared" ref="E127:Y127" si="223">ATAN2(E112,E105)*180/PI()</f>
        <v>0</v>
      </c>
      <c r="F127" s="4">
        <f t="shared" si="223"/>
        <v>0</v>
      </c>
      <c r="G127" s="4">
        <f t="shared" si="223"/>
        <v>0</v>
      </c>
      <c r="H127" s="4">
        <f t="shared" si="223"/>
        <v>0</v>
      </c>
      <c r="I127" s="4">
        <f t="shared" si="223"/>
        <v>0</v>
      </c>
      <c r="J127" s="4">
        <f t="shared" si="223"/>
        <v>0</v>
      </c>
      <c r="K127" s="4">
        <f t="shared" si="223"/>
        <v>0</v>
      </c>
      <c r="L127" s="4">
        <f t="shared" si="223"/>
        <v>0</v>
      </c>
      <c r="M127" s="4">
        <f t="shared" si="223"/>
        <v>90</v>
      </c>
      <c r="N127" s="4">
        <f t="shared" si="223"/>
        <v>0</v>
      </c>
      <c r="O127" s="4">
        <f t="shared" si="223"/>
        <v>135.50158588606584</v>
      </c>
      <c r="P127" s="4">
        <f t="shared" si="223"/>
        <v>135.50158588606584</v>
      </c>
      <c r="Q127" s="4">
        <f t="shared" si="223"/>
        <v>135.50158588606584</v>
      </c>
      <c r="R127" s="4">
        <f t="shared" ref="R127:T127" si="224">ATAN2(R112,R105)*180/PI()</f>
        <v>135.50158588606584</v>
      </c>
      <c r="S127" s="4">
        <f t="shared" si="224"/>
        <v>135.50158588606584</v>
      </c>
      <c r="T127" s="4">
        <f t="shared" si="224"/>
        <v>135.50158588606584</v>
      </c>
      <c r="U127" s="4">
        <f t="shared" si="223"/>
        <v>135.50158588606584</v>
      </c>
      <c r="V127" s="4">
        <f t="shared" si="223"/>
        <v>144.73560003279212</v>
      </c>
      <c r="W127" s="4">
        <f t="shared" si="223"/>
        <v>-4.9999980961426042E-2</v>
      </c>
      <c r="X127" s="4">
        <f t="shared" si="223"/>
        <v>90</v>
      </c>
      <c r="Y127" s="4">
        <f t="shared" si="223"/>
        <v>0</v>
      </c>
    </row>
    <row r="128" spans="1:25">
      <c r="B128" t="s">
        <v>33</v>
      </c>
      <c r="C128" t="s">
        <v>10</v>
      </c>
      <c r="E128" s="4">
        <f t="shared" ref="E128:Y128" si="225">E49*E94+E50*E97+E51*E100</f>
        <v>0</v>
      </c>
      <c r="F128" s="4">
        <f t="shared" si="225"/>
        <v>0</v>
      </c>
      <c r="G128" s="4">
        <f t="shared" si="225"/>
        <v>0</v>
      </c>
      <c r="H128" s="4">
        <f t="shared" si="225"/>
        <v>0</v>
      </c>
      <c r="I128" s="4">
        <f t="shared" si="225"/>
        <v>0</v>
      </c>
      <c r="J128" s="4">
        <f t="shared" si="225"/>
        <v>0</v>
      </c>
      <c r="K128" s="4">
        <f t="shared" si="225"/>
        <v>0</v>
      </c>
      <c r="L128" s="4">
        <f t="shared" si="225"/>
        <v>0</v>
      </c>
      <c r="M128" s="4">
        <f t="shared" si="225"/>
        <v>1000</v>
      </c>
      <c r="N128" s="4">
        <f t="shared" si="225"/>
        <v>1000.0000000000001</v>
      </c>
      <c r="O128" s="4">
        <f t="shared" si="225"/>
        <v>1527.1394226710588</v>
      </c>
      <c r="P128" s="4">
        <f t="shared" si="225"/>
        <v>2363.3879253834471</v>
      </c>
      <c r="Q128" s="4">
        <f t="shared" si="225"/>
        <v>1527.1394226710588</v>
      </c>
      <c r="R128" s="4">
        <f t="shared" ref="R128:T128" si="226">R49*R94+R50*R97+R51*R100</f>
        <v>1527.1394226710588</v>
      </c>
      <c r="S128" s="4">
        <f t="shared" si="226"/>
        <v>1527.1394226710588</v>
      </c>
      <c r="T128" s="4">
        <f t="shared" si="226"/>
        <v>1527.1394226710588</v>
      </c>
      <c r="U128" s="4">
        <f t="shared" si="225"/>
        <v>2363.3879253834471</v>
      </c>
      <c r="V128" s="4">
        <f t="shared" si="225"/>
        <v>399.50100105198004</v>
      </c>
      <c r="W128" s="4">
        <f t="shared" si="225"/>
        <v>1.3322541907664962</v>
      </c>
      <c r="X128" s="4">
        <f t="shared" si="225"/>
        <v>0.32808398950131235</v>
      </c>
      <c r="Y128" s="4">
        <f t="shared" si="225"/>
        <v>0</v>
      </c>
    </row>
    <row r="129" spans="1:25">
      <c r="B129" t="s">
        <v>34</v>
      </c>
      <c r="C129" t="s">
        <v>10</v>
      </c>
      <c r="E129" s="4">
        <f t="shared" ref="E129:Y129" si="227">E49*E95+E50*E98+E51*E101</f>
        <v>1528.1094637639699</v>
      </c>
      <c r="F129" s="4">
        <f t="shared" si="227"/>
        <v>1525.9218298568096</v>
      </c>
      <c r="G129" s="4">
        <f t="shared" si="227"/>
        <v>1525.9218298568096</v>
      </c>
      <c r="H129" s="4">
        <f t="shared" si="227"/>
        <v>1528.1094637639699</v>
      </c>
      <c r="I129" s="4">
        <f t="shared" si="227"/>
        <v>1528.1094637639699</v>
      </c>
      <c r="J129" s="4">
        <f t="shared" si="227"/>
        <v>1528.1094637639699</v>
      </c>
      <c r="K129" s="4">
        <f t="shared" si="227"/>
        <v>1528.1094637639699</v>
      </c>
      <c r="L129" s="4">
        <f t="shared" si="227"/>
        <v>1528.1094637639699</v>
      </c>
      <c r="M129" s="4">
        <f t="shared" si="227"/>
        <v>2525.9218298568094</v>
      </c>
      <c r="N129" s="4">
        <f t="shared" si="227"/>
        <v>1525.9218298568096</v>
      </c>
      <c r="O129" s="4">
        <f t="shared" si="227"/>
        <v>632.75964224547238</v>
      </c>
      <c r="P129" s="4">
        <f t="shared" si="227"/>
        <v>1461.8685875722715</v>
      </c>
      <c r="Q129" s="4">
        <f t="shared" si="227"/>
        <v>632.75964224547238</v>
      </c>
      <c r="R129" s="4">
        <f t="shared" ref="R129:T129" si="228">R49*R95+R50*R98+R51*R101</f>
        <v>632.75964224547238</v>
      </c>
      <c r="S129" s="4">
        <f t="shared" si="228"/>
        <v>632.75964224547238</v>
      </c>
      <c r="T129" s="4">
        <f t="shared" si="228"/>
        <v>632.75964224547238</v>
      </c>
      <c r="U129" s="4">
        <f t="shared" si="227"/>
        <v>1461.8685875722715</v>
      </c>
      <c r="V129" s="4">
        <f t="shared" si="227"/>
        <v>399.5010010519801</v>
      </c>
      <c r="W129" s="4">
        <f t="shared" si="227"/>
        <v>-1526.6504598536069</v>
      </c>
      <c r="X129" s="4">
        <f t="shared" si="227"/>
        <v>1525.9218298568096</v>
      </c>
      <c r="Y129" s="4">
        <f t="shared" si="227"/>
        <v>1528.1094637639699</v>
      </c>
    </row>
    <row r="130" spans="1:25">
      <c r="B130" t="s">
        <v>35</v>
      </c>
      <c r="C130" t="s">
        <v>10</v>
      </c>
      <c r="E130" s="4">
        <f t="shared" ref="E130:Y130" si="229">E49*E96+E50*E99+E51*E102</f>
        <v>0</v>
      </c>
      <c r="F130" s="4">
        <f t="shared" si="229"/>
        <v>0</v>
      </c>
      <c r="G130" s="4">
        <f t="shared" si="229"/>
        <v>0</v>
      </c>
      <c r="H130" s="4">
        <f t="shared" si="229"/>
        <v>0</v>
      </c>
      <c r="I130" s="4">
        <f t="shared" si="229"/>
        <v>0</v>
      </c>
      <c r="J130" s="4">
        <f t="shared" si="229"/>
        <v>0</v>
      </c>
      <c r="K130" s="4">
        <f t="shared" si="229"/>
        <v>0</v>
      </c>
      <c r="L130" s="4">
        <f t="shared" si="229"/>
        <v>0</v>
      </c>
      <c r="M130" s="4">
        <f t="shared" si="229"/>
        <v>-6.1257422745431001E-14</v>
      </c>
      <c r="N130" s="4">
        <f t="shared" si="229"/>
        <v>999.99999999999989</v>
      </c>
      <c r="O130" s="4">
        <f t="shared" si="229"/>
        <v>323.52812893730749</v>
      </c>
      <c r="P130" s="4">
        <f t="shared" si="229"/>
        <v>1143.8446693808289</v>
      </c>
      <c r="Q130" s="4">
        <f t="shared" si="229"/>
        <v>323.52812893730749</v>
      </c>
      <c r="R130" s="4">
        <f t="shared" ref="R130:T130" si="230">R49*R96+R50*R99+R51*R102</f>
        <v>323.52812893730749</v>
      </c>
      <c r="S130" s="4">
        <f t="shared" si="230"/>
        <v>323.52812893730749</v>
      </c>
      <c r="T130" s="4">
        <f t="shared" si="230"/>
        <v>323.52812893730749</v>
      </c>
      <c r="U130" s="4">
        <f t="shared" si="229"/>
        <v>1143.8446693808289</v>
      </c>
      <c r="V130" s="4">
        <f t="shared" si="229"/>
        <v>0</v>
      </c>
      <c r="W130" s="4">
        <f t="shared" si="229"/>
        <v>563.64300000000003</v>
      </c>
      <c r="X130" s="4">
        <f t="shared" si="229"/>
        <v>-2.0097579640889436E-17</v>
      </c>
      <c r="Y130" s="4">
        <f t="shared" si="229"/>
        <v>0</v>
      </c>
    </row>
    <row r="132" spans="1:25">
      <c r="A132" t="s">
        <v>78</v>
      </c>
    </row>
    <row r="133" spans="1:25">
      <c r="B133" t="s">
        <v>76</v>
      </c>
      <c r="C133" t="s">
        <v>23</v>
      </c>
      <c r="E133" s="4">
        <f>-(E7/E48^2)*(1-1.5*E11*(E5/E48)^2*(3*SIN(E45*PI()/180)^2-1))</f>
        <v>-32.106536985533239</v>
      </c>
      <c r="F133" s="4">
        <f t="shared" ref="F133:Y133" si="231">-(mu/F48^2)*(1-1.5*Jtwo*(Re/F48)^2*(3*SIN(F45*PI()/180)^2-1))</f>
        <v>-32.198811247782196</v>
      </c>
      <c r="G133" s="4">
        <f t="shared" si="231"/>
        <v>-32.198811247782196</v>
      </c>
      <c r="H133" s="4">
        <f t="shared" si="231"/>
        <v>-32.178451527623963</v>
      </c>
      <c r="I133" s="4">
        <f t="shared" si="231"/>
        <v>-32.178451527623963</v>
      </c>
      <c r="J133" s="4">
        <f t="shared" si="231"/>
        <v>-32.106536985533239</v>
      </c>
      <c r="K133" s="4">
        <f t="shared" si="231"/>
        <v>-32.106536985533239</v>
      </c>
      <c r="L133" s="4">
        <f t="shared" si="231"/>
        <v>-32.106536985533239</v>
      </c>
      <c r="M133" s="4">
        <f t="shared" si="231"/>
        <v>-32.198811247782196</v>
      </c>
      <c r="N133" s="4">
        <f t="shared" si="231"/>
        <v>-32.198811247782196</v>
      </c>
      <c r="O133" s="4">
        <f t="shared" si="231"/>
        <v>-32.188538286413682</v>
      </c>
      <c r="P133" s="4">
        <f t="shared" si="231"/>
        <v>-32.127058615821362</v>
      </c>
      <c r="Q133" s="4">
        <f t="shared" si="231"/>
        <v>-32.188538286413682</v>
      </c>
      <c r="R133" s="4">
        <f t="shared" ref="R133:T133" si="232">-(mu/R48^2)*(1-1.5*Jtwo*(Re/R48)^2*(3*SIN(R45*PI()/180)^2-1))</f>
        <v>-32.188538286413682</v>
      </c>
      <c r="S133" s="4">
        <f t="shared" si="232"/>
        <v>-32.188538286413682</v>
      </c>
      <c r="T133" s="4">
        <f t="shared" si="232"/>
        <v>-32.188538286413682</v>
      </c>
      <c r="U133" s="4">
        <f t="shared" si="231"/>
        <v>-32.127058615821362</v>
      </c>
      <c r="V133" s="4">
        <f t="shared" si="231"/>
        <v>-32.226627451685779</v>
      </c>
      <c r="W133" s="4">
        <f t="shared" si="231"/>
        <v>-32.16800898663962</v>
      </c>
      <c r="X133" s="4">
        <f t="shared" si="231"/>
        <v>-32.198811247782196</v>
      </c>
      <c r="Y133" s="4">
        <f t="shared" si="231"/>
        <v>-32.106536985533239</v>
      </c>
    </row>
    <row r="134" spans="1:25">
      <c r="B134" t="s">
        <v>77</v>
      </c>
      <c r="C134" t="s">
        <v>23</v>
      </c>
      <c r="E134" s="4">
        <f>-(E7/E48^2)*3*E11*(E5/E48)^2*SIN(E45*PI()/180)*COS(E45*PI()/180)</f>
        <v>0</v>
      </c>
      <c r="F134" s="4">
        <f t="shared" ref="F134:Y134" si="233">-(mu/F48^2)*3*Jtwo*(Re/F48)^2*SIN(F45*PI()/180)*COS(F45*PI()/180)</f>
        <v>0</v>
      </c>
      <c r="G134" s="4">
        <f t="shared" si="233"/>
        <v>0</v>
      </c>
      <c r="H134" s="4">
        <f t="shared" si="233"/>
        <v>0</v>
      </c>
      <c r="I134" s="4">
        <f t="shared" si="233"/>
        <v>0</v>
      </c>
      <c r="J134" s="4">
        <f t="shared" si="233"/>
        <v>0</v>
      </c>
      <c r="K134" s="4">
        <f t="shared" si="233"/>
        <v>0</v>
      </c>
      <c r="L134" s="4">
        <f t="shared" si="233"/>
        <v>0</v>
      </c>
      <c r="M134" s="4">
        <f t="shared" si="233"/>
        <v>0</v>
      </c>
      <c r="N134" s="4">
        <f t="shared" si="233"/>
        <v>0</v>
      </c>
      <c r="O134" s="4">
        <f t="shared" si="233"/>
        <v>-4.9690260373072295E-2</v>
      </c>
      <c r="P134" s="4">
        <f t="shared" si="233"/>
        <v>-4.9500718835320846E-2</v>
      </c>
      <c r="Q134" s="4">
        <f t="shared" si="233"/>
        <v>-4.9690260373072295E-2</v>
      </c>
      <c r="R134" s="4">
        <f t="shared" ref="R134:T134" si="234">-(mu/R48^2)*3*Jtwo*(Re/R48)^2*SIN(R45*PI()/180)*COS(R45*PI()/180)</f>
        <v>-4.9690260373072295E-2</v>
      </c>
      <c r="S134" s="4">
        <f t="shared" si="234"/>
        <v>-4.9690260373072295E-2</v>
      </c>
      <c r="T134" s="4">
        <f t="shared" si="234"/>
        <v>-4.9690260373072295E-2</v>
      </c>
      <c r="U134" s="4">
        <f t="shared" si="233"/>
        <v>-4.9500718835320846E-2</v>
      </c>
      <c r="V134" s="4">
        <f t="shared" si="233"/>
        <v>-9.2789896645500668E-5</v>
      </c>
      <c r="W134" s="4">
        <f t="shared" si="233"/>
        <v>0</v>
      </c>
      <c r="X134" s="4">
        <f t="shared" si="233"/>
        <v>0</v>
      </c>
      <c r="Y134" s="4">
        <f t="shared" si="233"/>
        <v>0</v>
      </c>
    </row>
    <row r="135" spans="1:25">
      <c r="B135" t="s">
        <v>88</v>
      </c>
      <c r="C135" t="s">
        <v>23</v>
      </c>
      <c r="E135" s="4">
        <f t="shared" ref="E135:Y135" si="235">E50^2/E48</f>
        <v>0.11143146922608738</v>
      </c>
      <c r="F135" s="4">
        <f t="shared" si="235"/>
        <v>0.1112719444890288</v>
      </c>
      <c r="G135" s="4">
        <f t="shared" si="235"/>
        <v>0.1112719444890288</v>
      </c>
      <c r="H135" s="4">
        <f t="shared" si="235"/>
        <v>0.11155599389771263</v>
      </c>
      <c r="I135" s="4">
        <f t="shared" si="235"/>
        <v>0.11155599389771263</v>
      </c>
      <c r="J135" s="4">
        <f t="shared" si="235"/>
        <v>0.11143146922608738</v>
      </c>
      <c r="K135" s="4">
        <f t="shared" si="235"/>
        <v>0.11143146922608738</v>
      </c>
      <c r="L135" s="4">
        <f t="shared" si="235"/>
        <v>0.11143146922608738</v>
      </c>
      <c r="M135" s="4">
        <f t="shared" si="235"/>
        <v>0.30490245257636678</v>
      </c>
      <c r="N135" s="4">
        <f t="shared" si="235"/>
        <v>0.1112719444890288</v>
      </c>
      <c r="O135" s="4">
        <f t="shared" si="235"/>
        <v>0.12802553881016332</v>
      </c>
      <c r="P135" s="4">
        <f t="shared" si="235"/>
        <v>0.33590676806581549</v>
      </c>
      <c r="Q135" s="4">
        <f t="shared" si="235"/>
        <v>0.12802553881016332</v>
      </c>
      <c r="R135" s="4">
        <f t="shared" ref="R135:T135" si="236">R50^2/R48</f>
        <v>0.12802553881016332</v>
      </c>
      <c r="S135" s="4">
        <f t="shared" si="236"/>
        <v>0.12802553881016332</v>
      </c>
      <c r="T135" s="4">
        <f t="shared" si="236"/>
        <v>0.12802553881016332</v>
      </c>
      <c r="U135" s="4">
        <f t="shared" si="235"/>
        <v>0.33590676806581549</v>
      </c>
      <c r="V135" s="4">
        <f t="shared" si="235"/>
        <v>1.5298089847626746E-2</v>
      </c>
      <c r="W135" s="4">
        <f t="shared" si="235"/>
        <v>0.11132511940138168</v>
      </c>
      <c r="X135" s="4">
        <f t="shared" si="235"/>
        <v>0.1112719444890288</v>
      </c>
      <c r="Y135" s="4">
        <f t="shared" si="235"/>
        <v>0.11143146922608738</v>
      </c>
    </row>
    <row r="136" spans="1:25">
      <c r="B136" t="s">
        <v>74</v>
      </c>
      <c r="C136" t="s">
        <v>23</v>
      </c>
      <c r="E136" s="4">
        <f t="shared" ref="E136:Y136" si="237">E133+E135*COS(E45*PI()/180)</f>
        <v>-31.995105516307152</v>
      </c>
      <c r="F136" s="4">
        <f t="shared" si="237"/>
        <v>-32.08753930329317</v>
      </c>
      <c r="G136" s="4">
        <f t="shared" si="237"/>
        <v>-32.08753930329317</v>
      </c>
      <c r="H136" s="4">
        <f t="shared" si="237"/>
        <v>-32.066895533726253</v>
      </c>
      <c r="I136" s="4">
        <f t="shared" si="237"/>
        <v>-32.066895533726253</v>
      </c>
      <c r="J136" s="4">
        <f t="shared" si="237"/>
        <v>-31.995105516307152</v>
      </c>
      <c r="K136" s="4">
        <f t="shared" si="237"/>
        <v>-31.995105516307152</v>
      </c>
      <c r="L136" s="4">
        <f t="shared" si="237"/>
        <v>-31.995105516307152</v>
      </c>
      <c r="M136" s="4">
        <f t="shared" si="237"/>
        <v>-31.893908795205828</v>
      </c>
      <c r="N136" s="4">
        <f t="shared" si="237"/>
        <v>-32.08753930329317</v>
      </c>
      <c r="O136" s="4">
        <f t="shared" si="237"/>
        <v>-32.084749000190421</v>
      </c>
      <c r="P136" s="4">
        <f t="shared" si="237"/>
        <v>-31.854742269584563</v>
      </c>
      <c r="Q136" s="4">
        <f t="shared" si="237"/>
        <v>-32.084749000190421</v>
      </c>
      <c r="R136" s="4">
        <f t="shared" ref="R136:T136" si="238">R133+R135*COS(R45*PI()/180)</f>
        <v>-32.084749000190421</v>
      </c>
      <c r="S136" s="4">
        <f t="shared" si="238"/>
        <v>-32.084749000190421</v>
      </c>
      <c r="T136" s="4">
        <f t="shared" si="238"/>
        <v>-32.084749000190421</v>
      </c>
      <c r="U136" s="4">
        <f t="shared" si="237"/>
        <v>-31.854742269584563</v>
      </c>
      <c r="V136" s="4">
        <f t="shared" si="237"/>
        <v>-32.226614011655855</v>
      </c>
      <c r="W136" s="4">
        <f t="shared" si="237"/>
        <v>-32.056683867238242</v>
      </c>
      <c r="X136" s="4">
        <f t="shared" si="237"/>
        <v>-32.08753930329317</v>
      </c>
      <c r="Y136" s="4">
        <f t="shared" si="237"/>
        <v>-31.995105516307152</v>
      </c>
    </row>
    <row r="137" spans="1:25">
      <c r="B137" t="s">
        <v>75</v>
      </c>
      <c r="C137" t="s">
        <v>23</v>
      </c>
      <c r="E137" s="4">
        <f t="shared" ref="E137:Y137" si="239">E134+E135*SIN(E45*PI()/180)</f>
        <v>0</v>
      </c>
      <c r="F137" s="4">
        <f t="shared" si="239"/>
        <v>0</v>
      </c>
      <c r="G137" s="4">
        <f t="shared" si="239"/>
        <v>0</v>
      </c>
      <c r="H137" s="4">
        <f t="shared" si="239"/>
        <v>0</v>
      </c>
      <c r="I137" s="4">
        <f t="shared" si="239"/>
        <v>0</v>
      </c>
      <c r="J137" s="4">
        <f t="shared" si="239"/>
        <v>0</v>
      </c>
      <c r="K137" s="4">
        <f t="shared" si="239"/>
        <v>0</v>
      </c>
      <c r="L137" s="4">
        <f t="shared" si="239"/>
        <v>0</v>
      </c>
      <c r="M137" s="4">
        <f t="shared" si="239"/>
        <v>0</v>
      </c>
      <c r="N137" s="4">
        <f t="shared" si="239"/>
        <v>0</v>
      </c>
      <c r="O137" s="4">
        <f t="shared" si="239"/>
        <v>2.5265210760783322E-2</v>
      </c>
      <c r="P137" s="4">
        <f t="shared" si="239"/>
        <v>0.14716438840198651</v>
      </c>
      <c r="Q137" s="4">
        <f t="shared" si="239"/>
        <v>2.5265210760783322E-2</v>
      </c>
      <c r="R137" s="4">
        <f t="shared" ref="R137:T137" si="240">R134+R135*SIN(R45*PI()/180)</f>
        <v>2.5265210760783322E-2</v>
      </c>
      <c r="S137" s="4">
        <f t="shared" si="240"/>
        <v>2.5265210760783322E-2</v>
      </c>
      <c r="T137" s="4">
        <f t="shared" si="240"/>
        <v>2.5265210760783322E-2</v>
      </c>
      <c r="U137" s="4">
        <f t="shared" si="239"/>
        <v>0.14716438840198651</v>
      </c>
      <c r="V137" s="4">
        <f t="shared" si="239"/>
        <v>1.5205294047157921E-2</v>
      </c>
      <c r="W137" s="4">
        <f t="shared" si="239"/>
        <v>0</v>
      </c>
      <c r="X137" s="4">
        <f t="shared" si="239"/>
        <v>0</v>
      </c>
      <c r="Y137" s="4">
        <f t="shared" si="239"/>
        <v>0</v>
      </c>
    </row>
    <row r="138" spans="1:25">
      <c r="B138" t="s">
        <v>41</v>
      </c>
      <c r="C138" t="s">
        <v>23</v>
      </c>
      <c r="E138" s="4">
        <f>(COS(E45*PI()/180)*E133-SIN(E45*PI()/180)*E134)*COS(E46*PI()/180)</f>
        <v>-32.106536985533239</v>
      </c>
      <c r="F138" s="4">
        <f t="shared" ref="F138:Y138" si="241">(COS(F45*PI()/180)*F133-SIN(F45*PI()/180)*F134)*COS(F46*PI()/180)</f>
        <v>-32.198811247782196</v>
      </c>
      <c r="G138" s="4">
        <f t="shared" si="241"/>
        <v>-32.198811247782196</v>
      </c>
      <c r="H138" s="4">
        <f t="shared" si="241"/>
        <v>-32.178451527623963</v>
      </c>
      <c r="I138" s="4">
        <f t="shared" si="241"/>
        <v>-32.178451527623963</v>
      </c>
      <c r="J138" s="4">
        <f t="shared" si="241"/>
        <v>-32.106536985533239</v>
      </c>
      <c r="K138" s="4">
        <f t="shared" si="241"/>
        <v>-32.106536985533239</v>
      </c>
      <c r="L138" s="4">
        <f t="shared" si="241"/>
        <v>-32.106536985533239</v>
      </c>
      <c r="M138" s="4">
        <f t="shared" si="241"/>
        <v>-32.198811247782196</v>
      </c>
      <c r="N138" s="4">
        <f t="shared" si="241"/>
        <v>-32.198811247782196</v>
      </c>
      <c r="O138" s="4">
        <f t="shared" si="241"/>
        <v>-6.4495167652727901</v>
      </c>
      <c r="P138" s="4">
        <f t="shared" si="241"/>
        <v>-6.4371977693816138</v>
      </c>
      <c r="Q138" s="4">
        <f t="shared" si="241"/>
        <v>-6.4495167652727901</v>
      </c>
      <c r="R138" s="4">
        <f t="shared" ref="R138:T138" si="242">(COS(R45*PI()/180)*R133-SIN(R45*PI()/180)*R134)*COS(R46*PI()/180)</f>
        <v>-6.4495167652727901</v>
      </c>
      <c r="S138" s="4">
        <f t="shared" si="242"/>
        <v>-6.4495167652727901</v>
      </c>
      <c r="T138" s="4">
        <f t="shared" si="242"/>
        <v>-6.4495167652727901</v>
      </c>
      <c r="U138" s="4">
        <f t="shared" si="241"/>
        <v>-6.4371977693816138</v>
      </c>
      <c r="V138" s="4">
        <f t="shared" si="241"/>
        <v>-1.9954333085128371E-2</v>
      </c>
      <c r="W138" s="4">
        <f t="shared" si="241"/>
        <v>32.167996737970526</v>
      </c>
      <c r="X138" s="4">
        <f t="shared" si="241"/>
        <v>-32.198811247782196</v>
      </c>
      <c r="Y138" s="4">
        <f t="shared" si="241"/>
        <v>-32.106536985533239</v>
      </c>
    </row>
    <row r="139" spans="1:25">
      <c r="B139" t="s">
        <v>42</v>
      </c>
      <c r="C139" t="s">
        <v>23</v>
      </c>
      <c r="E139" s="4">
        <f>(COS(E45*PI()/180)*E133-SIN(E45*PI()/180)*E134)*SIN(E46*PI()/180)</f>
        <v>0</v>
      </c>
      <c r="F139" s="4">
        <f t="shared" ref="F139:Y139" si="243">(COS(F45*PI()/180)*F133-SIN(F45*PI()/180)*F134)*SIN(F46*PI()/180)</f>
        <v>0</v>
      </c>
      <c r="G139" s="4">
        <f t="shared" si="243"/>
        <v>0</v>
      </c>
      <c r="H139" s="4">
        <f t="shared" si="243"/>
        <v>0</v>
      </c>
      <c r="I139" s="4">
        <f t="shared" si="243"/>
        <v>0</v>
      </c>
      <c r="J139" s="4">
        <f t="shared" si="243"/>
        <v>0</v>
      </c>
      <c r="K139" s="4">
        <f t="shared" si="243"/>
        <v>0</v>
      </c>
      <c r="L139" s="4">
        <f t="shared" si="243"/>
        <v>0</v>
      </c>
      <c r="M139" s="4">
        <f t="shared" si="243"/>
        <v>0</v>
      </c>
      <c r="N139" s="4">
        <f t="shared" si="243"/>
        <v>0</v>
      </c>
      <c r="O139" s="4">
        <f t="shared" si="243"/>
        <v>25.255392727004725</v>
      </c>
      <c r="P139" s="4">
        <f t="shared" si="243"/>
        <v>25.207153286662585</v>
      </c>
      <c r="Q139" s="4">
        <f t="shared" si="243"/>
        <v>25.255392727004725</v>
      </c>
      <c r="R139" s="4">
        <f t="shared" ref="R139:T139" si="244">(COS(R45*PI()/180)*R133-SIN(R45*PI()/180)*R134)*SIN(R46*PI()/180)</f>
        <v>25.255392727004725</v>
      </c>
      <c r="S139" s="4">
        <f t="shared" si="244"/>
        <v>25.255392727004725</v>
      </c>
      <c r="T139" s="4">
        <f t="shared" si="244"/>
        <v>25.255392727004725</v>
      </c>
      <c r="U139" s="4">
        <f t="shared" si="243"/>
        <v>25.207153286662585</v>
      </c>
      <c r="V139" s="4">
        <f t="shared" si="243"/>
        <v>1.9954333085128367E-2</v>
      </c>
      <c r="W139" s="4">
        <f t="shared" si="243"/>
        <v>2.8071879968407994E-2</v>
      </c>
      <c r="X139" s="4">
        <f t="shared" si="243"/>
        <v>0</v>
      </c>
      <c r="Y139" s="4">
        <f t="shared" si="243"/>
        <v>0</v>
      </c>
    </row>
    <row r="140" spans="1:25">
      <c r="B140" t="s">
        <v>43</v>
      </c>
      <c r="C140" t="s">
        <v>23</v>
      </c>
      <c r="E140" s="4">
        <f>SIN(E45*PI()/180)*E133 + COS(E45*PI()/180)*E134</f>
        <v>0</v>
      </c>
      <c r="F140" s="4">
        <f t="shared" ref="F140:Y140" si="245">SIN(F45*PI()/180)*F133 + COS(F45*PI()/180)*F134</f>
        <v>0</v>
      </c>
      <c r="G140" s="4">
        <f t="shared" si="245"/>
        <v>0</v>
      </c>
      <c r="H140" s="4">
        <f t="shared" si="245"/>
        <v>0</v>
      </c>
      <c r="I140" s="4">
        <f t="shared" si="245"/>
        <v>0</v>
      </c>
      <c r="J140" s="4">
        <f t="shared" si="245"/>
        <v>0</v>
      </c>
      <c r="K140" s="4">
        <f t="shared" si="245"/>
        <v>0</v>
      </c>
      <c r="L140" s="4">
        <f t="shared" si="245"/>
        <v>0</v>
      </c>
      <c r="M140" s="4">
        <f t="shared" si="245"/>
        <v>0</v>
      </c>
      <c r="N140" s="4">
        <f t="shared" si="245"/>
        <v>0</v>
      </c>
      <c r="O140" s="4">
        <f t="shared" si="245"/>
        <v>-18.885797251827025</v>
      </c>
      <c r="P140" s="4">
        <f t="shared" si="245"/>
        <v>-18.849728212527392</v>
      </c>
      <c r="Q140" s="4">
        <f t="shared" si="245"/>
        <v>-18.885797251827025</v>
      </c>
      <c r="R140" s="4">
        <f t="shared" ref="R140:T140" si="246">SIN(R45*PI()/180)*R133 + COS(R45*PI()/180)*R134</f>
        <v>-18.885797251827025</v>
      </c>
      <c r="S140" s="4">
        <f t="shared" si="246"/>
        <v>-18.885797251827025</v>
      </c>
      <c r="T140" s="4">
        <f t="shared" si="246"/>
        <v>-18.885797251827025</v>
      </c>
      <c r="U140" s="4">
        <f t="shared" si="245"/>
        <v>-18.849728212527392</v>
      </c>
      <c r="V140" s="4">
        <f t="shared" si="245"/>
        <v>-32.2266150963383</v>
      </c>
      <c r="W140" s="4">
        <f t="shared" si="245"/>
        <v>0</v>
      </c>
      <c r="X140" s="4">
        <f t="shared" si="245"/>
        <v>0</v>
      </c>
      <c r="Y140" s="4">
        <f t="shared" si="245"/>
        <v>0</v>
      </c>
    </row>
    <row r="142" spans="1:25">
      <c r="A142" t="s">
        <v>106</v>
      </c>
    </row>
    <row r="143" spans="1:25">
      <c r="B143" t="s">
        <v>91</v>
      </c>
      <c r="E143" s="4">
        <f>E5</f>
        <v>20925646.995080002</v>
      </c>
      <c r="F143" s="4">
        <f t="shared" ref="F143:Y143" si="247">Re</f>
        <v>20925646.995080002</v>
      </c>
      <c r="G143" s="4">
        <f t="shared" si="247"/>
        <v>20925646.995080002</v>
      </c>
      <c r="H143" s="4">
        <f t="shared" si="247"/>
        <v>20925646.995080002</v>
      </c>
      <c r="I143" s="4">
        <f t="shared" si="247"/>
        <v>20925646.995080002</v>
      </c>
      <c r="J143" s="4">
        <f t="shared" si="247"/>
        <v>20925646.995080002</v>
      </c>
      <c r="K143" s="4">
        <f t="shared" si="247"/>
        <v>20925646.995080002</v>
      </c>
      <c r="L143" s="4">
        <f t="shared" si="247"/>
        <v>20925646.995080002</v>
      </c>
      <c r="M143" s="4">
        <f t="shared" si="247"/>
        <v>20925646.995080002</v>
      </c>
      <c r="N143" s="4">
        <f t="shared" si="247"/>
        <v>20925646.995080002</v>
      </c>
      <c r="O143" s="4">
        <f t="shared" si="247"/>
        <v>20925646.995080002</v>
      </c>
      <c r="P143" s="4">
        <f t="shared" si="247"/>
        <v>20925646.995080002</v>
      </c>
      <c r="Q143" s="4">
        <f t="shared" si="247"/>
        <v>20925646.995080002</v>
      </c>
      <c r="R143" s="4">
        <f t="shared" si="247"/>
        <v>20925646.995080002</v>
      </c>
      <c r="S143" s="4">
        <f t="shared" si="247"/>
        <v>20925646.995080002</v>
      </c>
      <c r="T143" s="4">
        <f t="shared" si="247"/>
        <v>20925646.995080002</v>
      </c>
      <c r="U143" s="4">
        <f t="shared" si="247"/>
        <v>20925646.995080002</v>
      </c>
      <c r="V143" s="4">
        <f t="shared" si="247"/>
        <v>20925646.995080002</v>
      </c>
      <c r="W143" s="4">
        <f t="shared" si="247"/>
        <v>20925646.995080002</v>
      </c>
      <c r="X143" s="4">
        <f t="shared" si="247"/>
        <v>20925646.995080002</v>
      </c>
      <c r="Y143" s="4">
        <f t="shared" si="247"/>
        <v>20925646.995080002</v>
      </c>
    </row>
    <row r="144" spans="1:25">
      <c r="B144" t="s">
        <v>89</v>
      </c>
      <c r="E144" s="4">
        <f>E13</f>
        <v>20855487.262668155</v>
      </c>
      <c r="F144" s="4">
        <f t="shared" ref="F144:Y144" si="248">Ep</f>
        <v>20855487.262668155</v>
      </c>
      <c r="G144" s="4">
        <f t="shared" si="248"/>
        <v>20855487.262668155</v>
      </c>
      <c r="H144" s="4">
        <f t="shared" si="248"/>
        <v>20855487.262668155</v>
      </c>
      <c r="I144" s="4">
        <f t="shared" si="248"/>
        <v>20855487.262668155</v>
      </c>
      <c r="J144" s="4">
        <f t="shared" si="248"/>
        <v>20855487.262668155</v>
      </c>
      <c r="K144" s="4">
        <f t="shared" si="248"/>
        <v>20855487.262668155</v>
      </c>
      <c r="L144" s="4">
        <f t="shared" si="248"/>
        <v>20855487.262668155</v>
      </c>
      <c r="M144" s="4">
        <f t="shared" si="248"/>
        <v>20855487.262668155</v>
      </c>
      <c r="N144" s="4">
        <f t="shared" si="248"/>
        <v>20855487.262668155</v>
      </c>
      <c r="O144" s="4">
        <f t="shared" si="248"/>
        <v>20855487.262668155</v>
      </c>
      <c r="P144" s="4">
        <f t="shared" si="248"/>
        <v>20855487.262668155</v>
      </c>
      <c r="Q144" s="4">
        <f t="shared" si="248"/>
        <v>20855487.262668155</v>
      </c>
      <c r="R144" s="4">
        <f t="shared" si="248"/>
        <v>20855487.262668155</v>
      </c>
      <c r="S144" s="4">
        <f t="shared" si="248"/>
        <v>20855487.262668155</v>
      </c>
      <c r="T144" s="4">
        <f t="shared" si="248"/>
        <v>20855487.262668155</v>
      </c>
      <c r="U144" s="4">
        <f t="shared" si="248"/>
        <v>20855487.262668155</v>
      </c>
      <c r="V144" s="4">
        <f t="shared" si="248"/>
        <v>20855487.262668155</v>
      </c>
      <c r="W144" s="4">
        <f t="shared" si="248"/>
        <v>20855487.262668155</v>
      </c>
      <c r="X144" s="4">
        <f t="shared" si="248"/>
        <v>20855487.262668155</v>
      </c>
      <c r="Y144" s="4">
        <f t="shared" si="248"/>
        <v>20855487.262668155</v>
      </c>
    </row>
    <row r="145" spans="1:25">
      <c r="B145" t="s">
        <v>92</v>
      </c>
      <c r="E145" s="4">
        <f>SQRT(E143*E143-E144*E144)</f>
        <v>1712119.5049957815</v>
      </c>
      <c r="F145" s="4">
        <f t="shared" ref="F145:Y145" si="249">SQRT(F143*F143-F144*F144)</f>
        <v>1712119.5049957815</v>
      </c>
      <c r="G145" s="4">
        <f t="shared" si="249"/>
        <v>1712119.5049957815</v>
      </c>
      <c r="H145" s="4">
        <f t="shared" si="249"/>
        <v>1712119.5049957815</v>
      </c>
      <c r="I145" s="4">
        <f t="shared" si="249"/>
        <v>1712119.5049957815</v>
      </c>
      <c r="J145" s="4">
        <f t="shared" si="249"/>
        <v>1712119.5049957815</v>
      </c>
      <c r="K145" s="4">
        <f t="shared" si="249"/>
        <v>1712119.5049957815</v>
      </c>
      <c r="L145" s="4">
        <f t="shared" si="249"/>
        <v>1712119.5049957815</v>
      </c>
      <c r="M145" s="4">
        <f t="shared" si="249"/>
        <v>1712119.5049957815</v>
      </c>
      <c r="N145" s="4">
        <f t="shared" si="249"/>
        <v>1712119.5049957815</v>
      </c>
      <c r="O145" s="4">
        <f t="shared" si="249"/>
        <v>1712119.5049957815</v>
      </c>
      <c r="P145" s="4">
        <f t="shared" si="249"/>
        <v>1712119.5049957815</v>
      </c>
      <c r="Q145" s="4">
        <f t="shared" si="249"/>
        <v>1712119.5049957815</v>
      </c>
      <c r="R145" s="4">
        <f t="shared" ref="R145:T145" si="250">SQRT(R143*R143-R144*R144)</f>
        <v>1712119.5049957815</v>
      </c>
      <c r="S145" s="4">
        <f t="shared" si="250"/>
        <v>1712119.5049957815</v>
      </c>
      <c r="T145" s="4">
        <f t="shared" si="250"/>
        <v>1712119.5049957815</v>
      </c>
      <c r="U145" s="4">
        <f t="shared" si="249"/>
        <v>1712119.5049957815</v>
      </c>
      <c r="V145" s="4">
        <f t="shared" si="249"/>
        <v>1712119.5049957815</v>
      </c>
      <c r="W145" s="4">
        <f t="shared" si="249"/>
        <v>1712119.5049957815</v>
      </c>
      <c r="X145" s="4">
        <f t="shared" si="249"/>
        <v>1712119.5049957815</v>
      </c>
      <c r="Y145" s="4">
        <f t="shared" si="249"/>
        <v>1712119.5049957815</v>
      </c>
    </row>
    <row r="146" spans="1:25">
      <c r="B146" t="s">
        <v>94</v>
      </c>
      <c r="E146" s="4">
        <f>E122*E122+E123*E123+E124*E124-E145*E145</f>
        <v>436207787783018.5</v>
      </c>
      <c r="F146" s="4">
        <f t="shared" ref="F146:Y146" si="251">F122*F122+F123*F123+F124*F124-F145*F145</f>
        <v>434951348963313.69</v>
      </c>
      <c r="G146" s="4">
        <f t="shared" si="251"/>
        <v>434951348963313.69</v>
      </c>
      <c r="H146" s="4">
        <f t="shared" si="251"/>
        <v>436207787783018.5</v>
      </c>
      <c r="I146" s="4">
        <f t="shared" si="251"/>
        <v>436207787783018.5</v>
      </c>
      <c r="J146" s="4">
        <f t="shared" si="251"/>
        <v>436207787783018.5</v>
      </c>
      <c r="K146" s="4">
        <f t="shared" si="251"/>
        <v>436207787783018.5</v>
      </c>
      <c r="L146" s="4">
        <f t="shared" si="251"/>
        <v>436207787783018.5</v>
      </c>
      <c r="M146" s="4">
        <f t="shared" si="251"/>
        <v>434951348963313.69</v>
      </c>
      <c r="N146" s="4">
        <f t="shared" si="251"/>
        <v>434951348963313.69</v>
      </c>
      <c r="O146" s="4">
        <f t="shared" si="251"/>
        <v>434360780219469.12</v>
      </c>
      <c r="P146" s="4">
        <f t="shared" si="251"/>
        <v>435197637208215.31</v>
      </c>
      <c r="Q146" s="4">
        <f t="shared" si="251"/>
        <v>434360780219469.12</v>
      </c>
      <c r="R146" s="4">
        <f t="shared" ref="R146:T146" si="252">R122*R122+R123*R123+R124*R124-R145*R145</f>
        <v>434360780219469.12</v>
      </c>
      <c r="S146" s="4">
        <f t="shared" si="252"/>
        <v>434360780219469.12</v>
      </c>
      <c r="T146" s="4">
        <f t="shared" si="252"/>
        <v>434360780219469.12</v>
      </c>
      <c r="U146" s="4">
        <f t="shared" si="251"/>
        <v>435197637208215.31</v>
      </c>
      <c r="V146" s="4">
        <f t="shared" si="251"/>
        <v>432437207757648</v>
      </c>
      <c r="W146" s="4">
        <f t="shared" si="251"/>
        <v>435369961903215.31</v>
      </c>
      <c r="X146" s="4">
        <f t="shared" si="251"/>
        <v>434951348963313.69</v>
      </c>
      <c r="Y146" s="4">
        <f t="shared" si="251"/>
        <v>436207787783018.5</v>
      </c>
    </row>
    <row r="147" spans="1:25">
      <c r="B147" t="s">
        <v>93</v>
      </c>
      <c r="C147" t="s">
        <v>9</v>
      </c>
      <c r="E147" s="4">
        <f>SQRT(0.5*(E146)*(1+SQRT(1+(4*E145*E145*E124*E124)/(E146*E146))))</f>
        <v>20885588.040153872</v>
      </c>
      <c r="F147" s="4">
        <f t="shared" ref="F147:Y147" si="253">SQRT(0.5*(F146)*(1+SQRT(1+(4*F145*F145*F124*F124)/(F146*F146))))</f>
        <v>20855487.262668155</v>
      </c>
      <c r="G147" s="4">
        <f t="shared" si="253"/>
        <v>20855487.262668155</v>
      </c>
      <c r="H147" s="4">
        <f t="shared" si="253"/>
        <v>20885588.040153872</v>
      </c>
      <c r="I147" s="4">
        <f t="shared" si="253"/>
        <v>20885588.040153872</v>
      </c>
      <c r="J147" s="4">
        <f t="shared" si="253"/>
        <v>20885588.040153872</v>
      </c>
      <c r="K147" s="4">
        <f t="shared" si="253"/>
        <v>20885588.040153872</v>
      </c>
      <c r="L147" s="4">
        <f t="shared" si="253"/>
        <v>20885588.040153872</v>
      </c>
      <c r="M147" s="4">
        <f t="shared" si="253"/>
        <v>20855487.262668155</v>
      </c>
      <c r="N147" s="4">
        <f t="shared" si="253"/>
        <v>20855487.262668155</v>
      </c>
      <c r="O147" s="4">
        <f t="shared" si="253"/>
        <v>20865522.301049232</v>
      </c>
      <c r="P147" s="4">
        <f t="shared" si="253"/>
        <v>20885566.257405479</v>
      </c>
      <c r="Q147" s="4">
        <f t="shared" si="253"/>
        <v>20865522.301049232</v>
      </c>
      <c r="R147" s="4">
        <f t="shared" ref="R147:T147" si="254">SQRT(0.5*(R146)*(1+SQRT(1+(4*R145*R145*R124*R124)/(R146*R146))))</f>
        <v>20865522.301049232</v>
      </c>
      <c r="S147" s="4">
        <f t="shared" si="254"/>
        <v>20865522.301049232</v>
      </c>
      <c r="T147" s="4">
        <f t="shared" si="254"/>
        <v>20865522.301049232</v>
      </c>
      <c r="U147" s="4">
        <f t="shared" si="253"/>
        <v>20885566.257405479</v>
      </c>
      <c r="V147" s="4">
        <f t="shared" si="253"/>
        <v>20865487.262693811</v>
      </c>
      <c r="W147" s="4">
        <f t="shared" si="253"/>
        <v>20865520.887416527</v>
      </c>
      <c r="X147" s="4">
        <f t="shared" si="253"/>
        <v>20855487.262668155</v>
      </c>
      <c r="Y147" s="4">
        <f t="shared" si="253"/>
        <v>20885588.040153872</v>
      </c>
    </row>
    <row r="148" spans="1:25">
      <c r="B148" t="s">
        <v>95</v>
      </c>
      <c r="C148" t="s">
        <v>96</v>
      </c>
      <c r="E148" s="4">
        <f>ATAN2(E147*SQRT(E122*E122+E123*E123),E124*SQRT(E147*E147+E145*E145))</f>
        <v>0</v>
      </c>
      <c r="F148" s="4">
        <f t="shared" ref="F148:Y148" si="255">ATAN2(F147*SQRT(F122*F122+F123*F123),F124*SQRT(F147*F147+F145*F145))</f>
        <v>0</v>
      </c>
      <c r="G148" s="4">
        <f t="shared" si="255"/>
        <v>0</v>
      </c>
      <c r="H148" s="4">
        <f t="shared" si="255"/>
        <v>0</v>
      </c>
      <c r="I148" s="4">
        <f t="shared" si="255"/>
        <v>0</v>
      </c>
      <c r="J148" s="4">
        <f t="shared" si="255"/>
        <v>0</v>
      </c>
      <c r="K148" s="4">
        <f t="shared" si="255"/>
        <v>0</v>
      </c>
      <c r="L148" s="4">
        <f t="shared" si="255"/>
        <v>0</v>
      </c>
      <c r="M148" s="4">
        <f t="shared" si="255"/>
        <v>0</v>
      </c>
      <c r="N148" s="4">
        <f t="shared" si="255"/>
        <v>0</v>
      </c>
      <c r="O148" s="4">
        <f t="shared" si="255"/>
        <v>0.62705650033443994</v>
      </c>
      <c r="P148" s="4">
        <f t="shared" si="255"/>
        <v>0.62705650325846618</v>
      </c>
      <c r="Q148" s="4">
        <f t="shared" si="255"/>
        <v>0.62705650033443994</v>
      </c>
      <c r="R148" s="4">
        <f t="shared" ref="R148:T148" si="256">ATAN2(R147*SQRT(R122*R122+R123*R123),R124*SQRT(R147*R147+R145*R145))</f>
        <v>0.62705650033443994</v>
      </c>
      <c r="S148" s="4">
        <f t="shared" si="256"/>
        <v>0.62705650033443994</v>
      </c>
      <c r="T148" s="4">
        <f t="shared" si="256"/>
        <v>0.62705650033443994</v>
      </c>
      <c r="U148" s="4">
        <f t="shared" si="255"/>
        <v>0.62705650325846618</v>
      </c>
      <c r="V148" s="4">
        <f t="shared" si="255"/>
        <v>1.5699207264488806</v>
      </c>
      <c r="W148" s="4">
        <f t="shared" si="255"/>
        <v>0</v>
      </c>
      <c r="X148" s="4">
        <f t="shared" si="255"/>
        <v>0</v>
      </c>
      <c r="Y148" s="4">
        <f t="shared" si="255"/>
        <v>0</v>
      </c>
    </row>
    <row r="149" spans="1:25">
      <c r="B149" t="s">
        <v>95</v>
      </c>
      <c r="C149" t="s">
        <v>7</v>
      </c>
      <c r="E149" s="4">
        <f>E148*180/PI()</f>
        <v>0</v>
      </c>
      <c r="F149" s="4">
        <f t="shared" ref="F149:Y149" si="257">F148*180/PI()</f>
        <v>0</v>
      </c>
      <c r="G149" s="4">
        <f t="shared" si="257"/>
        <v>0</v>
      </c>
      <c r="H149" s="4">
        <f t="shared" si="257"/>
        <v>0</v>
      </c>
      <c r="I149" s="4">
        <f t="shared" si="257"/>
        <v>0</v>
      </c>
      <c r="J149" s="4">
        <f t="shared" si="257"/>
        <v>0</v>
      </c>
      <c r="K149" s="4">
        <f t="shared" si="257"/>
        <v>0</v>
      </c>
      <c r="L149" s="4">
        <f t="shared" si="257"/>
        <v>0</v>
      </c>
      <c r="M149" s="4">
        <f t="shared" si="257"/>
        <v>0</v>
      </c>
      <c r="N149" s="4">
        <f t="shared" si="257"/>
        <v>0</v>
      </c>
      <c r="O149" s="4">
        <f t="shared" si="257"/>
        <v>35.927690985407104</v>
      </c>
      <c r="P149" s="4">
        <f t="shared" si="257"/>
        <v>35.927691152941463</v>
      </c>
      <c r="Q149" s="4">
        <f t="shared" si="257"/>
        <v>35.927690985407104</v>
      </c>
      <c r="R149" s="4">
        <f t="shared" ref="R149:T149" si="258">R148*180/PI()</f>
        <v>35.927690985407104</v>
      </c>
      <c r="S149" s="4">
        <f t="shared" si="258"/>
        <v>35.927690985407104</v>
      </c>
      <c r="T149" s="4">
        <f t="shared" si="258"/>
        <v>35.927690985407104</v>
      </c>
      <c r="U149" s="4">
        <f t="shared" si="257"/>
        <v>35.927691152941463</v>
      </c>
      <c r="V149" s="4">
        <f t="shared" si="257"/>
        <v>89.949831795633102</v>
      </c>
      <c r="W149" s="4">
        <f t="shared" si="257"/>
        <v>0</v>
      </c>
      <c r="X149" s="4">
        <f t="shared" si="257"/>
        <v>0</v>
      </c>
      <c r="Y149" s="4">
        <f t="shared" si="257"/>
        <v>0</v>
      </c>
    </row>
    <row r="150" spans="1:25">
      <c r="B150" t="s">
        <v>31</v>
      </c>
      <c r="E150" s="4">
        <f>SQRT((E147*E147+E145*E145*(SIN(E148))^2)/(E147*E147+E145*E145))</f>
        <v>0.9966567982872313</v>
      </c>
      <c r="F150" s="4">
        <f t="shared" ref="F150:X150" si="259">SQRT((F147*F147+F145*F145*(SIN(F148))^2)/(F147*F147+F145*F145))</f>
        <v>0.99664718933525254</v>
      </c>
      <c r="G150" s="4">
        <f t="shared" si="259"/>
        <v>0.99664718933525254</v>
      </c>
      <c r="H150" s="4">
        <f t="shared" si="259"/>
        <v>0.9966567982872313</v>
      </c>
      <c r="I150" s="4">
        <f t="shared" si="259"/>
        <v>0.9966567982872313</v>
      </c>
      <c r="J150" s="4">
        <f t="shared" si="259"/>
        <v>0.9966567982872313</v>
      </c>
      <c r="K150" s="4">
        <f t="shared" si="259"/>
        <v>0.9966567982872313</v>
      </c>
      <c r="L150" s="4">
        <f t="shared" si="259"/>
        <v>0.9966567982872313</v>
      </c>
      <c r="M150" s="4">
        <f t="shared" si="259"/>
        <v>0.99664718933525254</v>
      </c>
      <c r="N150" s="4">
        <f t="shared" si="259"/>
        <v>0.99664718933525254</v>
      </c>
      <c r="O150" s="4">
        <f t="shared" si="259"/>
        <v>0.99780490712248182</v>
      </c>
      <c r="P150" s="4">
        <f t="shared" si="259"/>
        <v>0.99780909486914238</v>
      </c>
      <c r="Q150" s="4">
        <f t="shared" si="259"/>
        <v>0.99780490712248182</v>
      </c>
      <c r="R150" s="4">
        <f t="shared" ref="R150:T150" si="260">SQRT((R147*R147+R145*R145*(SIN(R148))^2)/(R147*R147+R145*R145))</f>
        <v>0.99780490712248182</v>
      </c>
      <c r="S150" s="4">
        <f t="shared" si="260"/>
        <v>0.99780490712248182</v>
      </c>
      <c r="T150" s="4">
        <f t="shared" si="260"/>
        <v>0.99780490712248182</v>
      </c>
      <c r="U150" s="4">
        <f t="shared" si="259"/>
        <v>0.99780909486914238</v>
      </c>
      <c r="V150" s="4">
        <f t="shared" si="259"/>
        <v>0.99999999743623325</v>
      </c>
      <c r="W150" s="4">
        <f t="shared" si="259"/>
        <v>0.99665039691966739</v>
      </c>
      <c r="X150" s="4">
        <f t="shared" si="259"/>
        <v>0.99664718933525254</v>
      </c>
      <c r="Y150" s="4">
        <f t="shared" ref="Y150" si="261">SQRT((Y147*Y147+Y145*Y145*(SIN(Y148))^2)/(Y147*Y147+Y145*Y145))</f>
        <v>0.9966567982872313</v>
      </c>
    </row>
    <row r="151" spans="1:25">
      <c r="B151" t="s">
        <v>97</v>
      </c>
      <c r="E151" s="4">
        <f>0.5*((1+3*E147*E147/(E145*E145))*ATAN(E145/E147)-3*E147/E145)</f>
        <v>7.3030798457551782E-5</v>
      </c>
      <c r="F151" s="4">
        <f t="shared" ref="F151:X151" si="262">0.5*((1+3*F147*F147/(F145*F145))*ATAN(F145/F147)-3*F147/F145)</f>
        <v>7.334625787080995E-5</v>
      </c>
      <c r="G151" s="4">
        <f t="shared" si="262"/>
        <v>7.334625787080995E-5</v>
      </c>
      <c r="H151" s="4">
        <f t="shared" si="262"/>
        <v>7.3030798457551782E-5</v>
      </c>
      <c r="I151" s="4">
        <f t="shared" si="262"/>
        <v>7.3030798457551782E-5</v>
      </c>
      <c r="J151" s="4">
        <f t="shared" si="262"/>
        <v>7.3030798457551782E-5</v>
      </c>
      <c r="K151" s="4">
        <f t="shared" si="262"/>
        <v>7.3030798457551782E-5</v>
      </c>
      <c r="L151" s="4">
        <f t="shared" si="262"/>
        <v>7.3030798457551782E-5</v>
      </c>
      <c r="M151" s="4">
        <f t="shared" si="262"/>
        <v>7.334625787080995E-5</v>
      </c>
      <c r="N151" s="4">
        <f t="shared" si="262"/>
        <v>7.334625787080995E-5</v>
      </c>
      <c r="O151" s="4">
        <f t="shared" si="262"/>
        <v>7.3240888241343782E-5</v>
      </c>
      <c r="P151" s="4">
        <f t="shared" si="262"/>
        <v>7.3031026090575324E-5</v>
      </c>
      <c r="Q151" s="4">
        <f t="shared" si="262"/>
        <v>7.3240888241343782E-5</v>
      </c>
      <c r="R151" s="4">
        <f t="shared" ref="R151:T151" si="263">0.5*((1+3*R147*R147/(R145*R145))*ATAN(R145/R147)-3*R147/R145)</f>
        <v>7.3240888241343782E-5</v>
      </c>
      <c r="S151" s="4">
        <f t="shared" si="263"/>
        <v>7.3240888241343782E-5</v>
      </c>
      <c r="T151" s="4">
        <f t="shared" si="263"/>
        <v>7.3240888241343782E-5</v>
      </c>
      <c r="U151" s="4">
        <f t="shared" si="262"/>
        <v>7.3031026090575324E-5</v>
      </c>
      <c r="V151" s="4">
        <f t="shared" si="262"/>
        <v>7.3241255801548277E-5</v>
      </c>
      <c r="W151" s="4">
        <f t="shared" si="262"/>
        <v>7.3240903073923391E-5</v>
      </c>
      <c r="X151" s="4">
        <f t="shared" si="262"/>
        <v>7.334625787080995E-5</v>
      </c>
      <c r="Y151" s="4">
        <f t="shared" ref="Y151" si="264">0.5*((1+3*Y147*Y147/(Y145*Y145))*ATAN(Y145/Y147)-3*Y147/Y145)</f>
        <v>7.3030798457551782E-5</v>
      </c>
    </row>
    <row r="152" spans="1:25">
      <c r="B152" t="s">
        <v>98</v>
      </c>
      <c r="E152" s="4">
        <f>0.5*((1+3*E144*E144/(E145*E145))*ATAN(E145/E144)-3*E144/E145)</f>
        <v>7.334625787080995E-5</v>
      </c>
      <c r="F152" s="4">
        <f t="shared" ref="F152:X152" si="265">0.5*((1+3*F144*F144/(F145*F145))*ATAN(F145/F144)-3*F144/F145)</f>
        <v>7.334625787080995E-5</v>
      </c>
      <c r="G152" s="4">
        <f t="shared" si="265"/>
        <v>7.334625787080995E-5</v>
      </c>
      <c r="H152" s="4">
        <f t="shared" si="265"/>
        <v>7.334625787080995E-5</v>
      </c>
      <c r="I152" s="4">
        <f t="shared" si="265"/>
        <v>7.334625787080995E-5</v>
      </c>
      <c r="J152" s="4">
        <f t="shared" si="265"/>
        <v>7.334625787080995E-5</v>
      </c>
      <c r="K152" s="4">
        <f t="shared" si="265"/>
        <v>7.334625787080995E-5</v>
      </c>
      <c r="L152" s="4">
        <f t="shared" si="265"/>
        <v>7.334625787080995E-5</v>
      </c>
      <c r="M152" s="4">
        <f t="shared" si="265"/>
        <v>7.334625787080995E-5</v>
      </c>
      <c r="N152" s="4">
        <f t="shared" si="265"/>
        <v>7.334625787080995E-5</v>
      </c>
      <c r="O152" s="4">
        <f t="shared" si="265"/>
        <v>7.334625787080995E-5</v>
      </c>
      <c r="P152" s="4">
        <f t="shared" si="265"/>
        <v>7.334625787080995E-5</v>
      </c>
      <c r="Q152" s="4">
        <f t="shared" si="265"/>
        <v>7.334625787080995E-5</v>
      </c>
      <c r="R152" s="4">
        <f t="shared" ref="R152:T152" si="266">0.5*((1+3*R144*R144/(R145*R145))*ATAN(R145/R144)-3*R144/R145)</f>
        <v>7.334625787080995E-5</v>
      </c>
      <c r="S152" s="4">
        <f t="shared" si="266"/>
        <v>7.334625787080995E-5</v>
      </c>
      <c r="T152" s="4">
        <f t="shared" si="266"/>
        <v>7.334625787080995E-5</v>
      </c>
      <c r="U152" s="4">
        <f t="shared" si="265"/>
        <v>7.334625787080995E-5</v>
      </c>
      <c r="V152" s="4">
        <f t="shared" si="265"/>
        <v>7.334625787080995E-5</v>
      </c>
      <c r="W152" s="4">
        <f t="shared" si="265"/>
        <v>7.334625787080995E-5</v>
      </c>
      <c r="X152" s="4">
        <f t="shared" si="265"/>
        <v>7.334625787080995E-5</v>
      </c>
      <c r="Y152" s="4">
        <f t="shared" ref="Y152" si="267">0.5*((1+3*Y144*Y144/(Y145*Y145))*ATAN(Y145/Y144)-3*Y144/Y145)</f>
        <v>7.334625787080995E-5</v>
      </c>
    </row>
    <row r="153" spans="1:25">
      <c r="B153" t="s">
        <v>99</v>
      </c>
      <c r="E153" s="4">
        <f>3*(1+E147*E147/(E145*E145))*(1-(E147/E145)*ATAN(E145/E147))-1</f>
        <v>2.6803209502448411E-3</v>
      </c>
      <c r="F153" s="4">
        <f t="shared" ref="F153:X153" si="268">3*(1+F147*F147/(F145*F145))*(1-(F147/F145)*ATAN(F145/F147))-1</f>
        <v>2.6880413004808368E-3</v>
      </c>
      <c r="G153" s="4">
        <f t="shared" si="268"/>
        <v>2.6880413004808368E-3</v>
      </c>
      <c r="H153" s="4">
        <f t="shared" si="268"/>
        <v>2.6803209502448411E-3</v>
      </c>
      <c r="I153" s="4">
        <f t="shared" si="268"/>
        <v>2.6803209502448411E-3</v>
      </c>
      <c r="J153" s="4">
        <f t="shared" si="268"/>
        <v>2.6803209502448411E-3</v>
      </c>
      <c r="K153" s="4">
        <f t="shared" si="268"/>
        <v>2.6803209502448411E-3</v>
      </c>
      <c r="L153" s="4">
        <f t="shared" si="268"/>
        <v>2.6803209502448411E-3</v>
      </c>
      <c r="M153" s="4">
        <f t="shared" si="268"/>
        <v>2.6880413004808368E-3</v>
      </c>
      <c r="N153" s="4">
        <f t="shared" si="268"/>
        <v>2.6880413004808368E-3</v>
      </c>
      <c r="O153" s="4">
        <f t="shared" si="268"/>
        <v>2.6854637807034454E-3</v>
      </c>
      <c r="P153" s="4">
        <f t="shared" si="268"/>
        <v>2.6803265250825437E-3</v>
      </c>
      <c r="Q153" s="4">
        <f t="shared" si="268"/>
        <v>2.6854637807034454E-3</v>
      </c>
      <c r="R153" s="4">
        <f t="shared" ref="R153:T153" si="269">3*(1+R147*R147/(R145*R145))*(1-(R147/R145)*ATAN(R145/R147))-1</f>
        <v>2.6854637807034454E-3</v>
      </c>
      <c r="S153" s="4">
        <f t="shared" si="269"/>
        <v>2.6854637807034454E-3</v>
      </c>
      <c r="T153" s="4">
        <f t="shared" si="269"/>
        <v>2.6854637807034454E-3</v>
      </c>
      <c r="U153" s="4">
        <f t="shared" si="268"/>
        <v>2.6803265250825437E-3</v>
      </c>
      <c r="V153" s="4">
        <f t="shared" si="268"/>
        <v>2.6854727738379047E-3</v>
      </c>
      <c r="W153" s="4">
        <f t="shared" si="268"/>
        <v>2.685464143470373E-3</v>
      </c>
      <c r="X153" s="4">
        <f t="shared" si="268"/>
        <v>2.6880413004808368E-3</v>
      </c>
      <c r="Y153" s="4">
        <f t="shared" ref="Y153" si="270">3*(1+Y147*Y147/(Y145*Y145))*(1-(Y147/Y145)*ATAN(Y145/Y147))-1</f>
        <v>2.6803209502448411E-3</v>
      </c>
    </row>
    <row r="154" spans="1:25">
      <c r="B154" t="s">
        <v>100</v>
      </c>
      <c r="C154" t="s">
        <v>103</v>
      </c>
      <c r="E154" s="4">
        <f>-(1/E150)*(E7/(E147*E147+E145*E145)+E9^2*E5^2*E145/(E147*E147+E145*E145)*E153/E152*(0.5*(SIN(E148)^2)-1/6))+(1/E150)*E9^2*E147*COS(E148)^2</f>
        <v>-31.995247653761364</v>
      </c>
      <c r="F154" s="4">
        <f t="shared" ref="F154:Y154" si="271">-(1/F150)*(mu/(F147*F147+F145*F145)+omega_rad^2*Re^2*F145/(F147*F147+F145*F145)*F153/F152*(0.5*(SIN(F148)^2)-1/6))+(1/F150)*omega_rad^2*F147*COS(F148)^2</f>
        <v>-32.087682668933432</v>
      </c>
      <c r="G154" s="4">
        <f t="shared" si="271"/>
        <v>-32.087682668933432</v>
      </c>
      <c r="H154" s="4">
        <f t="shared" si="271"/>
        <v>-31.995247653761364</v>
      </c>
      <c r="I154" s="4">
        <f t="shared" si="271"/>
        <v>-31.995247653761364</v>
      </c>
      <c r="J154" s="4">
        <f t="shared" si="271"/>
        <v>-31.995247653761364</v>
      </c>
      <c r="K154" s="4">
        <f t="shared" si="271"/>
        <v>-31.995247653761364</v>
      </c>
      <c r="L154" s="4">
        <f t="shared" si="271"/>
        <v>-31.995247653761364</v>
      </c>
      <c r="M154" s="4">
        <f t="shared" si="271"/>
        <v>-32.087682668933432</v>
      </c>
      <c r="N154" s="4">
        <f t="shared" si="271"/>
        <v>-32.087682668933432</v>
      </c>
      <c r="O154" s="4">
        <f t="shared" si="271"/>
        <v>-32.115468833425645</v>
      </c>
      <c r="P154" s="4">
        <f t="shared" si="271"/>
        <v>-32.053920014040735</v>
      </c>
      <c r="Q154" s="4">
        <f t="shared" si="271"/>
        <v>-32.115468833425645</v>
      </c>
      <c r="R154" s="4">
        <f t="shared" ref="R154:T154" si="272">-(1/R150)*(mu/(R147*R147+R145*R145)+omega_rad^2*Re^2*R145/(R147*R147+R145*R145)*R153/R152*(0.5*(SIN(R148)^2)-1/6))+(1/R150)*omega_rad^2*R147*COS(R148)^2</f>
        <v>-32.115468833425645</v>
      </c>
      <c r="S154" s="4">
        <f t="shared" si="272"/>
        <v>-32.115468833425645</v>
      </c>
      <c r="T154" s="4">
        <f t="shared" si="272"/>
        <v>-32.115468833425645</v>
      </c>
      <c r="U154" s="4">
        <f t="shared" si="271"/>
        <v>-32.053920014040735</v>
      </c>
      <c r="V154" s="4">
        <f t="shared" si="271"/>
        <v>-32.227013632154417</v>
      </c>
      <c r="W154" s="4">
        <f t="shared" si="271"/>
        <v>-32.056826822113941</v>
      </c>
      <c r="X154" s="4">
        <f t="shared" si="271"/>
        <v>-32.087682668933432</v>
      </c>
      <c r="Y154" s="4">
        <f t="shared" si="271"/>
        <v>-31.995247653761364</v>
      </c>
    </row>
    <row r="155" spans="1:25">
      <c r="B155" t="s">
        <v>102</v>
      </c>
      <c r="C155" t="s">
        <v>103</v>
      </c>
      <c r="E155" s="4">
        <f>(1/E150)*E9^2*E5^2/SQRT(E147*E147+E145*E145)*E151/E152*SIN(E148)*COS(E148)-(1/E150)*E9^2*SQRT(E147*E147+E145*E145)*SIN(E148)*COS(E148)</f>
        <v>0</v>
      </c>
      <c r="F155" s="4">
        <f t="shared" ref="F155:Y155" si="273">(1/F150)*omega_rad^2*Re^2/SQRT(F147*F147+F145*F145)*F151/F152*SIN(F148)*COS(F148)-(1/F150)*omega_rad^2*SQRT(F147*F147+F145*F145)*SIN(F148)*COS(F148)</f>
        <v>0</v>
      </c>
      <c r="G155" s="4">
        <f t="shared" si="273"/>
        <v>0</v>
      </c>
      <c r="H155" s="4">
        <f t="shared" si="273"/>
        <v>0</v>
      </c>
      <c r="I155" s="4">
        <f t="shared" si="273"/>
        <v>0</v>
      </c>
      <c r="J155" s="4">
        <f t="shared" si="273"/>
        <v>0</v>
      </c>
      <c r="K155" s="4">
        <f t="shared" si="273"/>
        <v>0</v>
      </c>
      <c r="L155" s="4">
        <f t="shared" si="273"/>
        <v>0</v>
      </c>
      <c r="M155" s="4">
        <f t="shared" si="273"/>
        <v>0</v>
      </c>
      <c r="N155" s="4">
        <f t="shared" si="273"/>
        <v>0</v>
      </c>
      <c r="O155" s="4">
        <f t="shared" si="273"/>
        <v>-1.2672008818973707E-4</v>
      </c>
      <c r="P155" s="4">
        <f t="shared" si="273"/>
        <v>-3.7910471989977684E-4</v>
      </c>
      <c r="Q155" s="4">
        <f t="shared" si="273"/>
        <v>-1.2672008818973707E-4</v>
      </c>
      <c r="R155" s="4">
        <f t="shared" ref="R155:T155" si="274">(1/R150)*omega_rad^2*Re^2/SQRT(R147*R147+R145*R145)*R151/R152*SIN(R148)*COS(R148)-(1/R150)*omega_rad^2*SQRT(R147*R147+R145*R145)*SIN(R148)*COS(R148)</f>
        <v>-1.2672008818973707E-4</v>
      </c>
      <c r="S155" s="4">
        <f t="shared" si="274"/>
        <v>-1.2672008818973707E-4</v>
      </c>
      <c r="T155" s="4">
        <f t="shared" si="274"/>
        <v>-1.2672008818973707E-4</v>
      </c>
      <c r="U155" s="4">
        <f t="shared" si="273"/>
        <v>-3.7910471989977684E-4</v>
      </c>
      <c r="V155" s="4">
        <f t="shared" si="273"/>
        <v>-2.3219912871494863E-7</v>
      </c>
      <c r="W155" s="4">
        <f t="shared" si="273"/>
        <v>0</v>
      </c>
      <c r="X155" s="4">
        <f t="shared" si="273"/>
        <v>0</v>
      </c>
      <c r="Y155" s="4">
        <f t="shared" si="273"/>
        <v>0</v>
      </c>
    </row>
    <row r="156" spans="1:25" ht="16">
      <c r="A156" s="2" t="s">
        <v>111</v>
      </c>
      <c r="B156" t="s">
        <v>110</v>
      </c>
      <c r="C156" t="s">
        <v>96</v>
      </c>
      <c r="E156" s="4">
        <f t="shared" ref="E156:Y156" si="275">E45*PI()/180</f>
        <v>0</v>
      </c>
      <c r="F156" s="4">
        <f t="shared" si="275"/>
        <v>0</v>
      </c>
      <c r="G156" s="4">
        <f t="shared" si="275"/>
        <v>0</v>
      </c>
      <c r="H156" s="4">
        <f t="shared" si="275"/>
        <v>0</v>
      </c>
      <c r="I156" s="4">
        <f t="shared" si="275"/>
        <v>0</v>
      </c>
      <c r="J156" s="4">
        <f t="shared" si="275"/>
        <v>0</v>
      </c>
      <c r="K156" s="4">
        <f t="shared" si="275"/>
        <v>0</v>
      </c>
      <c r="L156" s="4">
        <f t="shared" si="275"/>
        <v>0</v>
      </c>
      <c r="M156" s="4">
        <f t="shared" si="275"/>
        <v>0</v>
      </c>
      <c r="N156" s="4">
        <f t="shared" si="275"/>
        <v>0</v>
      </c>
      <c r="O156" s="4">
        <f t="shared" si="275"/>
        <v>0.62546314483576948</v>
      </c>
      <c r="P156" s="4">
        <f t="shared" si="275"/>
        <v>0.62546619277517834</v>
      </c>
      <c r="Q156" s="4">
        <f t="shared" si="275"/>
        <v>0.62546314483576948</v>
      </c>
      <c r="R156" s="4">
        <f t="shared" ref="R156:T156" si="276">R45*PI()/180</f>
        <v>0.62546314483576948</v>
      </c>
      <c r="S156" s="4">
        <f t="shared" si="276"/>
        <v>0.62546314483576948</v>
      </c>
      <c r="T156" s="4">
        <f t="shared" si="276"/>
        <v>0.62546314483576948</v>
      </c>
      <c r="U156" s="4">
        <f t="shared" si="275"/>
        <v>0.62546619277517834</v>
      </c>
      <c r="V156" s="4">
        <f t="shared" si="275"/>
        <v>1.5699177836701936</v>
      </c>
      <c r="W156" s="4">
        <f t="shared" si="275"/>
        <v>0</v>
      </c>
      <c r="X156" s="4">
        <f t="shared" si="275"/>
        <v>0</v>
      </c>
      <c r="Y156" s="4">
        <f t="shared" si="275"/>
        <v>0</v>
      </c>
    </row>
    <row r="157" spans="1:25" ht="16">
      <c r="A157" s="2" t="s">
        <v>112</v>
      </c>
      <c r="B157" t="s">
        <v>109</v>
      </c>
      <c r="C157" t="s">
        <v>96</v>
      </c>
      <c r="E157" s="4">
        <f t="shared" ref="E157:Y157" si="277">E46*PI()/180</f>
        <v>0</v>
      </c>
      <c r="F157" s="4">
        <f t="shared" si="277"/>
        <v>0</v>
      </c>
      <c r="G157" s="4">
        <f t="shared" si="277"/>
        <v>0</v>
      </c>
      <c r="H157" s="4">
        <f t="shared" si="277"/>
        <v>0</v>
      </c>
      <c r="I157" s="4">
        <f t="shared" si="277"/>
        <v>0</v>
      </c>
      <c r="J157" s="4">
        <f t="shared" si="277"/>
        <v>0</v>
      </c>
      <c r="K157" s="4">
        <f t="shared" si="277"/>
        <v>0</v>
      </c>
      <c r="L157" s="4">
        <f t="shared" si="277"/>
        <v>0</v>
      </c>
      <c r="M157" s="4">
        <f t="shared" si="277"/>
        <v>0</v>
      </c>
      <c r="N157" s="4">
        <f t="shared" si="277"/>
        <v>0</v>
      </c>
      <c r="O157" s="4">
        <f t="shared" si="277"/>
        <v>-1.3207682151730868</v>
      </c>
      <c r="P157" s="4">
        <f t="shared" si="277"/>
        <v>-1.3207682151730868</v>
      </c>
      <c r="Q157" s="4">
        <f t="shared" si="277"/>
        <v>-1.3207682151730868</v>
      </c>
      <c r="R157" s="4">
        <f t="shared" ref="R157:T157" si="278">R46*PI()/180</f>
        <v>-1.3207682151730868</v>
      </c>
      <c r="S157" s="4">
        <f t="shared" si="278"/>
        <v>-1.3207682151730868</v>
      </c>
      <c r="T157" s="4">
        <f t="shared" si="278"/>
        <v>-1.3207682151730868</v>
      </c>
      <c r="U157" s="4">
        <f t="shared" si="277"/>
        <v>-1.3207682151730868</v>
      </c>
      <c r="V157" s="4">
        <f t="shared" si="277"/>
        <v>-0.78539816339744828</v>
      </c>
      <c r="W157" s="4">
        <f t="shared" si="277"/>
        <v>-3.140719988963796</v>
      </c>
      <c r="X157" s="4">
        <f t="shared" si="277"/>
        <v>0</v>
      </c>
      <c r="Y157" s="4">
        <f t="shared" si="277"/>
        <v>0</v>
      </c>
    </row>
    <row r="158" spans="1:25">
      <c r="B158" t="s">
        <v>107</v>
      </c>
      <c r="C158" t="s">
        <v>47</v>
      </c>
      <c r="E158" s="4">
        <f>E147*COS(E148)*COS(E157)/(E150*SQRT(E147*E147+E145*E145))</f>
        <v>1</v>
      </c>
      <c r="F158" s="4">
        <f t="shared" ref="F158:Y158" si="279">F147*COS(F148)*COS(F157)/(F150*SQRT(F147*F147+F145*F145))</f>
        <v>1</v>
      </c>
      <c r="G158" s="4">
        <f t="shared" si="279"/>
        <v>1</v>
      </c>
      <c r="H158" s="4">
        <f t="shared" si="279"/>
        <v>1</v>
      </c>
      <c r="I158" s="4">
        <f t="shared" si="279"/>
        <v>1</v>
      </c>
      <c r="J158" s="4">
        <f t="shared" si="279"/>
        <v>1</v>
      </c>
      <c r="K158" s="4">
        <f t="shared" si="279"/>
        <v>1</v>
      </c>
      <c r="L158" s="4">
        <f t="shared" si="279"/>
        <v>1</v>
      </c>
      <c r="M158" s="4">
        <f t="shared" si="279"/>
        <v>1</v>
      </c>
      <c r="N158" s="4">
        <f t="shared" si="279"/>
        <v>1</v>
      </c>
      <c r="O158" s="4">
        <f t="shared" si="279"/>
        <v>0.20012760310713262</v>
      </c>
      <c r="P158" s="4">
        <f t="shared" si="279"/>
        <v>0.20012804666575854</v>
      </c>
      <c r="Q158" s="4">
        <f t="shared" si="279"/>
        <v>0.20012760310713262</v>
      </c>
      <c r="R158" s="4">
        <f t="shared" ref="R158:T158" si="280">R147*COS(R148)*COS(R157)/(R150*SQRT(R147*R147+R145*R145))</f>
        <v>0.20012760310713262</v>
      </c>
      <c r="S158" s="4">
        <f t="shared" si="280"/>
        <v>0.20012760310713262</v>
      </c>
      <c r="T158" s="4">
        <f t="shared" si="280"/>
        <v>0.20012760310713262</v>
      </c>
      <c r="U158" s="4">
        <f t="shared" si="279"/>
        <v>0.20012804666575854</v>
      </c>
      <c r="V158" s="4">
        <f t="shared" si="279"/>
        <v>6.1706897525337829E-4</v>
      </c>
      <c r="W158" s="4">
        <f t="shared" si="279"/>
        <v>-0.99999961922824931</v>
      </c>
      <c r="X158" s="4">
        <f t="shared" si="279"/>
        <v>1</v>
      </c>
      <c r="Y158" s="4">
        <f t="shared" si="279"/>
        <v>1</v>
      </c>
    </row>
    <row r="159" spans="1:25">
      <c r="C159" t="s">
        <v>48</v>
      </c>
      <c r="E159" s="4">
        <f>-(1/E150)*SIN(E148)*COS(E157)</f>
        <v>0</v>
      </c>
      <c r="F159" s="4">
        <f t="shared" ref="F159:X159" si="281">-(1/F150)*SIN(F148)*COS(F157)</f>
        <v>0</v>
      </c>
      <c r="G159" s="4">
        <f t="shared" si="281"/>
        <v>0</v>
      </c>
      <c r="H159" s="4">
        <f t="shared" si="281"/>
        <v>0</v>
      </c>
      <c r="I159" s="4">
        <f t="shared" si="281"/>
        <v>0</v>
      </c>
      <c r="J159" s="4">
        <f t="shared" si="281"/>
        <v>0</v>
      </c>
      <c r="K159" s="4">
        <f t="shared" si="281"/>
        <v>0</v>
      </c>
      <c r="L159" s="4">
        <f t="shared" si="281"/>
        <v>0</v>
      </c>
      <c r="M159" s="4">
        <f t="shared" si="281"/>
        <v>0</v>
      </c>
      <c r="N159" s="4">
        <f t="shared" si="281"/>
        <v>0</v>
      </c>
      <c r="O159" s="4">
        <f t="shared" si="281"/>
        <v>-0.14550305719244874</v>
      </c>
      <c r="P159" s="4">
        <f t="shared" si="281"/>
        <v>-0.1455024471117341</v>
      </c>
      <c r="Q159" s="4">
        <f t="shared" si="281"/>
        <v>-0.14550305719244874</v>
      </c>
      <c r="R159" s="4">
        <f t="shared" ref="R159:T159" si="282">-(1/R150)*SIN(R148)*COS(R157)</f>
        <v>-0.14550305719244874</v>
      </c>
      <c r="S159" s="4">
        <f t="shared" si="282"/>
        <v>-0.14550305719244874</v>
      </c>
      <c r="T159" s="4">
        <f t="shared" si="282"/>
        <v>-0.14550305719244874</v>
      </c>
      <c r="U159" s="4">
        <f t="shared" si="281"/>
        <v>-0.1455024471117341</v>
      </c>
      <c r="V159" s="4">
        <f t="shared" si="281"/>
        <v>-0.7071065119385338</v>
      </c>
      <c r="W159" s="4">
        <f t="shared" si="281"/>
        <v>0</v>
      </c>
      <c r="X159" s="4">
        <f t="shared" si="281"/>
        <v>0</v>
      </c>
      <c r="Y159" s="4">
        <f t="shared" ref="Y159" si="283">-(1/Y150)*SIN(Y148)*COS(Y157)</f>
        <v>0</v>
      </c>
    </row>
    <row r="160" spans="1:25">
      <c r="C160" t="s">
        <v>49</v>
      </c>
      <c r="E160" s="4">
        <f>-SIN(E156)</f>
        <v>0</v>
      </c>
      <c r="F160" s="4">
        <f t="shared" ref="F160:X160" si="284">-SIN(F156)</f>
        <v>0</v>
      </c>
      <c r="G160" s="4">
        <f t="shared" si="284"/>
        <v>0</v>
      </c>
      <c r="H160" s="4">
        <f t="shared" si="284"/>
        <v>0</v>
      </c>
      <c r="I160" s="4">
        <f t="shared" si="284"/>
        <v>0</v>
      </c>
      <c r="J160" s="4">
        <f t="shared" si="284"/>
        <v>0</v>
      </c>
      <c r="K160" s="4">
        <f t="shared" si="284"/>
        <v>0</v>
      </c>
      <c r="L160" s="4">
        <f t="shared" si="284"/>
        <v>0</v>
      </c>
      <c r="M160" s="4">
        <f t="shared" si="284"/>
        <v>0</v>
      </c>
      <c r="N160" s="4">
        <f t="shared" si="284"/>
        <v>0</v>
      </c>
      <c r="O160" s="4">
        <f t="shared" si="284"/>
        <v>-0.58547280355523312</v>
      </c>
      <c r="P160" s="4">
        <f t="shared" si="284"/>
        <v>-0.58547527449275449</v>
      </c>
      <c r="Q160" s="4">
        <f t="shared" si="284"/>
        <v>-0.58547280355523312</v>
      </c>
      <c r="R160" s="4">
        <f t="shared" ref="R160:T160" si="285">-SIN(R156)</f>
        <v>-0.58547280355523312</v>
      </c>
      <c r="S160" s="4">
        <f t="shared" si="285"/>
        <v>-0.58547280355523312</v>
      </c>
      <c r="T160" s="4">
        <f t="shared" si="285"/>
        <v>-0.58547280355523312</v>
      </c>
      <c r="U160" s="4">
        <f t="shared" si="284"/>
        <v>-0.58547527449275449</v>
      </c>
      <c r="V160" s="4">
        <f t="shared" si="284"/>
        <v>-0.99999961408101379</v>
      </c>
      <c r="W160" s="4">
        <f t="shared" si="284"/>
        <v>0</v>
      </c>
      <c r="X160" s="4">
        <f t="shared" si="284"/>
        <v>0</v>
      </c>
      <c r="Y160" s="4">
        <f t="shared" ref="Y160" si="286">-SIN(Y156)</f>
        <v>0</v>
      </c>
    </row>
    <row r="161" spans="2:25">
      <c r="C161" t="s">
        <v>50</v>
      </c>
      <c r="E161" s="4">
        <f>E147*COS(E148)*SIN(E157)/(E150*SQRT(E147*E147+E145*E145))</f>
        <v>0</v>
      </c>
      <c r="F161" s="4">
        <f t="shared" ref="F161:X161" si="287">F147*COS(F148)*SIN(F157)/(F150*SQRT(F147*F147+F145*F145))</f>
        <v>0</v>
      </c>
      <c r="G161" s="4">
        <f t="shared" si="287"/>
        <v>0</v>
      </c>
      <c r="H161" s="4">
        <f t="shared" si="287"/>
        <v>0</v>
      </c>
      <c r="I161" s="4">
        <f t="shared" si="287"/>
        <v>0</v>
      </c>
      <c r="J161" s="4">
        <f t="shared" si="287"/>
        <v>0</v>
      </c>
      <c r="K161" s="4">
        <f t="shared" si="287"/>
        <v>0</v>
      </c>
      <c r="L161" s="4">
        <f t="shared" si="287"/>
        <v>0</v>
      </c>
      <c r="M161" s="4">
        <f t="shared" si="287"/>
        <v>0</v>
      </c>
      <c r="N161" s="4">
        <f t="shared" si="287"/>
        <v>0</v>
      </c>
      <c r="O161" s="4">
        <f t="shared" si="287"/>
        <v>-0.78367130374782246</v>
      </c>
      <c r="P161" s="4">
        <f t="shared" si="287"/>
        <v>-0.78367304066047849</v>
      </c>
      <c r="Q161" s="4">
        <f t="shared" si="287"/>
        <v>-0.78367130374782246</v>
      </c>
      <c r="R161" s="4">
        <f t="shared" ref="R161:T161" si="288">R147*COS(R148)*SIN(R157)/(R150*SQRT(R147*R147+R145*R145))</f>
        <v>-0.78367130374782246</v>
      </c>
      <c r="S161" s="4">
        <f t="shared" si="288"/>
        <v>-0.78367130374782246</v>
      </c>
      <c r="T161" s="4">
        <f t="shared" si="288"/>
        <v>-0.78367130374782246</v>
      </c>
      <c r="U161" s="4">
        <f t="shared" si="287"/>
        <v>-0.78367304066047849</v>
      </c>
      <c r="V161" s="4">
        <f t="shared" si="287"/>
        <v>-6.1706897525337829E-4</v>
      </c>
      <c r="W161" s="4">
        <f t="shared" si="287"/>
        <v>-8.7266451523521787E-4</v>
      </c>
      <c r="X161" s="4">
        <f t="shared" si="287"/>
        <v>0</v>
      </c>
      <c r="Y161" s="4">
        <f t="shared" ref="Y161" si="289">Y147*COS(Y148)*SIN(Y157)/(Y150*SQRT(Y147*Y147+Y145*Y145))</f>
        <v>0</v>
      </c>
    </row>
    <row r="162" spans="2:25">
      <c r="C162" t="s">
        <v>51</v>
      </c>
      <c r="E162" s="4">
        <f>-(1/E150)*SIN(E148)*SIN(E157)</f>
        <v>0</v>
      </c>
      <c r="F162" s="4">
        <f t="shared" ref="F162:X162" si="290">-(1/F150)*SIN(F148)*SIN(F157)</f>
        <v>0</v>
      </c>
      <c r="G162" s="4">
        <f t="shared" si="290"/>
        <v>0</v>
      </c>
      <c r="H162" s="4">
        <f t="shared" si="290"/>
        <v>0</v>
      </c>
      <c r="I162" s="4">
        <f t="shared" si="290"/>
        <v>0</v>
      </c>
      <c r="J162" s="4">
        <f t="shared" si="290"/>
        <v>0</v>
      </c>
      <c r="K162" s="4">
        <f t="shared" si="290"/>
        <v>0</v>
      </c>
      <c r="L162" s="4">
        <f t="shared" si="290"/>
        <v>0</v>
      </c>
      <c r="M162" s="4">
        <f t="shared" si="290"/>
        <v>0</v>
      </c>
      <c r="N162" s="4">
        <f t="shared" si="290"/>
        <v>0</v>
      </c>
      <c r="O162" s="4">
        <f t="shared" si="290"/>
        <v>0.56976933096160354</v>
      </c>
      <c r="P162" s="4">
        <f t="shared" si="290"/>
        <v>0.56976694197207078</v>
      </c>
      <c r="Q162" s="4">
        <f t="shared" si="290"/>
        <v>0.56976933096160354</v>
      </c>
      <c r="R162" s="4">
        <f t="shared" ref="R162:T162" si="291">-(1/R150)*SIN(R148)*SIN(R157)</f>
        <v>0.56976933096160354</v>
      </c>
      <c r="S162" s="4">
        <f t="shared" si="291"/>
        <v>0.56976933096160354</v>
      </c>
      <c r="T162" s="4">
        <f t="shared" si="291"/>
        <v>0.56976933096160354</v>
      </c>
      <c r="U162" s="4">
        <f t="shared" si="290"/>
        <v>0.56976694197207078</v>
      </c>
      <c r="V162" s="4">
        <f t="shared" si="290"/>
        <v>0.70710651193853369</v>
      </c>
      <c r="W162" s="4">
        <f t="shared" si="290"/>
        <v>0</v>
      </c>
      <c r="X162" s="4">
        <f t="shared" si="290"/>
        <v>0</v>
      </c>
      <c r="Y162" s="4">
        <f t="shared" ref="Y162" si="292">-(1/Y150)*SIN(Y148)*SIN(Y157)</f>
        <v>0</v>
      </c>
    </row>
    <row r="163" spans="2:25">
      <c r="C163" t="s">
        <v>52</v>
      </c>
      <c r="E163" s="4">
        <f>COS(E157)</f>
        <v>1</v>
      </c>
      <c r="F163" s="4">
        <f t="shared" ref="F163:X163" si="293">COS(F157)</f>
        <v>1</v>
      </c>
      <c r="G163" s="4">
        <f t="shared" si="293"/>
        <v>1</v>
      </c>
      <c r="H163" s="4">
        <f t="shared" si="293"/>
        <v>1</v>
      </c>
      <c r="I163" s="4">
        <f t="shared" si="293"/>
        <v>1</v>
      </c>
      <c r="J163" s="4">
        <f t="shared" si="293"/>
        <v>1</v>
      </c>
      <c r="K163" s="4">
        <f t="shared" si="293"/>
        <v>1</v>
      </c>
      <c r="L163" s="4">
        <f t="shared" si="293"/>
        <v>1</v>
      </c>
      <c r="M163" s="4">
        <f t="shared" si="293"/>
        <v>1</v>
      </c>
      <c r="N163" s="4">
        <f t="shared" si="293"/>
        <v>1</v>
      </c>
      <c r="O163" s="4">
        <f t="shared" si="293"/>
        <v>0.24743119685632814</v>
      </c>
      <c r="P163" s="4">
        <f t="shared" si="293"/>
        <v>0.24743119685632814</v>
      </c>
      <c r="Q163" s="4">
        <f t="shared" si="293"/>
        <v>0.24743119685632814</v>
      </c>
      <c r="R163" s="4">
        <f t="shared" ref="R163:T163" si="294">COS(R157)</f>
        <v>0.24743119685632814</v>
      </c>
      <c r="S163" s="4">
        <f t="shared" si="294"/>
        <v>0.24743119685632814</v>
      </c>
      <c r="T163" s="4">
        <f t="shared" si="294"/>
        <v>0.24743119685632814</v>
      </c>
      <c r="U163" s="4">
        <f t="shared" si="293"/>
        <v>0.24743119685632814</v>
      </c>
      <c r="V163" s="4">
        <f t="shared" si="293"/>
        <v>0.70710678118654757</v>
      </c>
      <c r="W163" s="4">
        <f t="shared" si="293"/>
        <v>-0.99999961922824943</v>
      </c>
      <c r="X163" s="4">
        <f t="shared" si="293"/>
        <v>1</v>
      </c>
      <c r="Y163" s="4">
        <f t="shared" ref="Y163" si="295">COS(Y157)</f>
        <v>1</v>
      </c>
    </row>
    <row r="164" spans="2:25">
      <c r="C164" t="s">
        <v>53</v>
      </c>
      <c r="E164" s="4">
        <f>(1/E150)*SIN(E148)</f>
        <v>0</v>
      </c>
      <c r="F164" s="4">
        <f t="shared" ref="F164:X164" si="296">(1/F150)*SIN(F148)</f>
        <v>0</v>
      </c>
      <c r="G164" s="4">
        <f t="shared" si="296"/>
        <v>0</v>
      </c>
      <c r="H164" s="4">
        <f t="shared" si="296"/>
        <v>0</v>
      </c>
      <c r="I164" s="4">
        <f t="shared" si="296"/>
        <v>0</v>
      </c>
      <c r="J164" s="4">
        <f t="shared" si="296"/>
        <v>0</v>
      </c>
      <c r="K164" s="4">
        <f t="shared" si="296"/>
        <v>0</v>
      </c>
      <c r="L164" s="4">
        <f t="shared" si="296"/>
        <v>0</v>
      </c>
      <c r="M164" s="4">
        <f t="shared" si="296"/>
        <v>0</v>
      </c>
      <c r="N164" s="4">
        <f t="shared" si="296"/>
        <v>0</v>
      </c>
      <c r="O164" s="4">
        <f t="shared" si="296"/>
        <v>0.58805461494386924</v>
      </c>
      <c r="P164" s="4">
        <f t="shared" si="296"/>
        <v>0.58805214928585037</v>
      </c>
      <c r="Q164" s="4">
        <f t="shared" si="296"/>
        <v>0.58805461494386924</v>
      </c>
      <c r="R164" s="4">
        <f t="shared" ref="R164:T164" si="297">(1/R150)*SIN(R148)</f>
        <v>0.58805461494386924</v>
      </c>
      <c r="S164" s="4">
        <f t="shared" si="297"/>
        <v>0.58805461494386924</v>
      </c>
      <c r="T164" s="4">
        <f t="shared" si="297"/>
        <v>0.58805461494386924</v>
      </c>
      <c r="U164" s="4">
        <f t="shared" si="296"/>
        <v>0.58805214928585037</v>
      </c>
      <c r="V164" s="4">
        <f t="shared" si="296"/>
        <v>0.99999961922580727</v>
      </c>
      <c r="W164" s="4">
        <f t="shared" si="296"/>
        <v>0</v>
      </c>
      <c r="X164" s="4">
        <f t="shared" si="296"/>
        <v>0</v>
      </c>
      <c r="Y164" s="4">
        <f t="shared" ref="Y164" si="298">(1/Y150)*SIN(Y148)</f>
        <v>0</v>
      </c>
    </row>
    <row r="165" spans="2:25">
      <c r="C165" t="s">
        <v>54</v>
      </c>
      <c r="E165" s="4">
        <f>E147*COS(E148)/(E150*SQRT(E147*E147+E145*E145))</f>
        <v>1</v>
      </c>
      <c r="F165" s="4">
        <f t="shared" ref="F165:X165" si="299">F147*COS(F148)/(F150*SQRT(F147*F147+F145*F145))</f>
        <v>1</v>
      </c>
      <c r="G165" s="4">
        <f t="shared" si="299"/>
        <v>1</v>
      </c>
      <c r="H165" s="4">
        <f t="shared" si="299"/>
        <v>1</v>
      </c>
      <c r="I165" s="4">
        <f t="shared" si="299"/>
        <v>1</v>
      </c>
      <c r="J165" s="4">
        <f t="shared" si="299"/>
        <v>1</v>
      </c>
      <c r="K165" s="4">
        <f t="shared" si="299"/>
        <v>1</v>
      </c>
      <c r="L165" s="4">
        <f t="shared" si="299"/>
        <v>1</v>
      </c>
      <c r="M165" s="4">
        <f t="shared" si="299"/>
        <v>1</v>
      </c>
      <c r="N165" s="4">
        <f t="shared" si="299"/>
        <v>1</v>
      </c>
      <c r="O165" s="4">
        <f t="shared" si="299"/>
        <v>0.80882122242385412</v>
      </c>
      <c r="P165" s="4">
        <f t="shared" si="299"/>
        <v>0.80882301507826293</v>
      </c>
      <c r="Q165" s="4">
        <f t="shared" si="299"/>
        <v>0.80882122242385412</v>
      </c>
      <c r="R165" s="4">
        <f t="shared" ref="R165:T165" si="300">R147*COS(R148)/(R150*SQRT(R147*R147+R145*R145))</f>
        <v>0.80882122242385412</v>
      </c>
      <c r="S165" s="4">
        <f t="shared" si="300"/>
        <v>0.80882122242385412</v>
      </c>
      <c r="T165" s="4">
        <f t="shared" si="300"/>
        <v>0.80882122242385412</v>
      </c>
      <c r="U165" s="4">
        <f t="shared" si="299"/>
        <v>0.80882301507826293</v>
      </c>
      <c r="V165" s="4">
        <f t="shared" si="299"/>
        <v>8.7266731372299532E-4</v>
      </c>
      <c r="W165" s="4">
        <f t="shared" si="299"/>
        <v>1</v>
      </c>
      <c r="X165" s="4">
        <f t="shared" si="299"/>
        <v>1</v>
      </c>
      <c r="Y165" s="4">
        <f t="shared" ref="Y165" si="301">Y147*COS(Y148)/(Y150*SQRT(Y147*Y147+Y145*Y145))</f>
        <v>1</v>
      </c>
    </row>
    <row r="166" spans="2:25">
      <c r="C166" t="s">
        <v>55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</row>
    <row r="167" spans="2:25">
      <c r="B167" t="s">
        <v>108</v>
      </c>
      <c r="C167" t="s">
        <v>47</v>
      </c>
      <c r="E167" s="4">
        <f>COS(E156)*COS(E157)</f>
        <v>1</v>
      </c>
      <c r="F167" s="4">
        <f t="shared" ref="F167:X167" si="302">COS(F156)*COS(F157)</f>
        <v>1</v>
      </c>
      <c r="G167" s="4">
        <f t="shared" si="302"/>
        <v>1</v>
      </c>
      <c r="H167" s="4">
        <f t="shared" si="302"/>
        <v>1</v>
      </c>
      <c r="I167" s="4">
        <f t="shared" si="302"/>
        <v>1</v>
      </c>
      <c r="J167" s="4">
        <f t="shared" si="302"/>
        <v>1</v>
      </c>
      <c r="K167" s="4">
        <f t="shared" si="302"/>
        <v>1</v>
      </c>
      <c r="L167" s="4">
        <f t="shared" si="302"/>
        <v>1</v>
      </c>
      <c r="M167" s="4">
        <f t="shared" si="302"/>
        <v>1</v>
      </c>
      <c r="N167" s="4">
        <f t="shared" si="302"/>
        <v>1</v>
      </c>
      <c r="O167" s="4">
        <f t="shared" si="302"/>
        <v>0.20059050365853456</v>
      </c>
      <c r="P167" s="4">
        <f t="shared" si="302"/>
        <v>0.20059006212018743</v>
      </c>
      <c r="Q167" s="4">
        <f t="shared" si="302"/>
        <v>0.20059050365853456</v>
      </c>
      <c r="R167" s="4">
        <f t="shared" ref="R167:T167" si="303">COS(R156)*COS(R157)</f>
        <v>0.20059050365853456</v>
      </c>
      <c r="S167" s="4">
        <f t="shared" si="303"/>
        <v>0.20059050365853456</v>
      </c>
      <c r="T167" s="4">
        <f t="shared" si="303"/>
        <v>0.20059050365853456</v>
      </c>
      <c r="U167" s="4">
        <f t="shared" si="302"/>
        <v>0.20059006212018743</v>
      </c>
      <c r="V167" s="4">
        <f t="shared" si="302"/>
        <v>6.2122372112827771E-4</v>
      </c>
      <c r="W167" s="4">
        <f t="shared" si="302"/>
        <v>-0.99999961922824943</v>
      </c>
      <c r="X167" s="4">
        <f t="shared" si="302"/>
        <v>1</v>
      </c>
      <c r="Y167" s="4">
        <f t="shared" ref="Y167" si="304">COS(Y156)*COS(Y157)</f>
        <v>1</v>
      </c>
    </row>
    <row r="168" spans="2:25">
      <c r="C168" t="s">
        <v>48</v>
      </c>
      <c r="E168" s="4">
        <f>COS(E156)*SIN(E157)</f>
        <v>0</v>
      </c>
      <c r="F168" s="4">
        <f t="shared" ref="F168:X168" si="305">COS(F156)*SIN(F157)</f>
        <v>0</v>
      </c>
      <c r="G168" s="4">
        <f t="shared" si="305"/>
        <v>0</v>
      </c>
      <c r="H168" s="4">
        <f t="shared" si="305"/>
        <v>0</v>
      </c>
      <c r="I168" s="4">
        <f t="shared" si="305"/>
        <v>0</v>
      </c>
      <c r="J168" s="4">
        <f t="shared" si="305"/>
        <v>0</v>
      </c>
      <c r="K168" s="4">
        <f t="shared" si="305"/>
        <v>0</v>
      </c>
      <c r="L168" s="4">
        <f t="shared" si="305"/>
        <v>0</v>
      </c>
      <c r="M168" s="4">
        <f t="shared" si="305"/>
        <v>0</v>
      </c>
      <c r="N168" s="4">
        <f t="shared" si="305"/>
        <v>0</v>
      </c>
      <c r="O168" s="4">
        <f t="shared" si="305"/>
        <v>-0.78548395664022996</v>
      </c>
      <c r="P168" s="4">
        <f t="shared" si="305"/>
        <v>-0.78548222763869913</v>
      </c>
      <c r="Q168" s="4">
        <f t="shared" si="305"/>
        <v>-0.78548395664022996</v>
      </c>
      <c r="R168" s="4">
        <f t="shared" ref="R168:T168" si="306">COS(R156)*SIN(R157)</f>
        <v>-0.78548395664022996</v>
      </c>
      <c r="S168" s="4">
        <f t="shared" si="306"/>
        <v>-0.78548395664022996</v>
      </c>
      <c r="T168" s="4">
        <f t="shared" si="306"/>
        <v>-0.78548395664022996</v>
      </c>
      <c r="U168" s="4">
        <f t="shared" si="305"/>
        <v>-0.78548222763869913</v>
      </c>
      <c r="V168" s="4">
        <f t="shared" si="305"/>
        <v>-6.212237211282776E-4</v>
      </c>
      <c r="W168" s="4">
        <f t="shared" si="305"/>
        <v>-8.7266451523521776E-4</v>
      </c>
      <c r="X168" s="4">
        <f t="shared" si="305"/>
        <v>0</v>
      </c>
      <c r="Y168" s="4">
        <f t="shared" ref="Y168" si="307">COS(Y156)*SIN(Y157)</f>
        <v>0</v>
      </c>
    </row>
    <row r="169" spans="2:25">
      <c r="C169" t="s">
        <v>49</v>
      </c>
      <c r="E169" s="4">
        <f>SIN(E156)</f>
        <v>0</v>
      </c>
      <c r="F169" s="4">
        <f t="shared" ref="F169:X169" si="308">SIN(F156)</f>
        <v>0</v>
      </c>
      <c r="G169" s="4">
        <f t="shared" si="308"/>
        <v>0</v>
      </c>
      <c r="H169" s="4">
        <f t="shared" si="308"/>
        <v>0</v>
      </c>
      <c r="I169" s="4">
        <f t="shared" si="308"/>
        <v>0</v>
      </c>
      <c r="J169" s="4">
        <f t="shared" si="308"/>
        <v>0</v>
      </c>
      <c r="K169" s="4">
        <f t="shared" si="308"/>
        <v>0</v>
      </c>
      <c r="L169" s="4">
        <f t="shared" si="308"/>
        <v>0</v>
      </c>
      <c r="M169" s="4">
        <f t="shared" si="308"/>
        <v>0</v>
      </c>
      <c r="N169" s="4">
        <f t="shared" si="308"/>
        <v>0</v>
      </c>
      <c r="O169" s="4">
        <f t="shared" si="308"/>
        <v>0.58547280355523312</v>
      </c>
      <c r="P169" s="4">
        <f t="shared" si="308"/>
        <v>0.58547527449275449</v>
      </c>
      <c r="Q169" s="4">
        <f t="shared" si="308"/>
        <v>0.58547280355523312</v>
      </c>
      <c r="R169" s="4">
        <f t="shared" ref="R169:T169" si="309">SIN(R156)</f>
        <v>0.58547280355523312</v>
      </c>
      <c r="S169" s="4">
        <f t="shared" si="309"/>
        <v>0.58547280355523312</v>
      </c>
      <c r="T169" s="4">
        <f t="shared" si="309"/>
        <v>0.58547280355523312</v>
      </c>
      <c r="U169" s="4">
        <f t="shared" si="308"/>
        <v>0.58547527449275449</v>
      </c>
      <c r="V169" s="4">
        <f t="shared" si="308"/>
        <v>0.99999961408101379</v>
      </c>
      <c r="W169" s="4">
        <f t="shared" si="308"/>
        <v>0</v>
      </c>
      <c r="X169" s="4">
        <f t="shared" si="308"/>
        <v>0</v>
      </c>
      <c r="Y169" s="4">
        <f t="shared" ref="Y169" si="310">SIN(Y156)</f>
        <v>0</v>
      </c>
    </row>
    <row r="170" spans="2:25">
      <c r="C170" t="s">
        <v>50</v>
      </c>
      <c r="E170" s="4">
        <f>-SIN(E156)*COS(E157)</f>
        <v>0</v>
      </c>
      <c r="F170" s="4">
        <f t="shared" ref="F170:X170" si="311">-SIN(F156)*COS(F157)</f>
        <v>0</v>
      </c>
      <c r="G170" s="4">
        <f t="shared" si="311"/>
        <v>0</v>
      </c>
      <c r="H170" s="4">
        <f t="shared" si="311"/>
        <v>0</v>
      </c>
      <c r="I170" s="4">
        <f t="shared" si="311"/>
        <v>0</v>
      </c>
      <c r="J170" s="4">
        <f t="shared" si="311"/>
        <v>0</v>
      </c>
      <c r="K170" s="4">
        <f t="shared" si="311"/>
        <v>0</v>
      </c>
      <c r="L170" s="4">
        <f t="shared" si="311"/>
        <v>0</v>
      </c>
      <c r="M170" s="4">
        <f t="shared" si="311"/>
        <v>0</v>
      </c>
      <c r="N170" s="4">
        <f t="shared" si="311"/>
        <v>0</v>
      </c>
      <c r="O170" s="4">
        <f t="shared" si="311"/>
        <v>-0.14486423651050123</v>
      </c>
      <c r="P170" s="4">
        <f t="shared" si="311"/>
        <v>-0.14486484789752949</v>
      </c>
      <c r="Q170" s="4">
        <f t="shared" si="311"/>
        <v>-0.14486423651050123</v>
      </c>
      <c r="R170" s="4">
        <f t="shared" ref="R170:T170" si="312">-SIN(R156)*COS(R157)</f>
        <v>-0.14486423651050123</v>
      </c>
      <c r="S170" s="4">
        <f t="shared" si="312"/>
        <v>-0.14486423651050123</v>
      </c>
      <c r="T170" s="4">
        <f t="shared" si="312"/>
        <v>-0.14486423651050123</v>
      </c>
      <c r="U170" s="4">
        <f t="shared" si="311"/>
        <v>-0.14486484789752949</v>
      </c>
      <c r="V170" s="4">
        <f t="shared" si="311"/>
        <v>-0.70710650830061539</v>
      </c>
      <c r="W170" s="4">
        <f t="shared" si="311"/>
        <v>0</v>
      </c>
      <c r="X170" s="4">
        <f t="shared" si="311"/>
        <v>0</v>
      </c>
      <c r="Y170" s="4">
        <f t="shared" ref="Y170" si="313">-SIN(Y156)*COS(Y157)</f>
        <v>0</v>
      </c>
    </row>
    <row r="171" spans="2:25">
      <c r="C171" t="s">
        <v>51</v>
      </c>
      <c r="E171" s="4">
        <f>-SIN(E156)*SIN(E157)</f>
        <v>0</v>
      </c>
      <c r="F171" s="4">
        <f t="shared" ref="F171:X171" si="314">-SIN(F156)*SIN(F157)</f>
        <v>0</v>
      </c>
      <c r="G171" s="4">
        <f t="shared" si="314"/>
        <v>0</v>
      </c>
      <c r="H171" s="4">
        <f t="shared" si="314"/>
        <v>0</v>
      </c>
      <c r="I171" s="4">
        <f t="shared" si="314"/>
        <v>0</v>
      </c>
      <c r="J171" s="4">
        <f t="shared" si="314"/>
        <v>0</v>
      </c>
      <c r="K171" s="4">
        <f t="shared" si="314"/>
        <v>0</v>
      </c>
      <c r="L171" s="4">
        <f t="shared" si="314"/>
        <v>0</v>
      </c>
      <c r="M171" s="4">
        <f t="shared" si="314"/>
        <v>0</v>
      </c>
      <c r="N171" s="4">
        <f t="shared" si="314"/>
        <v>0</v>
      </c>
      <c r="O171" s="4">
        <f t="shared" si="314"/>
        <v>0.56726779979393693</v>
      </c>
      <c r="P171" s="4">
        <f t="shared" si="314"/>
        <v>0.56727019389880862</v>
      </c>
      <c r="Q171" s="4">
        <f t="shared" si="314"/>
        <v>0.56726779979393693</v>
      </c>
      <c r="R171" s="4">
        <f t="shared" ref="R171:T171" si="315">-SIN(R156)*SIN(R157)</f>
        <v>0.56726779979393693</v>
      </c>
      <c r="S171" s="4">
        <f t="shared" si="315"/>
        <v>0.56726779979393693</v>
      </c>
      <c r="T171" s="4">
        <f t="shared" si="315"/>
        <v>0.56726779979393693</v>
      </c>
      <c r="U171" s="4">
        <f t="shared" si="314"/>
        <v>0.56727019389880862</v>
      </c>
      <c r="V171" s="4">
        <f t="shared" si="314"/>
        <v>0.70710650830061528</v>
      </c>
      <c r="W171" s="4">
        <f t="shared" si="314"/>
        <v>0</v>
      </c>
      <c r="X171" s="4">
        <f t="shared" si="314"/>
        <v>0</v>
      </c>
      <c r="Y171" s="4">
        <f t="shared" ref="Y171" si="316">-SIN(Y156)*SIN(Y157)</f>
        <v>0</v>
      </c>
    </row>
    <row r="172" spans="2:25">
      <c r="C172" t="s">
        <v>52</v>
      </c>
      <c r="E172" s="4">
        <f>COS(E156)</f>
        <v>1</v>
      </c>
      <c r="F172" s="4">
        <f t="shared" ref="F172:X172" si="317">COS(F156)</f>
        <v>1</v>
      </c>
      <c r="G172" s="4">
        <f t="shared" si="317"/>
        <v>1</v>
      </c>
      <c r="H172" s="4">
        <f t="shared" si="317"/>
        <v>1</v>
      </c>
      <c r="I172" s="4">
        <f t="shared" si="317"/>
        <v>1</v>
      </c>
      <c r="J172" s="4">
        <f t="shared" si="317"/>
        <v>1</v>
      </c>
      <c r="K172" s="4">
        <f t="shared" si="317"/>
        <v>1</v>
      </c>
      <c r="L172" s="4">
        <f t="shared" si="317"/>
        <v>1</v>
      </c>
      <c r="M172" s="4">
        <f t="shared" si="317"/>
        <v>1</v>
      </c>
      <c r="N172" s="4">
        <f t="shared" si="317"/>
        <v>1</v>
      </c>
      <c r="O172" s="4">
        <f t="shared" si="317"/>
        <v>0.81069204775745474</v>
      </c>
      <c r="P172" s="4">
        <f t="shared" si="317"/>
        <v>0.81069026326805838</v>
      </c>
      <c r="Q172" s="4">
        <f t="shared" si="317"/>
        <v>0.81069204775745474</v>
      </c>
      <c r="R172" s="4">
        <f t="shared" ref="R172:T172" si="318">COS(R156)</f>
        <v>0.81069204775745474</v>
      </c>
      <c r="S172" s="4">
        <f t="shared" si="318"/>
        <v>0.81069204775745474</v>
      </c>
      <c r="T172" s="4">
        <f t="shared" si="318"/>
        <v>0.81069204775745474</v>
      </c>
      <c r="U172" s="4">
        <f t="shared" si="317"/>
        <v>0.81069026326805838</v>
      </c>
      <c r="V172" s="4">
        <f t="shared" si="317"/>
        <v>8.7854301168749176E-4</v>
      </c>
      <c r="W172" s="4">
        <f t="shared" si="317"/>
        <v>1</v>
      </c>
      <c r="X172" s="4">
        <f t="shared" si="317"/>
        <v>1</v>
      </c>
      <c r="Y172" s="4">
        <f t="shared" ref="Y172" si="319">COS(Y156)</f>
        <v>1</v>
      </c>
    </row>
    <row r="173" spans="2:25">
      <c r="C173" t="s">
        <v>53</v>
      </c>
      <c r="E173" s="4">
        <f>-SIN(E157)</f>
        <v>0</v>
      </c>
      <c r="F173" s="4">
        <f t="shared" ref="F173:X173" si="320">-SIN(F157)</f>
        <v>0</v>
      </c>
      <c r="G173" s="4">
        <f t="shared" si="320"/>
        <v>0</v>
      </c>
      <c r="H173" s="4">
        <f t="shared" si="320"/>
        <v>0</v>
      </c>
      <c r="I173" s="4">
        <f t="shared" si="320"/>
        <v>0</v>
      </c>
      <c r="J173" s="4">
        <f t="shared" si="320"/>
        <v>0</v>
      </c>
      <c r="K173" s="4">
        <f t="shared" si="320"/>
        <v>0</v>
      </c>
      <c r="L173" s="4">
        <f t="shared" si="320"/>
        <v>0</v>
      </c>
      <c r="M173" s="4">
        <f t="shared" si="320"/>
        <v>0</v>
      </c>
      <c r="N173" s="4">
        <f t="shared" si="320"/>
        <v>0</v>
      </c>
      <c r="O173" s="4">
        <f t="shared" si="320"/>
        <v>0.96890546640126096</v>
      </c>
      <c r="P173" s="4">
        <f t="shared" si="320"/>
        <v>0.96890546640126096</v>
      </c>
      <c r="Q173" s="4">
        <f t="shared" si="320"/>
        <v>0.96890546640126096</v>
      </c>
      <c r="R173" s="4">
        <f t="shared" ref="R173:T173" si="321">-SIN(R157)</f>
        <v>0.96890546640126096</v>
      </c>
      <c r="S173" s="4">
        <f t="shared" si="321"/>
        <v>0.96890546640126096</v>
      </c>
      <c r="T173" s="4">
        <f t="shared" si="321"/>
        <v>0.96890546640126096</v>
      </c>
      <c r="U173" s="4">
        <f t="shared" si="320"/>
        <v>0.96890546640126096</v>
      </c>
      <c r="V173" s="4">
        <f t="shared" si="320"/>
        <v>0.70710678118654746</v>
      </c>
      <c r="W173" s="4">
        <f t="shared" si="320"/>
        <v>8.7266451523521776E-4</v>
      </c>
      <c r="X173" s="4">
        <f t="shared" si="320"/>
        <v>0</v>
      </c>
      <c r="Y173" s="4">
        <f t="shared" ref="Y173" si="322">-SIN(Y157)</f>
        <v>0</v>
      </c>
    </row>
    <row r="174" spans="2:25">
      <c r="C174" t="s">
        <v>54</v>
      </c>
      <c r="E174" s="4">
        <f>COS(E157)</f>
        <v>1</v>
      </c>
      <c r="F174" s="4">
        <f t="shared" ref="F174:X174" si="323">COS(F157)</f>
        <v>1</v>
      </c>
      <c r="G174" s="4">
        <f t="shared" si="323"/>
        <v>1</v>
      </c>
      <c r="H174" s="4">
        <f t="shared" si="323"/>
        <v>1</v>
      </c>
      <c r="I174" s="4">
        <f t="shared" si="323"/>
        <v>1</v>
      </c>
      <c r="J174" s="4">
        <f t="shared" si="323"/>
        <v>1</v>
      </c>
      <c r="K174" s="4">
        <f t="shared" si="323"/>
        <v>1</v>
      </c>
      <c r="L174" s="4">
        <f t="shared" si="323"/>
        <v>1</v>
      </c>
      <c r="M174" s="4">
        <f t="shared" si="323"/>
        <v>1</v>
      </c>
      <c r="N174" s="4">
        <f t="shared" si="323"/>
        <v>1</v>
      </c>
      <c r="O174" s="4">
        <f t="shared" si="323"/>
        <v>0.24743119685632814</v>
      </c>
      <c r="P174" s="4">
        <f t="shared" si="323"/>
        <v>0.24743119685632814</v>
      </c>
      <c r="Q174" s="4">
        <f t="shared" si="323"/>
        <v>0.24743119685632814</v>
      </c>
      <c r="R174" s="4">
        <f t="shared" ref="R174:T174" si="324">COS(R157)</f>
        <v>0.24743119685632814</v>
      </c>
      <c r="S174" s="4">
        <f t="shared" si="324"/>
        <v>0.24743119685632814</v>
      </c>
      <c r="T174" s="4">
        <f t="shared" si="324"/>
        <v>0.24743119685632814</v>
      </c>
      <c r="U174" s="4">
        <f t="shared" si="323"/>
        <v>0.24743119685632814</v>
      </c>
      <c r="V174" s="4">
        <f t="shared" si="323"/>
        <v>0.70710678118654757</v>
      </c>
      <c r="W174" s="4">
        <f t="shared" si="323"/>
        <v>-0.99999961922824943</v>
      </c>
      <c r="X174" s="4">
        <f t="shared" si="323"/>
        <v>1</v>
      </c>
      <c r="Y174" s="4">
        <f t="shared" ref="Y174" si="325">COS(Y157)</f>
        <v>1</v>
      </c>
    </row>
    <row r="175" spans="2:25">
      <c r="C175" t="s">
        <v>55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</row>
    <row r="176" spans="2:25">
      <c r="B176" t="s">
        <v>113</v>
      </c>
      <c r="C176" t="s">
        <v>7</v>
      </c>
      <c r="E176" s="4">
        <f t="shared" ref="E176:Y176" si="326">E33-E45</f>
        <v>0</v>
      </c>
      <c r="F176" s="4">
        <f t="shared" si="326"/>
        <v>0</v>
      </c>
      <c r="G176" s="4">
        <f t="shared" si="326"/>
        <v>0</v>
      </c>
      <c r="H176" s="4">
        <f t="shared" si="326"/>
        <v>0</v>
      </c>
      <c r="I176" s="4">
        <f t="shared" si="326"/>
        <v>0</v>
      </c>
      <c r="J176" s="4">
        <f t="shared" si="326"/>
        <v>0</v>
      </c>
      <c r="K176" s="4">
        <f t="shared" si="326"/>
        <v>0</v>
      </c>
      <c r="L176" s="4">
        <f t="shared" si="326"/>
        <v>0</v>
      </c>
      <c r="M176" s="4">
        <f t="shared" si="326"/>
        <v>0</v>
      </c>
      <c r="N176" s="4">
        <f t="shared" si="326"/>
        <v>0</v>
      </c>
      <c r="O176" s="4">
        <f t="shared" si="326"/>
        <v>0.18276822659733938</v>
      </c>
      <c r="P176" s="4">
        <f t="shared" si="326"/>
        <v>0.18259359253300289</v>
      </c>
      <c r="Q176" s="4">
        <f t="shared" si="326"/>
        <v>0.18276822659733938</v>
      </c>
      <c r="R176" s="4">
        <f t="shared" ref="R176:T176" si="327">R33-R45</f>
        <v>0.18276822659733938</v>
      </c>
      <c r="S176" s="4">
        <f t="shared" si="327"/>
        <v>0.18276822659733938</v>
      </c>
      <c r="T176" s="4">
        <f t="shared" si="327"/>
        <v>0.18276822659733938</v>
      </c>
      <c r="U176" s="4">
        <f t="shared" si="326"/>
        <v>0.18259359253300289</v>
      </c>
      <c r="V176" s="4">
        <f t="shared" si="326"/>
        <v>3.3681316571687603E-4</v>
      </c>
      <c r="W176" s="4">
        <f t="shared" si="326"/>
        <v>0</v>
      </c>
      <c r="X176" s="4">
        <f t="shared" si="326"/>
        <v>0</v>
      </c>
      <c r="Y176" s="4">
        <f t="shared" si="326"/>
        <v>0</v>
      </c>
    </row>
    <row r="178" spans="1:25">
      <c r="B178" t="s">
        <v>115</v>
      </c>
      <c r="C178" t="s">
        <v>103</v>
      </c>
      <c r="E178" s="4">
        <f>E158*E154+E159*E155+E160*0</f>
        <v>-31.995247653761364</v>
      </c>
      <c r="F178" s="4">
        <f t="shared" ref="F178:X178" si="328">F158*F154+F159*F155+F160*0</f>
        <v>-32.087682668933432</v>
      </c>
      <c r="G178" s="4">
        <f t="shared" si="328"/>
        <v>-32.087682668933432</v>
      </c>
      <c r="H178" s="4">
        <f t="shared" si="328"/>
        <v>-31.995247653761364</v>
      </c>
      <c r="I178" s="4">
        <f t="shared" si="328"/>
        <v>-31.995247653761364</v>
      </c>
      <c r="J178" s="4">
        <f t="shared" si="328"/>
        <v>-31.995247653761364</v>
      </c>
      <c r="K178" s="4">
        <f t="shared" si="328"/>
        <v>-31.995247653761364</v>
      </c>
      <c r="L178" s="4">
        <f t="shared" si="328"/>
        <v>-31.995247653761364</v>
      </c>
      <c r="M178" s="4">
        <f t="shared" si="328"/>
        <v>-32.087682668933432</v>
      </c>
      <c r="N178" s="4">
        <f t="shared" si="328"/>
        <v>-32.087682668933432</v>
      </c>
      <c r="O178" s="4">
        <f t="shared" si="328"/>
        <v>-6.4271733621350551</v>
      </c>
      <c r="P178" s="4">
        <f t="shared" si="328"/>
        <v>-6.4148332397259784</v>
      </c>
      <c r="Q178" s="4">
        <f t="shared" si="328"/>
        <v>-6.4271733621350551</v>
      </c>
      <c r="R178" s="4">
        <f t="shared" ref="R178:T178" si="329">R158*R154+R159*R155+R160*0</f>
        <v>-6.4271733621350551</v>
      </c>
      <c r="S178" s="4">
        <f t="shared" si="329"/>
        <v>-6.4271733621350551</v>
      </c>
      <c r="T178" s="4">
        <f t="shared" si="329"/>
        <v>-6.4271733621350551</v>
      </c>
      <c r="U178" s="4">
        <f t="shared" si="328"/>
        <v>-6.4148332397259784</v>
      </c>
      <c r="V178" s="4">
        <f t="shared" si="328"/>
        <v>-1.98861260879542E-2</v>
      </c>
      <c r="W178" s="4">
        <f t="shared" si="328"/>
        <v>32.056814615779871</v>
      </c>
      <c r="X178" s="4">
        <f t="shared" si="328"/>
        <v>-32.087682668933432</v>
      </c>
      <c r="Y178" s="4">
        <f t="shared" ref="Y178" si="330">Y158*Y154+Y159*Y155+Y160*0</f>
        <v>-31.995247653761364</v>
      </c>
    </row>
    <row r="179" spans="1:25">
      <c r="B179" t="s">
        <v>116</v>
      </c>
      <c r="C179" t="s">
        <v>103</v>
      </c>
      <c r="E179" s="4">
        <f>E161*E154+E162*E155+E163*0</f>
        <v>0</v>
      </c>
      <c r="F179" s="4">
        <f t="shared" ref="F179:X179" si="331">F161*F154+F162*F155+F163*0</f>
        <v>0</v>
      </c>
      <c r="G179" s="4">
        <f t="shared" si="331"/>
        <v>0</v>
      </c>
      <c r="H179" s="4">
        <f t="shared" si="331"/>
        <v>0</v>
      </c>
      <c r="I179" s="4">
        <f t="shared" si="331"/>
        <v>0</v>
      </c>
      <c r="J179" s="4">
        <f t="shared" si="331"/>
        <v>0</v>
      </c>
      <c r="K179" s="4">
        <f t="shared" si="331"/>
        <v>0</v>
      </c>
      <c r="L179" s="4">
        <f t="shared" si="331"/>
        <v>0</v>
      </c>
      <c r="M179" s="4">
        <f t="shared" si="331"/>
        <v>0</v>
      </c>
      <c r="N179" s="4">
        <f t="shared" si="331"/>
        <v>0</v>
      </c>
      <c r="O179" s="4">
        <f t="shared" si="331"/>
        <v>25.167899129943365</v>
      </c>
      <c r="P179" s="4">
        <f t="shared" si="331"/>
        <v>25.119576961154124</v>
      </c>
      <c r="Q179" s="4">
        <f t="shared" si="331"/>
        <v>25.167899129943365</v>
      </c>
      <c r="R179" s="4">
        <f t="shared" ref="R179:T179" si="332">R161*R154+R162*R155+R163*0</f>
        <v>25.167899129943365</v>
      </c>
      <c r="S179" s="4">
        <f t="shared" si="332"/>
        <v>25.167899129943365</v>
      </c>
      <c r="T179" s="4">
        <f t="shared" si="332"/>
        <v>25.167899129943365</v>
      </c>
      <c r="U179" s="4">
        <f t="shared" si="331"/>
        <v>25.119576961154124</v>
      </c>
      <c r="V179" s="4">
        <f t="shared" si="331"/>
        <v>1.98861260879542E-2</v>
      </c>
      <c r="W179" s="4">
        <f t="shared" si="331"/>
        <v>2.7974855238699393E-2</v>
      </c>
      <c r="X179" s="4">
        <f t="shared" si="331"/>
        <v>0</v>
      </c>
      <c r="Y179" s="4">
        <f t="shared" ref="Y179" si="333">Y161*Y154+Y162*Y155+Y163*0</f>
        <v>0</v>
      </c>
    </row>
    <row r="180" spans="1:25">
      <c r="B180" t="s">
        <v>117</v>
      </c>
      <c r="C180" t="s">
        <v>103</v>
      </c>
      <c r="E180" s="4">
        <f>E164*E154+E165*E155+E165*0</f>
        <v>0</v>
      </c>
      <c r="F180" s="4">
        <f t="shared" ref="F180:X180" si="334">F164*F154+F165*F155+F165*0</f>
        <v>0</v>
      </c>
      <c r="G180" s="4">
        <f t="shared" si="334"/>
        <v>0</v>
      </c>
      <c r="H180" s="4">
        <f t="shared" si="334"/>
        <v>0</v>
      </c>
      <c r="I180" s="4">
        <f t="shared" si="334"/>
        <v>0</v>
      </c>
      <c r="J180" s="4">
        <f t="shared" si="334"/>
        <v>0</v>
      </c>
      <c r="K180" s="4">
        <f t="shared" si="334"/>
        <v>0</v>
      </c>
      <c r="L180" s="4">
        <f t="shared" si="334"/>
        <v>0</v>
      </c>
      <c r="M180" s="4">
        <f t="shared" si="334"/>
        <v>0</v>
      </c>
      <c r="N180" s="4">
        <f t="shared" si="334"/>
        <v>0</v>
      </c>
      <c r="O180" s="4">
        <f t="shared" si="334"/>
        <v>-18.885752152478585</v>
      </c>
      <c r="P180" s="4">
        <f t="shared" si="334"/>
        <v>-18.849683185915968</v>
      </c>
      <c r="Q180" s="4">
        <f t="shared" si="334"/>
        <v>-18.885752152478585</v>
      </c>
      <c r="R180" s="4">
        <f t="shared" ref="R180:T180" si="335">R164*R154+R165*R155+R165*0</f>
        <v>-18.885752152478585</v>
      </c>
      <c r="S180" s="4">
        <f t="shared" si="335"/>
        <v>-18.885752152478585</v>
      </c>
      <c r="T180" s="4">
        <f t="shared" si="335"/>
        <v>-18.885752152478585</v>
      </c>
      <c r="U180" s="4">
        <f t="shared" si="334"/>
        <v>-18.849683185915968</v>
      </c>
      <c r="V180" s="4">
        <f t="shared" si="334"/>
        <v>-32.227001361141951</v>
      </c>
      <c r="W180" s="4">
        <f t="shared" si="334"/>
        <v>0</v>
      </c>
      <c r="X180" s="4">
        <f t="shared" si="334"/>
        <v>0</v>
      </c>
      <c r="Y180" s="4">
        <f t="shared" ref="Y180" si="336">Y164*Y154+Y165*Y155+Y165*0</f>
        <v>0</v>
      </c>
    </row>
    <row r="181" spans="1:25">
      <c r="B181" t="s">
        <v>118</v>
      </c>
      <c r="C181" t="s">
        <v>103</v>
      </c>
      <c r="E181" s="4">
        <f>E167*E178+E168*E179+E169*E180</f>
        <v>-31.995247653761364</v>
      </c>
      <c r="F181" s="4">
        <f t="shared" ref="F181:Y181" si="337">F167*F178+F168*F179+F169*F180</f>
        <v>-32.087682668933432</v>
      </c>
      <c r="G181" s="4">
        <f t="shared" si="337"/>
        <v>-32.087682668933432</v>
      </c>
      <c r="H181" s="4">
        <f t="shared" si="337"/>
        <v>-31.995247653761364</v>
      </c>
      <c r="I181" s="4">
        <f t="shared" si="337"/>
        <v>-31.995247653761364</v>
      </c>
      <c r="J181" s="4">
        <f t="shared" si="337"/>
        <v>-31.995247653761364</v>
      </c>
      <c r="K181" s="4">
        <f t="shared" si="337"/>
        <v>-31.995247653761364</v>
      </c>
      <c r="L181" s="4">
        <f t="shared" si="337"/>
        <v>-31.995247653761364</v>
      </c>
      <c r="M181" s="4">
        <f t="shared" si="337"/>
        <v>-32.087682668933432</v>
      </c>
      <c r="N181" s="4">
        <f t="shared" si="337"/>
        <v>-32.087682668933432</v>
      </c>
      <c r="O181" s="4">
        <f t="shared" si="337"/>
        <v>-32.11530519068242</v>
      </c>
      <c r="P181" s="4">
        <f t="shared" si="337"/>
        <v>-32.053756504211975</v>
      </c>
      <c r="Q181" s="4">
        <f t="shared" si="337"/>
        <v>-32.11530519068242</v>
      </c>
      <c r="R181" s="4">
        <f t="shared" ref="R181:T181" si="338">R167*R178+R168*R179+R169*R180</f>
        <v>-32.11530519068242</v>
      </c>
      <c r="S181" s="4">
        <f t="shared" si="338"/>
        <v>-32.11530519068242</v>
      </c>
      <c r="T181" s="4">
        <f t="shared" si="338"/>
        <v>-32.11530519068242</v>
      </c>
      <c r="U181" s="4">
        <f t="shared" si="337"/>
        <v>-32.053756504211975</v>
      </c>
      <c r="V181" s="4">
        <f t="shared" si="337"/>
        <v>-32.227013631596755</v>
      </c>
      <c r="W181" s="4">
        <f t="shared" si="337"/>
        <v>-32.056826822113941</v>
      </c>
      <c r="X181" s="4">
        <f t="shared" si="337"/>
        <v>-32.087682668933432</v>
      </c>
      <c r="Y181" s="4">
        <f t="shared" si="337"/>
        <v>-31.995247653761364</v>
      </c>
    </row>
    <row r="182" spans="1:25">
      <c r="B182" t="s">
        <v>119</v>
      </c>
      <c r="C182" t="s">
        <v>103</v>
      </c>
      <c r="E182" s="4">
        <f>E170*E178+E171*E179+E172*E180</f>
        <v>0</v>
      </c>
      <c r="F182" s="4">
        <f t="shared" ref="F182:X182" si="339">F170*F178+F171*F179+F172*F180</f>
        <v>0</v>
      </c>
      <c r="G182" s="4">
        <f t="shared" si="339"/>
        <v>0</v>
      </c>
      <c r="H182" s="4">
        <f t="shared" si="339"/>
        <v>0</v>
      </c>
      <c r="I182" s="4">
        <f t="shared" si="339"/>
        <v>0</v>
      </c>
      <c r="J182" s="4">
        <f t="shared" si="339"/>
        <v>0</v>
      </c>
      <c r="K182" s="4">
        <f t="shared" si="339"/>
        <v>0</v>
      </c>
      <c r="L182" s="4">
        <f t="shared" si="339"/>
        <v>0</v>
      </c>
      <c r="M182" s="4">
        <f t="shared" si="339"/>
        <v>0</v>
      </c>
      <c r="N182" s="4">
        <f t="shared" si="339"/>
        <v>0</v>
      </c>
      <c r="O182" s="4">
        <f t="shared" si="339"/>
        <v>-0.10252275902758257</v>
      </c>
      <c r="P182" s="4">
        <f t="shared" si="339"/>
        <v>-0.10238348953884291</v>
      </c>
      <c r="Q182" s="4">
        <f t="shared" si="339"/>
        <v>-0.10252275902758257</v>
      </c>
      <c r="R182" s="4">
        <f t="shared" ref="R182:T182" si="340">R170*R178+R171*R179+R172*R180</f>
        <v>-0.10252275902758257</v>
      </c>
      <c r="S182" s="4">
        <f t="shared" si="340"/>
        <v>-0.10252275902758257</v>
      </c>
      <c r="T182" s="4">
        <f t="shared" si="340"/>
        <v>-0.10252275902758257</v>
      </c>
      <c r="U182" s="4">
        <f t="shared" si="339"/>
        <v>-0.10238348953884291</v>
      </c>
      <c r="V182" s="4">
        <f t="shared" si="339"/>
        <v>-1.8958847011640509E-4</v>
      </c>
      <c r="W182" s="4">
        <f t="shared" si="339"/>
        <v>0</v>
      </c>
      <c r="X182" s="4">
        <f t="shared" si="339"/>
        <v>0</v>
      </c>
      <c r="Y182" s="4">
        <f t="shared" ref="Y182" si="341">Y170*Y178+Y171*Y179+Y172*Y180</f>
        <v>0</v>
      </c>
    </row>
    <row r="183" spans="1:25">
      <c r="B183" t="s">
        <v>120</v>
      </c>
      <c r="C183" t="s">
        <v>103</v>
      </c>
      <c r="E183" s="4">
        <f>E173*E178+E174*E179+E175*E180</f>
        <v>0</v>
      </c>
      <c r="F183" s="4">
        <f t="shared" ref="F183:X183" si="342">F173*F178+F174*F179+F175*F180</f>
        <v>0</v>
      </c>
      <c r="G183" s="4">
        <f t="shared" si="342"/>
        <v>0</v>
      </c>
      <c r="H183" s="4">
        <f t="shared" si="342"/>
        <v>0</v>
      </c>
      <c r="I183" s="4">
        <f t="shared" si="342"/>
        <v>0</v>
      </c>
      <c r="J183" s="4">
        <f t="shared" si="342"/>
        <v>0</v>
      </c>
      <c r="K183" s="4">
        <f t="shared" si="342"/>
        <v>0</v>
      </c>
      <c r="L183" s="4">
        <f t="shared" si="342"/>
        <v>0</v>
      </c>
      <c r="M183" s="4">
        <f t="shared" si="342"/>
        <v>0</v>
      </c>
      <c r="N183" s="4">
        <f t="shared" si="342"/>
        <v>0</v>
      </c>
      <c r="O183" s="4">
        <f t="shared" si="342"/>
        <v>0</v>
      </c>
      <c r="P183" s="4">
        <f t="shared" si="342"/>
        <v>0</v>
      </c>
      <c r="Q183" s="4">
        <f t="shared" si="342"/>
        <v>0</v>
      </c>
      <c r="R183" s="4">
        <f t="shared" ref="R183:T183" si="343">R173*R178+R174*R179+R175*R180</f>
        <v>0</v>
      </c>
      <c r="S183" s="4">
        <f t="shared" si="343"/>
        <v>0</v>
      </c>
      <c r="T183" s="4">
        <f t="shared" si="343"/>
        <v>0</v>
      </c>
      <c r="U183" s="4">
        <f t="shared" si="342"/>
        <v>0</v>
      </c>
      <c r="V183" s="4">
        <f t="shared" si="342"/>
        <v>3.4694469519536142E-18</v>
      </c>
      <c r="W183" s="4">
        <f t="shared" si="342"/>
        <v>-6.9388939039072284E-18</v>
      </c>
      <c r="X183" s="4">
        <f t="shared" si="342"/>
        <v>0</v>
      </c>
      <c r="Y183" s="4">
        <f t="shared" ref="Y183" si="344">Y173*Y178+Y174*Y179+Y175*Y180</f>
        <v>0</v>
      </c>
    </row>
    <row r="184" spans="1:25">
      <c r="B184" t="s">
        <v>114</v>
      </c>
      <c r="C184" t="s">
        <v>7</v>
      </c>
      <c r="E184" s="4">
        <f>ATAN(E182/E181)*180/PI()</f>
        <v>0</v>
      </c>
      <c r="F184" s="4">
        <f t="shared" ref="F184:X184" si="345">ATAN(F182/F181)*180/PI()</f>
        <v>0</v>
      </c>
      <c r="G184" s="4">
        <f t="shared" si="345"/>
        <v>0</v>
      </c>
      <c r="H184" s="4">
        <f t="shared" si="345"/>
        <v>0</v>
      </c>
      <c r="I184" s="4">
        <f t="shared" si="345"/>
        <v>0</v>
      </c>
      <c r="J184" s="4">
        <f t="shared" si="345"/>
        <v>0</v>
      </c>
      <c r="K184" s="4">
        <f t="shared" si="345"/>
        <v>0</v>
      </c>
      <c r="L184" s="4">
        <f t="shared" si="345"/>
        <v>0</v>
      </c>
      <c r="M184" s="4">
        <f t="shared" si="345"/>
        <v>0</v>
      </c>
      <c r="N184" s="4">
        <f t="shared" si="345"/>
        <v>0</v>
      </c>
      <c r="O184" s="4">
        <f t="shared" si="345"/>
        <v>0.18290660503418343</v>
      </c>
      <c r="P184" s="4">
        <f t="shared" si="345"/>
        <v>0.18300887423881498</v>
      </c>
      <c r="Q184" s="4">
        <f t="shared" si="345"/>
        <v>0.18290660503418343</v>
      </c>
      <c r="R184" s="4">
        <f t="shared" ref="R184:T184" si="346">ATAN(R182/R181)*180/PI()</f>
        <v>0.18290660503418343</v>
      </c>
      <c r="S184" s="4">
        <f t="shared" si="346"/>
        <v>0.18290660503418343</v>
      </c>
      <c r="T184" s="4">
        <f t="shared" si="346"/>
        <v>0.18290660503418343</v>
      </c>
      <c r="U184" s="4">
        <f t="shared" si="345"/>
        <v>0.18300887423881498</v>
      </c>
      <c r="V184" s="4">
        <f t="shared" si="345"/>
        <v>3.3706564641896111E-4</v>
      </c>
      <c r="W184" s="4">
        <f t="shared" si="345"/>
        <v>0</v>
      </c>
      <c r="X184" s="4">
        <f t="shared" si="345"/>
        <v>0</v>
      </c>
      <c r="Y184" s="4">
        <f t="shared" ref="Y184" si="347">ATAN(Y182/Y181)*180/PI()</f>
        <v>0</v>
      </c>
    </row>
    <row r="185" spans="1:25">
      <c r="B185" t="s">
        <v>121</v>
      </c>
      <c r="C185" t="s">
        <v>7</v>
      </c>
      <c r="E185" s="4">
        <f>E184-E176</f>
        <v>0</v>
      </c>
      <c r="F185" s="4">
        <f t="shared" ref="F185:Y185" si="348">F184-F176</f>
        <v>0</v>
      </c>
      <c r="G185" s="4">
        <f t="shared" si="348"/>
        <v>0</v>
      </c>
      <c r="H185" s="4">
        <f t="shared" si="348"/>
        <v>0</v>
      </c>
      <c r="I185" s="4">
        <f t="shared" si="348"/>
        <v>0</v>
      </c>
      <c r="J185" s="4">
        <f t="shared" si="348"/>
        <v>0</v>
      </c>
      <c r="K185" s="4">
        <f t="shared" si="348"/>
        <v>0</v>
      </c>
      <c r="L185" s="4">
        <f t="shared" si="348"/>
        <v>0</v>
      </c>
      <c r="M185" s="4">
        <f t="shared" si="348"/>
        <v>0</v>
      </c>
      <c r="N185" s="4">
        <f t="shared" si="348"/>
        <v>0</v>
      </c>
      <c r="O185" s="4">
        <f t="shared" si="348"/>
        <v>1.3837843684405549E-4</v>
      </c>
      <c r="P185" s="4">
        <f t="shared" si="348"/>
        <v>4.1528170581209278E-4</v>
      </c>
      <c r="Q185" s="4">
        <f t="shared" si="348"/>
        <v>1.3837843684405549E-4</v>
      </c>
      <c r="R185" s="4">
        <f t="shared" ref="R185:T185" si="349">R184-R176</f>
        <v>1.3837843684405549E-4</v>
      </c>
      <c r="S185" s="4">
        <f t="shared" si="349"/>
        <v>1.3837843684405549E-4</v>
      </c>
      <c r="T185" s="4">
        <f t="shared" si="349"/>
        <v>1.3837843684405549E-4</v>
      </c>
      <c r="U185" s="4">
        <f t="shared" si="348"/>
        <v>4.1528170581209278E-4</v>
      </c>
      <c r="V185" s="4">
        <f t="shared" si="348"/>
        <v>2.5248070208508128E-7</v>
      </c>
      <c r="W185" s="4">
        <f t="shared" si="348"/>
        <v>0</v>
      </c>
      <c r="X185" s="4">
        <f t="shared" si="348"/>
        <v>0</v>
      </c>
      <c r="Y185" s="4">
        <f t="shared" si="348"/>
        <v>0</v>
      </c>
    </row>
    <row r="187" spans="1:25">
      <c r="A187" t="s">
        <v>267</v>
      </c>
    </row>
    <row r="188" spans="1:25">
      <c r="B188" t="s">
        <v>264</v>
      </c>
      <c r="C188" t="s">
        <v>10</v>
      </c>
      <c r="E188" s="4">
        <f>E36</f>
        <v>0</v>
      </c>
      <c r="F188" s="4">
        <f t="shared" ref="F188:Y188" si="350">F36</f>
        <v>0</v>
      </c>
      <c r="G188" s="4">
        <f t="shared" si="350"/>
        <v>0</v>
      </c>
      <c r="H188" s="4">
        <f t="shared" si="350"/>
        <v>0</v>
      </c>
      <c r="I188" s="4">
        <f t="shared" si="350"/>
        <v>0</v>
      </c>
      <c r="J188" s="4">
        <f t="shared" si="350"/>
        <v>0</v>
      </c>
      <c r="K188" s="4">
        <f t="shared" si="350"/>
        <v>0</v>
      </c>
      <c r="L188" s="4">
        <f t="shared" si="350"/>
        <v>0</v>
      </c>
      <c r="M188" s="4">
        <f t="shared" si="350"/>
        <v>0</v>
      </c>
      <c r="N188" s="4">
        <f t="shared" si="350"/>
        <v>1000</v>
      </c>
      <c r="O188" s="4">
        <f t="shared" si="350"/>
        <v>400</v>
      </c>
      <c r="P188" s="4">
        <f t="shared" si="350"/>
        <v>1414.2135623730949</v>
      </c>
      <c r="Q188" s="4">
        <f t="shared" si="350"/>
        <v>400</v>
      </c>
      <c r="R188" s="4">
        <f t="shared" si="350"/>
        <v>400</v>
      </c>
      <c r="S188" s="4">
        <f t="shared" si="350"/>
        <v>400</v>
      </c>
      <c r="T188" s="4">
        <f t="shared" si="350"/>
        <v>400</v>
      </c>
      <c r="U188" s="4">
        <f t="shared" si="350"/>
        <v>1414.2135623730949</v>
      </c>
      <c r="V188" s="4">
        <f t="shared" si="350"/>
        <v>0</v>
      </c>
      <c r="W188" s="4">
        <f t="shared" si="350"/>
        <v>563.64300000000003</v>
      </c>
      <c r="X188" s="4">
        <f t="shared" si="350"/>
        <v>0</v>
      </c>
      <c r="Y188" s="4">
        <f t="shared" si="350"/>
        <v>0</v>
      </c>
    </row>
    <row r="189" spans="1:25">
      <c r="B189" t="s">
        <v>265</v>
      </c>
      <c r="C189" t="s">
        <v>10</v>
      </c>
      <c r="E189" s="4">
        <f>E37</f>
        <v>0</v>
      </c>
      <c r="F189" s="4">
        <f t="shared" ref="F189:Y189" si="351">F37</f>
        <v>0</v>
      </c>
      <c r="G189" s="4">
        <f t="shared" si="351"/>
        <v>0</v>
      </c>
      <c r="H189" s="4">
        <f t="shared" si="351"/>
        <v>0</v>
      </c>
      <c r="I189" s="4">
        <f t="shared" si="351"/>
        <v>0</v>
      </c>
      <c r="J189" s="4">
        <f t="shared" si="351"/>
        <v>0</v>
      </c>
      <c r="K189" s="4">
        <f t="shared" si="351"/>
        <v>0</v>
      </c>
      <c r="L189" s="4">
        <f t="shared" si="351"/>
        <v>0</v>
      </c>
      <c r="M189" s="4">
        <f t="shared" si="351"/>
        <v>1000</v>
      </c>
      <c r="N189" s="4">
        <f t="shared" si="351"/>
        <v>0</v>
      </c>
      <c r="O189" s="4">
        <f t="shared" si="351"/>
        <v>400</v>
      </c>
      <c r="P189" s="4">
        <f t="shared" si="351"/>
        <v>1414.2135623730949</v>
      </c>
      <c r="Q189" s="4">
        <f t="shared" si="351"/>
        <v>400</v>
      </c>
      <c r="R189" s="4">
        <f t="shared" si="351"/>
        <v>400</v>
      </c>
      <c r="S189" s="4">
        <f t="shared" si="351"/>
        <v>400</v>
      </c>
      <c r="T189" s="4">
        <f t="shared" si="351"/>
        <v>400</v>
      </c>
      <c r="U189" s="4">
        <f t="shared" si="351"/>
        <v>1414.2135623730949</v>
      </c>
      <c r="V189" s="4">
        <f t="shared" si="351"/>
        <v>563.64300000000003</v>
      </c>
      <c r="W189" s="4">
        <f t="shared" si="351"/>
        <v>0</v>
      </c>
      <c r="X189" s="4">
        <f t="shared" si="351"/>
        <v>0</v>
      </c>
      <c r="Y189" s="4">
        <f t="shared" si="351"/>
        <v>0</v>
      </c>
    </row>
    <row r="190" spans="1:25">
      <c r="B190" t="s">
        <v>266</v>
      </c>
      <c r="C190" t="s">
        <v>10</v>
      </c>
      <c r="E190" s="4">
        <f>E38</f>
        <v>0</v>
      </c>
      <c r="F190" s="4">
        <f t="shared" ref="F190:Y190" si="352">F38</f>
        <v>0</v>
      </c>
      <c r="G190" s="4">
        <f t="shared" si="352"/>
        <v>0</v>
      </c>
      <c r="H190" s="4">
        <f t="shared" si="352"/>
        <v>0</v>
      </c>
      <c r="I190" s="4">
        <f t="shared" si="352"/>
        <v>0</v>
      </c>
      <c r="J190" s="4">
        <f t="shared" si="352"/>
        <v>0</v>
      </c>
      <c r="K190" s="4">
        <f t="shared" si="352"/>
        <v>0</v>
      </c>
      <c r="L190" s="4">
        <f t="shared" si="352"/>
        <v>0</v>
      </c>
      <c r="M190" s="4">
        <f t="shared" si="352"/>
        <v>-1000</v>
      </c>
      <c r="N190" s="4">
        <f t="shared" si="352"/>
        <v>-1000</v>
      </c>
      <c r="O190" s="4">
        <f t="shared" si="352"/>
        <v>0</v>
      </c>
      <c r="P190" s="4">
        <f t="shared" si="352"/>
        <v>0</v>
      </c>
      <c r="Q190" s="4">
        <f t="shared" si="352"/>
        <v>0</v>
      </c>
      <c r="R190" s="4">
        <f t="shared" si="352"/>
        <v>0</v>
      </c>
      <c r="S190" s="4">
        <f t="shared" si="352"/>
        <v>0</v>
      </c>
      <c r="T190" s="4">
        <f t="shared" si="352"/>
        <v>0</v>
      </c>
      <c r="U190" s="4">
        <f t="shared" si="352"/>
        <v>0</v>
      </c>
      <c r="V190" s="4">
        <f t="shared" si="352"/>
        <v>0</v>
      </c>
      <c r="W190" s="4">
        <f t="shared" si="352"/>
        <v>0</v>
      </c>
      <c r="X190" s="4">
        <f t="shared" si="352"/>
        <v>-0.32808398950131235</v>
      </c>
      <c r="Y190" s="4">
        <f t="shared" si="352"/>
        <v>0</v>
      </c>
    </row>
    <row r="193" spans="1:25">
      <c r="A193" t="s">
        <v>148</v>
      </c>
    </row>
    <row r="194" spans="1:25" ht="30">
      <c r="B194" t="s">
        <v>149</v>
      </c>
      <c r="E194" s="21" t="s">
        <v>154</v>
      </c>
      <c r="F194" s="21" t="s">
        <v>154</v>
      </c>
      <c r="G194" s="21" t="s">
        <v>154</v>
      </c>
      <c r="H194" s="21" t="s">
        <v>159</v>
      </c>
      <c r="I194" s="21" t="s">
        <v>162</v>
      </c>
      <c r="J194" s="21" t="s">
        <v>154</v>
      </c>
      <c r="K194" s="21" t="s">
        <v>154</v>
      </c>
      <c r="L194" s="21" t="s">
        <v>154</v>
      </c>
      <c r="M194" s="21" t="s">
        <v>154</v>
      </c>
      <c r="N194" s="21" t="s">
        <v>154</v>
      </c>
      <c r="O194" s="21" t="s">
        <v>154</v>
      </c>
      <c r="P194" s="21" t="s">
        <v>154</v>
      </c>
      <c r="Q194" s="21" t="s">
        <v>154</v>
      </c>
      <c r="R194" s="21" t="s">
        <v>154</v>
      </c>
      <c r="S194" s="21" t="s">
        <v>154</v>
      </c>
      <c r="T194" s="21" t="s">
        <v>154</v>
      </c>
      <c r="U194" s="21" t="s">
        <v>154</v>
      </c>
      <c r="V194" s="21" t="s">
        <v>154</v>
      </c>
      <c r="W194" s="21" t="s">
        <v>154</v>
      </c>
      <c r="X194" s="21" t="s">
        <v>154</v>
      </c>
      <c r="Y194" s="21" t="s">
        <v>154</v>
      </c>
    </row>
    <row r="195" spans="1:25">
      <c r="B195" t="s">
        <v>155</v>
      </c>
      <c r="C195" t="s">
        <v>156</v>
      </c>
      <c r="E195" s="21">
        <v>30</v>
      </c>
      <c r="F195" s="21">
        <v>30</v>
      </c>
      <c r="G195" s="21">
        <v>30</v>
      </c>
      <c r="H195" s="21">
        <v>30</v>
      </c>
      <c r="I195" s="21">
        <v>30</v>
      </c>
      <c r="J195" s="21">
        <v>30</v>
      </c>
      <c r="K195" s="21">
        <v>30</v>
      </c>
      <c r="L195" s="21">
        <v>30</v>
      </c>
      <c r="M195" s="21">
        <v>30</v>
      </c>
      <c r="N195" s="21">
        <v>30</v>
      </c>
      <c r="O195" s="21">
        <v>180</v>
      </c>
      <c r="P195" s="21">
        <v>180</v>
      </c>
      <c r="Q195" s="21">
        <v>20</v>
      </c>
      <c r="R195" s="21">
        <v>20</v>
      </c>
      <c r="S195" s="21">
        <v>30</v>
      </c>
      <c r="T195" s="21">
        <v>60</v>
      </c>
      <c r="U195" s="21">
        <v>60</v>
      </c>
      <c r="V195" s="21">
        <v>180</v>
      </c>
      <c r="W195" s="21">
        <v>180</v>
      </c>
      <c r="X195" s="21">
        <v>200</v>
      </c>
      <c r="Y195" s="21">
        <v>30</v>
      </c>
    </row>
    <row r="196" spans="1:25" ht="30">
      <c r="B196" t="s">
        <v>150</v>
      </c>
      <c r="E196" s="21" t="s">
        <v>268</v>
      </c>
      <c r="F196" s="21" t="s">
        <v>268</v>
      </c>
      <c r="G196" s="21" t="s">
        <v>268</v>
      </c>
      <c r="H196" s="21" t="s">
        <v>160</v>
      </c>
      <c r="I196" s="21" t="s">
        <v>160</v>
      </c>
      <c r="J196" s="21" t="s">
        <v>268</v>
      </c>
      <c r="K196" s="21" t="s">
        <v>268</v>
      </c>
      <c r="L196" s="21" t="s">
        <v>268</v>
      </c>
      <c r="M196" s="21" t="s">
        <v>268</v>
      </c>
      <c r="N196" s="21" t="s">
        <v>268</v>
      </c>
      <c r="O196" s="21" t="s">
        <v>268</v>
      </c>
      <c r="P196" s="21" t="s">
        <v>268</v>
      </c>
      <c r="Q196" s="21" t="s">
        <v>268</v>
      </c>
      <c r="R196" s="21" t="s">
        <v>268</v>
      </c>
      <c r="S196" s="21" t="s">
        <v>268</v>
      </c>
      <c r="T196" s="21" t="s">
        <v>268</v>
      </c>
      <c r="U196" s="21" t="s">
        <v>268</v>
      </c>
      <c r="V196" s="21" t="s">
        <v>268</v>
      </c>
      <c r="W196" s="21" t="s">
        <v>268</v>
      </c>
      <c r="X196" s="21" t="s">
        <v>268</v>
      </c>
      <c r="Y196" s="21" t="s">
        <v>268</v>
      </c>
    </row>
    <row r="197" spans="1:25" ht="90">
      <c r="B197" t="s">
        <v>151</v>
      </c>
      <c r="E197" s="21" t="s">
        <v>157</v>
      </c>
      <c r="F197" s="21" t="s">
        <v>157</v>
      </c>
      <c r="G197" s="21" t="s">
        <v>157</v>
      </c>
      <c r="H197" s="21" t="s">
        <v>157</v>
      </c>
      <c r="I197" s="21" t="s">
        <v>157</v>
      </c>
      <c r="J197" s="21" t="s">
        <v>157</v>
      </c>
      <c r="K197" s="21" t="s">
        <v>163</v>
      </c>
      <c r="L197" s="21" t="s">
        <v>164</v>
      </c>
      <c r="M197" s="21" t="s">
        <v>157</v>
      </c>
      <c r="N197" s="21" t="s">
        <v>157</v>
      </c>
      <c r="O197" s="21" t="s">
        <v>157</v>
      </c>
      <c r="P197" s="21" t="s">
        <v>157</v>
      </c>
      <c r="Q197" s="21" t="s">
        <v>157</v>
      </c>
      <c r="R197" s="21" t="s">
        <v>157</v>
      </c>
      <c r="S197" s="21" t="s">
        <v>157</v>
      </c>
      <c r="T197" s="21" t="s">
        <v>157</v>
      </c>
      <c r="U197" s="21" t="s">
        <v>157</v>
      </c>
      <c r="V197" s="21" t="s">
        <v>157</v>
      </c>
      <c r="W197" s="21" t="s">
        <v>157</v>
      </c>
      <c r="X197" s="21" t="s">
        <v>157</v>
      </c>
      <c r="Y197" s="21" t="s">
        <v>245</v>
      </c>
    </row>
    <row r="198" spans="1:25" ht="75">
      <c r="B198" t="s">
        <v>152</v>
      </c>
      <c r="E198" s="21" t="s">
        <v>127</v>
      </c>
      <c r="F198" s="21" t="s">
        <v>254</v>
      </c>
      <c r="G198" s="21" t="s">
        <v>158</v>
      </c>
      <c r="H198" s="21" t="s">
        <v>161</v>
      </c>
      <c r="I198" s="21" t="s">
        <v>161</v>
      </c>
      <c r="J198" s="21" t="s">
        <v>161</v>
      </c>
      <c r="K198" s="21" t="s">
        <v>161</v>
      </c>
      <c r="L198" s="21" t="s">
        <v>161</v>
      </c>
      <c r="M198" s="21" t="s">
        <v>161</v>
      </c>
      <c r="N198" s="21" t="s">
        <v>161</v>
      </c>
      <c r="O198" s="21" t="s">
        <v>256</v>
      </c>
      <c r="P198" s="21" t="s">
        <v>256</v>
      </c>
      <c r="Q198" s="21" t="s">
        <v>257</v>
      </c>
      <c r="R198" s="21" t="s">
        <v>257</v>
      </c>
      <c r="S198" s="21" t="s">
        <v>257</v>
      </c>
      <c r="T198" s="21" t="s">
        <v>257</v>
      </c>
      <c r="U198" s="21" t="s">
        <v>257</v>
      </c>
      <c r="V198" s="21" t="s">
        <v>258</v>
      </c>
      <c r="W198" s="21" t="s">
        <v>258</v>
      </c>
      <c r="X198" s="21" t="s">
        <v>165</v>
      </c>
      <c r="Y198" s="21" t="s">
        <v>166</v>
      </c>
    </row>
    <row r="199" spans="1:25" ht="330">
      <c r="B199" t="s">
        <v>153</v>
      </c>
      <c r="E199" s="21" t="s">
        <v>252</v>
      </c>
      <c r="F199" s="21" t="s">
        <v>253</v>
      </c>
      <c r="G199" s="21" t="s">
        <v>252</v>
      </c>
      <c r="L199" s="21" t="s">
        <v>255</v>
      </c>
      <c r="M199" s="21" t="s">
        <v>275</v>
      </c>
      <c r="N199" s="21" t="s">
        <v>276</v>
      </c>
      <c r="O199" s="21" t="s">
        <v>277</v>
      </c>
      <c r="P199" s="21" t="s">
        <v>278</v>
      </c>
      <c r="Q199" s="21" t="s">
        <v>271</v>
      </c>
      <c r="R199" s="21" t="s">
        <v>270</v>
      </c>
      <c r="S199" s="21" t="s">
        <v>272</v>
      </c>
      <c r="T199" s="21" t="s">
        <v>273</v>
      </c>
      <c r="U199" s="21" t="s">
        <v>274</v>
      </c>
      <c r="V199" s="21" t="s">
        <v>260</v>
      </c>
      <c r="W199" s="21" t="s">
        <v>260</v>
      </c>
    </row>
    <row r="207" spans="1:25">
      <c r="A207" t="s">
        <v>84</v>
      </c>
    </row>
    <row r="208" spans="1:25" ht="67" customHeight="1">
      <c r="A208" s="10" t="s">
        <v>85</v>
      </c>
      <c r="B208" s="31" t="s">
        <v>86</v>
      </c>
      <c r="C208" s="31"/>
      <c r="D208" s="31"/>
      <c r="E208" s="31"/>
    </row>
    <row r="209" spans="1:5" ht="50" customHeight="1">
      <c r="A209" s="10" t="s">
        <v>104</v>
      </c>
      <c r="B209" s="31" t="s">
        <v>105</v>
      </c>
      <c r="C209" s="31"/>
      <c r="D209" s="31"/>
      <c r="E209" s="31"/>
    </row>
  </sheetData>
  <mergeCells count="2">
    <mergeCell ref="B208:E208"/>
    <mergeCell ref="B209:E20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workbookViewId="0">
      <pane xSplit="7460" ySplit="2620" topLeftCell="X4" activePane="bottomRight"/>
      <selection activeCell="C8" sqref="C8"/>
      <selection pane="topRight" activeCell="S15" sqref="S15"/>
      <selection pane="bottomLeft" activeCell="A26" sqref="A26:XFD26"/>
      <selection pane="bottomRight" activeCell="Z24" sqref="Z24:AC25"/>
    </sheetView>
  </sheetViews>
  <sheetFormatPr baseColWidth="10" defaultRowHeight="15" x14ac:dyDescent="0"/>
  <cols>
    <col min="1" max="1" width="4.83203125" customWidth="1"/>
    <col min="2" max="2" width="21.1640625" customWidth="1"/>
    <col min="4" max="4" width="20.5" bestFit="1" customWidth="1"/>
    <col min="5" max="30" width="16.83203125" customWidth="1"/>
  </cols>
  <sheetData>
    <row r="1" spans="1:30" ht="18">
      <c r="A1" s="13" t="s">
        <v>0</v>
      </c>
      <c r="D1" t="s">
        <v>167</v>
      </c>
      <c r="E1" s="16">
        <v>2</v>
      </c>
      <c r="F1" s="16" t="s">
        <v>174</v>
      </c>
      <c r="G1" s="16" t="s">
        <v>176</v>
      </c>
      <c r="H1" s="16">
        <v>4</v>
      </c>
      <c r="I1" s="16" t="s">
        <v>179</v>
      </c>
      <c r="J1" s="16" t="s">
        <v>181</v>
      </c>
      <c r="K1" s="16" t="s">
        <v>183</v>
      </c>
      <c r="L1" s="16" t="s">
        <v>185</v>
      </c>
      <c r="M1" s="16" t="s">
        <v>187</v>
      </c>
      <c r="N1" s="16" t="s">
        <v>189</v>
      </c>
      <c r="O1" s="16" t="s">
        <v>191</v>
      </c>
      <c r="P1" s="16" t="s">
        <v>192</v>
      </c>
      <c r="Q1" s="16" t="s">
        <v>194</v>
      </c>
      <c r="R1" s="16" t="s">
        <v>196</v>
      </c>
      <c r="S1" s="16" t="s">
        <v>198</v>
      </c>
      <c r="T1" s="16" t="s">
        <v>199</v>
      </c>
      <c r="U1" s="16" t="s">
        <v>201</v>
      </c>
      <c r="V1" s="16" t="s">
        <v>203</v>
      </c>
      <c r="W1" s="16" t="s">
        <v>205</v>
      </c>
      <c r="X1" s="16" t="s">
        <v>207</v>
      </c>
      <c r="Y1" s="16" t="s">
        <v>209</v>
      </c>
      <c r="Z1" s="16" t="s">
        <v>211</v>
      </c>
      <c r="AA1" s="16" t="s">
        <v>212</v>
      </c>
      <c r="AB1" s="16" t="s">
        <v>215</v>
      </c>
      <c r="AC1" s="16" t="s">
        <v>217</v>
      </c>
      <c r="AD1" s="16" t="s">
        <v>279</v>
      </c>
    </row>
    <row r="2" spans="1:30" ht="100" customHeight="1">
      <c r="E2" s="22" t="s">
        <v>173</v>
      </c>
      <c r="F2" s="22" t="s">
        <v>175</v>
      </c>
      <c r="G2" s="22" t="s">
        <v>177</v>
      </c>
      <c r="H2" s="22" t="s">
        <v>178</v>
      </c>
      <c r="I2" s="22" t="s">
        <v>180</v>
      </c>
      <c r="J2" s="22" t="s">
        <v>182</v>
      </c>
      <c r="K2" s="22" t="s">
        <v>184</v>
      </c>
      <c r="L2" s="22" t="s">
        <v>186</v>
      </c>
      <c r="M2" s="22" t="s">
        <v>188</v>
      </c>
      <c r="N2" s="22" t="s">
        <v>190</v>
      </c>
      <c r="O2" s="22" t="s">
        <v>269</v>
      </c>
      <c r="P2" s="22" t="s">
        <v>193</v>
      </c>
      <c r="Q2" s="22" t="s">
        <v>195</v>
      </c>
      <c r="R2" s="22" t="s">
        <v>197</v>
      </c>
      <c r="S2" s="22" t="s">
        <v>263</v>
      </c>
      <c r="T2" s="22" t="s">
        <v>200</v>
      </c>
      <c r="U2" s="22" t="s">
        <v>202</v>
      </c>
      <c r="V2" s="17" t="s">
        <v>204</v>
      </c>
      <c r="W2" s="22" t="s">
        <v>206</v>
      </c>
      <c r="X2" s="17" t="s">
        <v>208</v>
      </c>
      <c r="Y2" s="22" t="s">
        <v>210</v>
      </c>
      <c r="Z2" s="17" t="s">
        <v>213</v>
      </c>
      <c r="AA2" s="17" t="s">
        <v>214</v>
      </c>
      <c r="AB2" s="17" t="s">
        <v>216</v>
      </c>
      <c r="AC2" s="17" t="s">
        <v>218</v>
      </c>
      <c r="AD2" s="17" t="s">
        <v>219</v>
      </c>
    </row>
    <row r="4" spans="1:30">
      <c r="A4" t="s">
        <v>222</v>
      </c>
      <c r="E4" t="s">
        <v>223</v>
      </c>
      <c r="F4" t="s">
        <v>223</v>
      </c>
      <c r="G4" t="s">
        <v>223</v>
      </c>
      <c r="H4" t="s">
        <v>223</v>
      </c>
      <c r="I4" t="s">
        <v>244</v>
      </c>
      <c r="J4" t="s">
        <v>244</v>
      </c>
      <c r="K4" t="s">
        <v>244</v>
      </c>
      <c r="L4" t="s">
        <v>244</v>
      </c>
      <c r="M4" t="s">
        <v>244</v>
      </c>
      <c r="N4" t="s">
        <v>223</v>
      </c>
      <c r="O4" t="s">
        <v>223</v>
      </c>
      <c r="P4" t="s">
        <v>224</v>
      </c>
      <c r="Q4" t="s">
        <v>244</v>
      </c>
      <c r="R4" t="s">
        <v>244</v>
      </c>
      <c r="S4" t="s">
        <v>244</v>
      </c>
      <c r="T4" t="s">
        <v>223</v>
      </c>
      <c r="U4" t="s">
        <v>223</v>
      </c>
      <c r="V4" t="s">
        <v>223</v>
      </c>
      <c r="W4" t="s">
        <v>223</v>
      </c>
      <c r="X4" t="s">
        <v>223</v>
      </c>
      <c r="Y4" t="s">
        <v>223</v>
      </c>
      <c r="Z4" t="s">
        <v>223</v>
      </c>
      <c r="AA4" t="s">
        <v>223</v>
      </c>
      <c r="AB4" t="s">
        <v>244</v>
      </c>
      <c r="AC4" t="s">
        <v>244</v>
      </c>
      <c r="AD4" t="s">
        <v>244</v>
      </c>
    </row>
    <row r="6" spans="1:30">
      <c r="A6" t="s">
        <v>170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>
      <c r="B7" t="s">
        <v>225</v>
      </c>
      <c r="C7" t="s">
        <v>168</v>
      </c>
      <c r="E7" s="20" t="s">
        <v>169</v>
      </c>
      <c r="F7" s="20" t="s">
        <v>169</v>
      </c>
      <c r="G7" s="20" t="s">
        <v>169</v>
      </c>
      <c r="H7" s="20" t="s">
        <v>169</v>
      </c>
      <c r="I7" s="20" t="s">
        <v>169</v>
      </c>
      <c r="J7" s="20" t="s">
        <v>169</v>
      </c>
      <c r="K7" s="20" t="s">
        <v>169</v>
      </c>
      <c r="L7" s="20" t="s">
        <v>169</v>
      </c>
      <c r="M7" s="20" t="s">
        <v>169</v>
      </c>
      <c r="N7" s="20" t="s">
        <v>169</v>
      </c>
      <c r="O7" s="20" t="s">
        <v>169</v>
      </c>
      <c r="P7" s="20" t="s">
        <v>169</v>
      </c>
      <c r="Q7" s="20" t="s">
        <v>169</v>
      </c>
      <c r="R7" s="20" t="s">
        <v>169</v>
      </c>
      <c r="S7" s="20" t="s">
        <v>169</v>
      </c>
      <c r="T7" s="20" t="s">
        <v>169</v>
      </c>
      <c r="U7" s="20" t="s">
        <v>169</v>
      </c>
      <c r="V7" s="20" t="s">
        <v>169</v>
      </c>
      <c r="W7" s="20" t="s">
        <v>169</v>
      </c>
      <c r="X7" s="20" t="s">
        <v>169</v>
      </c>
      <c r="Y7" s="20" t="s">
        <v>169</v>
      </c>
      <c r="Z7" s="20" t="s">
        <v>169</v>
      </c>
      <c r="AA7" s="20" t="s">
        <v>169</v>
      </c>
      <c r="AB7" s="20" t="s">
        <v>169</v>
      </c>
      <c r="AC7" s="20" t="s">
        <v>169</v>
      </c>
      <c r="AD7" s="20" t="s">
        <v>169</v>
      </c>
    </row>
    <row r="8" spans="1:30">
      <c r="B8" t="s">
        <v>5</v>
      </c>
      <c r="C8" t="s">
        <v>29</v>
      </c>
      <c r="E8" s="23">
        <v>-4292653.41</v>
      </c>
      <c r="F8" s="23">
        <v>-4292653.41</v>
      </c>
      <c r="G8" s="23">
        <v>-4292653.41</v>
      </c>
      <c r="H8" s="23">
        <v>-4292653.41</v>
      </c>
      <c r="I8" s="23">
        <v>-4315967.74</v>
      </c>
      <c r="J8" s="23">
        <v>-4292653.41</v>
      </c>
      <c r="K8" s="23">
        <v>-4315967.74</v>
      </c>
      <c r="L8" s="23">
        <v>-4315967.74</v>
      </c>
      <c r="M8" s="23">
        <v>-4315967.74</v>
      </c>
      <c r="N8" s="23">
        <v>-4292653.41</v>
      </c>
      <c r="O8" s="23">
        <v>-4292653.41</v>
      </c>
      <c r="P8" s="23">
        <v>-4315967.74</v>
      </c>
      <c r="Q8" s="23">
        <v>-4315967.74</v>
      </c>
      <c r="R8" s="23">
        <v>-4315967.74</v>
      </c>
      <c r="S8" s="23">
        <v>-4315967.74</v>
      </c>
      <c r="T8" s="23">
        <v>-4292653.41</v>
      </c>
      <c r="U8" s="23">
        <v>-4292653.41</v>
      </c>
      <c r="V8" s="23">
        <v>-4292653.41</v>
      </c>
      <c r="W8" s="23">
        <v>-4292653.41</v>
      </c>
      <c r="X8" s="23">
        <v>-4292653.41</v>
      </c>
      <c r="Y8" s="23">
        <v>-4292653.41</v>
      </c>
      <c r="Z8" s="23">
        <v>-4292653.41</v>
      </c>
      <c r="AA8" s="23">
        <v>-4292653.41</v>
      </c>
      <c r="AB8" s="23">
        <v>-4315967.74</v>
      </c>
      <c r="AC8" s="23">
        <v>-4315967.74</v>
      </c>
      <c r="AD8" s="23">
        <v>-4315967.74</v>
      </c>
    </row>
    <row r="9" spans="1:30">
      <c r="B9" t="s">
        <v>6</v>
      </c>
      <c r="C9" t="s">
        <v>29</v>
      </c>
      <c r="E9" s="23">
        <v>955168.47</v>
      </c>
      <c r="F9" s="23">
        <v>955168.47</v>
      </c>
      <c r="G9" s="23">
        <v>955168.47</v>
      </c>
      <c r="H9" s="23">
        <v>955168.47</v>
      </c>
      <c r="I9" s="23">
        <v>960356.2</v>
      </c>
      <c r="J9" s="23">
        <v>955168.47</v>
      </c>
      <c r="K9" s="23">
        <v>960356.2</v>
      </c>
      <c r="L9" s="23">
        <v>960356.2</v>
      </c>
      <c r="M9" s="23">
        <v>960356.2</v>
      </c>
      <c r="N9" s="23">
        <v>955168.47</v>
      </c>
      <c r="O9" s="23">
        <v>955168.47</v>
      </c>
      <c r="P9" s="23">
        <v>960356.2</v>
      </c>
      <c r="Q9" s="23">
        <v>960356.2</v>
      </c>
      <c r="R9" s="23">
        <v>960356.2</v>
      </c>
      <c r="S9" s="23">
        <v>960356.2</v>
      </c>
      <c r="T9" s="23">
        <v>955168.47</v>
      </c>
      <c r="U9" s="23">
        <v>955168.47</v>
      </c>
      <c r="V9" s="23">
        <v>955168.47</v>
      </c>
      <c r="W9" s="23">
        <v>955168.47</v>
      </c>
      <c r="X9" s="23">
        <v>955168.47</v>
      </c>
      <c r="Y9" s="23">
        <v>955168.47</v>
      </c>
      <c r="Z9" s="23">
        <v>955168.47</v>
      </c>
      <c r="AA9" s="23">
        <v>955168.47</v>
      </c>
      <c r="AB9" s="23">
        <v>960356.2</v>
      </c>
      <c r="AC9" s="23">
        <v>960356.2</v>
      </c>
      <c r="AD9" s="23">
        <v>960356.2</v>
      </c>
    </row>
    <row r="10" spans="1:30">
      <c r="B10" t="s">
        <v>14</v>
      </c>
      <c r="C10" t="s">
        <v>29</v>
      </c>
      <c r="E10" s="23">
        <v>5139356.57</v>
      </c>
      <c r="F10" s="23">
        <v>5139356.57</v>
      </c>
      <c r="G10" s="23">
        <v>5139356.57</v>
      </c>
      <c r="H10" s="23">
        <v>5139356.57</v>
      </c>
      <c r="I10" s="23">
        <v>5167269.53</v>
      </c>
      <c r="J10" s="23">
        <v>5139356.57</v>
      </c>
      <c r="K10" s="23">
        <v>5167269.53</v>
      </c>
      <c r="L10" s="23">
        <v>5167269.53</v>
      </c>
      <c r="M10" s="23">
        <v>5167269.53</v>
      </c>
      <c r="N10" s="23">
        <v>5139356.57</v>
      </c>
      <c r="O10" s="23">
        <v>5139356.57</v>
      </c>
      <c r="P10" s="23">
        <v>5167269.53</v>
      </c>
      <c r="Q10" s="23">
        <v>5167269.53</v>
      </c>
      <c r="R10" s="23">
        <v>5167269.53</v>
      </c>
      <c r="S10" s="23">
        <v>5167269.53</v>
      </c>
      <c r="T10" s="23">
        <v>5139356.57</v>
      </c>
      <c r="U10" s="23">
        <v>5139356.57</v>
      </c>
      <c r="V10" s="23">
        <v>5139356.57</v>
      </c>
      <c r="W10" s="23">
        <v>5139356.57</v>
      </c>
      <c r="X10" s="23">
        <v>5139356.57</v>
      </c>
      <c r="Y10" s="23">
        <v>5139356.57</v>
      </c>
      <c r="Z10" s="23">
        <v>5139356.57</v>
      </c>
      <c r="AA10" s="23">
        <v>5139356.57</v>
      </c>
      <c r="AB10" s="23">
        <v>5167269.53</v>
      </c>
      <c r="AC10" s="23">
        <v>5167269.53</v>
      </c>
      <c r="AD10" s="23">
        <v>5167269.53</v>
      </c>
    </row>
    <row r="11" spans="1:30"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0">
      <c r="A12" t="s">
        <v>171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1:30">
      <c r="B13" t="s">
        <v>33</v>
      </c>
      <c r="C13" t="s">
        <v>172</v>
      </c>
      <c r="E13" s="24">
        <v>109.649663</v>
      </c>
      <c r="F13" s="24">
        <v>109.649663</v>
      </c>
      <c r="G13" s="24">
        <v>109.649663</v>
      </c>
      <c r="H13" s="24">
        <v>109.649663</v>
      </c>
      <c r="I13" s="24">
        <v>129.091037</v>
      </c>
      <c r="J13" s="24">
        <v>109.649663</v>
      </c>
      <c r="K13" s="24">
        <v>129.091037</v>
      </c>
      <c r="L13" s="24">
        <v>129.091037</v>
      </c>
      <c r="M13" s="24">
        <v>129.091037</v>
      </c>
      <c r="N13" s="24">
        <v>109.649663</v>
      </c>
      <c r="O13" s="24">
        <v>109.649663</v>
      </c>
      <c r="P13" s="24">
        <v>129.091037</v>
      </c>
      <c r="Q13" s="24">
        <v>129.091037</v>
      </c>
      <c r="R13" s="24">
        <v>129.091037</v>
      </c>
      <c r="S13" s="24">
        <v>129.091037</v>
      </c>
      <c r="T13" s="24">
        <v>109.649663</v>
      </c>
      <c r="U13" s="24">
        <v>109.649663</v>
      </c>
      <c r="V13" s="24">
        <v>109.649663</v>
      </c>
      <c r="W13" s="24">
        <v>109.649663</v>
      </c>
      <c r="X13" s="24">
        <v>109.649663</v>
      </c>
      <c r="Y13" s="24">
        <v>109.649663</v>
      </c>
      <c r="Z13" s="24">
        <v>109.649663</v>
      </c>
      <c r="AA13" s="24">
        <v>109.649663</v>
      </c>
      <c r="AB13" s="24">
        <v>129.091037</v>
      </c>
      <c r="AC13" s="24">
        <v>129.091037</v>
      </c>
      <c r="AD13" s="24">
        <v>129.091037</v>
      </c>
    </row>
    <row r="14" spans="1:30">
      <c r="B14" t="s">
        <v>34</v>
      </c>
      <c r="C14" t="s">
        <v>172</v>
      </c>
      <c r="E14" s="24">
        <v>-7527.72649</v>
      </c>
      <c r="F14" s="24">
        <v>-7527.72649</v>
      </c>
      <c r="G14" s="24">
        <v>-7527.72649</v>
      </c>
      <c r="H14" s="24">
        <v>-7527.72649</v>
      </c>
      <c r="I14" s="24">
        <v>-7491.5138550000001</v>
      </c>
      <c r="J14" s="24">
        <v>-7527.72649</v>
      </c>
      <c r="K14" s="24">
        <v>-7491.5138550000001</v>
      </c>
      <c r="L14" s="24">
        <v>-7491.5138550000001</v>
      </c>
      <c r="M14" s="24">
        <v>-7491.5138550000001</v>
      </c>
      <c r="N14" s="24">
        <v>-7527.72649</v>
      </c>
      <c r="O14" s="24">
        <v>-7527.72649</v>
      </c>
      <c r="P14" s="24">
        <v>-7491.5138550000001</v>
      </c>
      <c r="Q14" s="24">
        <v>-7491.5138550000001</v>
      </c>
      <c r="R14" s="24">
        <v>-7491.5138550000001</v>
      </c>
      <c r="S14" s="24">
        <v>-7491.5138550000001</v>
      </c>
      <c r="T14" s="24">
        <v>-7527.72649</v>
      </c>
      <c r="U14" s="24">
        <v>-7527.72649</v>
      </c>
      <c r="V14" s="24">
        <v>-7527.72649</v>
      </c>
      <c r="W14" s="24">
        <v>-7527.72649</v>
      </c>
      <c r="X14" s="24">
        <v>-7527.72649</v>
      </c>
      <c r="Y14" s="24">
        <v>-7527.72649</v>
      </c>
      <c r="Z14" s="24">
        <v>-7527.72649</v>
      </c>
      <c r="AA14" s="24">
        <v>-7527.72649</v>
      </c>
      <c r="AB14" s="24">
        <v>-7491.5138550000001</v>
      </c>
      <c r="AC14" s="24">
        <v>-7491.5138550000001</v>
      </c>
      <c r="AD14" s="24">
        <v>-7491.5138550000001</v>
      </c>
    </row>
    <row r="15" spans="1:30">
      <c r="B15" t="s">
        <v>35</v>
      </c>
      <c r="C15" t="s">
        <v>172</v>
      </c>
      <c r="E15" s="24">
        <v>1484.521489</v>
      </c>
      <c r="F15" s="24">
        <v>1484.521489</v>
      </c>
      <c r="G15" s="24">
        <v>1484.521489</v>
      </c>
      <c r="H15" s="24">
        <v>1484.521489</v>
      </c>
      <c r="I15" s="24">
        <v>1452.515654</v>
      </c>
      <c r="J15" s="24">
        <v>1484.521489</v>
      </c>
      <c r="K15" s="24">
        <v>1452.515654</v>
      </c>
      <c r="L15" s="24">
        <v>1452.515654</v>
      </c>
      <c r="M15" s="24">
        <v>1452.515654</v>
      </c>
      <c r="N15" s="24">
        <v>1484.521489</v>
      </c>
      <c r="O15" s="24">
        <v>1484.521489</v>
      </c>
      <c r="P15" s="24">
        <v>1452.515654</v>
      </c>
      <c r="Q15" s="24">
        <v>1452.515654</v>
      </c>
      <c r="R15" s="24">
        <v>1452.515654</v>
      </c>
      <c r="S15" s="24">
        <v>1452.515654</v>
      </c>
      <c r="T15" s="24">
        <v>1484.521489</v>
      </c>
      <c r="U15" s="24">
        <v>1484.521489</v>
      </c>
      <c r="V15" s="24">
        <v>1484.521489</v>
      </c>
      <c r="W15" s="24">
        <v>1484.521489</v>
      </c>
      <c r="X15" s="24">
        <v>1484.521489</v>
      </c>
      <c r="Y15" s="24">
        <v>1484.521489</v>
      </c>
      <c r="Z15" s="24">
        <v>1484.521489</v>
      </c>
      <c r="AA15" s="24">
        <v>1484.521489</v>
      </c>
      <c r="AB15" s="24">
        <v>1452.515654</v>
      </c>
      <c r="AC15" s="24">
        <v>1452.515654</v>
      </c>
      <c r="AD15" s="24">
        <v>1452.515654</v>
      </c>
    </row>
    <row r="16" spans="1:30"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0">
      <c r="A17" t="s">
        <v>221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1:30">
      <c r="B18" t="s">
        <v>21</v>
      </c>
      <c r="C18" t="s">
        <v>8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</row>
    <row r="19" spans="1:30">
      <c r="B19" t="s">
        <v>20</v>
      </c>
      <c r="C19" t="s">
        <v>8</v>
      </c>
      <c r="E19" s="24">
        <v>-6.5000000000000002E-2</v>
      </c>
      <c r="F19" s="24">
        <v>-6.5000000000000002E-2</v>
      </c>
      <c r="G19" s="24">
        <v>-6.5000000000000002E-2</v>
      </c>
      <c r="H19" s="24">
        <v>-6.5000000000000002E-2</v>
      </c>
      <c r="I19" s="24">
        <v>-6.5000000000000002E-2</v>
      </c>
      <c r="J19" s="24">
        <v>-6.5000000000000002E-2</v>
      </c>
      <c r="K19" s="24">
        <v>-6.5000000000000002E-2</v>
      </c>
      <c r="L19" s="24">
        <v>-6.5000000000000002E-2</v>
      </c>
      <c r="M19" s="24">
        <v>-6.5000000000000002E-2</v>
      </c>
      <c r="N19" s="24">
        <v>-6.5000000000000002E-2</v>
      </c>
      <c r="O19" s="24">
        <v>-6.5000000000000002E-2</v>
      </c>
      <c r="P19" s="24">
        <v>-6.5000000000000002E-2</v>
      </c>
      <c r="Q19" s="24">
        <v>-6.5000000000000002E-2</v>
      </c>
      <c r="R19" s="24">
        <v>-6.5000000000000002E-2</v>
      </c>
      <c r="S19" s="24">
        <v>-6.5000000000000002E-2</v>
      </c>
      <c r="T19" s="24">
        <v>0</v>
      </c>
      <c r="U19" s="24">
        <v>-6.5000000000000002E-2</v>
      </c>
      <c r="V19" s="24">
        <v>0</v>
      </c>
      <c r="W19" s="24">
        <v>-6.5000000000000002E-2</v>
      </c>
      <c r="X19" s="24">
        <v>0</v>
      </c>
      <c r="Y19" s="24">
        <v>-6.5000000000000002E-2</v>
      </c>
      <c r="Z19" s="24">
        <v>0</v>
      </c>
      <c r="AA19" s="24">
        <v>-6.5000000000000002E-2</v>
      </c>
      <c r="AB19" s="24">
        <v>0</v>
      </c>
      <c r="AC19" s="24">
        <v>-6.5000000000000002E-2</v>
      </c>
      <c r="AD19" s="24">
        <v>-6.5000000000000002E-2</v>
      </c>
    </row>
    <row r="20" spans="1:30">
      <c r="B20" t="s">
        <v>22</v>
      </c>
      <c r="C20" t="s">
        <v>8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</row>
    <row r="22" spans="1:30">
      <c r="A22" t="s">
        <v>280</v>
      </c>
    </row>
    <row r="23" spans="1:30">
      <c r="B23" t="s">
        <v>281</v>
      </c>
      <c r="C23" t="s">
        <v>7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</row>
    <row r="24" spans="1:30">
      <c r="B24" t="s">
        <v>282</v>
      </c>
      <c r="C24" t="s">
        <v>7</v>
      </c>
      <c r="E24" s="24">
        <v>-11.6</v>
      </c>
      <c r="F24" s="24">
        <v>-11.6</v>
      </c>
      <c r="G24" s="24">
        <v>-11.6</v>
      </c>
      <c r="H24" s="24">
        <v>-11.6</v>
      </c>
      <c r="I24" s="24">
        <v>-11.6</v>
      </c>
      <c r="J24" s="24">
        <v>-11.6</v>
      </c>
      <c r="K24" s="24">
        <v>-11.6</v>
      </c>
      <c r="L24" s="24">
        <v>-11.6</v>
      </c>
      <c r="M24" s="24">
        <v>-11.6</v>
      </c>
      <c r="N24" s="24">
        <v>0</v>
      </c>
      <c r="O24" s="24">
        <v>0</v>
      </c>
      <c r="P24" s="24">
        <v>-11.6</v>
      </c>
      <c r="Q24" s="24">
        <v>-11.6</v>
      </c>
      <c r="R24" s="24">
        <v>-11.6</v>
      </c>
      <c r="S24" s="24">
        <v>-11.6</v>
      </c>
      <c r="T24" s="24">
        <v>-11.6</v>
      </c>
      <c r="U24" s="24">
        <v>-11.6</v>
      </c>
      <c r="V24" s="24">
        <v>-11.6</v>
      </c>
      <c r="W24" s="24">
        <v>-11.6</v>
      </c>
      <c r="X24" s="24">
        <v>-11.6</v>
      </c>
      <c r="Y24" s="24">
        <v>-11.6</v>
      </c>
      <c r="Z24" s="24">
        <v>85</v>
      </c>
      <c r="AA24" s="24">
        <v>85</v>
      </c>
      <c r="AB24" s="24">
        <v>85</v>
      </c>
      <c r="AC24" s="24">
        <v>85</v>
      </c>
      <c r="AD24" s="24">
        <v>-11.6</v>
      </c>
    </row>
    <row r="25" spans="1:30">
      <c r="B25" t="s">
        <v>283</v>
      </c>
      <c r="C25" t="s">
        <v>7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1</v>
      </c>
      <c r="AA25" s="24">
        <v>1</v>
      </c>
      <c r="AB25" s="24">
        <v>1</v>
      </c>
      <c r="AC25" s="24">
        <v>1</v>
      </c>
      <c r="AD25" s="24">
        <v>0</v>
      </c>
    </row>
    <row r="27" spans="1:30">
      <c r="A27" t="s">
        <v>148</v>
      </c>
    </row>
    <row r="28" spans="1:30">
      <c r="B28" t="s">
        <v>150</v>
      </c>
      <c r="E28" s="25" t="s">
        <v>243</v>
      </c>
      <c r="F28" s="25" t="s">
        <v>237</v>
      </c>
      <c r="G28" s="25" t="s">
        <v>238</v>
      </c>
      <c r="H28" s="25" t="s">
        <v>243</v>
      </c>
      <c r="I28" s="25" t="s">
        <v>243</v>
      </c>
      <c r="J28" s="25" t="s">
        <v>243</v>
      </c>
      <c r="K28" s="25" t="s">
        <v>243</v>
      </c>
      <c r="L28" s="25" t="s">
        <v>243</v>
      </c>
      <c r="M28" s="25" t="s">
        <v>243</v>
      </c>
      <c r="N28" s="25" t="s">
        <v>243</v>
      </c>
      <c r="O28" s="25" t="s">
        <v>243</v>
      </c>
      <c r="P28" s="25" t="s">
        <v>237</v>
      </c>
      <c r="Q28" s="25" t="s">
        <v>238</v>
      </c>
      <c r="R28" s="25" t="s">
        <v>237</v>
      </c>
      <c r="S28" s="25" t="s">
        <v>238</v>
      </c>
      <c r="T28" s="25" t="s">
        <v>243</v>
      </c>
      <c r="U28" s="25" t="s">
        <v>243</v>
      </c>
      <c r="V28" s="25" t="s">
        <v>243</v>
      </c>
      <c r="W28" s="25" t="s">
        <v>243</v>
      </c>
      <c r="X28" s="25" t="s">
        <v>243</v>
      </c>
      <c r="Y28" s="25" t="s">
        <v>243</v>
      </c>
      <c r="Z28" s="25" t="s">
        <v>243</v>
      </c>
      <c r="AA28" s="25" t="s">
        <v>243</v>
      </c>
      <c r="AB28" s="25" t="s">
        <v>243</v>
      </c>
      <c r="AC28" s="25" t="s">
        <v>243</v>
      </c>
      <c r="AD28" s="25" t="s">
        <v>238</v>
      </c>
    </row>
    <row r="29" spans="1:30">
      <c r="B29" t="s">
        <v>239</v>
      </c>
      <c r="E29" s="25" t="s">
        <v>241</v>
      </c>
      <c r="F29" s="25" t="s">
        <v>241</v>
      </c>
      <c r="G29" s="25" t="s">
        <v>241</v>
      </c>
      <c r="H29" s="25" t="s">
        <v>241</v>
      </c>
      <c r="I29" s="25" t="s">
        <v>241</v>
      </c>
      <c r="J29" s="25" t="s">
        <v>241</v>
      </c>
      <c r="K29" s="25" t="s">
        <v>241</v>
      </c>
      <c r="L29" s="25" t="s">
        <v>241</v>
      </c>
      <c r="M29" s="25" t="s">
        <v>241</v>
      </c>
      <c r="N29" s="25" t="s">
        <v>241</v>
      </c>
      <c r="O29" s="25" t="s">
        <v>241</v>
      </c>
      <c r="P29" s="25" t="s">
        <v>241</v>
      </c>
      <c r="Q29" s="25" t="s">
        <v>241</v>
      </c>
      <c r="R29" s="25" t="s">
        <v>241</v>
      </c>
      <c r="S29" s="25" t="s">
        <v>241</v>
      </c>
      <c r="T29" s="25" t="s">
        <v>242</v>
      </c>
      <c r="U29" s="25" t="s">
        <v>242</v>
      </c>
      <c r="V29" s="25" t="s">
        <v>242</v>
      </c>
      <c r="W29" s="25" t="s">
        <v>242</v>
      </c>
      <c r="X29" s="25" t="s">
        <v>242</v>
      </c>
      <c r="Y29" s="25" t="s">
        <v>242</v>
      </c>
      <c r="Z29" s="25" t="s">
        <v>241</v>
      </c>
      <c r="AA29" s="25" t="s">
        <v>241</v>
      </c>
      <c r="AB29" s="25" t="s">
        <v>241</v>
      </c>
      <c r="AC29" s="25" t="s">
        <v>241</v>
      </c>
      <c r="AD29" s="25" t="s">
        <v>241</v>
      </c>
    </row>
    <row r="30" spans="1:30">
      <c r="B30" t="s">
        <v>240</v>
      </c>
      <c r="E30" s="25">
        <v>128.80000000000001</v>
      </c>
      <c r="F30" s="25">
        <v>128.80000000000001</v>
      </c>
      <c r="G30" s="25">
        <v>128.80000000000001</v>
      </c>
      <c r="H30" s="25">
        <v>128.80000000000001</v>
      </c>
      <c r="I30" s="25">
        <v>70</v>
      </c>
      <c r="J30" s="25">
        <v>128.80000000000001</v>
      </c>
      <c r="K30" s="25">
        <v>250</v>
      </c>
      <c r="L30" s="25">
        <v>128.80000000000001</v>
      </c>
      <c r="M30" s="25">
        <v>128.80000000000001</v>
      </c>
      <c r="N30" s="25">
        <v>128.80000000000001</v>
      </c>
      <c r="O30" s="25">
        <v>128.80000000000001</v>
      </c>
      <c r="P30" s="25">
        <v>128.80000000000001</v>
      </c>
      <c r="Q30" s="25">
        <v>128.80000000000001</v>
      </c>
      <c r="R30" s="25">
        <v>128.80000000000001</v>
      </c>
      <c r="S30" s="25">
        <v>128.80000000000001</v>
      </c>
      <c r="T30" s="25">
        <v>128.80000000000001</v>
      </c>
      <c r="U30" s="25">
        <v>128.80000000000001</v>
      </c>
      <c r="V30" s="25">
        <v>128.80000000000001</v>
      </c>
      <c r="W30" s="25">
        <v>128.80000000000001</v>
      </c>
      <c r="X30" s="25">
        <v>128.80000000000001</v>
      </c>
      <c r="Y30" s="25">
        <v>128.80000000000001</v>
      </c>
      <c r="Z30" s="25">
        <v>128.80000000000001</v>
      </c>
      <c r="AA30" s="25">
        <v>128.80000000000001</v>
      </c>
      <c r="AB30" s="25">
        <v>128.80000000000001</v>
      </c>
      <c r="AC30" s="25">
        <v>128.80000000000001</v>
      </c>
      <c r="AD30" s="25">
        <v>128.80000000000001</v>
      </c>
    </row>
    <row r="31" spans="1:30">
      <c r="B31" t="s">
        <v>220</v>
      </c>
      <c r="E31" s="25">
        <v>15.7</v>
      </c>
      <c r="F31" s="25">
        <v>15.7</v>
      </c>
      <c r="G31" s="25">
        <v>15.7</v>
      </c>
      <c r="H31" s="25">
        <v>15.7</v>
      </c>
      <c r="I31" s="25">
        <v>0</v>
      </c>
      <c r="J31" s="25">
        <v>15.7</v>
      </c>
      <c r="K31" s="25">
        <v>25</v>
      </c>
      <c r="L31" s="25">
        <v>15.7</v>
      </c>
      <c r="M31" s="25">
        <v>15.7</v>
      </c>
      <c r="N31" s="25">
        <v>15.7</v>
      </c>
      <c r="O31" s="25">
        <v>15.7</v>
      </c>
      <c r="P31" s="25">
        <v>15.7</v>
      </c>
      <c r="Q31" s="25">
        <v>15.7</v>
      </c>
      <c r="R31" s="25">
        <v>15.7</v>
      </c>
      <c r="S31" s="25">
        <v>15.7</v>
      </c>
      <c r="T31" s="25">
        <v>15.7</v>
      </c>
      <c r="U31" s="25">
        <v>16.7</v>
      </c>
      <c r="V31" s="25">
        <v>15.7</v>
      </c>
      <c r="W31" s="25">
        <v>15.7</v>
      </c>
      <c r="X31" s="25">
        <v>15.7</v>
      </c>
      <c r="Y31" s="25">
        <v>15.7</v>
      </c>
      <c r="Z31" s="25">
        <v>15.7</v>
      </c>
      <c r="AA31" s="25">
        <v>15.7</v>
      </c>
      <c r="AB31" s="25">
        <v>15.7</v>
      </c>
      <c r="AC31" s="25">
        <v>15.7</v>
      </c>
      <c r="AD31" s="25">
        <v>15.7</v>
      </c>
    </row>
    <row r="32" spans="1:30">
      <c r="B32" t="s">
        <v>232</v>
      </c>
      <c r="E32" s="25" t="s">
        <v>242</v>
      </c>
      <c r="F32" s="25" t="s">
        <v>242</v>
      </c>
      <c r="G32" s="25" t="s">
        <v>242</v>
      </c>
      <c r="H32" s="25" t="s">
        <v>242</v>
      </c>
      <c r="I32" s="25" t="s">
        <v>242</v>
      </c>
      <c r="J32" s="25" t="s">
        <v>242</v>
      </c>
      <c r="K32" s="25" t="s">
        <v>242</v>
      </c>
      <c r="L32" s="25" t="s">
        <v>241</v>
      </c>
      <c r="M32" s="25" t="s">
        <v>241</v>
      </c>
      <c r="N32" s="25" t="s">
        <v>242</v>
      </c>
      <c r="O32" s="25" t="s">
        <v>242</v>
      </c>
      <c r="P32" s="25" t="s">
        <v>242</v>
      </c>
      <c r="Q32" s="25" t="s">
        <v>242</v>
      </c>
      <c r="R32" s="25" t="s">
        <v>241</v>
      </c>
      <c r="S32" s="25" t="s">
        <v>241</v>
      </c>
      <c r="T32" s="25" t="s">
        <v>242</v>
      </c>
      <c r="U32" s="25" t="s">
        <v>242</v>
      </c>
      <c r="V32" s="25" t="s">
        <v>242</v>
      </c>
      <c r="W32" s="25" t="s">
        <v>242</v>
      </c>
      <c r="X32" s="25" t="s">
        <v>242</v>
      </c>
      <c r="Y32" s="25" t="s">
        <v>242</v>
      </c>
      <c r="Z32" s="25" t="s">
        <v>242</v>
      </c>
      <c r="AA32" s="25" t="s">
        <v>242</v>
      </c>
      <c r="AB32" s="25" t="s">
        <v>242</v>
      </c>
      <c r="AC32" s="25" t="s">
        <v>242</v>
      </c>
      <c r="AD32" s="25" t="s">
        <v>241</v>
      </c>
    </row>
    <row r="33" spans="2:30">
      <c r="B33" t="s">
        <v>233</v>
      </c>
      <c r="E33" s="25" t="s">
        <v>236</v>
      </c>
      <c r="F33" s="25" t="s">
        <v>236</v>
      </c>
      <c r="G33" s="25" t="s">
        <v>236</v>
      </c>
      <c r="H33" s="25" t="s">
        <v>236</v>
      </c>
      <c r="I33" s="25" t="s">
        <v>236</v>
      </c>
      <c r="J33" s="25" t="s">
        <v>236</v>
      </c>
      <c r="K33" s="25" t="s">
        <v>236</v>
      </c>
      <c r="L33" s="25">
        <v>0.02</v>
      </c>
      <c r="M33" s="25">
        <v>0.02</v>
      </c>
      <c r="N33" s="25" t="s">
        <v>236</v>
      </c>
      <c r="O33" s="25" t="s">
        <v>236</v>
      </c>
      <c r="P33" s="25" t="s">
        <v>236</v>
      </c>
      <c r="Q33" s="25" t="s">
        <v>236</v>
      </c>
      <c r="R33" s="25">
        <v>0.02</v>
      </c>
      <c r="S33" s="25">
        <v>0.02</v>
      </c>
      <c r="T33" s="25" t="s">
        <v>236</v>
      </c>
      <c r="U33" s="25" t="s">
        <v>236</v>
      </c>
      <c r="V33" s="25" t="s">
        <v>236</v>
      </c>
      <c r="W33" s="25" t="s">
        <v>236</v>
      </c>
      <c r="X33" s="25" t="s">
        <v>236</v>
      </c>
      <c r="Y33" s="25" t="s">
        <v>236</v>
      </c>
      <c r="Z33" s="25" t="s">
        <v>236</v>
      </c>
      <c r="AA33" s="25" t="s">
        <v>236</v>
      </c>
      <c r="AB33" s="25" t="s">
        <v>236</v>
      </c>
      <c r="AC33" s="25" t="s">
        <v>236</v>
      </c>
      <c r="AD33" s="25">
        <v>2</v>
      </c>
    </row>
    <row r="34" spans="2:30">
      <c r="B34" t="s">
        <v>234</v>
      </c>
      <c r="C34" t="s">
        <v>235</v>
      </c>
      <c r="E34" s="25" t="s">
        <v>236</v>
      </c>
      <c r="F34" s="25" t="s">
        <v>236</v>
      </c>
      <c r="G34" s="25" t="s">
        <v>236</v>
      </c>
      <c r="H34" s="25" t="s">
        <v>236</v>
      </c>
      <c r="I34" s="25" t="s">
        <v>236</v>
      </c>
      <c r="J34" s="25" t="s">
        <v>236</v>
      </c>
      <c r="K34" s="25" t="s">
        <v>236</v>
      </c>
      <c r="L34" s="25">
        <v>1</v>
      </c>
      <c r="M34" s="25">
        <v>1</v>
      </c>
      <c r="N34" s="25" t="s">
        <v>236</v>
      </c>
      <c r="O34" s="25" t="s">
        <v>236</v>
      </c>
      <c r="P34" s="25" t="s">
        <v>236</v>
      </c>
      <c r="Q34" s="25" t="s">
        <v>236</v>
      </c>
      <c r="R34" s="25">
        <v>1</v>
      </c>
      <c r="S34" s="25">
        <v>1</v>
      </c>
      <c r="T34" s="25" t="s">
        <v>236</v>
      </c>
      <c r="U34" s="25" t="s">
        <v>236</v>
      </c>
      <c r="V34" s="25" t="s">
        <v>236</v>
      </c>
      <c r="W34" s="25" t="s">
        <v>236</v>
      </c>
      <c r="X34" s="25" t="s">
        <v>236</v>
      </c>
      <c r="Y34" s="25" t="s">
        <v>236</v>
      </c>
      <c r="Z34" s="25" t="s">
        <v>236</v>
      </c>
      <c r="AA34" s="25" t="s">
        <v>236</v>
      </c>
      <c r="AB34" s="25" t="s">
        <v>236</v>
      </c>
      <c r="AC34" s="25" t="s">
        <v>236</v>
      </c>
      <c r="AD34" s="27">
        <v>1400</v>
      </c>
    </row>
    <row r="35" spans="2:30">
      <c r="B35" t="s">
        <v>178</v>
      </c>
      <c r="E35" s="25" t="s">
        <v>242</v>
      </c>
      <c r="F35" s="25" t="s">
        <v>242</v>
      </c>
      <c r="G35" s="25" t="s">
        <v>242</v>
      </c>
      <c r="H35" s="25" t="s">
        <v>241</v>
      </c>
      <c r="I35" s="25" t="s">
        <v>229</v>
      </c>
      <c r="J35" s="25" t="s">
        <v>229</v>
      </c>
      <c r="K35" s="25" t="s">
        <v>229</v>
      </c>
      <c r="L35" s="25" t="s">
        <v>229</v>
      </c>
      <c r="M35" s="25" t="s">
        <v>229</v>
      </c>
      <c r="N35" s="25" t="s">
        <v>229</v>
      </c>
      <c r="O35" s="25" t="s">
        <v>229</v>
      </c>
      <c r="P35" s="25" t="s">
        <v>241</v>
      </c>
      <c r="Q35" s="25" t="s">
        <v>241</v>
      </c>
      <c r="R35" s="25" t="s">
        <v>241</v>
      </c>
      <c r="S35" s="25" t="s">
        <v>241</v>
      </c>
      <c r="T35" s="25" t="s">
        <v>242</v>
      </c>
      <c r="U35" s="25" t="s">
        <v>242</v>
      </c>
      <c r="V35" s="25" t="s">
        <v>242</v>
      </c>
      <c r="W35" s="25" t="s">
        <v>242</v>
      </c>
      <c r="X35" s="25" t="s">
        <v>242</v>
      </c>
      <c r="Y35" s="25" t="s">
        <v>242</v>
      </c>
      <c r="Z35" s="25" t="s">
        <v>242</v>
      </c>
      <c r="AA35" s="25" t="s">
        <v>242</v>
      </c>
      <c r="AB35" s="25" t="s">
        <v>242</v>
      </c>
      <c r="AC35" s="25" t="s">
        <v>242</v>
      </c>
      <c r="AD35" s="25" t="s">
        <v>241</v>
      </c>
    </row>
    <row r="36" spans="2:30">
      <c r="B36" t="s">
        <v>227</v>
      </c>
      <c r="E36" s="25" t="s">
        <v>242</v>
      </c>
      <c r="F36" s="25" t="s">
        <v>242</v>
      </c>
      <c r="G36" s="25" t="s">
        <v>242</v>
      </c>
      <c r="H36" s="25" t="s">
        <v>241</v>
      </c>
      <c r="I36" s="25" t="s">
        <v>242</v>
      </c>
      <c r="J36" s="25" t="s">
        <v>242</v>
      </c>
      <c r="K36" s="25" t="s">
        <v>242</v>
      </c>
      <c r="L36" s="25" t="s">
        <v>242</v>
      </c>
      <c r="M36" s="25" t="s">
        <v>242</v>
      </c>
      <c r="N36" s="25" t="s">
        <v>242</v>
      </c>
      <c r="O36" s="25" t="s">
        <v>242</v>
      </c>
      <c r="P36" s="25" t="s">
        <v>241</v>
      </c>
      <c r="Q36" s="25" t="s">
        <v>241</v>
      </c>
      <c r="R36" s="25" t="s">
        <v>241</v>
      </c>
      <c r="S36" s="25" t="s">
        <v>241</v>
      </c>
      <c r="T36" s="25" t="s">
        <v>242</v>
      </c>
      <c r="U36" s="25" t="s">
        <v>242</v>
      </c>
      <c r="V36" s="25" t="s">
        <v>242</v>
      </c>
      <c r="W36" s="25" t="s">
        <v>242</v>
      </c>
      <c r="X36" s="25" t="s">
        <v>242</v>
      </c>
      <c r="Y36" s="25" t="s">
        <v>242</v>
      </c>
      <c r="Z36" s="25" t="s">
        <v>242</v>
      </c>
      <c r="AA36" s="25" t="s">
        <v>242</v>
      </c>
      <c r="AB36" s="25" t="s">
        <v>242</v>
      </c>
      <c r="AC36" s="25" t="s">
        <v>242</v>
      </c>
      <c r="AD36" s="25" t="s">
        <v>241</v>
      </c>
    </row>
    <row r="37" spans="2:30">
      <c r="B37" t="s">
        <v>228</v>
      </c>
      <c r="E37" s="25" t="s">
        <v>242</v>
      </c>
      <c r="F37" s="25" t="s">
        <v>242</v>
      </c>
      <c r="G37" s="25" t="s">
        <v>242</v>
      </c>
      <c r="H37" s="25" t="s">
        <v>242</v>
      </c>
      <c r="I37" s="25" t="s">
        <v>242</v>
      </c>
      <c r="J37" s="25" t="s">
        <v>242</v>
      </c>
      <c r="K37" s="25" t="s">
        <v>242</v>
      </c>
      <c r="L37" s="25" t="s">
        <v>242</v>
      </c>
      <c r="M37" s="25" t="s">
        <v>242</v>
      </c>
      <c r="N37" s="25" t="s">
        <v>242</v>
      </c>
      <c r="O37" s="25" t="s">
        <v>242</v>
      </c>
      <c r="P37" s="25" t="s">
        <v>242</v>
      </c>
      <c r="Q37" s="25" t="s">
        <v>242</v>
      </c>
      <c r="R37" s="25" t="s">
        <v>242</v>
      </c>
      <c r="S37" s="25" t="s">
        <v>242</v>
      </c>
      <c r="T37" s="25" t="s">
        <v>242</v>
      </c>
      <c r="U37" s="25" t="s">
        <v>242</v>
      </c>
      <c r="V37" s="25" t="s">
        <v>242</v>
      </c>
      <c r="W37" s="25" t="s">
        <v>242</v>
      </c>
      <c r="X37" s="25" t="s">
        <v>242</v>
      </c>
      <c r="Y37" s="25" t="s">
        <v>242</v>
      </c>
      <c r="Z37" s="25" t="s">
        <v>241</v>
      </c>
      <c r="AA37" s="25" t="s">
        <v>241</v>
      </c>
      <c r="AB37" s="25" t="s">
        <v>241</v>
      </c>
      <c r="AC37" s="25" t="s">
        <v>241</v>
      </c>
      <c r="AD37" s="25" t="s">
        <v>241</v>
      </c>
    </row>
    <row r="38" spans="2:30">
      <c r="B38" t="s">
        <v>152</v>
      </c>
      <c r="E38" s="25" t="s">
        <v>226</v>
      </c>
      <c r="F38" s="25" t="s">
        <v>226</v>
      </c>
      <c r="G38" s="25" t="s">
        <v>226</v>
      </c>
      <c r="H38" s="25" t="s">
        <v>226</v>
      </c>
      <c r="I38" s="25" t="s">
        <v>226</v>
      </c>
      <c r="J38" s="25" t="s">
        <v>226</v>
      </c>
      <c r="K38" s="25" t="s">
        <v>226</v>
      </c>
      <c r="L38" s="25" t="s">
        <v>230</v>
      </c>
      <c r="M38" s="25" t="s">
        <v>230</v>
      </c>
      <c r="N38" s="25" t="s">
        <v>231</v>
      </c>
      <c r="O38" s="25" t="s">
        <v>231</v>
      </c>
      <c r="P38" s="25" t="s">
        <v>230</v>
      </c>
      <c r="Q38" s="25" t="s">
        <v>230</v>
      </c>
      <c r="R38" s="25" t="s">
        <v>230</v>
      </c>
      <c r="S38" s="25" t="s">
        <v>230</v>
      </c>
      <c r="T38" s="25" t="s">
        <v>226</v>
      </c>
      <c r="U38" s="25" t="s">
        <v>226</v>
      </c>
      <c r="V38" s="25" t="s">
        <v>226</v>
      </c>
      <c r="W38" s="25" t="s">
        <v>226</v>
      </c>
      <c r="X38" s="25" t="s">
        <v>226</v>
      </c>
      <c r="Y38" s="25" t="s">
        <v>226</v>
      </c>
      <c r="Z38" s="25" t="s">
        <v>231</v>
      </c>
      <c r="AA38" s="25" t="s">
        <v>231</v>
      </c>
      <c r="AB38" s="25" t="s">
        <v>231</v>
      </c>
      <c r="AC38" s="25" t="s">
        <v>231</v>
      </c>
      <c r="AD38" s="25" t="s">
        <v>226</v>
      </c>
    </row>
    <row r="39" spans="2:30" ht="90">
      <c r="B39" t="s">
        <v>153</v>
      </c>
      <c r="N39" s="26" t="s">
        <v>261</v>
      </c>
      <c r="O39" s="26" t="s">
        <v>262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Atmos</vt:lpstr>
      <vt:lpstr>Orbit</vt:lpstr>
    </vt:vector>
  </TitlesOfParts>
  <Company>NASA Langley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Jackson</dc:creator>
  <cp:lastModifiedBy>Bruce Jackson</cp:lastModifiedBy>
  <dcterms:created xsi:type="dcterms:W3CDTF">2013-01-29T18:36:49Z</dcterms:created>
  <dcterms:modified xsi:type="dcterms:W3CDTF">2014-10-25T03:08:19Z</dcterms:modified>
</cp:coreProperties>
</file>