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firstSheet="1"/>
  </bookViews>
  <sheets>
    <sheet name="CALCOLO API-KOM-V (2)" sheetId="2" r:id="rId1"/>
    <sheet name="Sheet1" sheetId="1" r:id="rId2"/>
  </sheets>
  <externalReferences>
    <externalReference r:id="rId3"/>
  </externalReferences>
  <definedNames>
    <definedName name="_xlnm.Print_Area" localSheetId="0">'CALCOLO API-KOM-V (2)'!$B$5:$O$53</definedName>
  </definedNames>
  <calcPr calcId="191029" iterate="1" iterateCount="150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<sst xmlns="http://schemas.openxmlformats.org/spreadsheetml/2006/main" count="175" uniqueCount="141">
  <si>
    <t>KO DRUM</t>
  </si>
  <si>
    <t>Total Area</t>
  </si>
  <si>
    <t>Cross Sectional</t>
  </si>
  <si>
    <t>Vertical Depth</t>
  </si>
  <si>
    <t>Vapor</t>
  </si>
  <si>
    <t xml:space="preserve">Total </t>
  </si>
  <si>
    <t>Liquid</t>
  </si>
  <si>
    <t>Required</t>
  </si>
  <si>
    <t>立式分液罐</t>
  </si>
  <si>
    <t>Inside D</t>
  </si>
  <si>
    <t>Lenght</t>
  </si>
  <si>
    <t>Area Liquid Hold-up</t>
  </si>
  <si>
    <t>Area Vapor</t>
  </si>
  <si>
    <t>of Liquid</t>
  </si>
  <si>
    <t>Space</t>
  </si>
  <si>
    <t>Depth</t>
  </si>
  <si>
    <t>Dropout time</t>
  </si>
  <si>
    <t>velocity</t>
  </si>
  <si>
    <t>drum Lenght</t>
  </si>
  <si>
    <t>Temperature  =</t>
  </si>
  <si>
    <t>°C</t>
  </si>
  <si>
    <t>Trial Nr</t>
  </si>
  <si>
    <t>Di</t>
  </si>
  <si>
    <t>L</t>
  </si>
  <si>
    <t>At</t>
  </si>
  <si>
    <t>Al</t>
  </si>
  <si>
    <t>hl</t>
  </si>
  <si>
    <t>hv</t>
  </si>
  <si>
    <t>ht</t>
  </si>
  <si>
    <t>Θ</t>
  </si>
  <si>
    <t>uv</t>
  </si>
  <si>
    <t>Lmin</t>
  </si>
  <si>
    <t>K</t>
  </si>
  <si>
    <t>Pressure=</t>
  </si>
  <si>
    <t>kg/cm2(G)</t>
  </si>
  <si>
    <t>DRUM CALCULATION  (No:PK-811)</t>
  </si>
  <si>
    <t>MW  =</t>
  </si>
  <si>
    <r>
      <rPr>
        <b/>
        <sz val="10"/>
        <rFont val="Arial"/>
        <charset val="0"/>
      </rPr>
      <t>Density</t>
    </r>
    <r>
      <rPr>
        <b/>
        <sz val="10"/>
        <rFont val="Arial"/>
        <charset val="0"/>
      </rPr>
      <t xml:space="preserve"> =</t>
    </r>
  </si>
  <si>
    <r>
      <rPr>
        <sz val="10"/>
        <rFont val="Arial"/>
        <charset val="0"/>
      </rPr>
      <t>kg/Nm</t>
    </r>
    <r>
      <rPr>
        <vertAlign val="superscript"/>
        <sz val="10"/>
        <rFont val="Arial"/>
        <charset val="0"/>
      </rPr>
      <t>3</t>
    </r>
  </si>
  <si>
    <t>Temperature</t>
  </si>
  <si>
    <r>
      <rPr>
        <sz val="10"/>
        <rFont val="Arial"/>
        <charset val="0"/>
      </rPr>
      <t>kg/m</t>
    </r>
    <r>
      <rPr>
        <vertAlign val="superscript"/>
        <sz val="10"/>
        <rFont val="Arial"/>
        <charset val="0"/>
      </rPr>
      <t>3</t>
    </r>
  </si>
  <si>
    <t xml:space="preserve">MW </t>
  </si>
  <si>
    <t>Pressure</t>
  </si>
  <si>
    <t>d1=</t>
  </si>
  <si>
    <t>inch</t>
  </si>
  <si>
    <t>mm</t>
  </si>
  <si>
    <t>Flow=</t>
  </si>
  <si>
    <t>kg/hr</t>
  </si>
  <si>
    <t>Release Time</t>
  </si>
  <si>
    <t>minutes</t>
  </si>
  <si>
    <t>Time</t>
  </si>
  <si>
    <t>min</t>
  </si>
  <si>
    <t>(20-30)</t>
  </si>
  <si>
    <t>Gas Flow rate</t>
  </si>
  <si>
    <t>Liquid Dropout Time</t>
  </si>
  <si>
    <t>m3/s</t>
  </si>
  <si>
    <t>W =</t>
  </si>
  <si>
    <t>kg/h</t>
  </si>
  <si>
    <t>Θ=</t>
  </si>
  <si>
    <t>sec</t>
  </si>
  <si>
    <t>KO DRUM Diameter</t>
  </si>
  <si>
    <t>Vapor Velocity</t>
  </si>
  <si>
    <t>water deep h 4</t>
  </si>
  <si>
    <t>h4=</t>
  </si>
  <si>
    <t>m</t>
  </si>
  <si>
    <t>d 4 =</t>
  </si>
  <si>
    <t>Uv =</t>
  </si>
  <si>
    <t>m/s</t>
  </si>
  <si>
    <t>p=</t>
  </si>
  <si>
    <r>
      <rPr>
        <sz val="12"/>
        <color rgb="FF000000"/>
        <rFont val="Times New Roman"/>
        <charset val="0"/>
      </rPr>
      <t xml:space="preserve">ρ - </t>
    </r>
    <r>
      <rPr>
        <sz val="12"/>
        <color indexed="8"/>
        <rFont val="宋体"/>
        <charset val="134"/>
      </rPr>
      <t>液体</t>
    </r>
    <r>
      <rPr>
        <sz val="12"/>
        <color indexed="8"/>
        <rFont val="標楷體"/>
        <charset val="134"/>
      </rPr>
      <t>的密度</t>
    </r>
  </si>
  <si>
    <t>(kg/m3)</t>
  </si>
  <si>
    <t>KO DRUM Lenght</t>
  </si>
  <si>
    <t>Required KO Drum Lenght</t>
  </si>
  <si>
    <t>h2 =</t>
  </si>
  <si>
    <t>h2 min =</t>
  </si>
  <si>
    <t>seal drum  d 5</t>
  </si>
  <si>
    <r>
      <rPr>
        <sz val="12"/>
        <color rgb="FF000000"/>
        <rFont val="Times New Roman"/>
        <charset val="0"/>
      </rPr>
      <t xml:space="preserve">D - </t>
    </r>
    <r>
      <rPr>
        <sz val="12"/>
        <color indexed="8"/>
        <rFont val="標楷體"/>
        <charset val="134"/>
      </rPr>
      <t>罐直徑</t>
    </r>
  </si>
  <si>
    <t>h3 =</t>
  </si>
  <si>
    <r>
      <rPr>
        <sz val="12"/>
        <color rgb="FF000000"/>
        <rFont val="Times New Roman"/>
        <charset val="0"/>
      </rPr>
      <t>d-</t>
    </r>
    <r>
      <rPr>
        <sz val="12"/>
        <color indexed="8"/>
        <rFont val="宋体"/>
        <charset val="134"/>
      </rPr>
      <t>入口管直徑</t>
    </r>
  </si>
  <si>
    <t>Required Seal Drum Diameter</t>
  </si>
  <si>
    <t>Required KO Drum Diameter</t>
  </si>
  <si>
    <t>d 5 =</t>
  </si>
  <si>
    <t>d 4 min=</t>
  </si>
  <si>
    <t>seal drum  h 1</t>
  </si>
  <si>
    <t>d 2 =</t>
  </si>
  <si>
    <t>d 3 =</t>
  </si>
  <si>
    <t>h1 =</t>
  </si>
  <si>
    <t>h4 =</t>
  </si>
  <si>
    <t>h5 =</t>
  </si>
  <si>
    <t>h6 =</t>
  </si>
  <si>
    <t>h7 =</t>
  </si>
  <si>
    <t>Liquid Hold-up Depth</t>
  </si>
  <si>
    <t>Liquid Holdup Volume</t>
  </si>
  <si>
    <t>h =</t>
  </si>
  <si>
    <t>Vl =</t>
  </si>
  <si>
    <t>mc</t>
  </si>
  <si>
    <t>k2</t>
  </si>
  <si>
    <t>(0.5-1)</t>
  </si>
  <si>
    <t>h2=</t>
  </si>
  <si>
    <t>(&gt;1)</t>
  </si>
  <si>
    <t>Droplet Diameter</t>
  </si>
  <si>
    <t>Required Seal Drum Lenght</t>
  </si>
  <si>
    <t>d =</t>
  </si>
  <si>
    <t>micron</t>
  </si>
  <si>
    <t>h1 min =</t>
  </si>
  <si>
    <t>Acs</t>
  </si>
  <si>
    <t>m2</t>
  </si>
  <si>
    <t>K.O.D d 4</t>
  </si>
  <si>
    <t>D=</t>
  </si>
  <si>
    <t>Liquid Density</t>
  </si>
  <si>
    <t>ρL =</t>
  </si>
  <si>
    <t>kg/m3</t>
  </si>
  <si>
    <t>d 5 min=</t>
  </si>
  <si>
    <t>Vapor Density</t>
  </si>
  <si>
    <t>ρv =</t>
  </si>
  <si>
    <t>Particle Dropout Velocity</t>
  </si>
  <si>
    <t>Vapor viscosity</t>
  </si>
  <si>
    <t>Uc=</t>
  </si>
  <si>
    <t>µ =</t>
  </si>
  <si>
    <t>cp</t>
  </si>
  <si>
    <t>Drag Coefficient C (from Figure)</t>
  </si>
  <si>
    <t>C =</t>
  </si>
  <si>
    <t>ITAS JOB</t>
  </si>
  <si>
    <t>C11595/05</t>
  </si>
  <si>
    <t>REV</t>
  </si>
  <si>
    <t>DATE</t>
  </si>
  <si>
    <t>27-03-2020</t>
  </si>
  <si>
    <t>AUTHOR</t>
  </si>
  <si>
    <t>Picardi</t>
  </si>
  <si>
    <t>Uc =m/s(Vertical type)</t>
  </si>
  <si>
    <t>Drop out Velocity Calculation</t>
  </si>
  <si>
    <t>C(Re)2</t>
  </si>
  <si>
    <t>C</t>
  </si>
  <si>
    <t>Uc m/s</t>
  </si>
  <si>
    <t>Calcolo Cross Sectional Area</t>
  </si>
  <si>
    <t>delta</t>
  </si>
  <si>
    <t>alfa</t>
  </si>
  <si>
    <t>a</t>
  </si>
  <si>
    <t>A</t>
  </si>
  <si>
    <t>Holdup Volume case1</t>
  </si>
  <si>
    <t>Holdup Volume case2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</si>
</sst>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-&quot;NT$&quot;* #,##0_-;\-&quot;NT$&quot;* #,##0_-;_-&quot;NT$&quot;* &quot;-&quot;_-;_-@_-"/>
    <numFmt numFmtId="178" formatCode="0.0_ "/>
    <numFmt numFmtId="179" formatCode="0.00_ "/>
    <numFmt numFmtId="180" formatCode="0.000"/>
    <numFmt numFmtId="181" formatCode="dd/mm/yy;@"/>
  </numFmts>
  <fonts count="41">
    <font>
      <sz val="11"/>
      <color theme="1"/>
      <name val="宋体"/>
      <charset val="134"/>
      <scheme val="minor"/>
    </font>
    <font>
      <sz val="10"/>
      <name val="Arial"/>
      <charset val="0"/>
    </font>
    <font>
      <sz val="10"/>
      <color rgb="FFFF0000"/>
      <name val="Arial"/>
      <charset val="0"/>
    </font>
    <font>
      <b/>
      <sz val="22"/>
      <color indexed="10"/>
      <name val="Arial"/>
      <charset val="0"/>
    </font>
    <font>
      <sz val="10"/>
      <color indexed="10"/>
      <name val="Arial"/>
      <charset val="0"/>
    </font>
    <font>
      <sz val="10"/>
      <color indexed="43"/>
      <name val="Arial"/>
      <charset val="0"/>
    </font>
    <font>
      <b/>
      <sz val="10"/>
      <name val="Arial"/>
      <charset val="0"/>
    </font>
    <font>
      <sz val="10"/>
      <color rgb="FF0000FF"/>
      <name val="Arial"/>
      <charset val="0"/>
    </font>
    <font>
      <sz val="10"/>
      <color theme="1"/>
      <name val="Arial"/>
      <charset val="0"/>
    </font>
    <font>
      <b/>
      <sz val="10"/>
      <color rgb="FFCCFFFF"/>
      <name val="Arial"/>
      <charset val="0"/>
    </font>
    <font>
      <sz val="10"/>
      <color rgb="FFCCFFFF"/>
      <name val="Arial"/>
      <charset val="0"/>
    </font>
    <font>
      <sz val="10"/>
      <color indexed="22"/>
      <name val="Arial"/>
      <charset val="0"/>
    </font>
    <font>
      <sz val="9"/>
      <name val="Arial"/>
      <charset val="0"/>
    </font>
    <font>
      <sz val="10"/>
      <color indexed="45"/>
      <name val="Arial"/>
      <charset val="0"/>
    </font>
    <font>
      <sz val="12"/>
      <color indexed="8"/>
      <name val="標楷體"/>
      <charset val="134"/>
    </font>
    <font>
      <sz val="12"/>
      <color indexed="8"/>
      <name val="新細明體"/>
      <charset val="134"/>
    </font>
    <font>
      <sz val="12"/>
      <color rgb="FF0000FF"/>
      <name val="新細明體"/>
      <charset val="134"/>
    </font>
    <font>
      <sz val="12"/>
      <color rgb="FF000000"/>
      <name val="Times New Roman"/>
      <charset val="0"/>
    </font>
    <font>
      <sz val="12"/>
      <name val="新細明體"/>
      <charset val="134"/>
    </font>
    <font>
      <sz val="12"/>
      <color rgb="FFFF0000"/>
      <name val="新細明體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indexed="8"/>
      <name val="宋体"/>
      <charset val="134"/>
    </font>
    <font>
      <vertAlign val="superscript"/>
      <sz val="10"/>
      <name val="Arial"/>
      <charset val="0"/>
    </font>
  </fonts>
  <fills count="4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17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4" borderId="20" applyNumberFormat="0" applyAlignment="0" applyProtection="0">
      <alignment vertical="center"/>
    </xf>
    <xf numFmtId="0" fontId="29" fillId="15" borderId="21" applyNumberFormat="0" applyAlignment="0" applyProtection="0">
      <alignment vertical="center"/>
    </xf>
    <xf numFmtId="0" fontId="30" fillId="15" borderId="20" applyNumberFormat="0" applyAlignment="0" applyProtection="0">
      <alignment vertical="center"/>
    </xf>
    <xf numFmtId="0" fontId="31" fillId="16" borderId="22" applyNumberFormat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Alignment="1"/>
    <xf numFmtId="0" fontId="1" fillId="2" borderId="0" xfId="0" applyFont="1" applyFill="1" applyAlignment="1"/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0" fontId="4" fillId="3" borderId="2" xfId="0" applyFont="1" applyFill="1" applyBorder="1" applyAlignment="1"/>
    <xf numFmtId="0" fontId="5" fillId="3" borderId="2" xfId="0" applyFont="1" applyFill="1" applyBorder="1" applyAlignment="1"/>
    <xf numFmtId="0" fontId="1" fillId="4" borderId="3" xfId="0" applyFont="1" applyFill="1" applyBorder="1" applyAlignment="1"/>
    <xf numFmtId="0" fontId="1" fillId="4" borderId="0" xfId="0" applyFont="1" applyFill="1" applyBorder="1" applyAlignment="1"/>
    <xf numFmtId="0" fontId="6" fillId="5" borderId="4" xfId="0" applyFont="1" applyFill="1" applyBorder="1" applyAlignment="1"/>
    <xf numFmtId="0" fontId="7" fillId="0" borderId="5" xfId="0" applyFont="1" applyFill="1" applyBorder="1" applyAlignment="1"/>
    <xf numFmtId="0" fontId="1" fillId="6" borderId="6" xfId="0" applyFont="1" applyFill="1" applyBorder="1" applyAlignment="1" applyProtection="1">
      <alignment horizontal="center" vertical="center"/>
    </xf>
    <xf numFmtId="0" fontId="1" fillId="7" borderId="4" xfId="0" applyFont="1" applyFill="1" applyBorder="1" applyAlignment="1"/>
    <xf numFmtId="0" fontId="1" fillId="7" borderId="7" xfId="0" applyFont="1" applyFill="1" applyBorder="1" applyAlignment="1"/>
    <xf numFmtId="0" fontId="6" fillId="5" borderId="3" xfId="0" applyFont="1" applyFill="1" applyBorder="1" applyAlignment="1"/>
    <xf numFmtId="0" fontId="8" fillId="0" borderId="8" xfId="0" applyFont="1" applyFill="1" applyBorder="1" applyAlignment="1"/>
    <xf numFmtId="0" fontId="1" fillId="6" borderId="9" xfId="0" applyFont="1" applyFill="1" applyBorder="1" applyAlignment="1" applyProtection="1">
      <alignment horizontal="center" vertical="center"/>
    </xf>
    <xf numFmtId="0" fontId="1" fillId="7" borderId="3" xfId="0" applyFont="1" applyFill="1" applyBorder="1" applyAlignment="1"/>
    <xf numFmtId="0" fontId="1" fillId="7" borderId="0" xfId="0" applyFont="1" applyFill="1" applyBorder="1" applyAlignment="1"/>
    <xf numFmtId="0" fontId="7" fillId="0" borderId="8" xfId="0" applyFont="1" applyFill="1" applyBorder="1" applyAlignment="1"/>
    <xf numFmtId="0" fontId="1" fillId="5" borderId="9" xfId="0" applyFont="1" applyFill="1" applyBorder="1" applyAlignment="1"/>
    <xf numFmtId="0" fontId="1" fillId="5" borderId="3" xfId="0" applyFont="1" applyFill="1" applyBorder="1" applyAlignment="1">
      <alignment horizontal="center"/>
    </xf>
    <xf numFmtId="0" fontId="1" fillId="0" borderId="8" xfId="0" applyFont="1" applyFill="1" applyBorder="1" applyAlignment="1"/>
    <xf numFmtId="0" fontId="1" fillId="5" borderId="3" xfId="0" applyFont="1" applyFill="1" applyBorder="1" applyAlignment="1"/>
    <xf numFmtId="0" fontId="1" fillId="5" borderId="0" xfId="0" applyFont="1" applyFill="1" applyBorder="1" applyAlignment="1"/>
    <xf numFmtId="0" fontId="6" fillId="7" borderId="3" xfId="0" applyFont="1" applyFill="1" applyBorder="1" applyAlignment="1">
      <alignment horizontal="left"/>
    </xf>
    <xf numFmtId="0" fontId="7" fillId="4" borderId="8" xfId="0" applyFont="1" applyFill="1" applyBorder="1" applyAlignment="1"/>
    <xf numFmtId="0" fontId="1" fillId="7" borderId="3" xfId="0" applyFont="1" applyFill="1" applyBorder="1" applyAlignment="1">
      <alignment horizontal="center"/>
    </xf>
    <xf numFmtId="2" fontId="1" fillId="4" borderId="8" xfId="0" applyNumberFormat="1" applyFont="1" applyFill="1" applyBorder="1" applyAlignment="1"/>
    <xf numFmtId="2" fontId="1" fillId="7" borderId="0" xfId="0" applyNumberFormat="1" applyFont="1" applyFill="1" applyBorder="1" applyAlignment="1"/>
    <xf numFmtId="0" fontId="6" fillId="7" borderId="3" xfId="0" applyFont="1" applyFill="1" applyBorder="1" applyAlignment="1"/>
    <xf numFmtId="178" fontId="7" fillId="4" borderId="8" xfId="0" applyNumberFormat="1" applyFont="1" applyFill="1" applyBorder="1" applyAlignment="1"/>
    <xf numFmtId="0" fontId="1" fillId="4" borderId="8" xfId="0" applyFont="1" applyFill="1" applyBorder="1" applyAlignment="1"/>
    <xf numFmtId="179" fontId="1" fillId="4" borderId="8" xfId="0" applyNumberFormat="1" applyFont="1" applyFill="1" applyBorder="1" applyAlignment="1"/>
    <xf numFmtId="0" fontId="6" fillId="0" borderId="8" xfId="0" applyFont="1" applyFill="1" applyBorder="1" applyAlignment="1"/>
    <xf numFmtId="0" fontId="6" fillId="8" borderId="0" xfId="0" applyFont="1" applyFill="1" applyBorder="1" applyAlignment="1"/>
    <xf numFmtId="178" fontId="1" fillId="4" borderId="8" xfId="0" applyNumberFormat="1" applyFont="1" applyFill="1" applyBorder="1" applyAlignment="1"/>
    <xf numFmtId="0" fontId="9" fillId="5" borderId="3" xfId="0" applyFont="1" applyFill="1" applyBorder="1" applyAlignment="1"/>
    <xf numFmtId="0" fontId="10" fillId="5" borderId="0" xfId="0" applyFont="1" applyFill="1" applyBorder="1" applyAlignment="1"/>
    <xf numFmtId="0" fontId="10" fillId="5" borderId="9" xfId="0" applyFont="1" applyFill="1" applyBorder="1" applyAlignment="1"/>
    <xf numFmtId="0" fontId="10" fillId="5" borderId="3" xfId="0" applyFont="1" applyFill="1" applyBorder="1" applyAlignment="1">
      <alignment horizontal="center"/>
    </xf>
    <xf numFmtId="0" fontId="10" fillId="6" borderId="0" xfId="0" applyFont="1" applyFill="1" applyBorder="1" applyAlignment="1"/>
    <xf numFmtId="180" fontId="1" fillId="4" borderId="8" xfId="0" applyNumberFormat="1" applyFont="1" applyFill="1" applyBorder="1" applyAlignment="1"/>
    <xf numFmtId="0" fontId="6" fillId="5" borderId="0" xfId="0" applyFont="1" applyFill="1" applyBorder="1" applyAlignment="1"/>
    <xf numFmtId="0" fontId="1" fillId="8" borderId="0" xfId="0" applyFont="1" applyFill="1" applyBorder="1" applyAlignment="1"/>
    <xf numFmtId="0" fontId="11" fillId="4" borderId="8" xfId="0" applyFont="1" applyFill="1" applyBorder="1" applyAlignment="1"/>
    <xf numFmtId="180" fontId="1" fillId="8" borderId="0" xfId="0" applyNumberFormat="1" applyFont="1" applyFill="1" applyBorder="1" applyAlignment="1"/>
    <xf numFmtId="0" fontId="1" fillId="5" borderId="10" xfId="0" applyFont="1" applyFill="1" applyBorder="1" applyAlignment="1"/>
    <xf numFmtId="0" fontId="1" fillId="5" borderId="11" xfId="0" applyFont="1" applyFill="1" applyBorder="1" applyAlignment="1"/>
    <xf numFmtId="0" fontId="1" fillId="5" borderId="12" xfId="0" applyFont="1" applyFill="1" applyBorder="1" applyAlignment="1"/>
    <xf numFmtId="0" fontId="1" fillId="4" borderId="11" xfId="0" applyFont="1" applyFill="1" applyBorder="1" applyAlignment="1"/>
    <xf numFmtId="0" fontId="1" fillId="7" borderId="10" xfId="0" applyFont="1" applyFill="1" applyBorder="1" applyAlignment="1"/>
    <xf numFmtId="0" fontId="1" fillId="7" borderId="11" xfId="0" applyFont="1" applyFill="1" applyBorder="1" applyAlignment="1"/>
    <xf numFmtId="0" fontId="1" fillId="4" borderId="3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81" fontId="12" fillId="4" borderId="8" xfId="0" applyNumberFormat="1" applyFont="1" applyFill="1" applyBorder="1" applyAlignment="1"/>
    <xf numFmtId="0" fontId="1" fillId="9" borderId="0" xfId="0" applyFont="1" applyFill="1" applyAlignment="1"/>
    <xf numFmtId="0" fontId="1" fillId="4" borderId="1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center"/>
    </xf>
    <xf numFmtId="181" fontId="1" fillId="4" borderId="14" xfId="0" applyNumberFormat="1" applyFont="1" applyFill="1" applyBorder="1" applyAlignment="1"/>
    <xf numFmtId="0" fontId="1" fillId="4" borderId="14" xfId="0" applyFont="1" applyFill="1" applyBorder="1" applyAlignment="1"/>
    <xf numFmtId="0" fontId="2" fillId="2" borderId="0" xfId="0" applyFont="1" applyFill="1" applyAlignment="1"/>
    <xf numFmtId="0" fontId="4" fillId="2" borderId="0" xfId="0" applyFont="1" applyFill="1" applyAlignment="1"/>
    <xf numFmtId="0" fontId="13" fillId="2" borderId="0" xfId="0" applyFont="1" applyFill="1" applyAlignment="1"/>
    <xf numFmtId="0" fontId="1" fillId="3" borderId="2" xfId="0" applyFont="1" applyFill="1" applyBorder="1" applyAlignment="1"/>
    <xf numFmtId="0" fontId="1" fillId="3" borderId="15" xfId="0" applyFont="1" applyFill="1" applyBorder="1" applyAlignment="1"/>
    <xf numFmtId="0" fontId="1" fillId="4" borderId="9" xfId="0" applyFont="1" applyFill="1" applyBorder="1" applyAlignment="1"/>
    <xf numFmtId="0" fontId="1" fillId="7" borderId="6" xfId="0" applyFont="1" applyFill="1" applyBorder="1" applyAlignment="1"/>
    <xf numFmtId="0" fontId="1" fillId="7" borderId="9" xfId="0" applyFont="1" applyFill="1" applyBorder="1" applyAlignment="1"/>
    <xf numFmtId="0" fontId="1" fillId="8" borderId="0" xfId="0" applyFont="1" applyFill="1" applyBorder="1" applyAlignment="1">
      <alignment horizontal="right"/>
    </xf>
    <xf numFmtId="0" fontId="1" fillId="8" borderId="0" xfId="0" applyFont="1" applyFill="1" applyBorder="1" applyAlignment="1">
      <alignment horizontal="left"/>
    </xf>
    <xf numFmtId="1" fontId="1" fillId="8" borderId="0" xfId="0" applyNumberFormat="1" applyFont="1" applyFill="1" applyBorder="1" applyAlignment="1">
      <alignment horizontal="center"/>
    </xf>
    <xf numFmtId="0" fontId="1" fillId="7" borderId="12" xfId="0" applyFont="1" applyFill="1" applyBorder="1" applyAlignment="1"/>
    <xf numFmtId="0" fontId="1" fillId="4" borderId="16" xfId="0" applyFont="1" applyFill="1" applyBorder="1" applyAlignment="1"/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6" fillId="0" borderId="8" xfId="0" applyFont="1" applyFill="1" applyBorder="1" applyAlignment="1" applyProtection="1">
      <alignment horizontal="right" vertical="center"/>
    </xf>
    <xf numFmtId="0" fontId="7" fillId="10" borderId="8" xfId="0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 applyProtection="1">
      <alignment horizontal="center" vertical="center"/>
    </xf>
    <xf numFmtId="4" fontId="1" fillId="0" borderId="8" xfId="0" applyNumberFormat="1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 applyProtection="1">
      <alignment horizontal="center" vertical="center"/>
    </xf>
    <xf numFmtId="0" fontId="7" fillId="10" borderId="8" xfId="0" applyFont="1" applyFill="1" applyBorder="1" applyAlignment="1" applyProtection="1">
      <alignment horizontal="center" vertical="center"/>
    </xf>
    <xf numFmtId="2" fontId="7" fillId="10" borderId="8" xfId="0" applyNumberFormat="1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 applyProtection="1">
      <alignment horizontal="left" vertical="center"/>
    </xf>
    <xf numFmtId="2" fontId="1" fillId="0" borderId="8" xfId="0" applyNumberFormat="1" applyFont="1" applyFill="1" applyBorder="1" applyAlignment="1" applyProtection="1">
      <alignment horizontal="center" vertical="center"/>
    </xf>
    <xf numFmtId="2" fontId="7" fillId="11" borderId="8" xfId="0" applyNumberFormat="1" applyFont="1" applyFill="1" applyBorder="1" applyAlignment="1" applyProtection="1">
      <alignment horizontal="center" vertical="center"/>
    </xf>
    <xf numFmtId="2" fontId="1" fillId="10" borderId="8" xfId="0" applyNumberFormat="1" applyFont="1" applyFill="1" applyBorder="1" applyAlignment="1" applyProtection="1">
      <alignment horizontal="center" vertical="center"/>
    </xf>
    <xf numFmtId="0" fontId="14" fillId="0" borderId="8" xfId="0" applyFont="1" applyFill="1" applyBorder="1" applyAlignment="1">
      <alignment vertical="center"/>
    </xf>
    <xf numFmtId="0" fontId="15" fillId="0" borderId="8" xfId="0" applyFont="1" applyFill="1" applyBorder="1" applyAlignment="1">
      <alignment vertical="center"/>
    </xf>
    <xf numFmtId="0" fontId="1" fillId="0" borderId="8" xfId="0" applyFont="1" applyFill="1" applyBorder="1" applyAlignment="1"/>
    <xf numFmtId="0" fontId="1" fillId="12" borderId="8" xfId="0" applyFont="1" applyFill="1" applyBorder="1" applyAlignment="1"/>
    <xf numFmtId="0" fontId="15" fillId="12" borderId="8" xfId="0" applyFont="1" applyFill="1" applyBorder="1" applyAlignment="1">
      <alignment vertical="center"/>
    </xf>
    <xf numFmtId="0" fontId="16" fillId="0" borderId="8" xfId="0" applyFont="1" applyFill="1" applyBorder="1" applyAlignment="1">
      <alignment vertical="center"/>
    </xf>
    <xf numFmtId="0" fontId="17" fillId="0" borderId="8" xfId="0" applyFont="1" applyFill="1" applyBorder="1" applyAlignment="1">
      <alignment vertical="center"/>
    </xf>
    <xf numFmtId="179" fontId="16" fillId="0" borderId="8" xfId="0" applyNumberFormat="1" applyFont="1" applyFill="1" applyBorder="1" applyAlignment="1">
      <alignment vertical="center"/>
    </xf>
    <xf numFmtId="0" fontId="18" fillId="12" borderId="8" xfId="0" applyFont="1" applyFill="1" applyBorder="1" applyAlignment="1">
      <alignment vertical="center"/>
    </xf>
    <xf numFmtId="0" fontId="17" fillId="0" borderId="8" xfId="0" applyFont="1" applyFill="1" applyBorder="1" applyAlignment="1">
      <alignment vertical="center"/>
    </xf>
    <xf numFmtId="179" fontId="18" fillId="12" borderId="8" xfId="0" applyNumberFormat="1" applyFont="1" applyFill="1" applyBorder="1" applyAlignment="1">
      <alignment vertical="center"/>
    </xf>
    <xf numFmtId="0" fontId="16" fillId="0" borderId="8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16" fillId="10" borderId="8" xfId="0" applyFont="1" applyFill="1" applyBorder="1" applyAlignment="1">
      <alignment vertical="center"/>
    </xf>
    <xf numFmtId="2" fontId="1" fillId="12" borderId="8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emf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167640</xdr:colOff>
          <xdr:row>49</xdr:row>
          <xdr:rowOff>0</xdr:rowOff>
        </xdr:from>
        <xdr:to>
          <xdr:col>3</xdr:col>
          <xdr:colOff>464820</xdr:colOff>
          <xdr:row>50</xdr:row>
          <xdr:rowOff>15240</xdr:rowOff>
        </xdr:to>
        <xdr:sp macro="[1]!Pulsante1_Clic">
          <xdr:nvSpPr>
            <xdr:cNvPr id="1025" name="Button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7640" y="8875395"/>
              <a:ext cx="2350770" cy="192405"/>
            </a:xfrm>
            <a:prstGeom prst="rect">
              <a:avLst/>
            </a:prstGeom>
          </xdr:spPr>
          <xdr:txBody>
            <a:bodyPr vert="horz" lIns="27432" tIns="18288" rIns="27432" bIns="18288" anchor="ctr" anchorCtr="0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rPr>
                <a:t>Drag Coefficient Figure</a:t>
              </a:r>
              <a:endParaRPr lang="zh-CN" altLang="en-US" sz="1000">
                <a:solidFill>
                  <a:srgbClr val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endParaRPr>
            </a:p>
          </xdr:txBody>
        </xdr:sp>
        <xdr:clientData fPrintsWithSheet="0"/>
      </xdr:twoCellAnchor>
    </mc:Choice>
    <mc:Fallback/>
  </mc:AlternateContent>
  <xdr:twoCellAnchor editAs="oneCell">
    <xdr:from>
      <xdr:col>13</xdr:col>
      <xdr:colOff>205740</xdr:colOff>
      <xdr:row>50</xdr:row>
      <xdr:rowOff>45720</xdr:rowOff>
    </xdr:from>
    <xdr:to>
      <xdr:col>14</xdr:col>
      <xdr:colOff>525780</xdr:colOff>
      <xdr:row>52</xdr:row>
      <xdr:rowOff>106680</xdr:rowOff>
    </xdr:to>
    <xdr:pic>
      <xdr:nvPicPr>
        <xdr:cNvPr id="3" name="Picture 48" descr="itas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492615" y="9098280"/>
          <a:ext cx="685800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38</xdr:row>
      <xdr:rowOff>149225</xdr:rowOff>
    </xdr:from>
    <xdr:to>
      <xdr:col>22</xdr:col>
      <xdr:colOff>48260</xdr:colOff>
      <xdr:row>44</xdr:row>
      <xdr:rowOff>135255</xdr:rowOff>
    </xdr:to>
    <xdr:pic>
      <xdr:nvPicPr>
        <xdr:cNvPr id="4" name="图片 2" descr="1dbe1c55096988fc0aafbdecc3b2d8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788140" y="7515860"/>
          <a:ext cx="3801110" cy="991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43</xdr:row>
      <xdr:rowOff>41910</xdr:rowOff>
    </xdr:from>
    <xdr:to>
      <xdr:col>21</xdr:col>
      <xdr:colOff>593090</xdr:colOff>
      <xdr:row>63</xdr:row>
      <xdr:rowOff>144780</xdr:rowOff>
    </xdr:to>
    <xdr:pic>
      <xdr:nvPicPr>
        <xdr:cNvPr id="5" name="图片 49" descr="1becd6b74d35957ecd514ef91f0a13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88140" y="8246745"/>
          <a:ext cx="3721100" cy="3148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494030</xdr:colOff>
      <xdr:row>6</xdr:row>
      <xdr:rowOff>137795</xdr:rowOff>
    </xdr:from>
    <xdr:to>
      <xdr:col>14</xdr:col>
      <xdr:colOff>332105</xdr:colOff>
      <xdr:row>44</xdr:row>
      <xdr:rowOff>73660</xdr:rowOff>
    </xdr:to>
    <xdr:pic>
      <xdr:nvPicPr>
        <xdr:cNvPr id="6" name="图片 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999480" y="1400810"/>
          <a:ext cx="3985260" cy="70453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ko%20cal\API%20TANK%20CALCULATION%2032%20TON-20200327-R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TCI-BD-32 TON-kom-V"/>
      <sheetName val="CALCOLO API-KOM-V"/>
      <sheetName val="CALCOLO API-KOM-V (2)"/>
      <sheetName val="CALCOLO API-NH3"/>
      <sheetName val="CTCI-NH3-kom "/>
      <sheetName val="DRAG Coefficient (STAND) (4)"/>
      <sheetName val="WATER SEAL TANK-V (2)"/>
      <sheetName val="starupI-WS  (3)"/>
      <sheetName val="HP1-2-kom (2)"/>
      <sheetName val="HP1-2-WS  (3)"/>
      <sheetName val="HP1-2-kom (3)"/>
      <sheetName val="HP1-2-WS  (2)"/>
      <sheetName val="ZHONGJIN--HP-MX-kom"/>
      <sheetName val="GURAI-LP-WS  (2)"/>
      <sheetName val="GURAI-EVA-LT-kom (3)"/>
      <sheetName val="GURAI-chemical-HP-WS  (2)"/>
      <sheetName val="GURAI-chemical-HP-kom (2)"/>
      <sheetName val="test"/>
      <sheetName val="DRAG Coefficient (STAND) (3)"/>
      <sheetName val="GURAI-HC-HP-kom"/>
      <sheetName val="GURAI-HC-HP-WS "/>
      <sheetName val="110ton-WS (2)"/>
      <sheetName val="110ton-kom (2)"/>
      <sheetName val="1120ton-kom (2)"/>
      <sheetName val="1120ton-WS (3)"/>
      <sheetName val="1120ton-kom (3)"/>
      <sheetName val="232ton-WS (2)"/>
      <sheetName val="232ton-kom"/>
      <sheetName val="DRAG Coefficient (STAND) (2)"/>
      <sheetName val="DRAG Coefficient (STAND)"/>
      <sheetName val="DRAG Coefficient (4)"/>
      <sheetName val="REF-LP2-150TON-GF-WS (2)"/>
      <sheetName val="LLP-39TON-ENCLOSED-WS  (2)"/>
      <sheetName val="REF-HP-2-KOM  (4)"/>
      <sheetName val="REF-HP-2-WS  (2)"/>
      <sheetName val="REF-HP-2AV-KOM"/>
      <sheetName val="REF-HP-1-WS"/>
      <sheetName val="REF-HP-1-KOM "/>
      <sheetName val="RICH H2-2AV-KOM  (4)"/>
      <sheetName val="RICH-H2-1-KOM  (2)"/>
      <sheetName val="RICH H2-1-WS"/>
      <sheetName val="RICH-H2-2-KOM  (3)"/>
      <sheetName val="REF-HP-2AV-WS "/>
      <sheetName val="RICH H2-2-WS"/>
      <sheetName val="DRAG Coefficient"/>
      <sheetName val="ENCLOSE-LLP-KOM (2)"/>
      <sheetName val="ENCLOSE-LLP-WS (2)"/>
      <sheetName val="NH3-KOM (2)"/>
      <sheetName val="NH3-WS (2)"/>
      <sheetName val="POOL ACID-KOM (2)"/>
      <sheetName val="POOL ACID-WS (2)"/>
      <sheetName val="RICH ACID-KOM (3)"/>
      <sheetName val="RICH ACID-WS (3)"/>
      <sheetName val="RICH H2-2AV-KOM (3)"/>
      <sheetName val="RICH H2-2AV-WS (3)"/>
      <sheetName val="DRAG Coefficient (3)"/>
      <sheetName val="RICH H2-KOM (2)"/>
      <sheetName val="RICH H2-WS (2)"/>
      <sheetName val="REF-LP2-KOM (3)"/>
      <sheetName val="REF-LP2-WS (3)"/>
      <sheetName val="REF-LP1-WS (3)"/>
      <sheetName val="REF-LP1-KOM (3)"/>
      <sheetName val="REF-LLP-WS (2)"/>
      <sheetName val="REF-LLP-KOM (2)"/>
      <sheetName val="CALCOLO API-ACID  (2)"/>
      <sheetName val="DRAG Coefficient (2)"/>
      <sheetName val="CALCOLO API-ACID "/>
      <sheetName val="KOM-SH3009-1"/>
      <sheetName val="KOM-SH3009"/>
      <sheetName val="WATER SEAL TANK-V"/>
      <sheetName val="K1-2 LIST"/>
      <sheetName val="Sheet1"/>
      <sheetName val="Sheet2"/>
      <sheetName val="Sheet3"/>
    </sheetNames>
    <definedNames>
      <definedName name="Pulsante1_Clic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V71"/>
  <sheetViews>
    <sheetView tabSelected="1" zoomScale="90" zoomScaleNormal="90" zoomScaleSheetLayoutView="60" topLeftCell="A26" workbookViewId="0">
      <selection activeCell="R4" sqref="R4:S4"/>
    </sheetView>
  </sheetViews>
  <sheetFormatPr defaultColWidth="9.11111111111111" defaultRowHeight="13.2"/>
  <cols>
    <col min="1" max="1" width="2.55555555555556" style="1" customWidth="1"/>
    <col min="2" max="2" width="15.2777777777778" style="1" customWidth="1"/>
    <col min="3" max="3" width="12.1111111111111" style="1" customWidth="1"/>
    <col min="4" max="4" width="10" style="1" customWidth="1"/>
    <col min="5" max="5" width="4.44444444444444" style="1" customWidth="1"/>
    <col min="6" max="6" width="18.5555555555556" style="1" customWidth="1"/>
    <col min="7" max="7" width="12.8888888888889" style="1"/>
    <col min="8" max="8" width="4.44444444444444" style="1" customWidth="1"/>
    <col min="9" max="9" width="8.33333333333333" style="1" customWidth="1"/>
    <col min="10" max="10" width="16" style="1" customWidth="1"/>
    <col min="11" max="11" width="9.11111111111111" style="1"/>
    <col min="12" max="12" width="14.8888888888889" style="1" customWidth="1"/>
    <col min="13" max="13" width="6.80555555555556" style="1" customWidth="1"/>
    <col min="14" max="14" width="5.33333333333333" style="1" customWidth="1"/>
    <col min="15" max="16" width="9.11111111111111" style="1"/>
    <col min="17" max="17" width="12.9166666666667" style="1" customWidth="1"/>
    <col min="18" max="18" width="14.7222222222222" style="1" customWidth="1"/>
    <col min="19" max="19" width="9.11111111111111" style="1"/>
    <col min="20" max="20" width="12.6666666666667" style="1" customWidth="1"/>
    <col min="21" max="16384" width="9.11111111111111" style="1"/>
  </cols>
  <sheetData>
    <row r="1" ht="15.6" spans="1:21">
      <c r="A1" s="2"/>
      <c r="B1" s="3"/>
      <c r="C1" s="3" t="s">
        <v>0</v>
      </c>
      <c r="D1" s="3" t="s">
        <v>0</v>
      </c>
      <c r="E1" s="3" t="s">
        <v>1</v>
      </c>
      <c r="F1" s="3" t="s">
        <v>2</v>
      </c>
      <c r="G1" s="3" t="s">
        <v>2</v>
      </c>
      <c r="H1" s="3" t="s">
        <v>3</v>
      </c>
      <c r="I1" s="3"/>
      <c r="J1" s="3" t="s">
        <v>4</v>
      </c>
      <c r="K1" s="3" t="s">
        <v>5</v>
      </c>
      <c r="L1" s="3" t="s">
        <v>6</v>
      </c>
      <c r="M1" s="3" t="s">
        <v>4</v>
      </c>
      <c r="N1" s="3" t="s">
        <v>7</v>
      </c>
      <c r="O1" s="3"/>
      <c r="P1" s="1"/>
      <c r="R1" s="77" t="s">
        <v>8</v>
      </c>
      <c r="S1" s="78"/>
      <c r="T1" s="78"/>
      <c r="U1" s="78"/>
    </row>
    <row r="2" spans="1:21">
      <c r="A2" s="2"/>
      <c r="B2" s="3"/>
      <c r="C2" s="3" t="s">
        <v>9</v>
      </c>
      <c r="D2" s="3" t="s">
        <v>10</v>
      </c>
      <c r="E2" s="3"/>
      <c r="F2" s="3" t="s">
        <v>11</v>
      </c>
      <c r="G2" s="3" t="s">
        <v>12</v>
      </c>
      <c r="H2" s="3" t="s">
        <v>13</v>
      </c>
      <c r="I2" s="3"/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/>
      <c r="P2" s="1"/>
      <c r="R2" s="79" t="s">
        <v>19</v>
      </c>
      <c r="S2" s="79"/>
      <c r="T2" s="80">
        <v>75</v>
      </c>
      <c r="U2" s="81" t="s">
        <v>20</v>
      </c>
    </row>
    <row r="3" spans="1:21">
      <c r="A3" s="2"/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>
        <v>20170711</v>
      </c>
      <c r="H3" s="3" t="s">
        <v>26</v>
      </c>
      <c r="I3" s="3"/>
      <c r="J3" s="3" t="s">
        <v>27</v>
      </c>
      <c r="K3" s="3" t="s">
        <v>28</v>
      </c>
      <c r="L3" s="3" t="s">
        <v>29</v>
      </c>
      <c r="M3" s="3" t="s">
        <v>30</v>
      </c>
      <c r="N3" s="3" t="s">
        <v>31</v>
      </c>
      <c r="O3" s="3"/>
      <c r="P3" s="1"/>
      <c r="R3" s="79"/>
      <c r="S3" s="79"/>
      <c r="T3" s="82">
        <f>T2+273.15</f>
        <v>348.15</v>
      </c>
      <c r="U3" s="81" t="s">
        <v>32</v>
      </c>
    </row>
    <row r="4" ht="13.95" spans="1:21">
      <c r="A4" s="2"/>
      <c r="B4" s="3">
        <v>1</v>
      </c>
      <c r="C4" s="3">
        <f>C19</f>
        <v>1.5</v>
      </c>
      <c r="D4" s="3">
        <f>C22</f>
        <v>2.7</v>
      </c>
      <c r="E4" s="3">
        <f>3.14*(C4^2)/4</f>
        <v>1.76625</v>
      </c>
      <c r="F4" s="3">
        <f>IF(C34&lt;C19/2,E67,E4-E69)</f>
        <v>1.767144375</v>
      </c>
      <c r="G4" s="3">
        <f>E4-F4</f>
        <v>-0.000894374999999892</v>
      </c>
      <c r="H4" s="3">
        <f>C34</f>
        <v>0.36</v>
      </c>
      <c r="I4" s="3"/>
      <c r="J4" s="3">
        <f>C22</f>
        <v>2.7</v>
      </c>
      <c r="K4" s="3">
        <f>C22+C34</f>
        <v>3.06</v>
      </c>
      <c r="L4" s="3">
        <f>J4/G54</f>
        <v>3.80281690140845</v>
      </c>
      <c r="M4" s="3">
        <f>((C16/3600)/C43)/E4/2</f>
        <v>0.680999265591931</v>
      </c>
      <c r="N4" s="3">
        <f>M4*L4</f>
        <v>2.58971551703974</v>
      </c>
      <c r="O4" s="3"/>
      <c r="P4" s="1"/>
      <c r="R4" s="83" t="s">
        <v>33</v>
      </c>
      <c r="S4" s="83"/>
      <c r="T4" s="84">
        <v>0.95</v>
      </c>
      <c r="U4" s="83" t="s">
        <v>34</v>
      </c>
    </row>
    <row r="5" ht="28.95" spans="1:21">
      <c r="A5" s="4"/>
      <c r="B5" s="5" t="s">
        <v>35</v>
      </c>
      <c r="C5" s="6"/>
      <c r="D5" s="7"/>
      <c r="E5" s="7"/>
      <c r="F5" s="7"/>
      <c r="G5" s="7"/>
      <c r="H5" s="8"/>
      <c r="I5" s="67"/>
      <c r="J5" s="67"/>
      <c r="K5" s="67"/>
      <c r="L5" s="67"/>
      <c r="M5" s="67"/>
      <c r="N5" s="67"/>
      <c r="O5" s="68"/>
      <c r="P5" s="4"/>
      <c r="R5" s="79" t="s">
        <v>36</v>
      </c>
      <c r="S5" s="79"/>
      <c r="T5" s="85">
        <v>54.1</v>
      </c>
      <c r="U5" s="86"/>
    </row>
    <row r="6" ht="14.55" spans="1:21">
      <c r="A6" s="4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69"/>
      <c r="P6" s="4"/>
      <c r="R6" s="79" t="s">
        <v>37</v>
      </c>
      <c r="S6" s="79"/>
      <c r="T6" s="87">
        <f>T5/22.414</f>
        <v>2.41367002766128</v>
      </c>
      <c r="U6" s="86" t="s">
        <v>38</v>
      </c>
    </row>
    <row r="7" ht="13.8" spans="1:21">
      <c r="A7" s="4"/>
      <c r="B7" s="11" t="s">
        <v>39</v>
      </c>
      <c r="C7" s="12">
        <v>75</v>
      </c>
      <c r="D7" s="13" t="s">
        <v>20</v>
      </c>
      <c r="E7" s="10"/>
      <c r="F7" s="14"/>
      <c r="G7" s="15"/>
      <c r="H7" s="15"/>
      <c r="I7" s="15"/>
      <c r="J7" s="15"/>
      <c r="K7" s="15"/>
      <c r="L7" s="15"/>
      <c r="M7" s="15"/>
      <c r="N7" s="15"/>
      <c r="O7" s="70"/>
      <c r="P7" s="4"/>
      <c r="R7" s="79"/>
      <c r="S7" s="79"/>
      <c r="T7" s="87">
        <f>T6*273.15/T3*(T4+1)</f>
        <v>3.69272795550359</v>
      </c>
      <c r="U7" s="86" t="s">
        <v>40</v>
      </c>
    </row>
    <row r="8" spans="1:21">
      <c r="A8" s="4"/>
      <c r="B8" s="16"/>
      <c r="C8" s="17">
        <f>C7+273.15</f>
        <v>348.15</v>
      </c>
      <c r="D8" s="18" t="s">
        <v>32</v>
      </c>
      <c r="E8" s="10"/>
      <c r="F8" s="19"/>
      <c r="G8" s="20"/>
      <c r="H8" s="20"/>
      <c r="I8" s="20"/>
      <c r="J8" s="20"/>
      <c r="K8" s="20"/>
      <c r="L8" s="20"/>
      <c r="M8" s="20"/>
      <c r="N8" s="20"/>
      <c r="O8" s="71"/>
      <c r="P8" s="4"/>
      <c r="R8" s="79"/>
      <c r="S8" s="79"/>
      <c r="T8" s="87"/>
      <c r="U8" s="86"/>
    </row>
    <row r="9" spans="1:21">
      <c r="A9" s="4"/>
      <c r="B9" s="16" t="s">
        <v>41</v>
      </c>
      <c r="C9" s="21">
        <v>54.1</v>
      </c>
      <c r="D9" s="22"/>
      <c r="E9" s="10"/>
      <c r="F9" s="19"/>
      <c r="G9" s="20"/>
      <c r="H9" s="20"/>
      <c r="I9" s="20"/>
      <c r="J9" s="20"/>
      <c r="K9" s="20"/>
      <c r="L9" s="20"/>
      <c r="M9" s="20"/>
      <c r="N9" s="20"/>
      <c r="O9" s="71"/>
      <c r="P9" s="4"/>
      <c r="R9" s="79"/>
      <c r="S9" s="79"/>
      <c r="T9" s="87"/>
      <c r="U9" s="86"/>
    </row>
    <row r="10" spans="1:21">
      <c r="A10" s="4"/>
      <c r="B10" s="16" t="s">
        <v>42</v>
      </c>
      <c r="C10" s="21">
        <v>0.95</v>
      </c>
      <c r="D10" s="22" t="s">
        <v>34</v>
      </c>
      <c r="E10" s="10"/>
      <c r="F10" s="19"/>
      <c r="G10" s="20"/>
      <c r="H10" s="20"/>
      <c r="I10" s="20"/>
      <c r="J10" s="20"/>
      <c r="K10" s="20"/>
      <c r="L10" s="20"/>
      <c r="M10" s="20"/>
      <c r="N10" s="20"/>
      <c r="O10" s="71"/>
      <c r="P10" s="4"/>
      <c r="R10" s="79"/>
      <c r="S10" s="79"/>
      <c r="T10" s="87"/>
      <c r="U10" s="86"/>
    </row>
    <row r="11" spans="1:21">
      <c r="A11" s="4"/>
      <c r="B11" s="23" t="s">
        <v>43</v>
      </c>
      <c r="C11" s="21">
        <v>12</v>
      </c>
      <c r="D11" s="22" t="s">
        <v>44</v>
      </c>
      <c r="E11" s="10"/>
      <c r="F11" s="19"/>
      <c r="G11" s="20"/>
      <c r="H11" s="20"/>
      <c r="I11" s="20"/>
      <c r="J11" s="20"/>
      <c r="K11" s="20"/>
      <c r="L11" s="20"/>
      <c r="M11" s="20"/>
      <c r="N11" s="20"/>
      <c r="O11" s="71"/>
      <c r="P11" s="4"/>
      <c r="R11" s="79"/>
      <c r="S11" s="79"/>
      <c r="T11" s="87"/>
      <c r="U11" s="86"/>
    </row>
    <row r="12" spans="1:21">
      <c r="A12" s="4"/>
      <c r="B12" s="16"/>
      <c r="C12" s="24">
        <f>C11*25</f>
        <v>300</v>
      </c>
      <c r="D12" s="22" t="s">
        <v>45</v>
      </c>
      <c r="E12" s="10"/>
      <c r="F12" s="19"/>
      <c r="G12" s="20"/>
      <c r="H12" s="20"/>
      <c r="I12" s="20"/>
      <c r="J12" s="20"/>
      <c r="K12" s="20"/>
      <c r="L12" s="20"/>
      <c r="M12" s="20"/>
      <c r="N12" s="20"/>
      <c r="O12" s="71"/>
      <c r="P12" s="4"/>
      <c r="R12" s="79" t="s">
        <v>46</v>
      </c>
      <c r="S12" s="79"/>
      <c r="T12" s="85">
        <v>32000</v>
      </c>
      <c r="U12" s="86" t="s">
        <v>47</v>
      </c>
    </row>
    <row r="13" spans="1:22">
      <c r="A13" s="4"/>
      <c r="B13" s="25" t="s">
        <v>48</v>
      </c>
      <c r="C13" s="21">
        <f>T13</f>
        <v>30</v>
      </c>
      <c r="D13" s="22" t="s">
        <v>49</v>
      </c>
      <c r="E13" s="10"/>
      <c r="F13" s="19"/>
      <c r="G13" s="20"/>
      <c r="H13" s="20"/>
      <c r="I13" s="20"/>
      <c r="J13" s="20"/>
      <c r="K13" s="20"/>
      <c r="L13" s="20"/>
      <c r="M13" s="20"/>
      <c r="N13" s="20"/>
      <c r="O13" s="71"/>
      <c r="P13" s="4"/>
      <c r="R13" s="79"/>
      <c r="S13" s="79" t="s">
        <v>50</v>
      </c>
      <c r="T13" s="88">
        <v>30</v>
      </c>
      <c r="U13" s="86" t="s">
        <v>51</v>
      </c>
      <c r="V13" s="3" t="s">
        <v>52</v>
      </c>
    </row>
    <row r="14" spans="1:21">
      <c r="A14" s="4"/>
      <c r="B14" s="25"/>
      <c r="C14" s="26"/>
      <c r="D14" s="22"/>
      <c r="E14" s="10"/>
      <c r="F14" s="19"/>
      <c r="G14" s="20"/>
      <c r="H14" s="20"/>
      <c r="I14" s="20"/>
      <c r="J14" s="20"/>
      <c r="K14" s="20"/>
      <c r="L14" s="20"/>
      <c r="M14" s="20"/>
      <c r="N14" s="20"/>
      <c r="O14" s="71"/>
      <c r="P14" s="4"/>
      <c r="R14" s="79" t="s">
        <v>46</v>
      </c>
      <c r="S14" s="79"/>
      <c r="T14" s="89">
        <f>T12*T13/60</f>
        <v>16000</v>
      </c>
      <c r="U14" s="86" t="s">
        <v>47</v>
      </c>
    </row>
    <row r="15" ht="15.6" spans="1:21">
      <c r="A15" s="4"/>
      <c r="B15" s="16" t="s">
        <v>53</v>
      </c>
      <c r="C15" s="26"/>
      <c r="D15" s="22"/>
      <c r="E15" s="10"/>
      <c r="F15" s="27" t="s">
        <v>54</v>
      </c>
      <c r="G15" s="20"/>
      <c r="H15" s="20"/>
      <c r="I15" s="20"/>
      <c r="J15" s="20"/>
      <c r="K15" s="20"/>
      <c r="L15" s="20"/>
      <c r="M15" s="20"/>
      <c r="N15" s="20"/>
      <c r="O15" s="71"/>
      <c r="P15" s="4"/>
      <c r="R15" s="90"/>
      <c r="S15" s="91"/>
      <c r="T15" s="87">
        <f>T14/T7/3600</f>
        <v>1.20356671219728</v>
      </c>
      <c r="U15" s="86" t="s">
        <v>55</v>
      </c>
    </row>
    <row r="16" ht="15.6" spans="1:21">
      <c r="A16" s="4"/>
      <c r="B16" s="23" t="s">
        <v>56</v>
      </c>
      <c r="C16" s="28">
        <f>T12</f>
        <v>32000</v>
      </c>
      <c r="D16" s="22" t="s">
        <v>57</v>
      </c>
      <c r="E16" s="10"/>
      <c r="F16" s="29" t="s">
        <v>58</v>
      </c>
      <c r="G16" s="30">
        <f>L4</f>
        <v>3.80281690140845</v>
      </c>
      <c r="H16" s="20" t="s">
        <v>59</v>
      </c>
      <c r="I16" s="20"/>
      <c r="J16" s="20"/>
      <c r="K16" s="20"/>
      <c r="L16" s="20"/>
      <c r="M16" s="20"/>
      <c r="N16" s="20"/>
      <c r="O16" s="71"/>
      <c r="P16" s="4"/>
      <c r="R16" s="77"/>
      <c r="S16" s="78"/>
      <c r="T16" s="78"/>
      <c r="U16" s="78"/>
    </row>
    <row r="17" ht="15.6" spans="1:21">
      <c r="A17" s="4"/>
      <c r="B17" s="25"/>
      <c r="C17" s="26"/>
      <c r="D17" s="22"/>
      <c r="E17" s="10"/>
      <c r="F17" s="19"/>
      <c r="G17" s="31"/>
      <c r="H17" s="20"/>
      <c r="I17" s="20"/>
      <c r="J17" s="20"/>
      <c r="K17" s="20"/>
      <c r="L17" s="20"/>
      <c r="M17" s="20"/>
      <c r="N17" s="20"/>
      <c r="O17" s="71"/>
      <c r="P17" s="4"/>
      <c r="Q17" s="92"/>
      <c r="R17" s="90"/>
      <c r="S17" s="91"/>
      <c r="T17" s="91"/>
      <c r="U17" s="78"/>
    </row>
    <row r="18" ht="15.6" spans="1:21">
      <c r="A18" s="4"/>
      <c r="B18" s="16" t="s">
        <v>60</v>
      </c>
      <c r="C18" s="26"/>
      <c r="D18" s="22"/>
      <c r="E18" s="10"/>
      <c r="F18" s="32" t="s">
        <v>61</v>
      </c>
      <c r="G18" s="31"/>
      <c r="H18" s="20"/>
      <c r="I18" s="20"/>
      <c r="J18" s="20"/>
      <c r="K18" s="20"/>
      <c r="L18" s="20"/>
      <c r="M18" s="20"/>
      <c r="N18" s="20"/>
      <c r="O18" s="71"/>
      <c r="P18" s="4"/>
      <c r="Q18" s="93" t="s">
        <v>62</v>
      </c>
      <c r="R18" s="91" t="s">
        <v>63</v>
      </c>
      <c r="S18" s="91" t="s">
        <v>64</v>
      </c>
      <c r="T18" s="94">
        <f>102*T4/T20</f>
        <v>0.0969</v>
      </c>
      <c r="U18" s="78"/>
    </row>
    <row r="19" ht="15.6" spans="1:21">
      <c r="A19" s="4"/>
      <c r="B19" s="23" t="s">
        <v>65</v>
      </c>
      <c r="C19" s="33">
        <v>1.5</v>
      </c>
      <c r="D19" s="22" t="s">
        <v>64</v>
      </c>
      <c r="E19" s="10"/>
      <c r="F19" s="29" t="s">
        <v>66</v>
      </c>
      <c r="G19" s="30">
        <f>M4</f>
        <v>0.680999265591931</v>
      </c>
      <c r="H19" s="20" t="s">
        <v>67</v>
      </c>
      <c r="I19" s="20"/>
      <c r="J19" s="20"/>
      <c r="K19" s="20"/>
      <c r="L19" s="20"/>
      <c r="M19" s="20"/>
      <c r="N19" s="20"/>
      <c r="O19" s="71"/>
      <c r="P19" s="4"/>
      <c r="Q19" s="92"/>
      <c r="R19" s="91" t="s">
        <v>68</v>
      </c>
      <c r="S19" s="83" t="s">
        <v>34</v>
      </c>
      <c r="T19" s="95">
        <v>0.95</v>
      </c>
      <c r="U19" s="78"/>
    </row>
    <row r="20" ht="15.6" spans="1:21">
      <c r="A20" s="4"/>
      <c r="B20" s="25"/>
      <c r="C20" s="26"/>
      <c r="D20" s="22"/>
      <c r="E20" s="10"/>
      <c r="F20" s="19"/>
      <c r="G20" s="31"/>
      <c r="H20" s="20"/>
      <c r="I20" s="46"/>
      <c r="J20" s="46"/>
      <c r="K20" s="46"/>
      <c r="L20" s="46"/>
      <c r="M20" s="46"/>
      <c r="N20" s="46"/>
      <c r="O20" s="71"/>
      <c r="P20" s="4"/>
      <c r="Q20" s="92"/>
      <c r="R20" s="96" t="s">
        <v>69</v>
      </c>
      <c r="S20" s="91" t="s">
        <v>70</v>
      </c>
      <c r="T20" s="97">
        <v>1000</v>
      </c>
      <c r="U20" s="78"/>
    </row>
    <row r="21" ht="15.6" spans="1:21">
      <c r="A21" s="4"/>
      <c r="B21" s="16" t="s">
        <v>71</v>
      </c>
      <c r="C21" s="26"/>
      <c r="D21" s="22"/>
      <c r="E21" s="10"/>
      <c r="F21" s="32" t="s">
        <v>72</v>
      </c>
      <c r="G21" s="31"/>
      <c r="H21" s="20"/>
      <c r="I21" s="46"/>
      <c r="J21" s="46"/>
      <c r="K21" s="46"/>
      <c r="L21" s="46"/>
      <c r="M21" s="46"/>
      <c r="N21" s="46"/>
      <c r="O21" s="71"/>
      <c r="P21" s="4"/>
      <c r="Q21" s="92"/>
      <c r="R21" s="91"/>
      <c r="S21" s="91"/>
      <c r="T21" s="91"/>
      <c r="U21" s="78"/>
    </row>
    <row r="22" ht="15.6" spans="1:21">
      <c r="A22" s="4"/>
      <c r="B22" s="23" t="s">
        <v>73</v>
      </c>
      <c r="C22" s="34">
        <f>C19*1.8</f>
        <v>2.7</v>
      </c>
      <c r="D22" s="22" t="s">
        <v>64</v>
      </c>
      <c r="E22" s="10"/>
      <c r="F22" s="29" t="s">
        <v>74</v>
      </c>
      <c r="G22" s="35">
        <f>N4</f>
        <v>2.58971551703974</v>
      </c>
      <c r="H22" s="20" t="s">
        <v>64</v>
      </c>
      <c r="I22" s="46"/>
      <c r="J22" s="37"/>
      <c r="K22" s="46"/>
      <c r="L22" s="46"/>
      <c r="M22" s="46"/>
      <c r="N22" s="46"/>
      <c r="O22" s="71"/>
      <c r="P22" s="4"/>
      <c r="Q22" s="93" t="s">
        <v>75</v>
      </c>
      <c r="R22" s="96" t="s">
        <v>76</v>
      </c>
      <c r="S22" s="91" t="s">
        <v>64</v>
      </c>
      <c r="T22" s="98">
        <f>T23*2</f>
        <v>1.2</v>
      </c>
      <c r="U22" s="78"/>
    </row>
    <row r="23" ht="15.6" spans="1:21">
      <c r="A23" s="4"/>
      <c r="B23" s="23" t="s">
        <v>77</v>
      </c>
      <c r="C23" s="34">
        <f>C12*1.8*1.5/1000</f>
        <v>0.81</v>
      </c>
      <c r="D23" s="22" t="s">
        <v>64</v>
      </c>
      <c r="E23" s="10"/>
      <c r="F23" s="19"/>
      <c r="G23" s="36" t="str">
        <f>IF($G$22&lt;($C$22*1.05),"VERIFIED","NOT VERIFIED")</f>
        <v>VERIFIED</v>
      </c>
      <c r="H23" s="20"/>
      <c r="I23" s="46"/>
      <c r="J23" s="46"/>
      <c r="K23" s="46"/>
      <c r="L23" s="46"/>
      <c r="M23" s="46"/>
      <c r="N23" s="46"/>
      <c r="O23" s="71"/>
      <c r="P23" s="4"/>
      <c r="Q23" s="92"/>
      <c r="R23" s="96" t="s">
        <v>78</v>
      </c>
      <c r="S23" s="91" t="s">
        <v>64</v>
      </c>
      <c r="T23" s="91">
        <f>T33*25/1000</f>
        <v>0.6</v>
      </c>
      <c r="U23" s="78"/>
    </row>
    <row r="24" ht="15.6" spans="1:21">
      <c r="A24" s="4"/>
      <c r="B24" s="16" t="s">
        <v>79</v>
      </c>
      <c r="C24" s="26"/>
      <c r="D24" s="22"/>
      <c r="E24" s="10"/>
      <c r="F24" s="32" t="s">
        <v>80</v>
      </c>
      <c r="G24" s="37"/>
      <c r="H24" s="20"/>
      <c r="I24" s="46"/>
      <c r="J24" s="46"/>
      <c r="K24" s="46"/>
      <c r="L24" s="46"/>
      <c r="M24" s="46"/>
      <c r="N24" s="46"/>
      <c r="O24" s="71"/>
      <c r="P24" s="4"/>
      <c r="Q24" s="92"/>
      <c r="R24" s="99"/>
      <c r="S24" s="91"/>
      <c r="T24" s="91"/>
      <c r="U24" s="78"/>
    </row>
    <row r="25" ht="15.6" spans="1:21">
      <c r="A25" s="4"/>
      <c r="B25" s="23" t="s">
        <v>81</v>
      </c>
      <c r="C25" s="38">
        <f>C19</f>
        <v>1.5</v>
      </c>
      <c r="D25" s="22" t="s">
        <v>64</v>
      </c>
      <c r="E25" s="10"/>
      <c r="F25" s="29" t="s">
        <v>82</v>
      </c>
      <c r="G25" s="35">
        <f>T38</f>
        <v>1.46913312903343</v>
      </c>
      <c r="H25" s="20" t="s">
        <v>64</v>
      </c>
      <c r="I25" s="46"/>
      <c r="J25" s="46"/>
      <c r="K25" s="46"/>
      <c r="L25" s="46"/>
      <c r="M25" s="46"/>
      <c r="N25" s="46"/>
      <c r="O25" s="71"/>
      <c r="P25" s="4"/>
      <c r="Q25" s="93" t="s">
        <v>83</v>
      </c>
      <c r="R25" s="99"/>
      <c r="S25" s="91" t="s">
        <v>64</v>
      </c>
      <c r="T25" s="100">
        <f>T38*T34</f>
        <v>2.20369969355015</v>
      </c>
      <c r="U25" s="78"/>
    </row>
    <row r="26" ht="15.6" spans="1:21">
      <c r="A26" s="4"/>
      <c r="B26" s="23" t="s">
        <v>84</v>
      </c>
      <c r="C26" s="38">
        <f>C12*2/1000</f>
        <v>0.6</v>
      </c>
      <c r="D26" s="22" t="s">
        <v>64</v>
      </c>
      <c r="E26" s="10"/>
      <c r="F26" s="19"/>
      <c r="G26" s="36" t="str">
        <f>IF($G$25&lt;($C$19*1.05),"VERIFIED","NOT VERIFIED")</f>
        <v>VERIFIED</v>
      </c>
      <c r="H26" s="20"/>
      <c r="I26" s="46"/>
      <c r="J26" s="46"/>
      <c r="K26" s="46"/>
      <c r="L26" s="46"/>
      <c r="M26" s="46"/>
      <c r="N26" s="46"/>
      <c r="O26" s="71"/>
      <c r="P26" s="4"/>
      <c r="Q26" s="92"/>
      <c r="R26" s="99"/>
      <c r="S26" s="91"/>
      <c r="T26" s="91"/>
      <c r="U26" s="78"/>
    </row>
    <row r="27" ht="15.6" spans="1:21">
      <c r="A27" s="4"/>
      <c r="B27" s="23" t="s">
        <v>85</v>
      </c>
      <c r="C27" s="38">
        <f>C12/1000</f>
        <v>0.3</v>
      </c>
      <c r="D27" s="22" t="s">
        <v>64</v>
      </c>
      <c r="E27" s="10"/>
      <c r="F27" s="19"/>
      <c r="G27" s="37"/>
      <c r="H27" s="20"/>
      <c r="I27" s="46"/>
      <c r="J27" s="46"/>
      <c r="K27" s="46"/>
      <c r="L27" s="46"/>
      <c r="M27" s="46"/>
      <c r="N27" s="46"/>
      <c r="O27" s="71"/>
      <c r="P27" s="4"/>
      <c r="Q27" s="92"/>
      <c r="R27" s="99"/>
      <c r="S27" s="91"/>
      <c r="T27" s="91"/>
      <c r="U27" s="78"/>
    </row>
    <row r="28" ht="15.6" spans="1:21">
      <c r="A28" s="4"/>
      <c r="B28" s="23" t="s">
        <v>86</v>
      </c>
      <c r="C28" s="38">
        <f>G37</f>
        <v>2.4</v>
      </c>
      <c r="D28" s="22" t="s">
        <v>64</v>
      </c>
      <c r="E28" s="10"/>
      <c r="F28" s="19"/>
      <c r="G28" s="37"/>
      <c r="H28" s="20"/>
      <c r="I28" s="46"/>
      <c r="J28" s="46"/>
      <c r="K28" s="46"/>
      <c r="L28" s="46"/>
      <c r="M28" s="46"/>
      <c r="N28" s="46"/>
      <c r="O28" s="71"/>
      <c r="P28" s="4"/>
      <c r="Q28" s="92"/>
      <c r="R28" s="99"/>
      <c r="S28" s="91"/>
      <c r="T28" s="91"/>
      <c r="U28" s="78"/>
    </row>
    <row r="29" ht="15.6" spans="1:21">
      <c r="A29" s="4"/>
      <c r="B29" s="23" t="s">
        <v>87</v>
      </c>
      <c r="C29" s="38">
        <v>0.3</v>
      </c>
      <c r="D29" s="22" t="s">
        <v>64</v>
      </c>
      <c r="E29" s="10"/>
      <c r="F29" s="19"/>
      <c r="G29" s="37"/>
      <c r="H29" s="20"/>
      <c r="I29" s="46"/>
      <c r="J29" s="46"/>
      <c r="K29" s="46"/>
      <c r="L29" s="46"/>
      <c r="M29" s="46"/>
      <c r="N29" s="46"/>
      <c r="O29" s="71"/>
      <c r="P29" s="4"/>
      <c r="Q29" s="92"/>
      <c r="R29" s="99"/>
      <c r="S29" s="91"/>
      <c r="T29" s="91"/>
      <c r="U29" s="78"/>
    </row>
    <row r="30" ht="15.6" spans="1:21">
      <c r="A30" s="4"/>
      <c r="B30" s="23" t="s">
        <v>88</v>
      </c>
      <c r="C30" s="38">
        <f>C19*1</f>
        <v>1.5</v>
      </c>
      <c r="D30" s="22" t="s">
        <v>64</v>
      </c>
      <c r="E30" s="10"/>
      <c r="F30" s="19"/>
      <c r="G30" s="37"/>
      <c r="H30" s="20"/>
      <c r="I30" s="46"/>
      <c r="J30" s="46"/>
      <c r="K30" s="46"/>
      <c r="L30" s="46"/>
      <c r="M30" s="46"/>
      <c r="N30" s="46"/>
      <c r="O30" s="71"/>
      <c r="P30" s="4"/>
      <c r="Q30" s="92"/>
      <c r="R30" s="99"/>
      <c r="S30" s="91"/>
      <c r="T30" s="91"/>
      <c r="U30" s="78"/>
    </row>
    <row r="31" ht="15.6" spans="1:21">
      <c r="A31" s="4"/>
      <c r="B31" s="23" t="s">
        <v>89</v>
      </c>
      <c r="C31" s="38">
        <f>C25</f>
        <v>1.5</v>
      </c>
      <c r="D31" s="22" t="s">
        <v>64</v>
      </c>
      <c r="E31" s="10"/>
      <c r="F31" s="19"/>
      <c r="G31" s="37"/>
      <c r="H31" s="20"/>
      <c r="I31" s="46"/>
      <c r="J31" s="46"/>
      <c r="K31" s="46"/>
      <c r="L31" s="46"/>
      <c r="M31" s="46"/>
      <c r="N31" s="46"/>
      <c r="O31" s="71"/>
      <c r="P31" s="4"/>
      <c r="Q31" s="92"/>
      <c r="R31" s="99"/>
      <c r="S31" s="91"/>
      <c r="T31" s="91"/>
      <c r="U31" s="78"/>
    </row>
    <row r="32" ht="15.6" spans="1:21">
      <c r="A32" s="4"/>
      <c r="B32" s="23" t="s">
        <v>90</v>
      </c>
      <c r="C32" s="38">
        <v>0.2</v>
      </c>
      <c r="D32" s="22" t="s">
        <v>64</v>
      </c>
      <c r="E32" s="10"/>
      <c r="F32" s="19"/>
      <c r="G32" s="37"/>
      <c r="H32" s="20"/>
      <c r="I32" s="46"/>
      <c r="J32" s="46"/>
      <c r="K32" s="46"/>
      <c r="L32" s="46"/>
      <c r="M32" s="46"/>
      <c r="N32" s="46"/>
      <c r="O32" s="71"/>
      <c r="P32" s="4"/>
      <c r="Q32" s="92"/>
      <c r="R32" s="99"/>
      <c r="S32" s="91"/>
      <c r="T32" s="91"/>
      <c r="U32" s="78"/>
    </row>
    <row r="33" ht="15.6" spans="1:21">
      <c r="A33" s="4"/>
      <c r="B33" s="39" t="s">
        <v>91</v>
      </c>
      <c r="C33" s="40"/>
      <c r="D33" s="41"/>
      <c r="E33" s="10"/>
      <c r="F33" s="32" t="s">
        <v>92</v>
      </c>
      <c r="G33" s="20"/>
      <c r="H33" s="20"/>
      <c r="I33" s="46"/>
      <c r="J33" s="46"/>
      <c r="K33" s="46"/>
      <c r="L33" s="46"/>
      <c r="M33" s="46"/>
      <c r="N33" s="46"/>
      <c r="O33" s="71"/>
      <c r="P33" s="4"/>
      <c r="Q33" s="92"/>
      <c r="R33" s="91"/>
      <c r="S33" s="91" t="s">
        <v>44</v>
      </c>
      <c r="T33" s="101">
        <v>24</v>
      </c>
      <c r="U33" s="78"/>
    </row>
    <row r="34" ht="15.6" spans="1:21">
      <c r="A34" s="4"/>
      <c r="B34" s="42" t="s">
        <v>93</v>
      </c>
      <c r="C34" s="43">
        <f>C23-(C12/1000*1.5)</f>
        <v>0.36</v>
      </c>
      <c r="D34" s="41"/>
      <c r="E34" s="10"/>
      <c r="F34" s="29" t="s">
        <v>94</v>
      </c>
      <c r="G34" s="30">
        <f>F67</f>
        <v>4.7712898125</v>
      </c>
      <c r="H34" s="20" t="s">
        <v>95</v>
      </c>
      <c r="I34" s="46"/>
      <c r="J34" s="46"/>
      <c r="K34" s="46"/>
      <c r="L34" s="46"/>
      <c r="M34" s="46"/>
      <c r="N34" s="46"/>
      <c r="O34" s="71"/>
      <c r="P34" s="4"/>
      <c r="Q34" s="92"/>
      <c r="R34" s="91" t="s">
        <v>96</v>
      </c>
      <c r="S34" s="91"/>
      <c r="T34" s="95">
        <v>1.5</v>
      </c>
      <c r="U34" s="102" t="s">
        <v>97</v>
      </c>
    </row>
    <row r="35" ht="15.6" spans="1:21">
      <c r="A35" s="4"/>
      <c r="B35" s="25"/>
      <c r="C35" s="26"/>
      <c r="D35" s="22"/>
      <c r="E35" s="10"/>
      <c r="F35" s="19"/>
      <c r="G35" s="20"/>
      <c r="H35" s="20"/>
      <c r="I35" s="46"/>
      <c r="J35" s="46"/>
      <c r="K35" s="46"/>
      <c r="L35" s="46"/>
      <c r="M35" s="46"/>
      <c r="N35" s="46"/>
      <c r="O35" s="71"/>
      <c r="P35" s="4"/>
      <c r="Q35" s="92"/>
      <c r="R35" s="91" t="s">
        <v>98</v>
      </c>
      <c r="S35" s="91" t="s">
        <v>64</v>
      </c>
      <c r="T35" s="91">
        <f>T22*T23</f>
        <v>0.72</v>
      </c>
      <c r="U35" s="102" t="s">
        <v>99</v>
      </c>
    </row>
    <row r="36" ht="15.6" spans="1:21">
      <c r="A36" s="4"/>
      <c r="B36" s="16" t="s">
        <v>100</v>
      </c>
      <c r="C36" s="26"/>
      <c r="D36" s="22"/>
      <c r="E36" s="10"/>
      <c r="F36" s="32" t="s">
        <v>101</v>
      </c>
      <c r="G36" s="31"/>
      <c r="H36" s="20"/>
      <c r="I36" s="46"/>
      <c r="J36" s="46"/>
      <c r="K36" s="46"/>
      <c r="L36" s="46"/>
      <c r="M36" s="46"/>
      <c r="N36" s="46"/>
      <c r="O36" s="71"/>
      <c r="P36" s="4"/>
      <c r="Q36" s="92"/>
      <c r="R36" s="91"/>
      <c r="S36" s="91"/>
      <c r="T36" s="103">
        <v>1</v>
      </c>
      <c r="U36" s="78"/>
    </row>
    <row r="37" ht="15.6" spans="1:21">
      <c r="A37" s="4"/>
      <c r="B37" s="23" t="s">
        <v>102</v>
      </c>
      <c r="C37" s="34">
        <v>400</v>
      </c>
      <c r="D37" s="22" t="s">
        <v>103</v>
      </c>
      <c r="E37" s="10"/>
      <c r="F37" s="29" t="s">
        <v>104</v>
      </c>
      <c r="G37" s="35">
        <f>G40*2</f>
        <v>2.4</v>
      </c>
      <c r="H37" s="20" t="s">
        <v>64</v>
      </c>
      <c r="I37" s="46"/>
      <c r="J37" s="46"/>
      <c r="K37" s="46"/>
      <c r="L37" s="46"/>
      <c r="M37" s="46"/>
      <c r="N37" s="46"/>
      <c r="O37" s="71"/>
      <c r="P37" s="4"/>
      <c r="Q37" s="92"/>
      <c r="R37" s="91" t="s">
        <v>105</v>
      </c>
      <c r="S37" s="91" t="s">
        <v>106</v>
      </c>
      <c r="T37" s="87">
        <f>T15/0.71</f>
        <v>1.69516438337645</v>
      </c>
      <c r="U37" s="78"/>
    </row>
    <row r="38" ht="15.6" spans="1:21">
      <c r="A38" s="4"/>
      <c r="B38" s="25"/>
      <c r="C38" s="26"/>
      <c r="D38" s="22"/>
      <c r="E38" s="10"/>
      <c r="F38" s="19"/>
      <c r="G38" s="36" t="str">
        <f>IF($G$22&lt;($C$22*1.05),"VERIFIED","NOT VERIFIED")</f>
        <v>VERIFIED</v>
      </c>
      <c r="H38" s="20"/>
      <c r="I38" s="46"/>
      <c r="J38" s="46"/>
      <c r="K38" s="46"/>
      <c r="L38" s="46"/>
      <c r="M38" s="46"/>
      <c r="N38" s="46"/>
      <c r="O38" s="71"/>
      <c r="P38" s="4"/>
      <c r="Q38" s="93" t="s">
        <v>107</v>
      </c>
      <c r="R38" s="91" t="s">
        <v>108</v>
      </c>
      <c r="S38" s="91" t="s">
        <v>64</v>
      </c>
      <c r="T38" s="104">
        <f>(T37*4/3.14159)^0.5</f>
        <v>1.46913312903343</v>
      </c>
      <c r="U38" s="78"/>
    </row>
    <row r="39" spans="1:16">
      <c r="A39" s="4"/>
      <c r="B39" s="16" t="s">
        <v>109</v>
      </c>
      <c r="C39" s="26"/>
      <c r="D39" s="22"/>
      <c r="E39" s="10"/>
      <c r="F39" s="32" t="s">
        <v>79</v>
      </c>
      <c r="G39" s="37"/>
      <c r="H39" s="20"/>
      <c r="I39" s="46"/>
      <c r="J39" s="46"/>
      <c r="K39" s="46"/>
      <c r="L39" s="72"/>
      <c r="M39" s="73"/>
      <c r="N39" s="73"/>
      <c r="O39" s="71"/>
      <c r="P39" s="4"/>
    </row>
    <row r="40" spans="1:16">
      <c r="A40" s="4"/>
      <c r="B40" s="23" t="s">
        <v>110</v>
      </c>
      <c r="C40" s="34">
        <v>650</v>
      </c>
      <c r="D40" s="22" t="s">
        <v>111</v>
      </c>
      <c r="E40" s="10"/>
      <c r="F40" s="29" t="s">
        <v>112</v>
      </c>
      <c r="G40" s="35">
        <f>T22</f>
        <v>1.2</v>
      </c>
      <c r="H40" s="20" t="s">
        <v>64</v>
      </c>
      <c r="I40" s="46"/>
      <c r="J40" s="46"/>
      <c r="K40" s="46"/>
      <c r="L40" s="46"/>
      <c r="M40" s="46"/>
      <c r="N40" s="46"/>
      <c r="O40" s="71"/>
      <c r="P40" s="4"/>
    </row>
    <row r="41" spans="1:16">
      <c r="A41" s="4"/>
      <c r="B41" s="25"/>
      <c r="C41" s="26"/>
      <c r="D41" s="22"/>
      <c r="E41" s="10"/>
      <c r="F41" s="19"/>
      <c r="G41" s="36" t="str">
        <f>IF($G$40&lt;($C$25*1.05),"VERIFIED","NOT VERIFIED")</f>
        <v>VERIFIED</v>
      </c>
      <c r="H41" s="20"/>
      <c r="I41" s="72"/>
      <c r="J41" s="46"/>
      <c r="K41" s="46"/>
      <c r="L41" s="46"/>
      <c r="M41" s="46"/>
      <c r="N41" s="46"/>
      <c r="O41" s="71"/>
      <c r="P41" s="4"/>
    </row>
    <row r="42" spans="1:16">
      <c r="A42" s="4"/>
      <c r="B42" s="16" t="s">
        <v>113</v>
      </c>
      <c r="C42" s="26"/>
      <c r="D42" s="22"/>
      <c r="E42" s="10"/>
      <c r="F42" s="19"/>
      <c r="G42" s="20"/>
      <c r="H42" s="20"/>
      <c r="I42" s="46"/>
      <c r="J42" s="46"/>
      <c r="K42" s="46"/>
      <c r="L42" s="46"/>
      <c r="M42" s="46"/>
      <c r="N42" s="46"/>
      <c r="O42" s="71"/>
      <c r="P42" s="4"/>
    </row>
    <row r="43" spans="1:16">
      <c r="A43" s="4"/>
      <c r="B43" s="23" t="s">
        <v>114</v>
      </c>
      <c r="C43" s="35">
        <f>C9/22.4*273.15/C8*(C10+1)</f>
        <v>3.69503591047578</v>
      </c>
      <c r="D43" s="22" t="s">
        <v>111</v>
      </c>
      <c r="E43" s="10"/>
      <c r="F43" s="19"/>
      <c r="G43" s="20"/>
      <c r="H43" s="20"/>
      <c r="I43" s="46"/>
      <c r="J43" s="46"/>
      <c r="K43" s="46"/>
      <c r="L43" s="46"/>
      <c r="M43" s="46"/>
      <c r="N43" s="46"/>
      <c r="O43" s="71"/>
      <c r="P43" s="4"/>
    </row>
    <row r="44" spans="1:16">
      <c r="A44" s="4"/>
      <c r="B44" s="25"/>
      <c r="C44" s="26"/>
      <c r="D44" s="22"/>
      <c r="E44" s="10"/>
      <c r="F44" s="32" t="s">
        <v>115</v>
      </c>
      <c r="G44" s="20"/>
      <c r="H44" s="20"/>
      <c r="I44" s="46"/>
      <c r="J44" s="72"/>
      <c r="K44" s="74"/>
      <c r="L44" s="46"/>
      <c r="M44" s="46"/>
      <c r="N44" s="46"/>
      <c r="O44" s="71"/>
      <c r="P44" s="4"/>
    </row>
    <row r="45" spans="1:16">
      <c r="A45" s="4"/>
      <c r="B45" s="16" t="s">
        <v>116</v>
      </c>
      <c r="C45" s="26"/>
      <c r="D45" s="22"/>
      <c r="E45" s="10"/>
      <c r="F45" s="19" t="s">
        <v>117</v>
      </c>
      <c r="G45" s="44">
        <f>G54</f>
        <v>0.71</v>
      </c>
      <c r="H45" s="20" t="s">
        <v>67</v>
      </c>
      <c r="I45" s="46"/>
      <c r="J45" s="46"/>
      <c r="K45" s="46"/>
      <c r="L45" s="46"/>
      <c r="M45" s="46"/>
      <c r="N45" s="46"/>
      <c r="O45" s="71"/>
      <c r="P45" s="4"/>
    </row>
    <row r="46" spans="1:16">
      <c r="A46" s="4"/>
      <c r="B46" s="23" t="s">
        <v>118</v>
      </c>
      <c r="C46" s="34">
        <v>0.010056</v>
      </c>
      <c r="D46" s="22" t="s">
        <v>119</v>
      </c>
      <c r="E46" s="10"/>
      <c r="F46" s="19"/>
      <c r="G46" s="20"/>
      <c r="H46" s="20"/>
      <c r="I46" s="20"/>
      <c r="J46" s="20"/>
      <c r="K46" s="20"/>
      <c r="L46" s="20"/>
      <c r="M46" s="20"/>
      <c r="N46" s="20"/>
      <c r="O46" s="71"/>
      <c r="P46" s="4"/>
    </row>
    <row r="47" spans="1:16">
      <c r="A47" s="4"/>
      <c r="B47" s="25"/>
      <c r="C47" s="26"/>
      <c r="D47" s="22"/>
      <c r="E47" s="10"/>
      <c r="F47" s="19"/>
      <c r="G47" s="20"/>
      <c r="H47" s="20"/>
      <c r="I47" s="20"/>
      <c r="J47" s="20"/>
      <c r="K47" s="20"/>
      <c r="L47" s="20"/>
      <c r="M47" s="20"/>
      <c r="N47" s="20"/>
      <c r="O47" s="71"/>
      <c r="P47" s="4"/>
    </row>
    <row r="48" hidden="1" spans="1:16">
      <c r="A48" s="4"/>
      <c r="B48" s="16" t="s">
        <v>120</v>
      </c>
      <c r="C48" s="45"/>
      <c r="D48" s="22"/>
      <c r="E48" s="10"/>
      <c r="F48" s="37"/>
      <c r="G48" s="46"/>
      <c r="H48" s="46"/>
      <c r="I48" s="20"/>
      <c r="J48" s="20"/>
      <c r="K48" s="20"/>
      <c r="L48" s="20"/>
      <c r="M48" s="20"/>
      <c r="N48" s="20"/>
      <c r="O48" s="71"/>
      <c r="P48" s="4"/>
    </row>
    <row r="49" hidden="1" spans="1:16">
      <c r="A49" s="4"/>
      <c r="B49" s="23" t="s">
        <v>121</v>
      </c>
      <c r="C49" s="47">
        <v>0.8</v>
      </c>
      <c r="D49" s="22"/>
      <c r="E49" s="10"/>
      <c r="F49" s="46"/>
      <c r="G49" s="48"/>
      <c r="H49" s="46"/>
      <c r="I49" s="20"/>
      <c r="J49" s="20"/>
      <c r="K49" s="20"/>
      <c r="L49" s="20"/>
      <c r="M49" s="20"/>
      <c r="N49" s="20"/>
      <c r="O49" s="71"/>
      <c r="P49" s="4"/>
    </row>
    <row r="50" ht="13.95" spans="1:16">
      <c r="A50" s="4"/>
      <c r="B50" s="49"/>
      <c r="C50" s="50"/>
      <c r="D50" s="51"/>
      <c r="E50" s="52"/>
      <c r="F50" s="53"/>
      <c r="G50" s="54"/>
      <c r="H50" s="54"/>
      <c r="I50" s="54"/>
      <c r="J50" s="54"/>
      <c r="K50" s="54"/>
      <c r="L50" s="54"/>
      <c r="M50" s="54"/>
      <c r="N50" s="54"/>
      <c r="O50" s="75"/>
      <c r="P50" s="4"/>
    </row>
    <row r="51" spans="1:16">
      <c r="A51" s="4"/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69"/>
      <c r="P51" s="4"/>
    </row>
    <row r="52" spans="1:16">
      <c r="A52" s="4"/>
      <c r="B52" s="55" t="s">
        <v>122</v>
      </c>
      <c r="C52" s="56" t="s">
        <v>123</v>
      </c>
      <c r="D52" s="57" t="s">
        <v>124</v>
      </c>
      <c r="E52" s="56">
        <v>0</v>
      </c>
      <c r="F52" s="57" t="s">
        <v>125</v>
      </c>
      <c r="G52" s="58" t="s">
        <v>126</v>
      </c>
      <c r="H52" s="10"/>
      <c r="I52" s="10"/>
      <c r="J52" s="57" t="s">
        <v>127</v>
      </c>
      <c r="K52" s="34" t="s">
        <v>128</v>
      </c>
      <c r="L52" s="10"/>
      <c r="M52" s="10"/>
      <c r="N52" s="10"/>
      <c r="O52" s="69"/>
      <c r="P52" s="4"/>
    </row>
    <row r="53" ht="13.95" spans="1:16">
      <c r="A53" s="59"/>
      <c r="B53" s="60"/>
      <c r="C53" s="61"/>
      <c r="D53" s="61"/>
      <c r="E53" s="61"/>
      <c r="F53" s="61"/>
      <c r="G53" s="62"/>
      <c r="H53" s="63"/>
      <c r="I53" s="63"/>
      <c r="J53" s="61"/>
      <c r="K53" s="63"/>
      <c r="L53" s="63"/>
      <c r="M53" s="63"/>
      <c r="N53" s="63"/>
      <c r="O53" s="76"/>
      <c r="P53" s="4"/>
    </row>
    <row r="54" ht="13.95" spans="1:16">
      <c r="A54" s="59"/>
      <c r="B54" s="59"/>
      <c r="C54" s="59"/>
      <c r="D54" s="59"/>
      <c r="E54" s="59"/>
      <c r="F54" s="64" t="s">
        <v>129</v>
      </c>
      <c r="G54" s="4">
        <v>0.71</v>
      </c>
      <c r="H54" s="4"/>
      <c r="I54" s="4"/>
      <c r="J54" s="4"/>
      <c r="K54" s="4"/>
      <c r="L54" s="4"/>
      <c r="M54" s="4"/>
      <c r="N54" s="4"/>
      <c r="O54" s="4"/>
      <c r="P54" s="4"/>
    </row>
    <row r="55" spans="1:1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1:16">
      <c r="A56" s="4"/>
      <c r="B56" s="65"/>
      <c r="C56" s="65"/>
      <c r="D56" s="65"/>
      <c r="E56" s="65"/>
      <c r="F56" s="65"/>
      <c r="G56" s="65"/>
      <c r="H56" s="65"/>
      <c r="I56" s="65"/>
      <c r="J56" s="65"/>
      <c r="K56" s="4"/>
      <c r="L56" s="4"/>
      <c r="M56" s="4"/>
      <c r="N56" s="4"/>
      <c r="O56" s="4"/>
      <c r="P56" s="4"/>
    </row>
    <row r="57" spans="1:16">
      <c r="A57" s="66"/>
      <c r="B57" s="65"/>
      <c r="C57" s="65"/>
      <c r="D57" s="65"/>
      <c r="E57" s="65"/>
      <c r="F57" s="65"/>
      <c r="G57" s="65"/>
      <c r="H57" s="65"/>
      <c r="I57" s="65"/>
      <c r="J57" s="65"/>
      <c r="K57" s="4"/>
      <c r="L57" s="4"/>
      <c r="M57" s="4"/>
      <c r="N57" s="4"/>
      <c r="O57" s="4"/>
      <c r="P57" s="4"/>
    </row>
    <row r="58" spans="1:16">
      <c r="A58" s="66"/>
      <c r="B58" s="65" t="s">
        <v>130</v>
      </c>
      <c r="C58" s="65"/>
      <c r="D58" s="65"/>
      <c r="E58" s="65"/>
      <c r="F58" s="65"/>
      <c r="G58" s="65"/>
      <c r="H58" s="65"/>
      <c r="I58" s="65"/>
      <c r="J58" s="65"/>
      <c r="K58" s="4"/>
      <c r="L58" s="4"/>
      <c r="M58" s="4"/>
      <c r="N58" s="4"/>
      <c r="O58" s="4"/>
      <c r="P58" s="4"/>
    </row>
    <row r="59" spans="1:16">
      <c r="A59" s="66"/>
      <c r="B59" s="65"/>
      <c r="C59" s="65"/>
      <c r="D59" s="65"/>
      <c r="E59" s="65"/>
      <c r="F59" s="65"/>
      <c r="G59" s="65"/>
      <c r="H59" s="65"/>
      <c r="I59" s="65"/>
      <c r="J59" s="65"/>
      <c r="K59" s="4"/>
      <c r="L59" s="4"/>
      <c r="M59" s="4"/>
      <c r="N59" s="4"/>
      <c r="O59" s="4"/>
      <c r="P59" s="4"/>
    </row>
    <row r="60" spans="1:16">
      <c r="A60" s="66"/>
      <c r="B60" s="65" t="s">
        <v>131</v>
      </c>
      <c r="C60" s="65" t="s">
        <v>132</v>
      </c>
      <c r="D60" s="65" t="s">
        <v>133</v>
      </c>
      <c r="E60" s="65"/>
      <c r="F60" s="65"/>
      <c r="G60" s="65"/>
      <c r="H60" s="65"/>
      <c r="I60" s="65"/>
      <c r="J60" s="65"/>
      <c r="K60" s="4"/>
      <c r="L60" s="4"/>
      <c r="M60" s="4"/>
      <c r="N60" s="4"/>
      <c r="O60" s="4"/>
      <c r="P60" s="4"/>
    </row>
    <row r="61" spans="1:16">
      <c r="A61" s="66"/>
      <c r="B61" s="65">
        <f>(13000000*C43*(C37/1000000)^3*(C40-C43))/C46^2</f>
        <v>19648.4796791645</v>
      </c>
      <c r="C61" s="65">
        <f>C49</f>
        <v>0.8</v>
      </c>
      <c r="D61" s="65">
        <f>1.15*((9.8*(C37/1000000)*(C40-C43))/(C43*C61))^0.5</f>
        <v>1.0646461659816</v>
      </c>
      <c r="E61" s="65"/>
      <c r="F61" s="65"/>
      <c r="G61" s="65"/>
      <c r="H61" s="65"/>
      <c r="I61" s="65"/>
      <c r="J61" s="65"/>
      <c r="K61" s="4"/>
      <c r="L61" s="4"/>
      <c r="M61" s="4"/>
      <c r="N61" s="4"/>
      <c r="O61" s="4"/>
      <c r="P61" s="4"/>
    </row>
    <row r="62" spans="1:16">
      <c r="A62" s="66"/>
      <c r="B62" s="65"/>
      <c r="C62" s="65"/>
      <c r="D62" s="65"/>
      <c r="E62" s="65"/>
      <c r="F62" s="65"/>
      <c r="G62" s="65"/>
      <c r="H62" s="65"/>
      <c r="I62" s="65"/>
      <c r="J62" s="65"/>
      <c r="K62" s="4"/>
      <c r="L62" s="4"/>
      <c r="M62" s="4"/>
      <c r="N62" s="4"/>
      <c r="O62" s="4"/>
      <c r="P62" s="4"/>
    </row>
    <row r="63" spans="1:16">
      <c r="A63" s="66"/>
      <c r="B63" s="65"/>
      <c r="C63" s="65"/>
      <c r="D63" s="65"/>
      <c r="E63" s="65"/>
      <c r="F63" s="65"/>
      <c r="G63" s="65"/>
      <c r="H63" s="65"/>
      <c r="I63" s="65"/>
      <c r="J63" s="65"/>
      <c r="K63" s="4"/>
      <c r="L63" s="4"/>
      <c r="M63" s="4"/>
      <c r="N63" s="4"/>
      <c r="O63" s="4"/>
      <c r="P63" s="4"/>
    </row>
    <row r="64" spans="1:16">
      <c r="A64" s="66"/>
      <c r="B64" s="65" t="s">
        <v>134</v>
      </c>
      <c r="C64" s="65"/>
      <c r="D64" s="65"/>
      <c r="E64" s="65"/>
      <c r="F64" s="65"/>
      <c r="G64" s="65"/>
      <c r="H64" s="65"/>
      <c r="I64" s="65"/>
      <c r="J64" s="65"/>
      <c r="K64" s="4"/>
      <c r="L64" s="4"/>
      <c r="M64" s="4"/>
      <c r="N64" s="4"/>
      <c r="O64" s="4"/>
      <c r="P64" s="4"/>
    </row>
    <row r="65" spans="1:16">
      <c r="A65" s="66"/>
      <c r="B65" s="65"/>
      <c r="C65" s="65"/>
      <c r="D65" s="65"/>
      <c r="E65" s="65"/>
      <c r="F65" s="65"/>
      <c r="G65" s="65"/>
      <c r="H65" s="65"/>
      <c r="I65" s="65"/>
      <c r="J65" s="65"/>
      <c r="K65" s="4"/>
      <c r="L65" s="4"/>
      <c r="M65" s="4"/>
      <c r="N65" s="4"/>
      <c r="O65" s="4"/>
      <c r="P65" s="4"/>
    </row>
    <row r="66" spans="1:16">
      <c r="A66" s="66" t="s">
        <v>135</v>
      </c>
      <c r="B66" s="65" t="s">
        <v>132</v>
      </c>
      <c r="C66" s="65" t="s">
        <v>136</v>
      </c>
      <c r="D66" s="65" t="s">
        <v>137</v>
      </c>
      <c r="E66" s="65" t="s">
        <v>138</v>
      </c>
      <c r="F66" s="65" t="s">
        <v>139</v>
      </c>
      <c r="G66" s="65" t="s">
        <v>140</v>
      </c>
      <c r="H66" s="65"/>
      <c r="I66" s="65"/>
      <c r="J66" s="65"/>
      <c r="K66" s="4"/>
      <c r="L66" s="4"/>
      <c r="M66" s="4"/>
      <c r="N66" s="4"/>
      <c r="O66" s="4"/>
      <c r="P66" s="4"/>
    </row>
    <row r="67" spans="1:16">
      <c r="A67" s="66">
        <f>C34</f>
        <v>0.36</v>
      </c>
      <c r="B67" s="65">
        <f>2*(A67*(C19-A67))^0.5</f>
        <v>1.28124939024376</v>
      </c>
      <c r="C67" s="65">
        <f>2*ASIN(B67/C19)</f>
        <v>2.0478907521979</v>
      </c>
      <c r="D67" s="65">
        <f>C67*C19/2</f>
        <v>1.53591806414843</v>
      </c>
      <c r="E67" s="65">
        <f>(C25/2)^2*3.14159</f>
        <v>1.767144375</v>
      </c>
      <c r="F67" s="65">
        <f>IF(C34&lt;C19/2,E67*C22,G67)</f>
        <v>4.7712898125</v>
      </c>
      <c r="G67" s="65">
        <f>((3.14*(C19^2/4))-E69)*C22</f>
        <v>2.53918015608638</v>
      </c>
      <c r="H67" s="65"/>
      <c r="I67" s="65"/>
      <c r="J67" s="65"/>
      <c r="K67" s="4"/>
      <c r="L67" s="4"/>
      <c r="M67" s="4"/>
      <c r="N67" s="4"/>
      <c r="O67" s="4"/>
      <c r="P67" s="4"/>
    </row>
    <row r="68" spans="1:16">
      <c r="A68" s="66"/>
      <c r="B68" s="65"/>
      <c r="C68" s="65"/>
      <c r="D68" s="65"/>
      <c r="E68" s="65"/>
      <c r="F68" s="65"/>
      <c r="G68" s="65"/>
      <c r="H68" s="65"/>
      <c r="I68" s="65"/>
      <c r="J68" s="65"/>
      <c r="K68" s="4"/>
      <c r="L68" s="4"/>
      <c r="M68" s="4"/>
      <c r="N68" s="4"/>
      <c r="O68" s="4"/>
      <c r="P68" s="4"/>
    </row>
    <row r="69" spans="1:16">
      <c r="A69" s="66">
        <f>C19-A67</f>
        <v>1.14</v>
      </c>
      <c r="B69" s="65">
        <f>2*(A69*(C19-A69))^0.5</f>
        <v>1.28124939024376</v>
      </c>
      <c r="C69" s="65">
        <f>2*ASIN(B69/C19)</f>
        <v>2.0478907521979</v>
      </c>
      <c r="D69" s="65">
        <f>C69*C19/2</f>
        <v>1.53591806414843</v>
      </c>
      <c r="E69" s="65">
        <f>(D69*C19/2-(C19/2-A69)*B69)/2</f>
        <v>0.825812905153193</v>
      </c>
      <c r="F69" s="65">
        <f>E69*C22</f>
        <v>2.22969484391362</v>
      </c>
      <c r="G69" s="65"/>
      <c r="H69" s="65"/>
      <c r="I69" s="65"/>
      <c r="J69" s="65"/>
      <c r="K69" s="4"/>
      <c r="L69" s="4"/>
      <c r="M69" s="4"/>
      <c r="N69" s="4"/>
      <c r="O69" s="4"/>
      <c r="P69" s="4"/>
    </row>
    <row r="70" spans="1:16">
      <c r="A70" s="66"/>
      <c r="B70" s="65"/>
      <c r="C70" s="65"/>
      <c r="D70" s="65"/>
      <c r="E70" s="65"/>
      <c r="F70" s="65"/>
      <c r="G70" s="65"/>
      <c r="H70" s="65"/>
      <c r="I70" s="65"/>
      <c r="J70" s="65"/>
      <c r="K70" s="4"/>
      <c r="L70" s="4"/>
      <c r="M70" s="4"/>
      <c r="N70" s="4"/>
      <c r="O70" s="4"/>
      <c r="P70" s="4"/>
    </row>
    <row r="71" spans="1:16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4"/>
      <c r="L71" s="4"/>
      <c r="M71" s="4"/>
      <c r="N71" s="4"/>
      <c r="O71" s="4"/>
      <c r="P71" s="4"/>
    </row>
  </sheetData>
  <mergeCells count="6">
    <mergeCell ref="R4:S4"/>
    <mergeCell ref="R5:S5"/>
    <mergeCell ref="R12:S12"/>
    <mergeCell ref="R14:S14"/>
    <mergeCell ref="R2:S3"/>
    <mergeCell ref="R6:S7"/>
  </mergeCells>
  <pageMargins left="0.25" right="0.25" top="0.75" bottom="0.75" header="0.298611111111111" footer="0.298611111111111"/>
  <pageSetup paperSize="9" scale="72" orientation="landscape" horizontalDpi="600" verticalDpi="600"/>
  <headerFooter alignWithMargins="0" scaleWithDoc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Button 2" r:id="rId3">
              <controlPr print="0" defaultSize="0">
                <anchor moveWithCells="1" sizeWithCells="1">
                  <from>
                    <xdr:col>0</xdr:col>
                    <xdr:colOff>167640</xdr:colOff>
                    <xdr:row>49</xdr:row>
                    <xdr:rowOff>0</xdr:rowOff>
                  </from>
                  <to>
                    <xdr:col>3</xdr:col>
                    <xdr:colOff>464820</xdr:colOff>
                    <xdr:row>50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CALCOLO API-KOM-V (2)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WPS_1722133810</cp:lastModifiedBy>
  <dcterms:created xsi:type="dcterms:W3CDTF">2025-05-21T13:02:08Z</dcterms:created>
  <dcterms:modified xsi:type="dcterms:W3CDTF">2025-05-21T13:14:45Z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69B8EDBE852D4818929B6D1F2BC89A3E_13</vt:lpwstr>
  </property>
  <property fmtid="{D5CDD505-2E9C-101B-9397-08002B2CF9AE}" pid="3" name="KSOProductBuildVer">
    <vt:lpwstr>2052-12.1.0.21171</vt:lpwstr>
  </property>
</Properties>
</file>