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9360" windowHeight="7212" activeTab="3"/>
  </bookViews>
  <sheets>
    <sheet name="Sheet1" sheetId="1" r:id="rId1"/>
    <sheet name="Sheet2" sheetId="2" r:id="rId2"/>
    <sheet name="Sheet3" sheetId="3" r:id="rId3"/>
    <sheet name="近三年财务" sheetId="14" r:id="rId4"/>
    <sheet name="项目已完成投资明细" sheetId="15" r:id="rId5"/>
    <sheet name="项目拟新增固定资产和流动资金情况" sheetId="16" r:id="rId6"/>
    <sheet name="总收入" sheetId="21" r:id="rId7"/>
    <sheet name="应收账款" sheetId="22" r:id="rId8"/>
    <sheet name="应付帐款" sheetId="23" r:id="rId9"/>
    <sheet name="其他应付款" sheetId="25" r:id="rId10"/>
    <sheet name="销售收入、销售税金" sheetId="26" r:id="rId11"/>
    <sheet name="总成本费用" sheetId="27" r:id="rId12"/>
    <sheet name="单位生产成本" sheetId="28" r:id="rId13"/>
    <sheet name="损益表" sheetId="30" r:id="rId14"/>
    <sheet name="本项目经济效益预测表" sheetId="31" r:id="rId15"/>
  </sheets>
  <externalReferences>
    <externalReference r:id="rId16"/>
  </externalReferences>
  <calcPr calcId="144525"/>
</workbook>
</file>

<file path=xl/calcChain.xml><?xml version="1.0" encoding="utf-8"?>
<calcChain xmlns="http://schemas.openxmlformats.org/spreadsheetml/2006/main">
  <c r="J15" i="28" l="1"/>
  <c r="J4" i="28"/>
  <c r="J5" i="28"/>
  <c r="J6" i="28"/>
  <c r="J7" i="28"/>
  <c r="J8" i="28"/>
  <c r="J9" i="28"/>
  <c r="J10" i="28"/>
  <c r="J11" i="28"/>
  <c r="J12" i="28"/>
  <c r="J13" i="28"/>
  <c r="J14" i="28"/>
  <c r="J3" i="28"/>
  <c r="G13" i="28"/>
  <c r="C9" i="25" l="1"/>
  <c r="C11" i="22"/>
  <c r="C12" i="23"/>
  <c r="D3" i="27" l="1"/>
  <c r="E3" i="30" l="1"/>
  <c r="E2" i="30"/>
  <c r="F2" i="30"/>
  <c r="G2" i="30"/>
  <c r="H2" i="30"/>
  <c r="D2" i="30"/>
  <c r="E7" i="27"/>
  <c r="F7" i="27"/>
  <c r="G7" i="27"/>
  <c r="H7" i="27"/>
  <c r="D7" i="27"/>
  <c r="G14" i="28"/>
  <c r="G11" i="28" s="1"/>
  <c r="G15" i="28" s="1"/>
  <c r="E6" i="27"/>
  <c r="F6" i="27"/>
  <c r="G6" i="27"/>
  <c r="H6" i="27"/>
  <c r="D6" i="27"/>
  <c r="D9" i="27"/>
  <c r="E9" i="27" s="1"/>
  <c r="F9" i="27" s="1"/>
  <c r="G9" i="27" s="1"/>
  <c r="H9" i="27" s="1"/>
  <c r="E8" i="27"/>
  <c r="F8" i="27" s="1"/>
  <c r="G8" i="27" s="1"/>
  <c r="H8" i="27" s="1"/>
  <c r="D8" i="27"/>
  <c r="E5" i="27"/>
  <c r="F5" i="27"/>
  <c r="G5" i="27"/>
  <c r="H5" i="27"/>
  <c r="D5" i="27"/>
  <c r="E4" i="27"/>
  <c r="F4" i="27"/>
  <c r="G4" i="27"/>
  <c r="H4" i="27"/>
  <c r="D4" i="27"/>
  <c r="I10" i="27"/>
  <c r="I3" i="27"/>
  <c r="E13" i="26"/>
  <c r="E7" i="26"/>
  <c r="E11" i="26" s="1"/>
  <c r="E3" i="26"/>
  <c r="F3" i="26"/>
  <c r="F7" i="26" s="1"/>
  <c r="G3" i="26"/>
  <c r="G13" i="26" s="1"/>
  <c r="H3" i="26"/>
  <c r="H13" i="26" s="1"/>
  <c r="D3" i="26"/>
  <c r="D13" i="26" s="1"/>
  <c r="C5" i="25"/>
  <c r="C8" i="23"/>
  <c r="D4" i="21"/>
  <c r="C5" i="21"/>
  <c r="D5" i="21" s="1"/>
  <c r="D3" i="22"/>
  <c r="D9" i="22" s="1"/>
  <c r="D7" i="21"/>
  <c r="D6" i="21"/>
  <c r="D3" i="21"/>
  <c r="F3" i="14"/>
  <c r="F4" i="14"/>
  <c r="D10" i="14"/>
  <c r="C10" i="14"/>
  <c r="D9" i="14"/>
  <c r="C9" i="14"/>
  <c r="D8" i="14"/>
  <c r="C8" i="14"/>
  <c r="F11" i="27" l="1"/>
  <c r="F12" i="27" s="1"/>
  <c r="F15" i="27" s="1"/>
  <c r="F14" i="27"/>
  <c r="E11" i="27"/>
  <c r="E12" i="27" s="1"/>
  <c r="E14" i="27"/>
  <c r="H11" i="27"/>
  <c r="H12" i="27" s="1"/>
  <c r="H14" i="27"/>
  <c r="G11" i="27"/>
  <c r="G13" i="27" s="1"/>
  <c r="G14" i="27"/>
  <c r="E6" i="26"/>
  <c r="E4" i="30" s="1"/>
  <c r="E12" i="26"/>
  <c r="E10" i="26"/>
  <c r="E9" i="26" s="1"/>
  <c r="E5" i="30" s="1"/>
  <c r="F13" i="26"/>
  <c r="D14" i="27"/>
  <c r="I14" i="27" s="1"/>
  <c r="D11" i="27"/>
  <c r="D12" i="27" s="1"/>
  <c r="I4" i="27"/>
  <c r="I5" i="27"/>
  <c r="D7" i="26"/>
  <c r="D3" i="30"/>
  <c r="E13" i="27"/>
  <c r="H7" i="26"/>
  <c r="H10" i="26" s="1"/>
  <c r="H3" i="30"/>
  <c r="G7" i="26"/>
  <c r="G12" i="26" s="1"/>
  <c r="G3" i="30"/>
  <c r="F11" i="26"/>
  <c r="F12" i="26"/>
  <c r="F10" i="26"/>
  <c r="F9" i="26" s="1"/>
  <c r="F5" i="30" s="1"/>
  <c r="F6" i="26"/>
  <c r="F4" i="30" s="1"/>
  <c r="F3" i="30"/>
  <c r="I6" i="27"/>
  <c r="I7" i="27"/>
  <c r="D20" i="16"/>
  <c r="D13" i="16"/>
  <c r="B21" i="16" s="1"/>
  <c r="C13" i="16"/>
  <c r="C7" i="15"/>
  <c r="D13" i="15"/>
  <c r="D7" i="15"/>
  <c r="D14" i="15" s="1"/>
  <c r="B6" i="3"/>
  <c r="C6" i="2"/>
  <c r="D5" i="2" s="1"/>
  <c r="D5" i="1"/>
  <c r="D4" i="2"/>
  <c r="E4" i="1"/>
  <c r="E3" i="1"/>
  <c r="E2" i="1"/>
  <c r="H6" i="30" l="1"/>
  <c r="H15" i="27"/>
  <c r="F13" i="27"/>
  <c r="H13" i="27"/>
  <c r="E6" i="30"/>
  <c r="E7" i="30" s="1"/>
  <c r="E8" i="30" s="1"/>
  <c r="E9" i="30" s="1"/>
  <c r="E15" i="27"/>
  <c r="G12" i="27"/>
  <c r="G6" i="30" s="1"/>
  <c r="F6" i="30"/>
  <c r="F7" i="30" s="1"/>
  <c r="F8" i="30" s="1"/>
  <c r="F9" i="30" s="1"/>
  <c r="D12" i="26"/>
  <c r="D10" i="26"/>
  <c r="D11" i="26"/>
  <c r="D6" i="26"/>
  <c r="D4" i="30" s="1"/>
  <c r="D12" i="30" s="1"/>
  <c r="I3" i="30"/>
  <c r="I11" i="27"/>
  <c r="D13" i="27"/>
  <c r="I13" i="27" s="1"/>
  <c r="D15" i="27"/>
  <c r="D6" i="30"/>
  <c r="H11" i="26"/>
  <c r="H6" i="26"/>
  <c r="H4" i="30" s="1"/>
  <c r="H12" i="26"/>
  <c r="G6" i="26"/>
  <c r="G4" i="30" s="1"/>
  <c r="G11" i="26"/>
  <c r="G10" i="26"/>
  <c r="D3" i="2"/>
  <c r="D2" i="2"/>
  <c r="I12" i="27" l="1"/>
  <c r="I6" i="30"/>
  <c r="G15" i="27"/>
  <c r="I15" i="27" s="1"/>
  <c r="I4" i="30"/>
  <c r="D9" i="26"/>
  <c r="D5" i="30" s="1"/>
  <c r="D13" i="30" s="1"/>
  <c r="G9" i="26"/>
  <c r="G5" i="30" s="1"/>
  <c r="G7" i="30" s="1"/>
  <c r="G8" i="30" s="1"/>
  <c r="G9" i="30" s="1"/>
  <c r="H9" i="26"/>
  <c r="H5" i="30" s="1"/>
  <c r="H7" i="30" s="1"/>
  <c r="H8" i="30" s="1"/>
  <c r="D7" i="30" l="1"/>
  <c r="D8" i="30" s="1"/>
  <c r="D14" i="30" s="1"/>
  <c r="I5" i="30"/>
  <c r="H9" i="30"/>
  <c r="I7" i="30" l="1"/>
  <c r="I8" i="30"/>
  <c r="D9" i="30"/>
  <c r="D11" i="30" s="1"/>
  <c r="I9" i="30" l="1"/>
  <c r="C7" i="14" l="1"/>
  <c r="C11" i="14"/>
  <c r="D7" i="14"/>
</calcChain>
</file>

<file path=xl/sharedStrings.xml><?xml version="1.0" encoding="utf-8"?>
<sst xmlns="http://schemas.openxmlformats.org/spreadsheetml/2006/main" count="246" uniqueCount="195">
  <si>
    <t>软件研发人员</t>
    <phoneticPr fontId="2" type="noConversion"/>
  </si>
  <si>
    <t>生产与系统集成人员</t>
    <phoneticPr fontId="2" type="noConversion"/>
  </si>
  <si>
    <t>合计</t>
  </si>
  <si>
    <t>合计</t>
    <phoneticPr fontId="2" type="noConversion"/>
  </si>
  <si>
    <t>序号</t>
    <phoneticPr fontId="2" type="noConversion"/>
  </si>
  <si>
    <t>人员类型</t>
    <phoneticPr fontId="2" type="noConversion"/>
  </si>
  <si>
    <t>人数</t>
    <phoneticPr fontId="2" type="noConversion"/>
  </si>
  <si>
    <t>比例</t>
    <phoneticPr fontId="2" type="noConversion"/>
  </si>
  <si>
    <t>学历、职称</t>
    <phoneticPr fontId="2" type="noConversion"/>
  </si>
  <si>
    <t>大专</t>
    <phoneticPr fontId="2" type="noConversion"/>
  </si>
  <si>
    <t>工作岗位</t>
  </si>
  <si>
    <t>相关专业经历（平均）（年）</t>
  </si>
  <si>
    <t>需求分析</t>
  </si>
  <si>
    <t>详细设计</t>
  </si>
  <si>
    <t>总人数</t>
  </si>
  <si>
    <r>
      <t>人</t>
    </r>
    <r>
      <rPr>
        <sz val="12"/>
        <rFont val="宋体"/>
        <family val="3"/>
        <charset val="134"/>
      </rPr>
      <t xml:space="preserve"> </t>
    </r>
    <r>
      <rPr>
        <sz val="12"/>
        <rFont val="黑体"/>
        <family val="3"/>
        <charset val="134"/>
      </rPr>
      <t>数</t>
    </r>
  </si>
  <si>
    <t>系统设计</t>
    <phoneticPr fontId="2" type="noConversion"/>
  </si>
  <si>
    <t>编码测试</t>
    <phoneticPr fontId="2" type="noConversion"/>
  </si>
  <si>
    <t>项目</t>
  </si>
  <si>
    <t>总资产</t>
  </si>
  <si>
    <t>总收入</t>
  </si>
  <si>
    <t>净利润</t>
  </si>
  <si>
    <t>增值税</t>
  </si>
  <si>
    <t>年度</t>
  </si>
  <si>
    <t>补贴收入</t>
  </si>
  <si>
    <t>交换机</t>
  </si>
  <si>
    <t>路由器</t>
  </si>
  <si>
    <t>净资产</t>
  </si>
  <si>
    <t>主营业务收入</t>
  </si>
  <si>
    <t>数量</t>
  </si>
  <si>
    <t>金 额(万元)</t>
  </si>
  <si>
    <t>台</t>
  </si>
  <si>
    <t>自有资金投入</t>
  </si>
  <si>
    <t>研发人员工资，福利及保险</t>
  </si>
  <si>
    <t>各种耗材</t>
  </si>
  <si>
    <t>房租，水电，办公等管理费用</t>
  </si>
  <si>
    <t>流动资金合计</t>
  </si>
  <si>
    <t>已完成投资总计</t>
  </si>
  <si>
    <t>项目</t>
    <phoneticPr fontId="2" type="noConversion"/>
  </si>
  <si>
    <t>单位</t>
    <phoneticPr fontId="2" type="noConversion"/>
  </si>
  <si>
    <t>套</t>
    <phoneticPr fontId="2" type="noConversion"/>
  </si>
  <si>
    <t>设备合计</t>
    <phoneticPr fontId="2" type="noConversion"/>
  </si>
  <si>
    <t>知识产权，技术资料费</t>
    <phoneticPr fontId="2" type="noConversion"/>
  </si>
  <si>
    <t>小计</t>
  </si>
  <si>
    <t>铺底流动资金</t>
  </si>
  <si>
    <t>资金来源</t>
    <phoneticPr fontId="2" type="noConversion"/>
  </si>
  <si>
    <t>管理人员</t>
    <phoneticPr fontId="2" type="noConversion"/>
  </si>
  <si>
    <t>数据库管理系统</t>
    <phoneticPr fontId="2" type="noConversion"/>
  </si>
  <si>
    <t>开发工作站（含高性能图形卡）</t>
    <phoneticPr fontId="2" type="noConversion"/>
  </si>
  <si>
    <t>C/C++开发工具软件 Visual Studio.net 2005</t>
    <phoneticPr fontId="2" type="noConversion"/>
  </si>
  <si>
    <t>服务器</t>
    <phoneticPr fontId="2" type="noConversion"/>
  </si>
  <si>
    <t>营业外收入</t>
  </si>
  <si>
    <t>硕士研究生</t>
    <phoneticPr fontId="2" type="noConversion"/>
  </si>
  <si>
    <t>大学本科</t>
    <phoneticPr fontId="2" type="noConversion"/>
  </si>
  <si>
    <t>博士研究生</t>
    <phoneticPr fontId="2" type="noConversion"/>
  </si>
  <si>
    <t>类别</t>
  </si>
  <si>
    <r>
      <t>数量</t>
    </r>
    <r>
      <rPr>
        <b/>
        <sz val="10.5"/>
        <rFont val="Times New Roman"/>
        <family val="1"/>
      </rPr>
      <t>(</t>
    </r>
    <r>
      <rPr>
        <b/>
        <sz val="10.5"/>
        <rFont val="宋体"/>
        <family val="3"/>
        <charset val="134"/>
      </rPr>
      <t>台</t>
    </r>
    <r>
      <rPr>
        <b/>
        <sz val="10.5"/>
        <rFont val="Times New Roman"/>
        <family val="1"/>
      </rPr>
      <t>.</t>
    </r>
    <r>
      <rPr>
        <b/>
        <sz val="10.5"/>
        <rFont val="宋体"/>
        <family val="3"/>
        <charset val="134"/>
      </rPr>
      <t>套</t>
    </r>
    <r>
      <rPr>
        <b/>
        <sz val="10.5"/>
        <rFont val="Times New Roman"/>
        <family val="1"/>
      </rPr>
      <t>)</t>
    </r>
  </si>
  <si>
    <r>
      <t>金额</t>
    </r>
    <r>
      <rPr>
        <b/>
        <sz val="10.5"/>
        <rFont val="Times New Roman"/>
        <family val="1"/>
      </rPr>
      <t>(</t>
    </r>
    <r>
      <rPr>
        <b/>
        <sz val="10.5"/>
        <rFont val="宋体"/>
        <family val="3"/>
        <charset val="134"/>
      </rPr>
      <t>万元</t>
    </r>
    <r>
      <rPr>
        <b/>
        <sz val="10.5"/>
        <rFont val="Times New Roman"/>
        <family val="1"/>
      </rPr>
      <t>)</t>
    </r>
  </si>
  <si>
    <t>研发网络改造</t>
  </si>
  <si>
    <t>配置管理服务器</t>
  </si>
  <si>
    <t>开发服务器</t>
  </si>
  <si>
    <r>
      <t>UPS</t>
    </r>
    <r>
      <rPr>
        <sz val="10.5"/>
        <rFont val="宋体"/>
        <family val="3"/>
        <charset val="134"/>
      </rPr>
      <t>设备</t>
    </r>
  </si>
  <si>
    <t>磁盘阵列</t>
  </si>
  <si>
    <t>测试工具</t>
  </si>
  <si>
    <t>开发工具软件</t>
  </si>
  <si>
    <t>研发费用（主要为研发人员工资福利）</t>
  </si>
  <si>
    <t>材料耗材费用</t>
  </si>
  <si>
    <t>产品检测鉴定费用</t>
  </si>
  <si>
    <t>综合管理费用（房租、水电、办公费用等）</t>
  </si>
  <si>
    <t>市场推广费用</t>
  </si>
  <si>
    <t>固定资产
57万</t>
    <phoneticPr fontId="2" type="noConversion"/>
  </si>
  <si>
    <t>流动资金
95万</t>
    <phoneticPr fontId="2" type="noConversion"/>
  </si>
  <si>
    <r>
      <t>C</t>
    </r>
    <r>
      <rPr>
        <sz val="10.5"/>
        <rFont val="宋体"/>
        <family val="3"/>
        <charset val="134"/>
      </rPr>
      <t>TI服务器</t>
    </r>
    <phoneticPr fontId="2" type="noConversion"/>
  </si>
  <si>
    <t>工作站</t>
    <phoneticPr fontId="2" type="noConversion"/>
  </si>
  <si>
    <t>防火墙</t>
    <phoneticPr fontId="2" type="noConversion"/>
  </si>
  <si>
    <r>
      <t>2010</t>
    </r>
    <r>
      <rPr>
        <b/>
        <sz val="10.5"/>
        <rFont val="宋体"/>
        <family val="3"/>
        <charset val="134"/>
      </rPr>
      <t>年</t>
    </r>
    <phoneticPr fontId="2" type="noConversion"/>
  </si>
  <si>
    <t>增长率</t>
    <phoneticPr fontId="2" type="noConversion"/>
  </si>
  <si>
    <t>增加值</t>
    <phoneticPr fontId="2" type="noConversion"/>
  </si>
  <si>
    <t>/</t>
    <phoneticPr fontId="2" type="noConversion"/>
  </si>
  <si>
    <t>财务指标</t>
    <phoneticPr fontId="2" type="noConversion"/>
  </si>
  <si>
    <t>资产负债率</t>
    <phoneticPr fontId="2" type="noConversion"/>
  </si>
  <si>
    <t>流动比率</t>
  </si>
  <si>
    <t>净资产收益率</t>
  </si>
  <si>
    <t>速动比率</t>
    <phoneticPr fontId="2" type="noConversion"/>
  </si>
  <si>
    <t>主营业务利润率</t>
    <phoneticPr fontId="2" type="noConversion"/>
  </si>
  <si>
    <t>金额</t>
  </si>
  <si>
    <t>占总收入的比重</t>
  </si>
  <si>
    <t>电子产品销售收入</t>
    <phoneticPr fontId="2" type="noConversion"/>
  </si>
  <si>
    <t>账龄</t>
  </si>
  <si>
    <t>比例(%)</t>
  </si>
  <si>
    <t>坏账准备</t>
  </si>
  <si>
    <t>1年以内</t>
  </si>
  <si>
    <t>1－2年</t>
  </si>
  <si>
    <t>2—3年</t>
  </si>
  <si>
    <t>3—4年</t>
  </si>
  <si>
    <t>4—5年</t>
  </si>
  <si>
    <t>5年以上</t>
  </si>
  <si>
    <t>债权人</t>
    <phoneticPr fontId="2" type="noConversion"/>
  </si>
  <si>
    <t>应付款金额</t>
    <phoneticPr fontId="2" type="noConversion"/>
  </si>
  <si>
    <t>付款期限</t>
    <phoneticPr fontId="2" type="noConversion"/>
  </si>
  <si>
    <t>明华胜</t>
  </si>
  <si>
    <t>北京八维</t>
    <phoneticPr fontId="2" type="noConversion"/>
  </si>
  <si>
    <t>北京坤源</t>
    <phoneticPr fontId="2" type="noConversion"/>
  </si>
  <si>
    <t>北京易达</t>
    <phoneticPr fontId="2" type="noConversion"/>
  </si>
  <si>
    <t>合成佳业</t>
    <phoneticPr fontId="2" type="noConversion"/>
  </si>
  <si>
    <t>理想</t>
    <phoneticPr fontId="2" type="noConversion"/>
  </si>
  <si>
    <t>小计</t>
    <phoneticPr fontId="2" type="noConversion"/>
  </si>
  <si>
    <t>其他应付款主要债权人</t>
    <phoneticPr fontId="2" type="noConversion"/>
  </si>
  <si>
    <t>其他应付款金额</t>
    <phoneticPr fontId="2" type="noConversion"/>
  </si>
  <si>
    <t>华浦电子</t>
    <phoneticPr fontId="2" type="noConversion"/>
  </si>
  <si>
    <t>职工教育经费</t>
    <phoneticPr fontId="2" type="noConversion"/>
  </si>
  <si>
    <t>工会经费</t>
    <phoneticPr fontId="2" type="noConversion"/>
  </si>
  <si>
    <t>小计</t>
    <phoneticPr fontId="2" type="noConversion"/>
  </si>
  <si>
    <t>软件产品销售收入</t>
    <phoneticPr fontId="2" type="noConversion"/>
  </si>
  <si>
    <t>张宏</t>
    <phoneticPr fontId="2" type="noConversion"/>
  </si>
  <si>
    <t>序号</t>
  </si>
  <si>
    <t>2012年</t>
  </si>
  <si>
    <t>2013年</t>
  </si>
  <si>
    <t>2014年</t>
  </si>
  <si>
    <t>2015年</t>
  </si>
  <si>
    <t>产品销售收入合计</t>
  </si>
  <si>
    <t>销售单价</t>
  </si>
  <si>
    <t>销售数量</t>
  </si>
  <si>
    <t>销项税额</t>
  </si>
  <si>
    <t>进项税额</t>
  </si>
  <si>
    <t>销售税金及附加</t>
  </si>
  <si>
    <t>教育附加税（3%）</t>
  </si>
  <si>
    <t>城市建设税（7%）</t>
  </si>
  <si>
    <t>地方教育附加（1%）</t>
  </si>
  <si>
    <t>副食品调控基金（1‰）</t>
  </si>
  <si>
    <t>2016年</t>
  </si>
  <si>
    <t>生产量（套）</t>
  </si>
  <si>
    <t>外购原材料</t>
  </si>
  <si>
    <t>外购燃料、动力</t>
  </si>
  <si>
    <t>工资及福利费</t>
  </si>
  <si>
    <t>修理费</t>
  </si>
  <si>
    <t>折旧费</t>
  </si>
  <si>
    <t>摊销费</t>
  </si>
  <si>
    <t>利息支出</t>
  </si>
  <si>
    <t>其他费用</t>
  </si>
  <si>
    <t>总成本费用</t>
  </si>
  <si>
    <t>其中：固定成本</t>
  </si>
  <si>
    <t xml:space="preserve">      可变成本</t>
  </si>
  <si>
    <t>经营成本</t>
  </si>
  <si>
    <t>表1：销售收入、销售税金及附加估算表（单位：万元）</t>
    <phoneticPr fontId="2" type="noConversion"/>
  </si>
  <si>
    <t>表2：总成本费用估算表（单位：万元）</t>
    <phoneticPr fontId="2" type="noConversion"/>
  </si>
  <si>
    <t>单位</t>
  </si>
  <si>
    <t>消耗定额</t>
  </si>
  <si>
    <t>单价</t>
  </si>
  <si>
    <t>直接材料</t>
  </si>
  <si>
    <t>光盘</t>
  </si>
  <si>
    <t>张</t>
  </si>
  <si>
    <t>包装材料</t>
  </si>
  <si>
    <t>套</t>
  </si>
  <si>
    <t>燃料动力</t>
  </si>
  <si>
    <t>直接人工</t>
  </si>
  <si>
    <t>实施费</t>
  </si>
  <si>
    <t>到现场安装培训调试及差旅费用</t>
  </si>
  <si>
    <t>由于客户新的需求产生的人工费用</t>
  </si>
  <si>
    <t>维护费</t>
  </si>
  <si>
    <t>售后的服务及差旅</t>
  </si>
  <si>
    <t>制造费用</t>
  </si>
  <si>
    <t>工资福利</t>
  </si>
  <si>
    <t>二次开发费</t>
    <phoneticPr fontId="2" type="noConversion"/>
  </si>
  <si>
    <t>单位生产成本合计</t>
    <phoneticPr fontId="2" type="noConversion"/>
  </si>
  <si>
    <t>表3：单位产品生产成本估算表（单位：元）</t>
    <phoneticPr fontId="2" type="noConversion"/>
  </si>
  <si>
    <r>
      <rPr>
        <sz val="10.5"/>
        <rFont val="宋体"/>
        <family val="3"/>
        <charset val="134"/>
      </rPr>
      <t>序号</t>
    </r>
  </si>
  <si>
    <r>
      <rPr>
        <sz val="10.5"/>
        <rFont val="宋体"/>
        <family val="3"/>
        <charset val="134"/>
      </rPr>
      <t>项目</t>
    </r>
  </si>
  <si>
    <r>
      <rPr>
        <sz val="10.5"/>
        <rFont val="宋体"/>
        <family val="3"/>
        <charset val="134"/>
      </rPr>
      <t>合计</t>
    </r>
  </si>
  <si>
    <r>
      <rPr>
        <sz val="10.5"/>
        <rFont val="宋体"/>
        <family val="3"/>
        <charset val="134"/>
      </rPr>
      <t>增值税</t>
    </r>
    <phoneticPr fontId="2" type="noConversion"/>
  </si>
  <si>
    <r>
      <rPr>
        <sz val="10.5"/>
        <rFont val="宋体"/>
        <family val="3"/>
        <charset val="134"/>
      </rPr>
      <t>销售税金及附加</t>
    </r>
  </si>
  <si>
    <r>
      <rPr>
        <sz val="10.5"/>
        <rFont val="宋体"/>
        <family val="3"/>
        <charset val="134"/>
      </rPr>
      <t>总成本费用</t>
    </r>
  </si>
  <si>
    <r>
      <rPr>
        <sz val="10.5"/>
        <rFont val="宋体"/>
        <family val="3"/>
        <charset val="134"/>
      </rPr>
      <t>利润总额</t>
    </r>
  </si>
  <si>
    <r>
      <rPr>
        <sz val="10.5"/>
        <rFont val="宋体"/>
        <family val="3"/>
        <charset val="134"/>
      </rPr>
      <t>所得税</t>
    </r>
  </si>
  <si>
    <r>
      <rPr>
        <sz val="10.5"/>
        <rFont val="宋体"/>
        <family val="3"/>
        <charset val="134"/>
      </rPr>
      <t>净利润</t>
    </r>
  </si>
  <si>
    <r>
      <rPr>
        <sz val="10.5"/>
        <rFont val="宋体"/>
        <family val="3"/>
        <charset val="134"/>
      </rPr>
      <t>表</t>
    </r>
    <r>
      <rPr>
        <sz val="10.5"/>
        <rFont val="Times New Roman"/>
        <family val="1"/>
      </rPr>
      <t>4</t>
    </r>
    <r>
      <rPr>
        <sz val="10.5"/>
        <rFont val="宋体"/>
        <family val="3"/>
        <charset val="134"/>
      </rPr>
      <t>：损益表（单位：万元）</t>
    </r>
    <phoneticPr fontId="2" type="noConversion"/>
  </si>
  <si>
    <t>销售收入</t>
    <phoneticPr fontId="2" type="noConversion"/>
  </si>
  <si>
    <t>达产的年份</t>
  </si>
  <si>
    <t>总销售收入</t>
  </si>
  <si>
    <t>第一年（2012年）</t>
  </si>
  <si>
    <t>第二年（2013年）</t>
  </si>
  <si>
    <t>第三年（2014年）</t>
  </si>
  <si>
    <t>第四年（2015年）</t>
  </si>
  <si>
    <t>第五年（2016年）</t>
  </si>
  <si>
    <t>本项目经济效益预测表（单位：万元）</t>
    <phoneticPr fontId="2" type="noConversion"/>
  </si>
  <si>
    <t>备注</t>
    <phoneticPr fontId="2" type="noConversion"/>
  </si>
  <si>
    <t>所占比例0.02%</t>
    <phoneticPr fontId="2" type="noConversion"/>
  </si>
  <si>
    <t>所占比例0.38%</t>
    <phoneticPr fontId="2" type="noConversion"/>
  </si>
  <si>
    <t>所占比例88.41%</t>
    <phoneticPr fontId="2" type="noConversion"/>
  </si>
  <si>
    <t>所占比例11.19%</t>
    <phoneticPr fontId="2" type="noConversion"/>
  </si>
  <si>
    <t>所占比例1.15%</t>
    <phoneticPr fontId="2" type="noConversion"/>
  </si>
  <si>
    <t>所占比例9.13%</t>
    <phoneticPr fontId="2" type="noConversion"/>
  </si>
  <si>
    <t>所占比例0.91%</t>
    <phoneticPr fontId="2" type="noConversion"/>
  </si>
  <si>
    <t>所占比例100%</t>
    <phoneticPr fontId="2" type="noConversion"/>
  </si>
  <si>
    <t>公司2010年及2011年4月主要财务指标分析表(单位：万元)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</si>
</sst>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0.0%"/>
    <numFmt numFmtId="177" formatCode="0.00_ "/>
    <numFmt numFmtId="178" formatCode="#,##0.00_ "/>
  </numFmts>
  <fonts count="2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黑体"/>
      <family val="3"/>
      <charset val="134"/>
    </font>
    <font>
      <sz val="12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Times New Roman"/>
      <family val="1"/>
    </font>
    <font>
      <sz val="10.5"/>
      <name val="宋体"/>
      <family val="3"/>
      <charset val="134"/>
    </font>
    <font>
      <b/>
      <sz val="12"/>
      <name val="Times New Roman"/>
      <family val="1"/>
    </font>
    <font>
      <sz val="12"/>
      <name val="宋体"/>
      <family val="3"/>
      <charset val="134"/>
    </font>
    <font>
      <sz val="10.5"/>
      <name val="Times New Roman"/>
      <family val="1"/>
    </font>
    <font>
      <b/>
      <sz val="10.5"/>
      <name val="Times New Roman"/>
      <family val="1"/>
    </font>
    <font>
      <b/>
      <sz val="10.5"/>
      <name val="宋体"/>
      <family val="3"/>
      <charset val="134"/>
    </font>
    <font>
      <b/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.5"/>
      <color rgb="FF000000"/>
      <name val="Times New Roman"/>
      <family val="1"/>
    </font>
    <font>
      <sz val="12"/>
      <name val="宋体"/>
      <family val="3"/>
      <charset val="134"/>
    </font>
    <font>
      <sz val="10"/>
      <name val="Times New Roman"/>
      <family val="1"/>
    </font>
    <font>
      <sz val="10.5"/>
      <name val="楷体_GB2312"/>
      <family val="1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0" fillId="0" borderId="0"/>
    <xf numFmtId="43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</cellStyleXfs>
  <cellXfs count="9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center" vertical="top" wrapText="1"/>
    </xf>
    <xf numFmtId="57" fontId="12" fillId="0" borderId="1" xfId="0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justify" vertical="top" wrapText="1"/>
    </xf>
    <xf numFmtId="0" fontId="12" fillId="0" borderId="1" xfId="0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" fontId="19" fillId="0" borderId="1" xfId="0" applyNumberFormat="1" applyFont="1" applyBorder="1" applyAlignment="1"/>
    <xf numFmtId="10" fontId="0" fillId="0" borderId="1" xfId="3" applyNumberFormat="1" applyFont="1" applyBorder="1" applyAlignment="1">
      <alignment horizontal="center" vertical="center"/>
    </xf>
    <xf numFmtId="57" fontId="13" fillId="0" borderId="1" xfId="0" applyNumberFormat="1" applyFont="1" applyBorder="1" applyAlignment="1">
      <alignment horizontal="center" vertical="top" wrapText="1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10" fontId="8" fillId="0" borderId="1" xfId="3" applyNumberFormat="1" applyFont="1" applyBorder="1" applyAlignment="1">
      <alignment horizontal="center" vertical="center"/>
    </xf>
    <xf numFmtId="9" fontId="8" fillId="0" borderId="1" xfId="3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1" fillId="0" borderId="0" xfId="4">
      <alignment vertical="center"/>
    </xf>
    <xf numFmtId="0" fontId="3" fillId="0" borderId="0" xfId="4" applyFont="1" applyAlignment="1">
      <alignment horizontal="center" vertical="center"/>
    </xf>
    <xf numFmtId="0" fontId="13" fillId="0" borderId="1" xfId="4" applyFont="1" applyBorder="1" applyAlignment="1">
      <alignment horizontal="center" vertical="center" wrapText="1"/>
    </xf>
    <xf numFmtId="0" fontId="8" fillId="0" borderId="1" xfId="4" applyFont="1" applyBorder="1" applyAlignment="1">
      <alignment horizontal="justify" vertical="center" wrapText="1"/>
    </xf>
    <xf numFmtId="10" fontId="11" fillId="0" borderId="1" xfId="4" applyNumberFormat="1" applyFont="1" applyBorder="1" applyAlignment="1">
      <alignment horizontal="center" vertical="center" wrapText="1"/>
    </xf>
    <xf numFmtId="0" fontId="6" fillId="0" borderId="1" xfId="4" applyFont="1" applyBorder="1" applyAlignment="1">
      <alignment horizontal="justify" vertical="center" wrapText="1"/>
    </xf>
    <xf numFmtId="43" fontId="11" fillId="0" borderId="1" xfId="5" applyFont="1" applyBorder="1" applyAlignment="1">
      <alignment vertical="center"/>
    </xf>
    <xf numFmtId="0" fontId="13" fillId="0" borderId="1" xfId="4" applyFont="1" applyBorder="1" applyAlignment="1">
      <alignment horizontal="center" vertical="center"/>
    </xf>
    <xf numFmtId="0" fontId="8" fillId="0" borderId="1" xfId="4" applyFont="1" applyBorder="1">
      <alignment vertical="center"/>
    </xf>
    <xf numFmtId="4" fontId="8" fillId="0" borderId="1" xfId="4" applyNumberFormat="1" applyFont="1" applyBorder="1">
      <alignment vertical="center"/>
    </xf>
    <xf numFmtId="10" fontId="8" fillId="0" borderId="1" xfId="4" applyNumberFormat="1" applyFont="1" applyBorder="1">
      <alignment vertical="center"/>
    </xf>
    <xf numFmtId="3" fontId="8" fillId="0" borderId="1" xfId="4" applyNumberFormat="1" applyFont="1" applyBorder="1">
      <alignment vertical="center"/>
    </xf>
    <xf numFmtId="9" fontId="8" fillId="0" borderId="1" xfId="4" applyNumberFormat="1" applyFont="1" applyBorder="1">
      <alignment vertical="center"/>
    </xf>
    <xf numFmtId="0" fontId="8" fillId="0" borderId="1" xfId="4" applyFont="1" applyBorder="1" applyAlignment="1">
      <alignment horizontal="center" vertical="center"/>
    </xf>
    <xf numFmtId="0" fontId="8" fillId="0" borderId="0" xfId="4" applyFont="1" applyAlignment="1">
      <alignment horizontal="center" vertical="center"/>
    </xf>
    <xf numFmtId="178" fontId="8" fillId="0" borderId="1" xfId="4" applyNumberFormat="1" applyFont="1" applyBorder="1">
      <alignment vertical="center"/>
    </xf>
    <xf numFmtId="31" fontId="8" fillId="0" borderId="1" xfId="4" applyNumberFormat="1" applyFont="1" applyBorder="1" applyAlignment="1">
      <alignment horizontal="center" vertical="center"/>
    </xf>
    <xf numFmtId="0" fontId="8" fillId="0" borderId="0" xfId="4" applyFont="1">
      <alignment vertical="center"/>
    </xf>
    <xf numFmtId="177" fontId="8" fillId="0" borderId="0" xfId="4" applyNumberFormat="1" applyFont="1">
      <alignment vertical="center"/>
    </xf>
    <xf numFmtId="2" fontId="11" fillId="0" borderId="1" xfId="0" applyNumberFormat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2" fontId="8" fillId="0" borderId="1" xfId="0" applyNumberFormat="1" applyFont="1" applyBorder="1">
      <alignment vertical="center"/>
    </xf>
    <xf numFmtId="0" fontId="8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43" fontId="11" fillId="0" borderId="1" xfId="2" applyFont="1" applyBorder="1" applyAlignment="1">
      <alignment horizontal="center" vertical="center"/>
    </xf>
    <xf numFmtId="43" fontId="11" fillId="0" borderId="1" xfId="2" applyFont="1" applyBorder="1" applyAlignment="1">
      <alignment horizontal="center" vertical="center" wrapText="1"/>
    </xf>
    <xf numFmtId="177" fontId="8" fillId="0" borderId="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2" fontId="8" fillId="0" borderId="0" xfId="0" applyNumberFormat="1" applyFont="1">
      <alignment vertical="center"/>
    </xf>
    <xf numFmtId="43" fontId="8" fillId="0" borderId="0" xfId="2" applyFont="1">
      <alignment vertical="center"/>
    </xf>
    <xf numFmtId="4" fontId="1" fillId="0" borderId="0" xfId="4" applyNumberFormat="1">
      <alignment vertical="center"/>
    </xf>
    <xf numFmtId="4" fontId="8" fillId="0" borderId="0" xfId="4" applyNumberFormat="1" applyFont="1">
      <alignment vertical="center"/>
    </xf>
    <xf numFmtId="0" fontId="11" fillId="0" borderId="1" xfId="0" applyFont="1" applyBorder="1" applyAlignment="1">
      <alignment horizontal="right" vertical="center" wrapText="1"/>
    </xf>
    <xf numFmtId="2" fontId="11" fillId="0" borderId="1" xfId="0" applyNumberFormat="1" applyFont="1" applyBorder="1" applyAlignment="1">
      <alignment horizontal="right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2" fontId="11" fillId="0" borderId="1" xfId="0" applyNumberFormat="1" applyFont="1" applyBorder="1" applyAlignment="1">
      <alignment horizontal="right" vertical="center"/>
    </xf>
    <xf numFmtId="177" fontId="11" fillId="0" borderId="1" xfId="0" applyNumberFormat="1" applyFont="1" applyBorder="1" applyAlignment="1">
      <alignment horizontal="right" vertical="center"/>
    </xf>
    <xf numFmtId="10" fontId="8" fillId="0" borderId="0" xfId="3" applyNumberFormat="1" applyFont="1">
      <alignment vertical="center"/>
    </xf>
    <xf numFmtId="0" fontId="13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6">
    <cellStyle name="百分比" xfId="3" builtinId="5"/>
    <cellStyle name="常规" xfId="0" builtinId="0"/>
    <cellStyle name="常规 2" xfId="1"/>
    <cellStyle name="常规 3" xfId="4"/>
    <cellStyle name="千位分隔" xfId="2" builtinId="3"/>
    <cellStyle name="千位分隔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/>
              <a:t>现有人力资源配置结构</a:t>
            </a:r>
          </a:p>
        </c:rich>
      </c:tx>
      <c:layout>
        <c:manualLayout>
          <c:xMode val="edge"/>
          <c:yMode val="edge"/>
          <c:x val="0.3284821320411872"/>
          <c:y val="0.23301742970751413"/>
        </c:manualLayout>
      </c:layout>
      <c:overlay val="0"/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2418320469389026"/>
          <c:y val="0.41496690530865865"/>
          <c:w val="0.47058898620842621"/>
          <c:h val="0.26077155251637019"/>
        </c:manualLayout>
      </c:layout>
      <c:pie3DChart>
        <c:varyColors val="1"/>
        <c:ser>
          <c:idx val="0"/>
          <c:order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Lbls>
            <c:numFmt formatCode="0%" sourceLinked="0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Sheet1!$C$2:$C$4</c:f>
              <c:strCache>
                <c:ptCount val="3"/>
                <c:pt idx="0">
                  <c:v>软件研发人员</c:v>
                </c:pt>
                <c:pt idx="1">
                  <c:v>生产与系统集成人员</c:v>
                </c:pt>
                <c:pt idx="2">
                  <c:v>管理人员</c:v>
                </c:pt>
              </c:strCache>
            </c:strRef>
          </c:cat>
          <c:val>
            <c:numRef>
              <c:f>Sheet1!$D$2:$D$4</c:f>
              <c:numCache>
                <c:formatCode>General</c:formatCode>
                <c:ptCount val="3"/>
                <c:pt idx="0">
                  <c:v>14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4651187261986454"/>
          <c:y val="0.46170690669738818"/>
          <c:w val="0.30232569582943308"/>
          <c:h val="0.22757117676079799"/>
        </c:manualLayout>
      </c:layout>
      <c:overlay val="0"/>
      <c:spPr>
        <a:ln>
          <a:solidFill>
            <a:schemeClr val="tx1"/>
          </a:solidFill>
        </a:ln>
      </c:spPr>
      <c:txPr>
        <a:bodyPr/>
        <a:lstStyle/>
        <a:p>
          <a:pPr>
            <a:defRPr sz="1050"/>
          </a:pPr>
          <a:endParaRPr lang="zh-CN"/>
        </a:p>
      </c:txPr>
    </c:legend>
    <c:plotVisOnly val="1"/>
    <c:dispBlanksAs val="zero"/>
    <c:showDLblsOverMax val="0"/>
  </c:chart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en-US"/>
              <a:t>人员学历结构</a:t>
            </a:r>
          </a:p>
        </c:rich>
      </c:tx>
      <c:layout>
        <c:manualLayout>
          <c:xMode val="edge"/>
          <c:yMode val="edge"/>
          <c:x val="0.40631876897740721"/>
          <c:y val="0.258503877491504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2418320469389026"/>
          <c:y val="0.42630479889632694"/>
          <c:w val="0.47058898620842621"/>
          <c:h val="0.26077155251637019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Sheet2!$B$2:$B$5</c:f>
              <c:strCache>
                <c:ptCount val="4"/>
                <c:pt idx="0">
                  <c:v>博士研究生</c:v>
                </c:pt>
                <c:pt idx="1">
                  <c:v>硕士研究生</c:v>
                </c:pt>
                <c:pt idx="2">
                  <c:v>大学本科</c:v>
                </c:pt>
                <c:pt idx="3">
                  <c:v>大专</c:v>
                </c:pt>
              </c:strCache>
            </c:strRef>
          </c:cat>
          <c:val>
            <c:numRef>
              <c:f>Sheet2!$C$2:$C$5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1477602260910769"/>
          <c:y val="0.44776191918324915"/>
          <c:w val="0.30343022575127632"/>
          <c:h val="0.184079900108669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289560</xdr:colOff>
      <xdr:row>5</xdr:row>
      <xdr:rowOff>114300</xdr:rowOff>
    </xdr:from>
    <xdr:to>
      <xdr:col>6</xdr:col>
      <xdr:colOff>15240</xdr:colOff>
      <xdr:row>23</xdr:row>
      <xdr:rowOff>30480</xdr:rowOff>
    </xdr:to>
    <xdr:graphicFrame macro="">
      <xdr:nvGraphicFramePr>
        <xdr:cNvPr id="110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6</xdr:row>
      <xdr:rowOff>53340</xdr:rowOff>
    </xdr:from>
    <xdr:to>
      <xdr:col>7</xdr:col>
      <xdr:colOff>30480</xdr:colOff>
      <xdr:row>29</xdr:row>
      <xdr:rowOff>91440</xdr:rowOff>
    </xdr:to>
    <xdr:graphicFrame macro="">
      <xdr:nvGraphicFramePr>
        <xdr:cNvPr id="213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2825;&#32428;&#36130;&#21153;&#25253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资产"/>
      <sheetName val="损益"/>
      <sheetName val="现金"/>
      <sheetName val="资产201104"/>
      <sheetName val="损益201104"/>
      <sheetName val="现金201104"/>
    </sheetNames>
    <sheetDataSet>
      <sheetData sheetId="0">
        <row r="6">
          <cell r="D6">
            <v>503923.04</v>
          </cell>
        </row>
        <row r="9">
          <cell r="D9">
            <v>251001.95</v>
          </cell>
        </row>
        <row r="10">
          <cell r="I10">
            <v>69523.47</v>
          </cell>
        </row>
        <row r="20">
          <cell r="I20">
            <v>320944.52</v>
          </cell>
        </row>
        <row r="30">
          <cell r="I30">
            <v>320944.52</v>
          </cell>
        </row>
        <row r="42">
          <cell r="I42">
            <v>827139.22</v>
          </cell>
        </row>
        <row r="43">
          <cell r="I43">
            <v>1148083.74</v>
          </cell>
        </row>
      </sheetData>
      <sheetData sheetId="1">
        <row r="4">
          <cell r="D4">
            <v>1022345.63</v>
          </cell>
        </row>
        <row r="12">
          <cell r="D12">
            <v>474478.72</v>
          </cell>
        </row>
        <row r="25">
          <cell r="D25">
            <v>227139.22</v>
          </cell>
        </row>
      </sheetData>
      <sheetData sheetId="2"/>
      <sheetData sheetId="3">
        <row r="6">
          <cell r="D6">
            <v>937288.98</v>
          </cell>
        </row>
        <row r="8">
          <cell r="H8">
            <v>189842.38</v>
          </cell>
        </row>
        <row r="9">
          <cell r="D9">
            <v>206000</v>
          </cell>
        </row>
        <row r="20">
          <cell r="C20">
            <v>845921.93</v>
          </cell>
          <cell r="D20">
            <v>1232950.98</v>
          </cell>
          <cell r="H20">
            <v>320944.52</v>
          </cell>
          <cell r="I20">
            <v>302598.2</v>
          </cell>
        </row>
        <row r="30">
          <cell r="I30">
            <v>302598.2</v>
          </cell>
        </row>
        <row r="43">
          <cell r="I43">
            <v>1529737.42</v>
          </cell>
        </row>
      </sheetData>
      <sheetData sheetId="4">
        <row r="4">
          <cell r="D4">
            <v>296800</v>
          </cell>
        </row>
        <row r="12">
          <cell r="D12">
            <v>76188.109999999986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opLeftCell="A7" workbookViewId="0">
      <selection activeCell="I24" sqref="I24"/>
    </sheetView>
  </sheetViews>
  <sheetFormatPr defaultRowHeight="15.6"/>
  <cols>
    <col min="2" max="2" width="8.09765625" customWidth="1"/>
    <col min="3" max="3" width="20.59765625" customWidth="1"/>
    <col min="4" max="4" width="10.69921875" customWidth="1"/>
    <col min="5" max="5" width="11.09765625" customWidth="1"/>
  </cols>
  <sheetData>
    <row r="1" spans="2:5" ht="20.100000000000001" customHeight="1">
      <c r="B1" s="3" t="s">
        <v>4</v>
      </c>
      <c r="C1" s="3" t="s">
        <v>5</v>
      </c>
      <c r="D1" s="3" t="s">
        <v>6</v>
      </c>
      <c r="E1" s="3" t="s">
        <v>7</v>
      </c>
    </row>
    <row r="2" spans="2:5" ht="20.100000000000001" customHeight="1">
      <c r="B2" s="1">
        <v>1</v>
      </c>
      <c r="C2" s="2" t="s">
        <v>0</v>
      </c>
      <c r="D2" s="1">
        <v>14</v>
      </c>
      <c r="E2" s="5">
        <f>D2/D5</f>
        <v>0.73684210526315785</v>
      </c>
    </row>
    <row r="3" spans="2:5" ht="20.100000000000001" customHeight="1">
      <c r="B3" s="1">
        <v>2</v>
      </c>
      <c r="C3" s="2" t="s">
        <v>1</v>
      </c>
      <c r="D3" s="1">
        <v>1</v>
      </c>
      <c r="E3" s="5">
        <f>D3/D5</f>
        <v>5.2631578947368418E-2</v>
      </c>
    </row>
    <row r="4" spans="2:5" ht="20.100000000000001" customHeight="1">
      <c r="B4" s="1">
        <v>3</v>
      </c>
      <c r="C4" s="2" t="s">
        <v>46</v>
      </c>
      <c r="D4" s="1">
        <v>4</v>
      </c>
      <c r="E4" s="5">
        <f>D4/D5</f>
        <v>0.21052631578947367</v>
      </c>
    </row>
    <row r="5" spans="2:5" ht="20.100000000000001" customHeight="1">
      <c r="B5" s="1">
        <v>4</v>
      </c>
      <c r="C5" s="2" t="s">
        <v>3</v>
      </c>
      <c r="D5" s="1">
        <f>SUM(D2:D4)</f>
        <v>19</v>
      </c>
      <c r="E5" s="4">
        <v>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13" workbookViewId="0">
      <selection activeCell="I11" sqref="I11"/>
    </sheetView>
  </sheetViews>
  <sheetFormatPr defaultRowHeight="15.6"/>
  <cols>
    <col min="1" max="1" width="8.09765625" customWidth="1"/>
    <col min="2" max="2" width="19.5" customWidth="1"/>
    <col min="3" max="3" width="10.69921875" customWidth="1"/>
    <col min="4" max="4" width="11.09765625" customWidth="1"/>
  </cols>
  <sheetData>
    <row r="1" spans="1:4" ht="20.100000000000001" customHeight="1">
      <c r="A1" s="3" t="s">
        <v>4</v>
      </c>
      <c r="B1" s="3" t="s">
        <v>8</v>
      </c>
      <c r="C1" s="3" t="s">
        <v>6</v>
      </c>
      <c r="D1" s="3" t="s">
        <v>7</v>
      </c>
    </row>
    <row r="2" spans="1:4" ht="20.100000000000001" customHeight="1">
      <c r="A2" s="1">
        <v>1</v>
      </c>
      <c r="B2" s="2" t="s">
        <v>54</v>
      </c>
      <c r="C2" s="1">
        <v>2</v>
      </c>
      <c r="D2" s="5">
        <f>C2/C6</f>
        <v>0.10526315789473684</v>
      </c>
    </row>
    <row r="3" spans="1:4" ht="20.100000000000001" customHeight="1">
      <c r="A3" s="1">
        <v>2</v>
      </c>
      <c r="B3" s="2" t="s">
        <v>52</v>
      </c>
      <c r="C3" s="1">
        <v>5</v>
      </c>
      <c r="D3" s="5">
        <f>C3/C6</f>
        <v>0.26315789473684209</v>
      </c>
    </row>
    <row r="4" spans="1:4" ht="20.100000000000001" customHeight="1">
      <c r="A4" s="1">
        <v>3</v>
      </c>
      <c r="B4" s="2" t="s">
        <v>53</v>
      </c>
      <c r="C4" s="1">
        <v>11</v>
      </c>
      <c r="D4" s="5">
        <f>C4/C6</f>
        <v>0.57894736842105265</v>
      </c>
    </row>
    <row r="5" spans="1:4" ht="20.100000000000001" customHeight="1">
      <c r="A5" s="1">
        <v>4</v>
      </c>
      <c r="B5" s="2" t="s">
        <v>9</v>
      </c>
      <c r="C5" s="1">
        <v>1</v>
      </c>
      <c r="D5" s="5">
        <f>C5/C6</f>
        <v>5.2631578947368418E-2</v>
      </c>
    </row>
    <row r="6" spans="1:4" ht="20.100000000000001" customHeight="1">
      <c r="A6" s="1">
        <v>5</v>
      </c>
      <c r="B6" s="2" t="s">
        <v>3</v>
      </c>
      <c r="C6" s="1">
        <f>SUM(C2:C5)</f>
        <v>19</v>
      </c>
      <c r="D6" s="4">
        <v>1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:C6"/>
    </sheetView>
  </sheetViews>
  <sheetFormatPr defaultColWidth="9" defaultRowHeight="15.6"/>
  <cols>
    <col min="1" max="1" width="17.59765625" style="7" customWidth="1"/>
    <col min="2" max="2" width="10.19921875" style="7" customWidth="1"/>
    <col min="3" max="3" width="26.8984375" style="7" customWidth="1"/>
    <col min="4" max="16384" width="9" style="7"/>
  </cols>
  <sheetData>
    <row r="1" spans="1:3">
      <c r="A1" s="6" t="s">
        <v>10</v>
      </c>
      <c r="B1" s="6" t="s">
        <v>15</v>
      </c>
      <c r="C1" s="6" t="s">
        <v>11</v>
      </c>
    </row>
    <row r="2" spans="1:3" ht="20.100000000000001" customHeight="1">
      <c r="A2" s="8" t="s">
        <v>12</v>
      </c>
      <c r="B2" s="9">
        <v>2</v>
      </c>
      <c r="C2" s="6">
        <v>6</v>
      </c>
    </row>
    <row r="3" spans="1:3" ht="20.100000000000001" customHeight="1">
      <c r="A3" s="8" t="s">
        <v>16</v>
      </c>
      <c r="B3" s="9">
        <v>2</v>
      </c>
      <c r="C3" s="9">
        <v>7</v>
      </c>
    </row>
    <row r="4" spans="1:3" ht="20.100000000000001" customHeight="1">
      <c r="A4" s="8" t="s">
        <v>13</v>
      </c>
      <c r="B4" s="9">
        <v>3</v>
      </c>
      <c r="C4" s="9">
        <v>4</v>
      </c>
    </row>
    <row r="5" spans="1:3" ht="20.100000000000001" customHeight="1">
      <c r="A5" s="8" t="s">
        <v>17</v>
      </c>
      <c r="B5" s="9">
        <v>7</v>
      </c>
      <c r="C5" s="9">
        <v>2</v>
      </c>
    </row>
    <row r="6" spans="1:3" ht="20.100000000000001" customHeight="1">
      <c r="A6" s="8" t="s">
        <v>14</v>
      </c>
      <c r="B6" s="9">
        <f>SUM(B2:B5)</f>
        <v>14</v>
      </c>
      <c r="C6" s="9">
        <v>4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workbookViewId="0">
      <selection activeCell="H6" sqref="H6"/>
    </sheetView>
  </sheetViews>
  <sheetFormatPr defaultColWidth="9" defaultRowHeight="15.6"/>
  <cols>
    <col min="1" max="1" width="0.296875" style="12" customWidth="1"/>
    <col min="2" max="2" width="13.69921875" style="12" customWidth="1"/>
    <col min="3" max="3" width="9.69921875" style="12" customWidth="1"/>
    <col min="4" max="4" width="10.296875" style="12" customWidth="1"/>
    <col min="5" max="5" width="8.3984375" style="12" customWidth="1"/>
    <col min="6" max="6" width="11" style="12" customWidth="1"/>
    <col min="7" max="7" width="9" style="12" customWidth="1"/>
    <col min="8" max="16384" width="9" style="12"/>
  </cols>
  <sheetData>
    <row r="1" spans="2:6" customFormat="1" ht="18" customHeight="1">
      <c r="B1" s="87" t="s">
        <v>194</v>
      </c>
      <c r="C1" s="87"/>
      <c r="D1" s="87"/>
      <c r="E1" s="87"/>
      <c r="F1" s="87"/>
    </row>
    <row r="2" spans="2:6">
      <c r="B2" s="26" t="s">
        <v>79</v>
      </c>
      <c r="C2" s="30" t="s">
        <v>75</v>
      </c>
      <c r="D2" s="27">
        <v>40634</v>
      </c>
      <c r="E2" s="35" t="s">
        <v>77</v>
      </c>
      <c r="F2" s="32" t="s">
        <v>76</v>
      </c>
    </row>
    <row r="3" spans="2:6">
      <c r="B3" s="29" t="s">
        <v>19</v>
      </c>
      <c r="C3" s="19">
        <v>114</v>
      </c>
      <c r="D3" s="31">
        <v>152</v>
      </c>
      <c r="E3" s="31">
        <v>38</v>
      </c>
      <c r="F3" s="34">
        <f>(D3-C3)/C3</f>
        <v>0.33333333333333331</v>
      </c>
    </row>
    <row r="4" spans="2:6">
      <c r="B4" s="29" t="s">
        <v>27</v>
      </c>
      <c r="C4" s="19">
        <v>82</v>
      </c>
      <c r="D4" s="31">
        <v>122</v>
      </c>
      <c r="E4" s="31">
        <v>40</v>
      </c>
      <c r="F4" s="34">
        <f>(D4-C4)/C4</f>
        <v>0.48780487804878048</v>
      </c>
    </row>
    <row r="5" spans="2:6">
      <c r="B5" s="29" t="s">
        <v>28</v>
      </c>
      <c r="C5" s="19">
        <v>102</v>
      </c>
      <c r="D5" s="31">
        <v>29</v>
      </c>
      <c r="E5" s="31" t="s">
        <v>78</v>
      </c>
      <c r="F5" s="31" t="s">
        <v>78</v>
      </c>
    </row>
    <row r="6" spans="2:6">
      <c r="B6" s="29" t="s">
        <v>21</v>
      </c>
      <c r="C6" s="19">
        <v>22</v>
      </c>
      <c r="D6" s="31">
        <v>3.7</v>
      </c>
      <c r="E6" s="31" t="s">
        <v>78</v>
      </c>
      <c r="F6" s="31" t="s">
        <v>78</v>
      </c>
    </row>
    <row r="7" spans="2:6">
      <c r="B7" s="28" t="s">
        <v>80</v>
      </c>
      <c r="C7" s="38">
        <f>[1]资产!$I$30/[1]资产!$I$43</f>
        <v>0.27954800579267852</v>
      </c>
      <c r="D7" s="38">
        <f>[1]资产201104!$I$30/[1]资产201104!$I$43</f>
        <v>0.19781054973473816</v>
      </c>
      <c r="E7" s="31" t="s">
        <v>78</v>
      </c>
      <c r="F7" s="31" t="s">
        <v>78</v>
      </c>
    </row>
    <row r="8" spans="2:6">
      <c r="B8" s="37" t="s">
        <v>81</v>
      </c>
      <c r="C8" s="40">
        <f>[1]资产201104!$C$20/[1]资产201104!$H$20</f>
        <v>2.6357263554461063</v>
      </c>
      <c r="D8" s="40">
        <f>[1]资产201104!$D$20/[1]资产201104!$I$20</f>
        <v>4.0745482953963377</v>
      </c>
      <c r="E8" s="31" t="s">
        <v>78</v>
      </c>
      <c r="F8" s="31" t="s">
        <v>78</v>
      </c>
    </row>
    <row r="9" spans="2:6">
      <c r="B9" s="37" t="s">
        <v>83</v>
      </c>
      <c r="C9" s="40">
        <f>SUM([1]资产!$D$6:$D$9)/[1]资产!$I$20</f>
        <v>2.3521977879541298</v>
      </c>
      <c r="D9" s="40">
        <f>SUM([1]资产201104!$D$6:$D$9)/[1]资产201104!$I$20</f>
        <v>3.7782411792271069</v>
      </c>
      <c r="E9" s="31" t="s">
        <v>78</v>
      </c>
      <c r="F9" s="31" t="s">
        <v>78</v>
      </c>
    </row>
    <row r="10" spans="2:6">
      <c r="B10" s="37" t="s">
        <v>84</v>
      </c>
      <c r="C10" s="38">
        <f>[1]损益!$D$12/[1]损益!$D$4</f>
        <v>0.4641079357868434</v>
      </c>
      <c r="D10" s="38">
        <f>[1]损益201104!$D$12/[1]损益201104!$D$4</f>
        <v>0.25669848382749322</v>
      </c>
      <c r="E10" s="31" t="s">
        <v>78</v>
      </c>
      <c r="F10" s="31" t="s">
        <v>78</v>
      </c>
    </row>
    <row r="11" spans="2:6">
      <c r="B11" s="37" t="s">
        <v>82</v>
      </c>
      <c r="C11" s="39">
        <f>[1]损益!$D$25/[1]资产!$I$42</f>
        <v>0.27460820924438817</v>
      </c>
      <c r="D11" s="31" t="s">
        <v>78</v>
      </c>
      <c r="E11" s="31" t="s">
        <v>78</v>
      </c>
      <c r="F11" s="31" t="s">
        <v>78</v>
      </c>
    </row>
  </sheetData>
  <mergeCells count="1">
    <mergeCell ref="B1:F1"/>
  </mergeCells>
  <phoneticPr fontId="2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6" sqref="A6"/>
    </sheetView>
  </sheetViews>
  <sheetFormatPr defaultColWidth="9" defaultRowHeight="15.6"/>
  <cols>
    <col min="1" max="1" width="25.5" style="12" customWidth="1"/>
    <col min="2" max="2" width="6.59765625" style="12" customWidth="1"/>
    <col min="3" max="3" width="8" style="12" customWidth="1"/>
    <col min="4" max="4" width="13" style="12" customWidth="1"/>
    <col min="5" max="5" width="13.59765625" style="12" customWidth="1"/>
    <col min="6" max="16384" width="9" style="12"/>
  </cols>
  <sheetData>
    <row r="1" spans="1:5" ht="24.9" customHeight="1">
      <c r="A1" s="10" t="s">
        <v>38</v>
      </c>
      <c r="B1" s="10" t="s">
        <v>39</v>
      </c>
      <c r="C1" s="10" t="s">
        <v>29</v>
      </c>
      <c r="D1" s="10" t="s">
        <v>30</v>
      </c>
      <c r="E1" s="10" t="s">
        <v>45</v>
      </c>
    </row>
    <row r="2" spans="1:5" ht="24.9" customHeight="1">
      <c r="A2" s="11" t="s">
        <v>50</v>
      </c>
      <c r="B2" s="14" t="s">
        <v>31</v>
      </c>
      <c r="C2" s="15">
        <v>2</v>
      </c>
      <c r="D2" s="15">
        <v>8</v>
      </c>
      <c r="E2" s="14" t="s">
        <v>32</v>
      </c>
    </row>
    <row r="3" spans="1:5" ht="24.9" customHeight="1">
      <c r="A3" s="11" t="s">
        <v>25</v>
      </c>
      <c r="B3" s="14" t="s">
        <v>31</v>
      </c>
      <c r="C3" s="15">
        <v>2</v>
      </c>
      <c r="D3" s="15">
        <v>1</v>
      </c>
      <c r="E3" s="14" t="s">
        <v>32</v>
      </c>
    </row>
    <row r="4" spans="1:5" ht="24.9" customHeight="1">
      <c r="A4" s="11" t="s">
        <v>48</v>
      </c>
      <c r="B4" s="14" t="s">
        <v>40</v>
      </c>
      <c r="C4" s="15">
        <v>13</v>
      </c>
      <c r="D4" s="15">
        <v>8</v>
      </c>
      <c r="E4" s="14" t="s">
        <v>32</v>
      </c>
    </row>
    <row r="5" spans="1:5" ht="24.9" customHeight="1">
      <c r="A5" s="11" t="s">
        <v>47</v>
      </c>
      <c r="B5" s="14" t="s">
        <v>40</v>
      </c>
      <c r="C5" s="15">
        <v>1</v>
      </c>
      <c r="D5" s="15">
        <v>5</v>
      </c>
      <c r="E5" s="14" t="s">
        <v>32</v>
      </c>
    </row>
    <row r="6" spans="1:5" ht="28.5" customHeight="1">
      <c r="A6" s="11" t="s">
        <v>49</v>
      </c>
      <c r="B6" s="14" t="s">
        <v>40</v>
      </c>
      <c r="C6" s="15">
        <v>3</v>
      </c>
      <c r="D6" s="15">
        <v>12</v>
      </c>
      <c r="E6" s="14" t="s">
        <v>32</v>
      </c>
    </row>
    <row r="7" spans="1:5" ht="24.9" customHeight="1">
      <c r="A7" s="14" t="s">
        <v>41</v>
      </c>
      <c r="B7" s="14"/>
      <c r="C7" s="14">
        <f>SUM(C2:C6)</f>
        <v>21</v>
      </c>
      <c r="D7" s="14">
        <f>SUM(D2:D6)</f>
        <v>34</v>
      </c>
      <c r="E7" s="14" t="s">
        <v>32</v>
      </c>
    </row>
    <row r="8" spans="1:5" ht="24.9" customHeight="1">
      <c r="A8" s="13"/>
      <c r="B8" s="14"/>
      <c r="C8" s="14"/>
      <c r="D8" s="14"/>
      <c r="E8" s="14"/>
    </row>
    <row r="9" spans="1:5" ht="24.9" customHeight="1">
      <c r="A9" s="13" t="s">
        <v>33</v>
      </c>
      <c r="B9" s="14"/>
      <c r="C9" s="14"/>
      <c r="D9" s="14">
        <v>30</v>
      </c>
      <c r="E9" s="14" t="s">
        <v>32</v>
      </c>
    </row>
    <row r="10" spans="1:5" ht="24.9" customHeight="1">
      <c r="A10" s="13" t="s">
        <v>34</v>
      </c>
      <c r="B10" s="14"/>
      <c r="C10" s="14"/>
      <c r="D10" s="14">
        <v>5</v>
      </c>
      <c r="E10" s="14" t="s">
        <v>32</v>
      </c>
    </row>
    <row r="11" spans="1:5" ht="24.9" customHeight="1">
      <c r="A11" s="13" t="s">
        <v>35</v>
      </c>
      <c r="B11" s="14"/>
      <c r="C11" s="14"/>
      <c r="D11" s="14">
        <v>15</v>
      </c>
      <c r="E11" s="14" t="s">
        <v>32</v>
      </c>
    </row>
    <row r="12" spans="1:5" ht="24.9" customHeight="1">
      <c r="A12" s="13" t="s">
        <v>42</v>
      </c>
      <c r="B12" s="14"/>
      <c r="C12" s="14"/>
      <c r="D12" s="14">
        <v>1</v>
      </c>
      <c r="E12" s="14" t="s">
        <v>32</v>
      </c>
    </row>
    <row r="13" spans="1:5" ht="24.9" customHeight="1">
      <c r="A13" s="14" t="s">
        <v>36</v>
      </c>
      <c r="B13" s="14"/>
      <c r="C13" s="14"/>
      <c r="D13" s="14">
        <f>SUM(D9:D12)</f>
        <v>51</v>
      </c>
      <c r="E13" s="14" t="s">
        <v>32</v>
      </c>
    </row>
    <row r="14" spans="1:5" ht="24.9" customHeight="1">
      <c r="A14" s="14" t="s">
        <v>37</v>
      </c>
      <c r="B14" s="14"/>
      <c r="C14" s="14"/>
      <c r="D14" s="14">
        <f>D7+D13</f>
        <v>85</v>
      </c>
      <c r="E14" s="14" t="s">
        <v>32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3" workbookViewId="0">
      <selection activeCell="B17" sqref="B17"/>
    </sheetView>
  </sheetViews>
  <sheetFormatPr defaultColWidth="9" defaultRowHeight="20.100000000000001" customHeight="1"/>
  <cols>
    <col min="1" max="1" width="13.3984375" style="12" customWidth="1"/>
    <col min="2" max="2" width="21.8984375" style="12" customWidth="1"/>
    <col min="3" max="3" width="11.8984375" style="12" customWidth="1"/>
    <col min="4" max="4" width="11.09765625" style="12" customWidth="1"/>
    <col min="5" max="16384" width="9" style="12"/>
  </cols>
  <sheetData>
    <row r="1" spans="1:4" ht="20.100000000000001" customHeight="1">
      <c r="A1" s="16" t="s">
        <v>55</v>
      </c>
      <c r="B1" s="16" t="s">
        <v>18</v>
      </c>
      <c r="C1" s="16" t="s">
        <v>56</v>
      </c>
      <c r="D1" s="16" t="s">
        <v>57</v>
      </c>
    </row>
    <row r="2" spans="1:4" ht="20.100000000000001" customHeight="1">
      <c r="A2" s="89" t="s">
        <v>70</v>
      </c>
      <c r="B2" s="18" t="s">
        <v>58</v>
      </c>
      <c r="C2" s="19">
        <v>1</v>
      </c>
      <c r="D2" s="20">
        <v>10</v>
      </c>
    </row>
    <row r="3" spans="1:4" ht="20.100000000000001" customHeight="1">
      <c r="A3" s="89"/>
      <c r="B3" s="18" t="s">
        <v>59</v>
      </c>
      <c r="C3" s="19">
        <v>1</v>
      </c>
      <c r="D3" s="20">
        <v>5</v>
      </c>
    </row>
    <row r="4" spans="1:4" ht="20.100000000000001" customHeight="1">
      <c r="A4" s="89"/>
      <c r="B4" s="18" t="s">
        <v>60</v>
      </c>
      <c r="C4" s="19">
        <v>2</v>
      </c>
      <c r="D4" s="20">
        <v>8</v>
      </c>
    </row>
    <row r="5" spans="1:4" ht="20.100000000000001" customHeight="1">
      <c r="A5" s="89"/>
      <c r="B5" s="13" t="s">
        <v>73</v>
      </c>
      <c r="C5" s="19">
        <v>4</v>
      </c>
      <c r="D5" s="20">
        <v>2</v>
      </c>
    </row>
    <row r="6" spans="1:4" ht="20.100000000000001" customHeight="1">
      <c r="A6" s="89"/>
      <c r="B6" s="18" t="s">
        <v>26</v>
      </c>
      <c r="C6" s="19">
        <v>1</v>
      </c>
      <c r="D6" s="20">
        <v>1</v>
      </c>
    </row>
    <row r="7" spans="1:4" ht="20.100000000000001" customHeight="1">
      <c r="A7" s="89"/>
      <c r="B7" s="13" t="s">
        <v>74</v>
      </c>
      <c r="C7" s="19">
        <v>1</v>
      </c>
      <c r="D7" s="20">
        <v>3</v>
      </c>
    </row>
    <row r="8" spans="1:4" ht="20.100000000000001" customHeight="1">
      <c r="A8" s="89"/>
      <c r="B8" s="13" t="s">
        <v>72</v>
      </c>
      <c r="C8" s="19">
        <v>1</v>
      </c>
      <c r="D8" s="20">
        <v>3</v>
      </c>
    </row>
    <row r="9" spans="1:4" ht="20.100000000000001" customHeight="1">
      <c r="A9" s="89"/>
      <c r="B9" s="21" t="s">
        <v>61</v>
      </c>
      <c r="C9" s="19">
        <v>1</v>
      </c>
      <c r="D9" s="20">
        <v>4</v>
      </c>
    </row>
    <row r="10" spans="1:4" ht="20.100000000000001" customHeight="1">
      <c r="A10" s="89"/>
      <c r="B10" s="18" t="s">
        <v>62</v>
      </c>
      <c r="C10" s="19">
        <v>1</v>
      </c>
      <c r="D10" s="20">
        <v>5</v>
      </c>
    </row>
    <row r="11" spans="1:4" ht="20.100000000000001" customHeight="1">
      <c r="A11" s="89"/>
      <c r="B11" s="18" t="s">
        <v>63</v>
      </c>
      <c r="C11" s="19">
        <v>2</v>
      </c>
      <c r="D11" s="20">
        <v>10</v>
      </c>
    </row>
    <row r="12" spans="1:4" ht="20.100000000000001" customHeight="1">
      <c r="A12" s="89"/>
      <c r="B12" s="18" t="s">
        <v>64</v>
      </c>
      <c r="C12" s="19">
        <v>3</v>
      </c>
      <c r="D12" s="20">
        <v>6</v>
      </c>
    </row>
    <row r="13" spans="1:4" ht="20.100000000000001" customHeight="1">
      <c r="A13" s="89"/>
      <c r="B13" s="22" t="s">
        <v>43</v>
      </c>
      <c r="C13" s="23">
        <f>SUM(C2:C12)</f>
        <v>18</v>
      </c>
      <c r="D13" s="23">
        <f>SUM(D2:D12)</f>
        <v>57</v>
      </c>
    </row>
    <row r="14" spans="1:4" ht="35.25" customHeight="1">
      <c r="A14" s="89" t="s">
        <v>71</v>
      </c>
      <c r="B14" s="18" t="s">
        <v>65</v>
      </c>
      <c r="C14" s="24"/>
      <c r="D14" s="20">
        <v>45</v>
      </c>
    </row>
    <row r="15" spans="1:4" ht="20.100000000000001" customHeight="1">
      <c r="A15" s="89"/>
      <c r="B15" s="18" t="s">
        <v>66</v>
      </c>
      <c r="C15" s="24"/>
      <c r="D15" s="20">
        <v>5</v>
      </c>
    </row>
    <row r="16" spans="1:4" ht="20.100000000000001" customHeight="1">
      <c r="A16" s="89"/>
      <c r="B16" s="18" t="s">
        <v>67</v>
      </c>
      <c r="C16" s="24"/>
      <c r="D16" s="20">
        <v>1</v>
      </c>
    </row>
    <row r="17" spans="1:4" ht="20.100000000000001" customHeight="1">
      <c r="A17" s="89"/>
      <c r="B17" s="18" t="s">
        <v>68</v>
      </c>
      <c r="C17" s="24"/>
      <c r="D17" s="19">
        <v>24</v>
      </c>
    </row>
    <row r="18" spans="1:4" ht="20.100000000000001" customHeight="1">
      <c r="A18" s="89"/>
      <c r="B18" s="18" t="s">
        <v>69</v>
      </c>
      <c r="C18" s="24"/>
      <c r="D18" s="19">
        <v>10</v>
      </c>
    </row>
    <row r="19" spans="1:4" ht="20.100000000000001" customHeight="1">
      <c r="A19" s="89"/>
      <c r="B19" s="18" t="s">
        <v>44</v>
      </c>
      <c r="C19" s="24"/>
      <c r="D19" s="19">
        <v>10</v>
      </c>
    </row>
    <row r="20" spans="1:4" ht="20.100000000000001" customHeight="1">
      <c r="A20" s="89"/>
      <c r="B20" s="25" t="s">
        <v>43</v>
      </c>
      <c r="C20" s="17"/>
      <c r="D20" s="23">
        <f>SUM(D14:D19)</f>
        <v>95</v>
      </c>
    </row>
    <row r="21" spans="1:4" ht="20.100000000000001" customHeight="1">
      <c r="A21" s="17" t="s">
        <v>2</v>
      </c>
      <c r="B21" s="88">
        <f>D13+D20</f>
        <v>152</v>
      </c>
      <c r="C21" s="88"/>
      <c r="D21" s="88"/>
    </row>
  </sheetData>
  <mergeCells count="3">
    <mergeCell ref="B21:D21"/>
    <mergeCell ref="A2:A13"/>
    <mergeCell ref="A14:A20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E9" sqref="E9"/>
    </sheetView>
  </sheetViews>
  <sheetFormatPr defaultRowHeight="15.6"/>
  <cols>
    <col min="1" max="1" width="1" style="41" customWidth="1"/>
    <col min="2" max="2" width="19" style="41" customWidth="1"/>
    <col min="3" max="3" width="13.69921875" style="41" customWidth="1"/>
    <col min="4" max="4" width="17.59765625" style="41" customWidth="1"/>
    <col min="5" max="257" width="8.796875" style="41"/>
    <col min="258" max="258" width="19" style="41" customWidth="1"/>
    <col min="259" max="259" width="10.19921875" style="41" customWidth="1"/>
    <col min="260" max="260" width="17.59765625" style="41" customWidth="1"/>
    <col min="261" max="513" width="8.796875" style="41"/>
    <col min="514" max="514" width="19" style="41" customWidth="1"/>
    <col min="515" max="515" width="10.19921875" style="41" customWidth="1"/>
    <col min="516" max="516" width="17.59765625" style="41" customWidth="1"/>
    <col min="517" max="769" width="8.796875" style="41"/>
    <col min="770" max="770" width="19" style="41" customWidth="1"/>
    <col min="771" max="771" width="10.19921875" style="41" customWidth="1"/>
    <col min="772" max="772" width="17.59765625" style="41" customWidth="1"/>
    <col min="773" max="1025" width="8.796875" style="41"/>
    <col min="1026" max="1026" width="19" style="41" customWidth="1"/>
    <col min="1027" max="1027" width="10.19921875" style="41" customWidth="1"/>
    <col min="1028" max="1028" width="17.59765625" style="41" customWidth="1"/>
    <col min="1029" max="1281" width="8.796875" style="41"/>
    <col min="1282" max="1282" width="19" style="41" customWidth="1"/>
    <col min="1283" max="1283" width="10.19921875" style="41" customWidth="1"/>
    <col min="1284" max="1284" width="17.59765625" style="41" customWidth="1"/>
    <col min="1285" max="1537" width="8.796875" style="41"/>
    <col min="1538" max="1538" width="19" style="41" customWidth="1"/>
    <col min="1539" max="1539" width="10.19921875" style="41" customWidth="1"/>
    <col min="1540" max="1540" width="17.59765625" style="41" customWidth="1"/>
    <col min="1541" max="1793" width="8.796875" style="41"/>
    <col min="1794" max="1794" width="19" style="41" customWidth="1"/>
    <col min="1795" max="1795" width="10.19921875" style="41" customWidth="1"/>
    <col min="1796" max="1796" width="17.59765625" style="41" customWidth="1"/>
    <col min="1797" max="2049" width="8.796875" style="41"/>
    <col min="2050" max="2050" width="19" style="41" customWidth="1"/>
    <col min="2051" max="2051" width="10.19921875" style="41" customWidth="1"/>
    <col min="2052" max="2052" width="17.59765625" style="41" customWidth="1"/>
    <col min="2053" max="2305" width="8.796875" style="41"/>
    <col min="2306" max="2306" width="19" style="41" customWidth="1"/>
    <col min="2307" max="2307" width="10.19921875" style="41" customWidth="1"/>
    <col min="2308" max="2308" width="17.59765625" style="41" customWidth="1"/>
    <col min="2309" max="2561" width="8.796875" style="41"/>
    <col min="2562" max="2562" width="19" style="41" customWidth="1"/>
    <col min="2563" max="2563" width="10.19921875" style="41" customWidth="1"/>
    <col min="2564" max="2564" width="17.59765625" style="41" customWidth="1"/>
    <col min="2565" max="2817" width="8.796875" style="41"/>
    <col min="2818" max="2818" width="19" style="41" customWidth="1"/>
    <col min="2819" max="2819" width="10.19921875" style="41" customWidth="1"/>
    <col min="2820" max="2820" width="17.59765625" style="41" customWidth="1"/>
    <col min="2821" max="3073" width="8.796875" style="41"/>
    <col min="3074" max="3074" width="19" style="41" customWidth="1"/>
    <col min="3075" max="3075" width="10.19921875" style="41" customWidth="1"/>
    <col min="3076" max="3076" width="17.59765625" style="41" customWidth="1"/>
    <col min="3077" max="3329" width="8.796875" style="41"/>
    <col min="3330" max="3330" width="19" style="41" customWidth="1"/>
    <col min="3331" max="3331" width="10.19921875" style="41" customWidth="1"/>
    <col min="3332" max="3332" width="17.59765625" style="41" customWidth="1"/>
    <col min="3333" max="3585" width="8.796875" style="41"/>
    <col min="3586" max="3586" width="19" style="41" customWidth="1"/>
    <col min="3587" max="3587" width="10.19921875" style="41" customWidth="1"/>
    <col min="3588" max="3588" width="17.59765625" style="41" customWidth="1"/>
    <col min="3589" max="3841" width="8.796875" style="41"/>
    <col min="3842" max="3842" width="19" style="41" customWidth="1"/>
    <col min="3843" max="3843" width="10.19921875" style="41" customWidth="1"/>
    <col min="3844" max="3844" width="17.59765625" style="41" customWidth="1"/>
    <col min="3845" max="4097" width="8.796875" style="41"/>
    <col min="4098" max="4098" width="19" style="41" customWidth="1"/>
    <col min="4099" max="4099" width="10.19921875" style="41" customWidth="1"/>
    <col min="4100" max="4100" width="17.59765625" style="41" customWidth="1"/>
    <col min="4101" max="4353" width="8.796875" style="41"/>
    <col min="4354" max="4354" width="19" style="41" customWidth="1"/>
    <col min="4355" max="4355" width="10.19921875" style="41" customWidth="1"/>
    <col min="4356" max="4356" width="17.59765625" style="41" customWidth="1"/>
    <col min="4357" max="4609" width="8.796875" style="41"/>
    <col min="4610" max="4610" width="19" style="41" customWidth="1"/>
    <col min="4611" max="4611" width="10.19921875" style="41" customWidth="1"/>
    <col min="4612" max="4612" width="17.59765625" style="41" customWidth="1"/>
    <col min="4613" max="4865" width="8.796875" style="41"/>
    <col min="4866" max="4866" width="19" style="41" customWidth="1"/>
    <col min="4867" max="4867" width="10.19921875" style="41" customWidth="1"/>
    <col min="4868" max="4868" width="17.59765625" style="41" customWidth="1"/>
    <col min="4869" max="5121" width="8.796875" style="41"/>
    <col min="5122" max="5122" width="19" style="41" customWidth="1"/>
    <col min="5123" max="5123" width="10.19921875" style="41" customWidth="1"/>
    <col min="5124" max="5124" width="17.59765625" style="41" customWidth="1"/>
    <col min="5125" max="5377" width="8.796875" style="41"/>
    <col min="5378" max="5378" width="19" style="41" customWidth="1"/>
    <col min="5379" max="5379" width="10.19921875" style="41" customWidth="1"/>
    <col min="5380" max="5380" width="17.59765625" style="41" customWidth="1"/>
    <col min="5381" max="5633" width="8.796875" style="41"/>
    <col min="5634" max="5634" width="19" style="41" customWidth="1"/>
    <col min="5635" max="5635" width="10.19921875" style="41" customWidth="1"/>
    <col min="5636" max="5636" width="17.59765625" style="41" customWidth="1"/>
    <col min="5637" max="5889" width="8.796875" style="41"/>
    <col min="5890" max="5890" width="19" style="41" customWidth="1"/>
    <col min="5891" max="5891" width="10.19921875" style="41" customWidth="1"/>
    <col min="5892" max="5892" width="17.59765625" style="41" customWidth="1"/>
    <col min="5893" max="6145" width="8.796875" style="41"/>
    <col min="6146" max="6146" width="19" style="41" customWidth="1"/>
    <col min="6147" max="6147" width="10.19921875" style="41" customWidth="1"/>
    <col min="6148" max="6148" width="17.59765625" style="41" customWidth="1"/>
    <col min="6149" max="6401" width="8.796875" style="41"/>
    <col min="6402" max="6402" width="19" style="41" customWidth="1"/>
    <col min="6403" max="6403" width="10.19921875" style="41" customWidth="1"/>
    <col min="6404" max="6404" width="17.59765625" style="41" customWidth="1"/>
    <col min="6405" max="6657" width="8.796875" style="41"/>
    <col min="6658" max="6658" width="19" style="41" customWidth="1"/>
    <col min="6659" max="6659" width="10.19921875" style="41" customWidth="1"/>
    <col min="6660" max="6660" width="17.59765625" style="41" customWidth="1"/>
    <col min="6661" max="6913" width="8.796875" style="41"/>
    <col min="6914" max="6914" width="19" style="41" customWidth="1"/>
    <col min="6915" max="6915" width="10.19921875" style="41" customWidth="1"/>
    <col min="6916" max="6916" width="17.59765625" style="41" customWidth="1"/>
    <col min="6917" max="7169" width="8.796875" style="41"/>
    <col min="7170" max="7170" width="19" style="41" customWidth="1"/>
    <col min="7171" max="7171" width="10.19921875" style="41" customWidth="1"/>
    <col min="7172" max="7172" width="17.59765625" style="41" customWidth="1"/>
    <col min="7173" max="7425" width="8.796875" style="41"/>
    <col min="7426" max="7426" width="19" style="41" customWidth="1"/>
    <col min="7427" max="7427" width="10.19921875" style="41" customWidth="1"/>
    <col min="7428" max="7428" width="17.59765625" style="41" customWidth="1"/>
    <col min="7429" max="7681" width="8.796875" style="41"/>
    <col min="7682" max="7682" width="19" style="41" customWidth="1"/>
    <col min="7683" max="7683" width="10.19921875" style="41" customWidth="1"/>
    <col min="7684" max="7684" width="17.59765625" style="41" customWidth="1"/>
    <col min="7685" max="7937" width="8.796875" style="41"/>
    <col min="7938" max="7938" width="19" style="41" customWidth="1"/>
    <col min="7939" max="7939" width="10.19921875" style="41" customWidth="1"/>
    <col min="7940" max="7940" width="17.59765625" style="41" customWidth="1"/>
    <col min="7941" max="8193" width="8.796875" style="41"/>
    <col min="8194" max="8194" width="19" style="41" customWidth="1"/>
    <col min="8195" max="8195" width="10.19921875" style="41" customWidth="1"/>
    <col min="8196" max="8196" width="17.59765625" style="41" customWidth="1"/>
    <col min="8197" max="8449" width="8.796875" style="41"/>
    <col min="8450" max="8450" width="19" style="41" customWidth="1"/>
    <col min="8451" max="8451" width="10.19921875" style="41" customWidth="1"/>
    <col min="8452" max="8452" width="17.59765625" style="41" customWidth="1"/>
    <col min="8453" max="8705" width="8.796875" style="41"/>
    <col min="8706" max="8706" width="19" style="41" customWidth="1"/>
    <col min="8707" max="8707" width="10.19921875" style="41" customWidth="1"/>
    <col min="8708" max="8708" width="17.59765625" style="41" customWidth="1"/>
    <col min="8709" max="8961" width="8.796875" style="41"/>
    <col min="8962" max="8962" width="19" style="41" customWidth="1"/>
    <col min="8963" max="8963" width="10.19921875" style="41" customWidth="1"/>
    <col min="8964" max="8964" width="17.59765625" style="41" customWidth="1"/>
    <col min="8965" max="9217" width="8.796875" style="41"/>
    <col min="9218" max="9218" width="19" style="41" customWidth="1"/>
    <col min="9219" max="9219" width="10.19921875" style="41" customWidth="1"/>
    <col min="9220" max="9220" width="17.59765625" style="41" customWidth="1"/>
    <col min="9221" max="9473" width="8.796875" style="41"/>
    <col min="9474" max="9474" width="19" style="41" customWidth="1"/>
    <col min="9475" max="9475" width="10.19921875" style="41" customWidth="1"/>
    <col min="9476" max="9476" width="17.59765625" style="41" customWidth="1"/>
    <col min="9477" max="9729" width="8.796875" style="41"/>
    <col min="9730" max="9730" width="19" style="41" customWidth="1"/>
    <col min="9731" max="9731" width="10.19921875" style="41" customWidth="1"/>
    <col min="9732" max="9732" width="17.59765625" style="41" customWidth="1"/>
    <col min="9733" max="9985" width="8.796875" style="41"/>
    <col min="9986" max="9986" width="19" style="41" customWidth="1"/>
    <col min="9987" max="9987" width="10.19921875" style="41" customWidth="1"/>
    <col min="9988" max="9988" width="17.59765625" style="41" customWidth="1"/>
    <col min="9989" max="10241" width="8.796875" style="41"/>
    <col min="10242" max="10242" width="19" style="41" customWidth="1"/>
    <col min="10243" max="10243" width="10.19921875" style="41" customWidth="1"/>
    <col min="10244" max="10244" width="17.59765625" style="41" customWidth="1"/>
    <col min="10245" max="10497" width="8.796875" style="41"/>
    <col min="10498" max="10498" width="19" style="41" customWidth="1"/>
    <col min="10499" max="10499" width="10.19921875" style="41" customWidth="1"/>
    <col min="10500" max="10500" width="17.59765625" style="41" customWidth="1"/>
    <col min="10501" max="10753" width="8.796875" style="41"/>
    <col min="10754" max="10754" width="19" style="41" customWidth="1"/>
    <col min="10755" max="10755" width="10.19921875" style="41" customWidth="1"/>
    <col min="10756" max="10756" width="17.59765625" style="41" customWidth="1"/>
    <col min="10757" max="11009" width="8.796875" style="41"/>
    <col min="11010" max="11010" width="19" style="41" customWidth="1"/>
    <col min="11011" max="11011" width="10.19921875" style="41" customWidth="1"/>
    <col min="11012" max="11012" width="17.59765625" style="41" customWidth="1"/>
    <col min="11013" max="11265" width="8.796875" style="41"/>
    <col min="11266" max="11266" width="19" style="41" customWidth="1"/>
    <col min="11267" max="11267" width="10.19921875" style="41" customWidth="1"/>
    <col min="11268" max="11268" width="17.59765625" style="41" customWidth="1"/>
    <col min="11269" max="11521" width="8.796875" style="41"/>
    <col min="11522" max="11522" width="19" style="41" customWidth="1"/>
    <col min="11523" max="11523" width="10.19921875" style="41" customWidth="1"/>
    <col min="11524" max="11524" width="17.59765625" style="41" customWidth="1"/>
    <col min="11525" max="11777" width="8.796875" style="41"/>
    <col min="11778" max="11778" width="19" style="41" customWidth="1"/>
    <col min="11779" max="11779" width="10.19921875" style="41" customWidth="1"/>
    <col min="11780" max="11780" width="17.59765625" style="41" customWidth="1"/>
    <col min="11781" max="12033" width="8.796875" style="41"/>
    <col min="12034" max="12034" width="19" style="41" customWidth="1"/>
    <col min="12035" max="12035" width="10.19921875" style="41" customWidth="1"/>
    <col min="12036" max="12036" width="17.59765625" style="41" customWidth="1"/>
    <col min="12037" max="12289" width="8.796875" style="41"/>
    <col min="12290" max="12290" width="19" style="41" customWidth="1"/>
    <col min="12291" max="12291" width="10.19921875" style="41" customWidth="1"/>
    <col min="12292" max="12292" width="17.59765625" style="41" customWidth="1"/>
    <col min="12293" max="12545" width="8.796875" style="41"/>
    <col min="12546" max="12546" width="19" style="41" customWidth="1"/>
    <col min="12547" max="12547" width="10.19921875" style="41" customWidth="1"/>
    <col min="12548" max="12548" width="17.59765625" style="41" customWidth="1"/>
    <col min="12549" max="12801" width="8.796875" style="41"/>
    <col min="12802" max="12802" width="19" style="41" customWidth="1"/>
    <col min="12803" max="12803" width="10.19921875" style="41" customWidth="1"/>
    <col min="12804" max="12804" width="17.59765625" style="41" customWidth="1"/>
    <col min="12805" max="13057" width="8.796875" style="41"/>
    <col min="13058" max="13058" width="19" style="41" customWidth="1"/>
    <col min="13059" max="13059" width="10.19921875" style="41" customWidth="1"/>
    <col min="13060" max="13060" width="17.59765625" style="41" customWidth="1"/>
    <col min="13061" max="13313" width="8.796875" style="41"/>
    <col min="13314" max="13314" width="19" style="41" customWidth="1"/>
    <col min="13315" max="13315" width="10.19921875" style="41" customWidth="1"/>
    <col min="13316" max="13316" width="17.59765625" style="41" customWidth="1"/>
    <col min="13317" max="13569" width="8.796875" style="41"/>
    <col min="13570" max="13570" width="19" style="41" customWidth="1"/>
    <col min="13571" max="13571" width="10.19921875" style="41" customWidth="1"/>
    <col min="13572" max="13572" width="17.59765625" style="41" customWidth="1"/>
    <col min="13573" max="13825" width="8.796875" style="41"/>
    <col min="13826" max="13826" width="19" style="41" customWidth="1"/>
    <col min="13827" max="13827" width="10.19921875" style="41" customWidth="1"/>
    <col min="13828" max="13828" width="17.59765625" style="41" customWidth="1"/>
    <col min="13829" max="14081" width="8.796875" style="41"/>
    <col min="14082" max="14082" width="19" style="41" customWidth="1"/>
    <col min="14083" max="14083" width="10.19921875" style="41" customWidth="1"/>
    <col min="14084" max="14084" width="17.59765625" style="41" customWidth="1"/>
    <col min="14085" max="14337" width="8.796875" style="41"/>
    <col min="14338" max="14338" width="19" style="41" customWidth="1"/>
    <col min="14339" max="14339" width="10.19921875" style="41" customWidth="1"/>
    <col min="14340" max="14340" width="17.59765625" style="41" customWidth="1"/>
    <col min="14341" max="14593" width="8.796875" style="41"/>
    <col min="14594" max="14594" width="19" style="41" customWidth="1"/>
    <col min="14595" max="14595" width="10.19921875" style="41" customWidth="1"/>
    <col min="14596" max="14596" width="17.59765625" style="41" customWidth="1"/>
    <col min="14597" max="14849" width="8.796875" style="41"/>
    <col min="14850" max="14850" width="19" style="41" customWidth="1"/>
    <col min="14851" max="14851" width="10.19921875" style="41" customWidth="1"/>
    <col min="14852" max="14852" width="17.59765625" style="41" customWidth="1"/>
    <col min="14853" max="15105" width="8.796875" style="41"/>
    <col min="15106" max="15106" width="19" style="41" customWidth="1"/>
    <col min="15107" max="15107" width="10.19921875" style="41" customWidth="1"/>
    <col min="15108" max="15108" width="17.59765625" style="41" customWidth="1"/>
    <col min="15109" max="15361" width="8.796875" style="41"/>
    <col min="15362" max="15362" width="19" style="41" customWidth="1"/>
    <col min="15363" max="15363" width="10.19921875" style="41" customWidth="1"/>
    <col min="15364" max="15364" width="17.59765625" style="41" customWidth="1"/>
    <col min="15365" max="15617" width="8.796875" style="41"/>
    <col min="15618" max="15618" width="19" style="41" customWidth="1"/>
    <col min="15619" max="15619" width="10.19921875" style="41" customWidth="1"/>
    <col min="15620" max="15620" width="17.59765625" style="41" customWidth="1"/>
    <col min="15621" max="15873" width="8.796875" style="41"/>
    <col min="15874" max="15874" width="19" style="41" customWidth="1"/>
    <col min="15875" max="15875" width="10.19921875" style="41" customWidth="1"/>
    <col min="15876" max="15876" width="17.59765625" style="41" customWidth="1"/>
    <col min="15877" max="16129" width="8.796875" style="41"/>
    <col min="16130" max="16130" width="19" style="41" customWidth="1"/>
    <col min="16131" max="16131" width="10.19921875" style="41" customWidth="1"/>
    <col min="16132" max="16132" width="17.59765625" style="41" customWidth="1"/>
    <col min="16133" max="16384" width="8.796875" style="41"/>
  </cols>
  <sheetData>
    <row r="2" spans="2:4" ht="20.100000000000001" customHeight="1">
      <c r="B2" s="43" t="s">
        <v>23</v>
      </c>
      <c r="C2" s="43" t="s">
        <v>85</v>
      </c>
      <c r="D2" s="43" t="s">
        <v>86</v>
      </c>
    </row>
    <row r="3" spans="2:4" ht="20.100000000000001" customHeight="1">
      <c r="B3" s="44" t="s">
        <v>20</v>
      </c>
      <c r="C3" s="47">
        <v>1022345.63</v>
      </c>
      <c r="D3" s="45">
        <f>C3/C3</f>
        <v>1</v>
      </c>
    </row>
    <row r="4" spans="2:4" ht="20.100000000000001" customHeight="1">
      <c r="B4" s="44" t="s">
        <v>113</v>
      </c>
      <c r="C4" s="47">
        <v>835000</v>
      </c>
      <c r="D4" s="45">
        <f>C4/C3</f>
        <v>0.81674922403688466</v>
      </c>
    </row>
    <row r="5" spans="2:4" ht="20.100000000000001" customHeight="1">
      <c r="B5" s="44" t="s">
        <v>87</v>
      </c>
      <c r="C5" s="47">
        <f>C3-C4</f>
        <v>187345.63</v>
      </c>
      <c r="D5" s="45">
        <f>C5/C3</f>
        <v>0.18325077596311534</v>
      </c>
    </row>
    <row r="6" spans="2:4" ht="20.100000000000001" customHeight="1">
      <c r="B6" s="46" t="s">
        <v>51</v>
      </c>
      <c r="C6" s="47">
        <v>0</v>
      </c>
      <c r="D6" s="45">
        <f>C6/C3</f>
        <v>0</v>
      </c>
    </row>
    <row r="7" spans="2:4" ht="20.100000000000001" customHeight="1">
      <c r="B7" s="46" t="s">
        <v>24</v>
      </c>
      <c r="C7" s="47">
        <v>0</v>
      </c>
      <c r="D7" s="45">
        <f>C7/C3</f>
        <v>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workbookViewId="0">
      <selection activeCell="C11" sqref="C11"/>
    </sheetView>
  </sheetViews>
  <sheetFormatPr defaultRowHeight="15.6"/>
  <cols>
    <col min="1" max="1" width="0.5" style="41" customWidth="1"/>
    <col min="2" max="2" width="8.796875" style="41"/>
    <col min="3" max="3" width="16.09765625" style="41" customWidth="1"/>
    <col min="4" max="4" width="14.3984375" style="41" customWidth="1"/>
    <col min="5" max="5" width="14.09765625" style="41" customWidth="1"/>
    <col min="6" max="258" width="8.796875" style="41"/>
    <col min="259" max="259" width="16.09765625" style="41" customWidth="1"/>
    <col min="260" max="260" width="14.3984375" style="41" customWidth="1"/>
    <col min="261" max="261" width="15.59765625" style="41" customWidth="1"/>
    <col min="262" max="514" width="8.796875" style="41"/>
    <col min="515" max="515" width="16.09765625" style="41" customWidth="1"/>
    <col min="516" max="516" width="14.3984375" style="41" customWidth="1"/>
    <col min="517" max="517" width="15.59765625" style="41" customWidth="1"/>
    <col min="518" max="770" width="8.796875" style="41"/>
    <col min="771" max="771" width="16.09765625" style="41" customWidth="1"/>
    <col min="772" max="772" width="14.3984375" style="41" customWidth="1"/>
    <col min="773" max="773" width="15.59765625" style="41" customWidth="1"/>
    <col min="774" max="1026" width="8.796875" style="41"/>
    <col min="1027" max="1027" width="16.09765625" style="41" customWidth="1"/>
    <col min="1028" max="1028" width="14.3984375" style="41" customWidth="1"/>
    <col min="1029" max="1029" width="15.59765625" style="41" customWidth="1"/>
    <col min="1030" max="1282" width="8.796875" style="41"/>
    <col min="1283" max="1283" width="16.09765625" style="41" customWidth="1"/>
    <col min="1284" max="1284" width="14.3984375" style="41" customWidth="1"/>
    <col min="1285" max="1285" width="15.59765625" style="41" customWidth="1"/>
    <col min="1286" max="1538" width="8.796875" style="41"/>
    <col min="1539" max="1539" width="16.09765625" style="41" customWidth="1"/>
    <col min="1540" max="1540" width="14.3984375" style="41" customWidth="1"/>
    <col min="1541" max="1541" width="15.59765625" style="41" customWidth="1"/>
    <col min="1542" max="1794" width="8.796875" style="41"/>
    <col min="1795" max="1795" width="16.09765625" style="41" customWidth="1"/>
    <col min="1796" max="1796" width="14.3984375" style="41" customWidth="1"/>
    <col min="1797" max="1797" width="15.59765625" style="41" customWidth="1"/>
    <col min="1798" max="2050" width="8.796875" style="41"/>
    <col min="2051" max="2051" width="16.09765625" style="41" customWidth="1"/>
    <col min="2052" max="2052" width="14.3984375" style="41" customWidth="1"/>
    <col min="2053" max="2053" width="15.59765625" style="41" customWidth="1"/>
    <col min="2054" max="2306" width="8.796875" style="41"/>
    <col min="2307" max="2307" width="16.09765625" style="41" customWidth="1"/>
    <col min="2308" max="2308" width="14.3984375" style="41" customWidth="1"/>
    <col min="2309" max="2309" width="15.59765625" style="41" customWidth="1"/>
    <col min="2310" max="2562" width="8.796875" style="41"/>
    <col min="2563" max="2563" width="16.09765625" style="41" customWidth="1"/>
    <col min="2564" max="2564" width="14.3984375" style="41" customWidth="1"/>
    <col min="2565" max="2565" width="15.59765625" style="41" customWidth="1"/>
    <col min="2566" max="2818" width="8.796875" style="41"/>
    <col min="2819" max="2819" width="16.09765625" style="41" customWidth="1"/>
    <col min="2820" max="2820" width="14.3984375" style="41" customWidth="1"/>
    <col min="2821" max="2821" width="15.59765625" style="41" customWidth="1"/>
    <col min="2822" max="3074" width="8.796875" style="41"/>
    <col min="3075" max="3075" width="16.09765625" style="41" customWidth="1"/>
    <col min="3076" max="3076" width="14.3984375" style="41" customWidth="1"/>
    <col min="3077" max="3077" width="15.59765625" style="41" customWidth="1"/>
    <col min="3078" max="3330" width="8.796875" style="41"/>
    <col min="3331" max="3331" width="16.09765625" style="41" customWidth="1"/>
    <col min="3332" max="3332" width="14.3984375" style="41" customWidth="1"/>
    <col min="3333" max="3333" width="15.59765625" style="41" customWidth="1"/>
    <col min="3334" max="3586" width="8.796875" style="41"/>
    <col min="3587" max="3587" width="16.09765625" style="41" customWidth="1"/>
    <col min="3588" max="3588" width="14.3984375" style="41" customWidth="1"/>
    <col min="3589" max="3589" width="15.59765625" style="41" customWidth="1"/>
    <col min="3590" max="3842" width="8.796875" style="41"/>
    <col min="3843" max="3843" width="16.09765625" style="41" customWidth="1"/>
    <col min="3844" max="3844" width="14.3984375" style="41" customWidth="1"/>
    <col min="3845" max="3845" width="15.59765625" style="41" customWidth="1"/>
    <col min="3846" max="4098" width="8.796875" style="41"/>
    <col min="4099" max="4099" width="16.09765625" style="41" customWidth="1"/>
    <col min="4100" max="4100" width="14.3984375" style="41" customWidth="1"/>
    <col min="4101" max="4101" width="15.59765625" style="41" customWidth="1"/>
    <col min="4102" max="4354" width="8.796875" style="41"/>
    <col min="4355" max="4355" width="16.09765625" style="41" customWidth="1"/>
    <col min="4356" max="4356" width="14.3984375" style="41" customWidth="1"/>
    <col min="4357" max="4357" width="15.59765625" style="41" customWidth="1"/>
    <col min="4358" max="4610" width="8.796875" style="41"/>
    <col min="4611" max="4611" width="16.09765625" style="41" customWidth="1"/>
    <col min="4612" max="4612" width="14.3984375" style="41" customWidth="1"/>
    <col min="4613" max="4613" width="15.59765625" style="41" customWidth="1"/>
    <col min="4614" max="4866" width="8.796875" style="41"/>
    <col min="4867" max="4867" width="16.09765625" style="41" customWidth="1"/>
    <col min="4868" max="4868" width="14.3984375" style="41" customWidth="1"/>
    <col min="4869" max="4869" width="15.59765625" style="41" customWidth="1"/>
    <col min="4870" max="5122" width="8.796875" style="41"/>
    <col min="5123" max="5123" width="16.09765625" style="41" customWidth="1"/>
    <col min="5124" max="5124" width="14.3984375" style="41" customWidth="1"/>
    <col min="5125" max="5125" width="15.59765625" style="41" customWidth="1"/>
    <col min="5126" max="5378" width="8.796875" style="41"/>
    <col min="5379" max="5379" width="16.09765625" style="41" customWidth="1"/>
    <col min="5380" max="5380" width="14.3984375" style="41" customWidth="1"/>
    <col min="5381" max="5381" width="15.59765625" style="41" customWidth="1"/>
    <col min="5382" max="5634" width="8.796875" style="41"/>
    <col min="5635" max="5635" width="16.09765625" style="41" customWidth="1"/>
    <col min="5636" max="5636" width="14.3984375" style="41" customWidth="1"/>
    <col min="5637" max="5637" width="15.59765625" style="41" customWidth="1"/>
    <col min="5638" max="5890" width="8.796875" style="41"/>
    <col min="5891" max="5891" width="16.09765625" style="41" customWidth="1"/>
    <col min="5892" max="5892" width="14.3984375" style="41" customWidth="1"/>
    <col min="5893" max="5893" width="15.59765625" style="41" customWidth="1"/>
    <col min="5894" max="6146" width="8.796875" style="41"/>
    <col min="6147" max="6147" width="16.09765625" style="41" customWidth="1"/>
    <col min="6148" max="6148" width="14.3984375" style="41" customWidth="1"/>
    <col min="6149" max="6149" width="15.59765625" style="41" customWidth="1"/>
    <col min="6150" max="6402" width="8.796875" style="41"/>
    <col min="6403" max="6403" width="16.09765625" style="41" customWidth="1"/>
    <col min="6404" max="6404" width="14.3984375" style="41" customWidth="1"/>
    <col min="6405" max="6405" width="15.59765625" style="41" customWidth="1"/>
    <col min="6406" max="6658" width="8.796875" style="41"/>
    <col min="6659" max="6659" width="16.09765625" style="41" customWidth="1"/>
    <col min="6660" max="6660" width="14.3984375" style="41" customWidth="1"/>
    <col min="6661" max="6661" width="15.59765625" style="41" customWidth="1"/>
    <col min="6662" max="6914" width="8.796875" style="41"/>
    <col min="6915" max="6915" width="16.09765625" style="41" customWidth="1"/>
    <col min="6916" max="6916" width="14.3984375" style="41" customWidth="1"/>
    <col min="6917" max="6917" width="15.59765625" style="41" customWidth="1"/>
    <col min="6918" max="7170" width="8.796875" style="41"/>
    <col min="7171" max="7171" width="16.09765625" style="41" customWidth="1"/>
    <col min="7172" max="7172" width="14.3984375" style="41" customWidth="1"/>
    <col min="7173" max="7173" width="15.59765625" style="41" customWidth="1"/>
    <col min="7174" max="7426" width="8.796875" style="41"/>
    <col min="7427" max="7427" width="16.09765625" style="41" customWidth="1"/>
    <col min="7428" max="7428" width="14.3984375" style="41" customWidth="1"/>
    <col min="7429" max="7429" width="15.59765625" style="41" customWidth="1"/>
    <col min="7430" max="7682" width="8.796875" style="41"/>
    <col min="7683" max="7683" width="16.09765625" style="41" customWidth="1"/>
    <col min="7684" max="7684" width="14.3984375" style="41" customWidth="1"/>
    <col min="7685" max="7685" width="15.59765625" style="41" customWidth="1"/>
    <col min="7686" max="7938" width="8.796875" style="41"/>
    <col min="7939" max="7939" width="16.09765625" style="41" customWidth="1"/>
    <col min="7940" max="7940" width="14.3984375" style="41" customWidth="1"/>
    <col min="7941" max="7941" width="15.59765625" style="41" customWidth="1"/>
    <col min="7942" max="8194" width="8.796875" style="41"/>
    <col min="8195" max="8195" width="16.09765625" style="41" customWidth="1"/>
    <col min="8196" max="8196" width="14.3984375" style="41" customWidth="1"/>
    <col min="8197" max="8197" width="15.59765625" style="41" customWidth="1"/>
    <col min="8198" max="8450" width="8.796875" style="41"/>
    <col min="8451" max="8451" width="16.09765625" style="41" customWidth="1"/>
    <col min="8452" max="8452" width="14.3984375" style="41" customWidth="1"/>
    <col min="8453" max="8453" width="15.59765625" style="41" customWidth="1"/>
    <col min="8454" max="8706" width="8.796875" style="41"/>
    <col min="8707" max="8707" width="16.09765625" style="41" customWidth="1"/>
    <col min="8708" max="8708" width="14.3984375" style="41" customWidth="1"/>
    <col min="8709" max="8709" width="15.59765625" style="41" customWidth="1"/>
    <col min="8710" max="8962" width="8.796875" style="41"/>
    <col min="8963" max="8963" width="16.09765625" style="41" customWidth="1"/>
    <col min="8964" max="8964" width="14.3984375" style="41" customWidth="1"/>
    <col min="8965" max="8965" width="15.59765625" style="41" customWidth="1"/>
    <col min="8966" max="9218" width="8.796875" style="41"/>
    <col min="9219" max="9219" width="16.09765625" style="41" customWidth="1"/>
    <col min="9220" max="9220" width="14.3984375" style="41" customWidth="1"/>
    <col min="9221" max="9221" width="15.59765625" style="41" customWidth="1"/>
    <col min="9222" max="9474" width="8.796875" style="41"/>
    <col min="9475" max="9475" width="16.09765625" style="41" customWidth="1"/>
    <col min="9476" max="9476" width="14.3984375" style="41" customWidth="1"/>
    <col min="9477" max="9477" width="15.59765625" style="41" customWidth="1"/>
    <col min="9478" max="9730" width="8.796875" style="41"/>
    <col min="9731" max="9731" width="16.09765625" style="41" customWidth="1"/>
    <col min="9732" max="9732" width="14.3984375" style="41" customWidth="1"/>
    <col min="9733" max="9733" width="15.59765625" style="41" customWidth="1"/>
    <col min="9734" max="9986" width="8.796875" style="41"/>
    <col min="9987" max="9987" width="16.09765625" style="41" customWidth="1"/>
    <col min="9988" max="9988" width="14.3984375" style="41" customWidth="1"/>
    <col min="9989" max="9989" width="15.59765625" style="41" customWidth="1"/>
    <col min="9990" max="10242" width="8.796875" style="41"/>
    <col min="10243" max="10243" width="16.09765625" style="41" customWidth="1"/>
    <col min="10244" max="10244" width="14.3984375" style="41" customWidth="1"/>
    <col min="10245" max="10245" width="15.59765625" style="41" customWidth="1"/>
    <col min="10246" max="10498" width="8.796875" style="41"/>
    <col min="10499" max="10499" width="16.09765625" style="41" customWidth="1"/>
    <col min="10500" max="10500" width="14.3984375" style="41" customWidth="1"/>
    <col min="10501" max="10501" width="15.59765625" style="41" customWidth="1"/>
    <col min="10502" max="10754" width="8.796875" style="41"/>
    <col min="10755" max="10755" width="16.09765625" style="41" customWidth="1"/>
    <col min="10756" max="10756" width="14.3984375" style="41" customWidth="1"/>
    <col min="10757" max="10757" width="15.59765625" style="41" customWidth="1"/>
    <col min="10758" max="11010" width="8.796875" style="41"/>
    <col min="11011" max="11011" width="16.09765625" style="41" customWidth="1"/>
    <col min="11012" max="11012" width="14.3984375" style="41" customWidth="1"/>
    <col min="11013" max="11013" width="15.59765625" style="41" customWidth="1"/>
    <col min="11014" max="11266" width="8.796875" style="41"/>
    <col min="11267" max="11267" width="16.09765625" style="41" customWidth="1"/>
    <col min="11268" max="11268" width="14.3984375" style="41" customWidth="1"/>
    <col min="11269" max="11269" width="15.59765625" style="41" customWidth="1"/>
    <col min="11270" max="11522" width="8.796875" style="41"/>
    <col min="11523" max="11523" width="16.09765625" style="41" customWidth="1"/>
    <col min="11524" max="11524" width="14.3984375" style="41" customWidth="1"/>
    <col min="11525" max="11525" width="15.59765625" style="41" customWidth="1"/>
    <col min="11526" max="11778" width="8.796875" style="41"/>
    <col min="11779" max="11779" width="16.09765625" style="41" customWidth="1"/>
    <col min="11780" max="11780" width="14.3984375" style="41" customWidth="1"/>
    <col min="11781" max="11781" width="15.59765625" style="41" customWidth="1"/>
    <col min="11782" max="12034" width="8.796875" style="41"/>
    <col min="12035" max="12035" width="16.09765625" style="41" customWidth="1"/>
    <col min="12036" max="12036" width="14.3984375" style="41" customWidth="1"/>
    <col min="12037" max="12037" width="15.59765625" style="41" customWidth="1"/>
    <col min="12038" max="12290" width="8.796875" style="41"/>
    <col min="12291" max="12291" width="16.09765625" style="41" customWidth="1"/>
    <col min="12292" max="12292" width="14.3984375" style="41" customWidth="1"/>
    <col min="12293" max="12293" width="15.59765625" style="41" customWidth="1"/>
    <col min="12294" max="12546" width="8.796875" style="41"/>
    <col min="12547" max="12547" width="16.09765625" style="41" customWidth="1"/>
    <col min="12548" max="12548" width="14.3984375" style="41" customWidth="1"/>
    <col min="12549" max="12549" width="15.59765625" style="41" customWidth="1"/>
    <col min="12550" max="12802" width="8.796875" style="41"/>
    <col min="12803" max="12803" width="16.09765625" style="41" customWidth="1"/>
    <col min="12804" max="12804" width="14.3984375" style="41" customWidth="1"/>
    <col min="12805" max="12805" width="15.59765625" style="41" customWidth="1"/>
    <col min="12806" max="13058" width="8.796875" style="41"/>
    <col min="13059" max="13059" width="16.09765625" style="41" customWidth="1"/>
    <col min="13060" max="13060" width="14.3984375" style="41" customWidth="1"/>
    <col min="13061" max="13061" width="15.59765625" style="41" customWidth="1"/>
    <col min="13062" max="13314" width="8.796875" style="41"/>
    <col min="13315" max="13315" width="16.09765625" style="41" customWidth="1"/>
    <col min="13316" max="13316" width="14.3984375" style="41" customWidth="1"/>
    <col min="13317" max="13317" width="15.59765625" style="41" customWidth="1"/>
    <col min="13318" max="13570" width="8.796875" style="41"/>
    <col min="13571" max="13571" width="16.09765625" style="41" customWidth="1"/>
    <col min="13572" max="13572" width="14.3984375" style="41" customWidth="1"/>
    <col min="13573" max="13573" width="15.59765625" style="41" customWidth="1"/>
    <col min="13574" max="13826" width="8.796875" style="41"/>
    <col min="13827" max="13827" width="16.09765625" style="41" customWidth="1"/>
    <col min="13828" max="13828" width="14.3984375" style="41" customWidth="1"/>
    <col min="13829" max="13829" width="15.59765625" style="41" customWidth="1"/>
    <col min="13830" max="14082" width="8.796875" style="41"/>
    <col min="14083" max="14083" width="16.09765625" style="41" customWidth="1"/>
    <col min="14084" max="14084" width="14.3984375" style="41" customWidth="1"/>
    <col min="14085" max="14085" width="15.59765625" style="41" customWidth="1"/>
    <col min="14086" max="14338" width="8.796875" style="41"/>
    <col min="14339" max="14339" width="16.09765625" style="41" customWidth="1"/>
    <col min="14340" max="14340" width="14.3984375" style="41" customWidth="1"/>
    <col min="14341" max="14341" width="15.59765625" style="41" customWidth="1"/>
    <col min="14342" max="14594" width="8.796875" style="41"/>
    <col min="14595" max="14595" width="16.09765625" style="41" customWidth="1"/>
    <col min="14596" max="14596" width="14.3984375" style="41" customWidth="1"/>
    <col min="14597" max="14597" width="15.59765625" style="41" customWidth="1"/>
    <col min="14598" max="14850" width="8.796875" style="41"/>
    <col min="14851" max="14851" width="16.09765625" style="41" customWidth="1"/>
    <col min="14852" max="14852" width="14.3984375" style="41" customWidth="1"/>
    <col min="14853" max="14853" width="15.59765625" style="41" customWidth="1"/>
    <col min="14854" max="15106" width="8.796875" style="41"/>
    <col min="15107" max="15107" width="16.09765625" style="41" customWidth="1"/>
    <col min="15108" max="15108" width="14.3984375" style="41" customWidth="1"/>
    <col min="15109" max="15109" width="15.59765625" style="41" customWidth="1"/>
    <col min="15110" max="15362" width="8.796875" style="41"/>
    <col min="15363" max="15363" width="16.09765625" style="41" customWidth="1"/>
    <col min="15364" max="15364" width="14.3984375" style="41" customWidth="1"/>
    <col min="15365" max="15365" width="15.59765625" style="41" customWidth="1"/>
    <col min="15366" max="15618" width="8.796875" style="41"/>
    <col min="15619" max="15619" width="16.09765625" style="41" customWidth="1"/>
    <col min="15620" max="15620" width="14.3984375" style="41" customWidth="1"/>
    <col min="15621" max="15621" width="15.59765625" style="41" customWidth="1"/>
    <col min="15622" max="15874" width="8.796875" style="41"/>
    <col min="15875" max="15875" width="16.09765625" style="41" customWidth="1"/>
    <col min="15876" max="15876" width="14.3984375" style="41" customWidth="1"/>
    <col min="15877" max="15877" width="15.59765625" style="41" customWidth="1"/>
    <col min="15878" max="16130" width="8.796875" style="41"/>
    <col min="16131" max="16131" width="16.09765625" style="41" customWidth="1"/>
    <col min="16132" max="16132" width="14.3984375" style="41" customWidth="1"/>
    <col min="16133" max="16133" width="15.59765625" style="41" customWidth="1"/>
    <col min="16134" max="16384" width="8.796875" style="41"/>
  </cols>
  <sheetData>
    <row r="1" spans="2:5" ht="3" customHeight="1"/>
    <row r="2" spans="2:5" s="42" customFormat="1">
      <c r="B2" s="48" t="s">
        <v>88</v>
      </c>
      <c r="C2" s="48" t="s">
        <v>85</v>
      </c>
      <c r="D2" s="48" t="s">
        <v>89</v>
      </c>
      <c r="E2" s="48" t="s">
        <v>90</v>
      </c>
    </row>
    <row r="3" spans="2:5">
      <c r="B3" s="49" t="s">
        <v>91</v>
      </c>
      <c r="C3" s="33">
        <v>251001.95</v>
      </c>
      <c r="D3" s="51">
        <f>C3/C9</f>
        <v>1</v>
      </c>
      <c r="E3" s="49">
        <v>0</v>
      </c>
    </row>
    <row r="4" spans="2:5">
      <c r="B4" s="49" t="s">
        <v>92</v>
      </c>
      <c r="C4" s="52">
        <v>0</v>
      </c>
      <c r="D4" s="53">
        <v>0</v>
      </c>
      <c r="E4" s="49">
        <v>0</v>
      </c>
    </row>
    <row r="5" spans="2:5">
      <c r="B5" s="49" t="s">
        <v>93</v>
      </c>
      <c r="C5" s="49">
        <v>0</v>
      </c>
      <c r="D5" s="53">
        <v>0</v>
      </c>
      <c r="E5" s="49">
        <v>0</v>
      </c>
    </row>
    <row r="6" spans="2:5">
      <c r="B6" s="49" t="s">
        <v>94</v>
      </c>
      <c r="C6" s="49">
        <v>0</v>
      </c>
      <c r="D6" s="53">
        <v>0</v>
      </c>
      <c r="E6" s="49">
        <v>0</v>
      </c>
    </row>
    <row r="7" spans="2:5">
      <c r="B7" s="49" t="s">
        <v>95</v>
      </c>
      <c r="C7" s="49">
        <v>0</v>
      </c>
      <c r="D7" s="53">
        <v>0</v>
      </c>
      <c r="E7" s="49">
        <v>0</v>
      </c>
    </row>
    <row r="8" spans="2:5">
      <c r="B8" s="49" t="s">
        <v>96</v>
      </c>
      <c r="C8" s="49">
        <v>0</v>
      </c>
      <c r="D8" s="53">
        <v>0</v>
      </c>
      <c r="E8" s="49">
        <v>0</v>
      </c>
    </row>
    <row r="9" spans="2:5">
      <c r="B9" s="49" t="s">
        <v>2</v>
      </c>
      <c r="C9" s="33">
        <v>251001.95</v>
      </c>
      <c r="D9" s="51">
        <f>SUM(D3:D8)</f>
        <v>1</v>
      </c>
      <c r="E9" s="49">
        <v>0</v>
      </c>
    </row>
    <row r="11" spans="2:5">
      <c r="C11" s="76">
        <f>[1]资产!$D$9</f>
        <v>251001.95</v>
      </c>
    </row>
  </sheetData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workbookViewId="0">
      <selection activeCell="C12" sqref="C12"/>
    </sheetView>
  </sheetViews>
  <sheetFormatPr defaultRowHeight="14.4"/>
  <cols>
    <col min="1" max="1" width="0.5" style="58" customWidth="1"/>
    <col min="2" max="2" width="13.796875" style="58" customWidth="1"/>
    <col min="3" max="3" width="15.69921875" style="58" customWidth="1"/>
    <col min="4" max="4" width="17.8984375" style="58" customWidth="1"/>
    <col min="5" max="257" width="8.796875" style="58"/>
    <col min="258" max="258" width="16.69921875" style="58" customWidth="1"/>
    <col min="259" max="259" width="19.5" style="58" customWidth="1"/>
    <col min="260" max="260" width="17.8984375" style="58" customWidth="1"/>
    <col min="261" max="513" width="8.796875" style="58"/>
    <col min="514" max="514" width="16.69921875" style="58" customWidth="1"/>
    <col min="515" max="515" width="19.5" style="58" customWidth="1"/>
    <col min="516" max="516" width="17.8984375" style="58" customWidth="1"/>
    <col min="517" max="769" width="8.796875" style="58"/>
    <col min="770" max="770" width="16.69921875" style="58" customWidth="1"/>
    <col min="771" max="771" width="19.5" style="58" customWidth="1"/>
    <col min="772" max="772" width="17.8984375" style="58" customWidth="1"/>
    <col min="773" max="1025" width="8.796875" style="58"/>
    <col min="1026" max="1026" width="16.69921875" style="58" customWidth="1"/>
    <col min="1027" max="1027" width="19.5" style="58" customWidth="1"/>
    <col min="1028" max="1028" width="17.8984375" style="58" customWidth="1"/>
    <col min="1029" max="1281" width="8.796875" style="58"/>
    <col min="1282" max="1282" width="16.69921875" style="58" customWidth="1"/>
    <col min="1283" max="1283" width="19.5" style="58" customWidth="1"/>
    <col min="1284" max="1284" width="17.8984375" style="58" customWidth="1"/>
    <col min="1285" max="1537" width="8.796875" style="58"/>
    <col min="1538" max="1538" width="16.69921875" style="58" customWidth="1"/>
    <col min="1539" max="1539" width="19.5" style="58" customWidth="1"/>
    <col min="1540" max="1540" width="17.8984375" style="58" customWidth="1"/>
    <col min="1541" max="1793" width="8.796875" style="58"/>
    <col min="1794" max="1794" width="16.69921875" style="58" customWidth="1"/>
    <col min="1795" max="1795" width="19.5" style="58" customWidth="1"/>
    <col min="1796" max="1796" width="17.8984375" style="58" customWidth="1"/>
    <col min="1797" max="2049" width="8.796875" style="58"/>
    <col min="2050" max="2050" width="16.69921875" style="58" customWidth="1"/>
    <col min="2051" max="2051" width="19.5" style="58" customWidth="1"/>
    <col min="2052" max="2052" width="17.8984375" style="58" customWidth="1"/>
    <col min="2053" max="2305" width="8.796875" style="58"/>
    <col min="2306" max="2306" width="16.69921875" style="58" customWidth="1"/>
    <col min="2307" max="2307" width="19.5" style="58" customWidth="1"/>
    <col min="2308" max="2308" width="17.8984375" style="58" customWidth="1"/>
    <col min="2309" max="2561" width="8.796875" style="58"/>
    <col min="2562" max="2562" width="16.69921875" style="58" customWidth="1"/>
    <col min="2563" max="2563" width="19.5" style="58" customWidth="1"/>
    <col min="2564" max="2564" width="17.8984375" style="58" customWidth="1"/>
    <col min="2565" max="2817" width="8.796875" style="58"/>
    <col min="2818" max="2818" width="16.69921875" style="58" customWidth="1"/>
    <col min="2819" max="2819" width="19.5" style="58" customWidth="1"/>
    <col min="2820" max="2820" width="17.8984375" style="58" customWidth="1"/>
    <col min="2821" max="3073" width="8.796875" style="58"/>
    <col min="3074" max="3074" width="16.69921875" style="58" customWidth="1"/>
    <col min="3075" max="3075" width="19.5" style="58" customWidth="1"/>
    <col min="3076" max="3076" width="17.8984375" style="58" customWidth="1"/>
    <col min="3077" max="3329" width="8.796875" style="58"/>
    <col min="3330" max="3330" width="16.69921875" style="58" customWidth="1"/>
    <col min="3331" max="3331" width="19.5" style="58" customWidth="1"/>
    <col min="3332" max="3332" width="17.8984375" style="58" customWidth="1"/>
    <col min="3333" max="3585" width="8.796875" style="58"/>
    <col min="3586" max="3586" width="16.69921875" style="58" customWidth="1"/>
    <col min="3587" max="3587" width="19.5" style="58" customWidth="1"/>
    <col min="3588" max="3588" width="17.8984375" style="58" customWidth="1"/>
    <col min="3589" max="3841" width="8.796875" style="58"/>
    <col min="3842" max="3842" width="16.69921875" style="58" customWidth="1"/>
    <col min="3843" max="3843" width="19.5" style="58" customWidth="1"/>
    <col min="3844" max="3844" width="17.8984375" style="58" customWidth="1"/>
    <col min="3845" max="4097" width="8.796875" style="58"/>
    <col min="4098" max="4098" width="16.69921875" style="58" customWidth="1"/>
    <col min="4099" max="4099" width="19.5" style="58" customWidth="1"/>
    <col min="4100" max="4100" width="17.8984375" style="58" customWidth="1"/>
    <col min="4101" max="4353" width="8.796875" style="58"/>
    <col min="4354" max="4354" width="16.69921875" style="58" customWidth="1"/>
    <col min="4355" max="4355" width="19.5" style="58" customWidth="1"/>
    <col min="4356" max="4356" width="17.8984375" style="58" customWidth="1"/>
    <col min="4357" max="4609" width="8.796875" style="58"/>
    <col min="4610" max="4610" width="16.69921875" style="58" customWidth="1"/>
    <col min="4611" max="4611" width="19.5" style="58" customWidth="1"/>
    <col min="4612" max="4612" width="17.8984375" style="58" customWidth="1"/>
    <col min="4613" max="4865" width="8.796875" style="58"/>
    <col min="4866" max="4866" width="16.69921875" style="58" customWidth="1"/>
    <col min="4867" max="4867" width="19.5" style="58" customWidth="1"/>
    <col min="4868" max="4868" width="17.8984375" style="58" customWidth="1"/>
    <col min="4869" max="5121" width="8.796875" style="58"/>
    <col min="5122" max="5122" width="16.69921875" style="58" customWidth="1"/>
    <col min="5123" max="5123" width="19.5" style="58" customWidth="1"/>
    <col min="5124" max="5124" width="17.8984375" style="58" customWidth="1"/>
    <col min="5125" max="5377" width="8.796875" style="58"/>
    <col min="5378" max="5378" width="16.69921875" style="58" customWidth="1"/>
    <col min="5379" max="5379" width="19.5" style="58" customWidth="1"/>
    <col min="5380" max="5380" width="17.8984375" style="58" customWidth="1"/>
    <col min="5381" max="5633" width="8.796875" style="58"/>
    <col min="5634" max="5634" width="16.69921875" style="58" customWidth="1"/>
    <col min="5635" max="5635" width="19.5" style="58" customWidth="1"/>
    <col min="5636" max="5636" width="17.8984375" style="58" customWidth="1"/>
    <col min="5637" max="5889" width="8.796875" style="58"/>
    <col min="5890" max="5890" width="16.69921875" style="58" customWidth="1"/>
    <col min="5891" max="5891" width="19.5" style="58" customWidth="1"/>
    <col min="5892" max="5892" width="17.8984375" style="58" customWidth="1"/>
    <col min="5893" max="6145" width="8.796875" style="58"/>
    <col min="6146" max="6146" width="16.69921875" style="58" customWidth="1"/>
    <col min="6147" max="6147" width="19.5" style="58" customWidth="1"/>
    <col min="6148" max="6148" width="17.8984375" style="58" customWidth="1"/>
    <col min="6149" max="6401" width="8.796875" style="58"/>
    <col min="6402" max="6402" width="16.69921875" style="58" customWidth="1"/>
    <col min="6403" max="6403" width="19.5" style="58" customWidth="1"/>
    <col min="6404" max="6404" width="17.8984375" style="58" customWidth="1"/>
    <col min="6405" max="6657" width="8.796875" style="58"/>
    <col min="6658" max="6658" width="16.69921875" style="58" customWidth="1"/>
    <col min="6659" max="6659" width="19.5" style="58" customWidth="1"/>
    <col min="6660" max="6660" width="17.8984375" style="58" customWidth="1"/>
    <col min="6661" max="6913" width="8.796875" style="58"/>
    <col min="6914" max="6914" width="16.69921875" style="58" customWidth="1"/>
    <col min="6915" max="6915" width="19.5" style="58" customWidth="1"/>
    <col min="6916" max="6916" width="17.8984375" style="58" customWidth="1"/>
    <col min="6917" max="7169" width="8.796875" style="58"/>
    <col min="7170" max="7170" width="16.69921875" style="58" customWidth="1"/>
    <col min="7171" max="7171" width="19.5" style="58" customWidth="1"/>
    <col min="7172" max="7172" width="17.8984375" style="58" customWidth="1"/>
    <col min="7173" max="7425" width="8.796875" style="58"/>
    <col min="7426" max="7426" width="16.69921875" style="58" customWidth="1"/>
    <col min="7427" max="7427" width="19.5" style="58" customWidth="1"/>
    <col min="7428" max="7428" width="17.8984375" style="58" customWidth="1"/>
    <col min="7429" max="7681" width="8.796875" style="58"/>
    <col min="7682" max="7682" width="16.69921875" style="58" customWidth="1"/>
    <col min="7683" max="7683" width="19.5" style="58" customWidth="1"/>
    <col min="7684" max="7684" width="17.8984375" style="58" customWidth="1"/>
    <col min="7685" max="7937" width="8.796875" style="58"/>
    <col min="7938" max="7938" width="16.69921875" style="58" customWidth="1"/>
    <col min="7939" max="7939" width="19.5" style="58" customWidth="1"/>
    <col min="7940" max="7940" width="17.8984375" style="58" customWidth="1"/>
    <col min="7941" max="8193" width="8.796875" style="58"/>
    <col min="8194" max="8194" width="16.69921875" style="58" customWidth="1"/>
    <col min="8195" max="8195" width="19.5" style="58" customWidth="1"/>
    <col min="8196" max="8196" width="17.8984375" style="58" customWidth="1"/>
    <col min="8197" max="8449" width="8.796875" style="58"/>
    <col min="8450" max="8450" width="16.69921875" style="58" customWidth="1"/>
    <col min="8451" max="8451" width="19.5" style="58" customWidth="1"/>
    <col min="8452" max="8452" width="17.8984375" style="58" customWidth="1"/>
    <col min="8453" max="8705" width="8.796875" style="58"/>
    <col min="8706" max="8706" width="16.69921875" style="58" customWidth="1"/>
    <col min="8707" max="8707" width="19.5" style="58" customWidth="1"/>
    <col min="8708" max="8708" width="17.8984375" style="58" customWidth="1"/>
    <col min="8709" max="8961" width="8.796875" style="58"/>
    <col min="8962" max="8962" width="16.69921875" style="58" customWidth="1"/>
    <col min="8963" max="8963" width="19.5" style="58" customWidth="1"/>
    <col min="8964" max="8964" width="17.8984375" style="58" customWidth="1"/>
    <col min="8965" max="9217" width="8.796875" style="58"/>
    <col min="9218" max="9218" width="16.69921875" style="58" customWidth="1"/>
    <col min="9219" max="9219" width="19.5" style="58" customWidth="1"/>
    <col min="9220" max="9220" width="17.8984375" style="58" customWidth="1"/>
    <col min="9221" max="9473" width="8.796875" style="58"/>
    <col min="9474" max="9474" width="16.69921875" style="58" customWidth="1"/>
    <col min="9475" max="9475" width="19.5" style="58" customWidth="1"/>
    <col min="9476" max="9476" width="17.8984375" style="58" customWidth="1"/>
    <col min="9477" max="9729" width="8.796875" style="58"/>
    <col min="9730" max="9730" width="16.69921875" style="58" customWidth="1"/>
    <col min="9731" max="9731" width="19.5" style="58" customWidth="1"/>
    <col min="9732" max="9732" width="17.8984375" style="58" customWidth="1"/>
    <col min="9733" max="9985" width="8.796875" style="58"/>
    <col min="9986" max="9986" width="16.69921875" style="58" customWidth="1"/>
    <col min="9987" max="9987" width="19.5" style="58" customWidth="1"/>
    <col min="9988" max="9988" width="17.8984375" style="58" customWidth="1"/>
    <col min="9989" max="10241" width="8.796875" style="58"/>
    <col min="10242" max="10242" width="16.69921875" style="58" customWidth="1"/>
    <col min="10243" max="10243" width="19.5" style="58" customWidth="1"/>
    <col min="10244" max="10244" width="17.8984375" style="58" customWidth="1"/>
    <col min="10245" max="10497" width="8.796875" style="58"/>
    <col min="10498" max="10498" width="16.69921875" style="58" customWidth="1"/>
    <col min="10499" max="10499" width="19.5" style="58" customWidth="1"/>
    <col min="10500" max="10500" width="17.8984375" style="58" customWidth="1"/>
    <col min="10501" max="10753" width="8.796875" style="58"/>
    <col min="10754" max="10754" width="16.69921875" style="58" customWidth="1"/>
    <col min="10755" max="10755" width="19.5" style="58" customWidth="1"/>
    <col min="10756" max="10756" width="17.8984375" style="58" customWidth="1"/>
    <col min="10757" max="11009" width="8.796875" style="58"/>
    <col min="11010" max="11010" width="16.69921875" style="58" customWidth="1"/>
    <col min="11011" max="11011" width="19.5" style="58" customWidth="1"/>
    <col min="11012" max="11012" width="17.8984375" style="58" customWidth="1"/>
    <col min="11013" max="11265" width="8.796875" style="58"/>
    <col min="11266" max="11266" width="16.69921875" style="58" customWidth="1"/>
    <col min="11267" max="11267" width="19.5" style="58" customWidth="1"/>
    <col min="11268" max="11268" width="17.8984375" style="58" customWidth="1"/>
    <col min="11269" max="11521" width="8.796875" style="58"/>
    <col min="11522" max="11522" width="16.69921875" style="58" customWidth="1"/>
    <col min="11523" max="11523" width="19.5" style="58" customWidth="1"/>
    <col min="11524" max="11524" width="17.8984375" style="58" customWidth="1"/>
    <col min="11525" max="11777" width="8.796875" style="58"/>
    <col min="11778" max="11778" width="16.69921875" style="58" customWidth="1"/>
    <col min="11779" max="11779" width="19.5" style="58" customWidth="1"/>
    <col min="11780" max="11780" width="17.8984375" style="58" customWidth="1"/>
    <col min="11781" max="12033" width="8.796875" style="58"/>
    <col min="12034" max="12034" width="16.69921875" style="58" customWidth="1"/>
    <col min="12035" max="12035" width="19.5" style="58" customWidth="1"/>
    <col min="12036" max="12036" width="17.8984375" style="58" customWidth="1"/>
    <col min="12037" max="12289" width="8.796875" style="58"/>
    <col min="12290" max="12290" width="16.69921875" style="58" customWidth="1"/>
    <col min="12291" max="12291" width="19.5" style="58" customWidth="1"/>
    <col min="12292" max="12292" width="17.8984375" style="58" customWidth="1"/>
    <col min="12293" max="12545" width="8.796875" style="58"/>
    <col min="12546" max="12546" width="16.69921875" style="58" customWidth="1"/>
    <col min="12547" max="12547" width="19.5" style="58" customWidth="1"/>
    <col min="12548" max="12548" width="17.8984375" style="58" customWidth="1"/>
    <col min="12549" max="12801" width="8.796875" style="58"/>
    <col min="12802" max="12802" width="16.69921875" style="58" customWidth="1"/>
    <col min="12803" max="12803" width="19.5" style="58" customWidth="1"/>
    <col min="12804" max="12804" width="17.8984375" style="58" customWidth="1"/>
    <col min="12805" max="13057" width="8.796875" style="58"/>
    <col min="13058" max="13058" width="16.69921875" style="58" customWidth="1"/>
    <col min="13059" max="13059" width="19.5" style="58" customWidth="1"/>
    <col min="13060" max="13060" width="17.8984375" style="58" customWidth="1"/>
    <col min="13061" max="13313" width="8.796875" style="58"/>
    <col min="13314" max="13314" width="16.69921875" style="58" customWidth="1"/>
    <col min="13315" max="13315" width="19.5" style="58" customWidth="1"/>
    <col min="13316" max="13316" width="17.8984375" style="58" customWidth="1"/>
    <col min="13317" max="13569" width="8.796875" style="58"/>
    <col min="13570" max="13570" width="16.69921875" style="58" customWidth="1"/>
    <col min="13571" max="13571" width="19.5" style="58" customWidth="1"/>
    <col min="13572" max="13572" width="17.8984375" style="58" customWidth="1"/>
    <col min="13573" max="13825" width="8.796875" style="58"/>
    <col min="13826" max="13826" width="16.69921875" style="58" customWidth="1"/>
    <col min="13827" max="13827" width="19.5" style="58" customWidth="1"/>
    <col min="13828" max="13828" width="17.8984375" style="58" customWidth="1"/>
    <col min="13829" max="14081" width="8.796875" style="58"/>
    <col min="14082" max="14082" width="16.69921875" style="58" customWidth="1"/>
    <col min="14083" max="14083" width="19.5" style="58" customWidth="1"/>
    <col min="14084" max="14084" width="17.8984375" style="58" customWidth="1"/>
    <col min="14085" max="14337" width="8.796875" style="58"/>
    <col min="14338" max="14338" width="16.69921875" style="58" customWidth="1"/>
    <col min="14339" max="14339" width="19.5" style="58" customWidth="1"/>
    <col min="14340" max="14340" width="17.8984375" style="58" customWidth="1"/>
    <col min="14341" max="14593" width="8.796875" style="58"/>
    <col min="14594" max="14594" width="16.69921875" style="58" customWidth="1"/>
    <col min="14595" max="14595" width="19.5" style="58" customWidth="1"/>
    <col min="14596" max="14596" width="17.8984375" style="58" customWidth="1"/>
    <col min="14597" max="14849" width="8.796875" style="58"/>
    <col min="14850" max="14850" width="16.69921875" style="58" customWidth="1"/>
    <col min="14851" max="14851" width="19.5" style="58" customWidth="1"/>
    <col min="14852" max="14852" width="17.8984375" style="58" customWidth="1"/>
    <col min="14853" max="15105" width="8.796875" style="58"/>
    <col min="15106" max="15106" width="16.69921875" style="58" customWidth="1"/>
    <col min="15107" max="15107" width="19.5" style="58" customWidth="1"/>
    <col min="15108" max="15108" width="17.8984375" style="58" customWidth="1"/>
    <col min="15109" max="15361" width="8.796875" style="58"/>
    <col min="15362" max="15362" width="16.69921875" style="58" customWidth="1"/>
    <col min="15363" max="15363" width="19.5" style="58" customWidth="1"/>
    <col min="15364" max="15364" width="17.8984375" style="58" customWidth="1"/>
    <col min="15365" max="15617" width="8.796875" style="58"/>
    <col min="15618" max="15618" width="16.69921875" style="58" customWidth="1"/>
    <col min="15619" max="15619" width="19.5" style="58" customWidth="1"/>
    <col min="15620" max="15620" width="17.8984375" style="58" customWidth="1"/>
    <col min="15621" max="15873" width="8.796875" style="58"/>
    <col min="15874" max="15874" width="16.69921875" style="58" customWidth="1"/>
    <col min="15875" max="15875" width="19.5" style="58" customWidth="1"/>
    <col min="15876" max="15876" width="17.8984375" style="58" customWidth="1"/>
    <col min="15877" max="16129" width="8.796875" style="58"/>
    <col min="16130" max="16130" width="16.69921875" style="58" customWidth="1"/>
    <col min="16131" max="16131" width="19.5" style="58" customWidth="1"/>
    <col min="16132" max="16132" width="17.8984375" style="58" customWidth="1"/>
    <col min="16133" max="16384" width="8.796875" style="58"/>
  </cols>
  <sheetData>
    <row r="1" spans="2:4" ht="1.8" customHeight="1"/>
    <row r="2" spans="2:4" s="55" customFormat="1" ht="20.100000000000001" customHeight="1">
      <c r="B2" s="54" t="s">
        <v>97</v>
      </c>
      <c r="C2" s="54" t="s">
        <v>98</v>
      </c>
      <c r="D2" s="54" t="s">
        <v>99</v>
      </c>
    </row>
    <row r="3" spans="2:4" ht="20.100000000000001" customHeight="1">
      <c r="B3" s="49" t="s">
        <v>100</v>
      </c>
      <c r="C3" s="56">
        <v>23754</v>
      </c>
      <c r="D3" s="57">
        <v>40633</v>
      </c>
    </row>
    <row r="4" spans="2:4" ht="20.100000000000001" customHeight="1">
      <c r="B4" s="49" t="s">
        <v>101</v>
      </c>
      <c r="C4" s="56">
        <v>24240</v>
      </c>
      <c r="D4" s="57">
        <v>40633</v>
      </c>
    </row>
    <row r="5" spans="2:4" ht="20.100000000000001" customHeight="1">
      <c r="B5" s="49" t="s">
        <v>102</v>
      </c>
      <c r="C5" s="56">
        <v>54300</v>
      </c>
      <c r="D5" s="57">
        <v>40633</v>
      </c>
    </row>
    <row r="6" spans="2:4" ht="20.100000000000001" customHeight="1">
      <c r="B6" s="49" t="s">
        <v>103</v>
      </c>
      <c r="C6" s="56">
        <v>34950</v>
      </c>
      <c r="D6" s="57">
        <v>40694</v>
      </c>
    </row>
    <row r="7" spans="2:4" ht="20.100000000000001" customHeight="1">
      <c r="B7" s="49" t="s">
        <v>104</v>
      </c>
      <c r="C7" s="56">
        <v>23300</v>
      </c>
      <c r="D7" s="57">
        <v>40694</v>
      </c>
    </row>
    <row r="8" spans="2:4" ht="20.100000000000001" customHeight="1">
      <c r="B8" s="49" t="s">
        <v>105</v>
      </c>
      <c r="C8" s="56">
        <f>C9-SUM(C3:C7)</f>
        <v>29298.380000000005</v>
      </c>
      <c r="D8" s="57">
        <v>40694</v>
      </c>
    </row>
    <row r="9" spans="2:4" ht="20.100000000000001" customHeight="1">
      <c r="B9" s="49" t="s">
        <v>106</v>
      </c>
      <c r="C9" s="56">
        <v>189842.38</v>
      </c>
      <c r="D9" s="49"/>
    </row>
    <row r="10" spans="2:4">
      <c r="C10" s="59"/>
    </row>
    <row r="11" spans="2:4">
      <c r="C11" s="59"/>
    </row>
    <row r="12" spans="2:4">
      <c r="C12" s="75">
        <f>[1]资产201104!$H$8</f>
        <v>189842.38</v>
      </c>
    </row>
    <row r="13" spans="2:4">
      <c r="C13" s="59"/>
    </row>
    <row r="14" spans="2:4">
      <c r="C14" s="59"/>
    </row>
    <row r="15" spans="2:4">
      <c r="C15" s="59"/>
    </row>
    <row r="16" spans="2:4">
      <c r="C16" s="59"/>
    </row>
    <row r="17" spans="3:3">
      <c r="C17" s="59"/>
    </row>
    <row r="18" spans="3:3">
      <c r="C18" s="59"/>
    </row>
    <row r="19" spans="3:3">
      <c r="C19" s="59"/>
    </row>
    <row r="20" spans="3:3">
      <c r="C20" s="59"/>
    </row>
    <row r="21" spans="3:3">
      <c r="C21" s="59"/>
    </row>
    <row r="22" spans="3:3">
      <c r="C22" s="59"/>
    </row>
  </sheetData>
  <phoneticPr fontId="2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10" sqref="C10"/>
    </sheetView>
  </sheetViews>
  <sheetFormatPr defaultRowHeight="14.4"/>
  <cols>
    <col min="1" max="1" width="0.296875" style="58" customWidth="1"/>
    <col min="2" max="2" width="27.3984375" style="58" customWidth="1"/>
    <col min="3" max="3" width="19.8984375" style="58" customWidth="1"/>
    <col min="4" max="257" width="8.796875" style="58"/>
    <col min="258" max="258" width="29.19921875" style="58" customWidth="1"/>
    <col min="259" max="259" width="22.09765625" style="58" customWidth="1"/>
    <col min="260" max="513" width="8.796875" style="58"/>
    <col min="514" max="514" width="29.19921875" style="58" customWidth="1"/>
    <col min="515" max="515" width="22.09765625" style="58" customWidth="1"/>
    <col min="516" max="769" width="8.796875" style="58"/>
    <col min="770" max="770" width="29.19921875" style="58" customWidth="1"/>
    <col min="771" max="771" width="22.09765625" style="58" customWidth="1"/>
    <col min="772" max="1025" width="8.796875" style="58"/>
    <col min="1026" max="1026" width="29.19921875" style="58" customWidth="1"/>
    <col min="1027" max="1027" width="22.09765625" style="58" customWidth="1"/>
    <col min="1028" max="1281" width="8.796875" style="58"/>
    <col min="1282" max="1282" width="29.19921875" style="58" customWidth="1"/>
    <col min="1283" max="1283" width="22.09765625" style="58" customWidth="1"/>
    <col min="1284" max="1537" width="8.796875" style="58"/>
    <col min="1538" max="1538" width="29.19921875" style="58" customWidth="1"/>
    <col min="1539" max="1539" width="22.09765625" style="58" customWidth="1"/>
    <col min="1540" max="1793" width="8.796875" style="58"/>
    <col min="1794" max="1794" width="29.19921875" style="58" customWidth="1"/>
    <col min="1795" max="1795" width="22.09765625" style="58" customWidth="1"/>
    <col min="1796" max="2049" width="8.796875" style="58"/>
    <col min="2050" max="2050" width="29.19921875" style="58" customWidth="1"/>
    <col min="2051" max="2051" width="22.09765625" style="58" customWidth="1"/>
    <col min="2052" max="2305" width="8.796875" style="58"/>
    <col min="2306" max="2306" width="29.19921875" style="58" customWidth="1"/>
    <col min="2307" max="2307" width="22.09765625" style="58" customWidth="1"/>
    <col min="2308" max="2561" width="8.796875" style="58"/>
    <col min="2562" max="2562" width="29.19921875" style="58" customWidth="1"/>
    <col min="2563" max="2563" width="22.09765625" style="58" customWidth="1"/>
    <col min="2564" max="2817" width="8.796875" style="58"/>
    <col min="2818" max="2818" width="29.19921875" style="58" customWidth="1"/>
    <col min="2819" max="2819" width="22.09765625" style="58" customWidth="1"/>
    <col min="2820" max="3073" width="8.796875" style="58"/>
    <col min="3074" max="3074" width="29.19921875" style="58" customWidth="1"/>
    <col min="3075" max="3075" width="22.09765625" style="58" customWidth="1"/>
    <col min="3076" max="3329" width="8.796875" style="58"/>
    <col min="3330" max="3330" width="29.19921875" style="58" customWidth="1"/>
    <col min="3331" max="3331" width="22.09765625" style="58" customWidth="1"/>
    <col min="3332" max="3585" width="8.796875" style="58"/>
    <col min="3586" max="3586" width="29.19921875" style="58" customWidth="1"/>
    <col min="3587" max="3587" width="22.09765625" style="58" customWidth="1"/>
    <col min="3588" max="3841" width="8.796875" style="58"/>
    <col min="3842" max="3842" width="29.19921875" style="58" customWidth="1"/>
    <col min="3843" max="3843" width="22.09765625" style="58" customWidth="1"/>
    <col min="3844" max="4097" width="8.796875" style="58"/>
    <col min="4098" max="4098" width="29.19921875" style="58" customWidth="1"/>
    <col min="4099" max="4099" width="22.09765625" style="58" customWidth="1"/>
    <col min="4100" max="4353" width="8.796875" style="58"/>
    <col min="4354" max="4354" width="29.19921875" style="58" customWidth="1"/>
    <col min="4355" max="4355" width="22.09765625" style="58" customWidth="1"/>
    <col min="4356" max="4609" width="8.796875" style="58"/>
    <col min="4610" max="4610" width="29.19921875" style="58" customWidth="1"/>
    <col min="4611" max="4611" width="22.09765625" style="58" customWidth="1"/>
    <col min="4612" max="4865" width="8.796875" style="58"/>
    <col min="4866" max="4866" width="29.19921875" style="58" customWidth="1"/>
    <col min="4867" max="4867" width="22.09765625" style="58" customWidth="1"/>
    <col min="4868" max="5121" width="8.796875" style="58"/>
    <col min="5122" max="5122" width="29.19921875" style="58" customWidth="1"/>
    <col min="5123" max="5123" width="22.09765625" style="58" customWidth="1"/>
    <col min="5124" max="5377" width="8.796875" style="58"/>
    <col min="5378" max="5378" width="29.19921875" style="58" customWidth="1"/>
    <col min="5379" max="5379" width="22.09765625" style="58" customWidth="1"/>
    <col min="5380" max="5633" width="8.796875" style="58"/>
    <col min="5634" max="5634" width="29.19921875" style="58" customWidth="1"/>
    <col min="5635" max="5635" width="22.09765625" style="58" customWidth="1"/>
    <col min="5636" max="5889" width="8.796875" style="58"/>
    <col min="5890" max="5890" width="29.19921875" style="58" customWidth="1"/>
    <col min="5891" max="5891" width="22.09765625" style="58" customWidth="1"/>
    <col min="5892" max="6145" width="8.796875" style="58"/>
    <col min="6146" max="6146" width="29.19921875" style="58" customWidth="1"/>
    <col min="6147" max="6147" width="22.09765625" style="58" customWidth="1"/>
    <col min="6148" max="6401" width="8.796875" style="58"/>
    <col min="6402" max="6402" width="29.19921875" style="58" customWidth="1"/>
    <col min="6403" max="6403" width="22.09765625" style="58" customWidth="1"/>
    <col min="6404" max="6657" width="8.796875" style="58"/>
    <col min="6658" max="6658" width="29.19921875" style="58" customWidth="1"/>
    <col min="6659" max="6659" width="22.09765625" style="58" customWidth="1"/>
    <col min="6660" max="6913" width="8.796875" style="58"/>
    <col min="6914" max="6914" width="29.19921875" style="58" customWidth="1"/>
    <col min="6915" max="6915" width="22.09765625" style="58" customWidth="1"/>
    <col min="6916" max="7169" width="8.796875" style="58"/>
    <col min="7170" max="7170" width="29.19921875" style="58" customWidth="1"/>
    <col min="7171" max="7171" width="22.09765625" style="58" customWidth="1"/>
    <col min="7172" max="7425" width="8.796875" style="58"/>
    <col min="7426" max="7426" width="29.19921875" style="58" customWidth="1"/>
    <col min="7427" max="7427" width="22.09765625" style="58" customWidth="1"/>
    <col min="7428" max="7681" width="8.796875" style="58"/>
    <col min="7682" max="7682" width="29.19921875" style="58" customWidth="1"/>
    <col min="7683" max="7683" width="22.09765625" style="58" customWidth="1"/>
    <col min="7684" max="7937" width="8.796875" style="58"/>
    <col min="7938" max="7938" width="29.19921875" style="58" customWidth="1"/>
    <col min="7939" max="7939" width="22.09765625" style="58" customWidth="1"/>
    <col min="7940" max="8193" width="8.796875" style="58"/>
    <col min="8194" max="8194" width="29.19921875" style="58" customWidth="1"/>
    <col min="8195" max="8195" width="22.09765625" style="58" customWidth="1"/>
    <col min="8196" max="8449" width="8.796875" style="58"/>
    <col min="8450" max="8450" width="29.19921875" style="58" customWidth="1"/>
    <col min="8451" max="8451" width="22.09765625" style="58" customWidth="1"/>
    <col min="8452" max="8705" width="8.796875" style="58"/>
    <col min="8706" max="8706" width="29.19921875" style="58" customWidth="1"/>
    <col min="8707" max="8707" width="22.09765625" style="58" customWidth="1"/>
    <col min="8708" max="8961" width="8.796875" style="58"/>
    <col min="8962" max="8962" width="29.19921875" style="58" customWidth="1"/>
    <col min="8963" max="8963" width="22.09765625" style="58" customWidth="1"/>
    <col min="8964" max="9217" width="8.796875" style="58"/>
    <col min="9218" max="9218" width="29.19921875" style="58" customWidth="1"/>
    <col min="9219" max="9219" width="22.09765625" style="58" customWidth="1"/>
    <col min="9220" max="9473" width="8.796875" style="58"/>
    <col min="9474" max="9474" width="29.19921875" style="58" customWidth="1"/>
    <col min="9475" max="9475" width="22.09765625" style="58" customWidth="1"/>
    <col min="9476" max="9729" width="8.796875" style="58"/>
    <col min="9730" max="9730" width="29.19921875" style="58" customWidth="1"/>
    <col min="9731" max="9731" width="22.09765625" style="58" customWidth="1"/>
    <col min="9732" max="9985" width="8.796875" style="58"/>
    <col min="9986" max="9986" width="29.19921875" style="58" customWidth="1"/>
    <col min="9987" max="9987" width="22.09765625" style="58" customWidth="1"/>
    <col min="9988" max="10241" width="8.796875" style="58"/>
    <col min="10242" max="10242" width="29.19921875" style="58" customWidth="1"/>
    <col min="10243" max="10243" width="22.09765625" style="58" customWidth="1"/>
    <col min="10244" max="10497" width="8.796875" style="58"/>
    <col min="10498" max="10498" width="29.19921875" style="58" customWidth="1"/>
    <col min="10499" max="10499" width="22.09765625" style="58" customWidth="1"/>
    <col min="10500" max="10753" width="8.796875" style="58"/>
    <col min="10754" max="10754" width="29.19921875" style="58" customWidth="1"/>
    <col min="10755" max="10755" width="22.09765625" style="58" customWidth="1"/>
    <col min="10756" max="11009" width="8.796875" style="58"/>
    <col min="11010" max="11010" width="29.19921875" style="58" customWidth="1"/>
    <col min="11011" max="11011" width="22.09765625" style="58" customWidth="1"/>
    <col min="11012" max="11265" width="8.796875" style="58"/>
    <col min="11266" max="11266" width="29.19921875" style="58" customWidth="1"/>
    <col min="11267" max="11267" width="22.09765625" style="58" customWidth="1"/>
    <col min="11268" max="11521" width="8.796875" style="58"/>
    <col min="11522" max="11522" width="29.19921875" style="58" customWidth="1"/>
    <col min="11523" max="11523" width="22.09765625" style="58" customWidth="1"/>
    <col min="11524" max="11777" width="8.796875" style="58"/>
    <col min="11778" max="11778" width="29.19921875" style="58" customWidth="1"/>
    <col min="11779" max="11779" width="22.09765625" style="58" customWidth="1"/>
    <col min="11780" max="12033" width="8.796875" style="58"/>
    <col min="12034" max="12034" width="29.19921875" style="58" customWidth="1"/>
    <col min="12035" max="12035" width="22.09765625" style="58" customWidth="1"/>
    <col min="12036" max="12289" width="8.796875" style="58"/>
    <col min="12290" max="12290" width="29.19921875" style="58" customWidth="1"/>
    <col min="12291" max="12291" width="22.09765625" style="58" customWidth="1"/>
    <col min="12292" max="12545" width="8.796875" style="58"/>
    <col min="12546" max="12546" width="29.19921875" style="58" customWidth="1"/>
    <col min="12547" max="12547" width="22.09765625" style="58" customWidth="1"/>
    <col min="12548" max="12801" width="8.796875" style="58"/>
    <col min="12802" max="12802" width="29.19921875" style="58" customWidth="1"/>
    <col min="12803" max="12803" width="22.09765625" style="58" customWidth="1"/>
    <col min="12804" max="13057" width="8.796875" style="58"/>
    <col min="13058" max="13058" width="29.19921875" style="58" customWidth="1"/>
    <col min="13059" max="13059" width="22.09765625" style="58" customWidth="1"/>
    <col min="13060" max="13313" width="8.796875" style="58"/>
    <col min="13314" max="13314" width="29.19921875" style="58" customWidth="1"/>
    <col min="13315" max="13315" width="22.09765625" style="58" customWidth="1"/>
    <col min="13316" max="13569" width="8.796875" style="58"/>
    <col min="13570" max="13570" width="29.19921875" style="58" customWidth="1"/>
    <col min="13571" max="13571" width="22.09765625" style="58" customWidth="1"/>
    <col min="13572" max="13825" width="8.796875" style="58"/>
    <col min="13826" max="13826" width="29.19921875" style="58" customWidth="1"/>
    <col min="13827" max="13827" width="22.09765625" style="58" customWidth="1"/>
    <col min="13828" max="14081" width="8.796875" style="58"/>
    <col min="14082" max="14082" width="29.19921875" style="58" customWidth="1"/>
    <col min="14083" max="14083" width="22.09765625" style="58" customWidth="1"/>
    <col min="14084" max="14337" width="8.796875" style="58"/>
    <col min="14338" max="14338" width="29.19921875" style="58" customWidth="1"/>
    <col min="14339" max="14339" width="22.09765625" style="58" customWidth="1"/>
    <col min="14340" max="14593" width="8.796875" style="58"/>
    <col min="14594" max="14594" width="29.19921875" style="58" customWidth="1"/>
    <col min="14595" max="14595" width="22.09765625" style="58" customWidth="1"/>
    <col min="14596" max="14849" width="8.796875" style="58"/>
    <col min="14850" max="14850" width="29.19921875" style="58" customWidth="1"/>
    <col min="14851" max="14851" width="22.09765625" style="58" customWidth="1"/>
    <col min="14852" max="15105" width="8.796875" style="58"/>
    <col min="15106" max="15106" width="29.19921875" style="58" customWidth="1"/>
    <col min="15107" max="15107" width="22.09765625" style="58" customWidth="1"/>
    <col min="15108" max="15361" width="8.796875" style="58"/>
    <col min="15362" max="15362" width="29.19921875" style="58" customWidth="1"/>
    <col min="15363" max="15363" width="22.09765625" style="58" customWidth="1"/>
    <col min="15364" max="15617" width="8.796875" style="58"/>
    <col min="15618" max="15618" width="29.19921875" style="58" customWidth="1"/>
    <col min="15619" max="15619" width="22.09765625" style="58" customWidth="1"/>
    <col min="15620" max="15873" width="8.796875" style="58"/>
    <col min="15874" max="15874" width="29.19921875" style="58" customWidth="1"/>
    <col min="15875" max="15875" width="22.09765625" style="58" customWidth="1"/>
    <col min="15876" max="16129" width="8.796875" style="58"/>
    <col min="16130" max="16130" width="29.19921875" style="58" customWidth="1"/>
    <col min="16131" max="16131" width="22.09765625" style="58" customWidth="1"/>
    <col min="16132" max="16384" width="8.796875" style="58"/>
  </cols>
  <sheetData>
    <row r="1" spans="2:3" ht="1.8" customHeight="1"/>
    <row r="2" spans="2:3" s="55" customFormat="1" ht="20.100000000000001" customHeight="1">
      <c r="B2" s="54" t="s">
        <v>107</v>
      </c>
      <c r="C2" s="54" t="s">
        <v>108</v>
      </c>
    </row>
    <row r="3" spans="2:3" ht="20.100000000000001" customHeight="1">
      <c r="B3" s="49" t="s">
        <v>109</v>
      </c>
      <c r="C3" s="50">
        <v>35000</v>
      </c>
    </row>
    <row r="4" spans="2:3" ht="20.100000000000001" customHeight="1">
      <c r="B4" s="49" t="s">
        <v>110</v>
      </c>
      <c r="C4" s="50">
        <v>8191.11</v>
      </c>
    </row>
    <row r="5" spans="2:3" ht="20.100000000000001" customHeight="1">
      <c r="B5" s="49" t="s">
        <v>111</v>
      </c>
      <c r="C5" s="50">
        <f>C7-C3-C4-C6</f>
        <v>7332.3600000000006</v>
      </c>
    </row>
    <row r="6" spans="2:3" ht="20.100000000000001" customHeight="1">
      <c r="B6" s="49" t="s">
        <v>114</v>
      </c>
      <c r="C6" s="50">
        <v>19000</v>
      </c>
    </row>
    <row r="7" spans="2:3" ht="20.100000000000001" customHeight="1">
      <c r="B7" s="49" t="s">
        <v>112</v>
      </c>
      <c r="C7" s="50">
        <v>69523.47</v>
      </c>
    </row>
    <row r="9" spans="2:3">
      <c r="C9" s="77">
        <f>[1]资产!$I$10</f>
        <v>69523.47</v>
      </c>
    </row>
  </sheetData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workbookViewId="0">
      <selection activeCell="H10" sqref="H10"/>
    </sheetView>
  </sheetViews>
  <sheetFormatPr defaultRowHeight="15.6"/>
  <cols>
    <col min="1" max="1" width="0.296875" customWidth="1"/>
    <col min="2" max="2" width="4.3984375" customWidth="1"/>
    <col min="3" max="3" width="18.69921875" customWidth="1"/>
    <col min="4" max="8" width="6.69921875" customWidth="1"/>
  </cols>
  <sheetData>
    <row r="1" spans="2:8">
      <c r="B1" s="90" t="s">
        <v>144</v>
      </c>
      <c r="C1" s="90"/>
      <c r="D1" s="90"/>
      <c r="E1" s="90"/>
      <c r="F1" s="90"/>
      <c r="G1" s="90"/>
      <c r="H1" s="90"/>
    </row>
    <row r="2" spans="2:8">
      <c r="B2" s="73" t="s">
        <v>115</v>
      </c>
      <c r="C2" s="73" t="s">
        <v>18</v>
      </c>
      <c r="D2" s="72" t="s">
        <v>116</v>
      </c>
      <c r="E2" s="72" t="s">
        <v>117</v>
      </c>
      <c r="F2" s="72" t="s">
        <v>118</v>
      </c>
      <c r="G2" s="72" t="s">
        <v>119</v>
      </c>
      <c r="H2" s="72" t="s">
        <v>130</v>
      </c>
    </row>
    <row r="3" spans="2:8">
      <c r="B3" s="19">
        <v>1</v>
      </c>
      <c r="C3" s="14" t="s">
        <v>120</v>
      </c>
      <c r="D3" s="19">
        <f>D4*D5</f>
        <v>140</v>
      </c>
      <c r="E3" s="19">
        <f t="shared" ref="E3:H3" si="0">E4*E5</f>
        <v>480</v>
      </c>
      <c r="F3" s="19">
        <f t="shared" si="0"/>
        <v>600</v>
      </c>
      <c r="G3" s="19">
        <f t="shared" si="0"/>
        <v>750</v>
      </c>
      <c r="H3" s="19">
        <f t="shared" si="0"/>
        <v>750</v>
      </c>
    </row>
    <row r="4" spans="2:8">
      <c r="B4" s="14"/>
      <c r="C4" s="14" t="s">
        <v>121</v>
      </c>
      <c r="D4" s="19">
        <v>20</v>
      </c>
      <c r="E4" s="19">
        <v>16</v>
      </c>
      <c r="F4" s="19">
        <v>15</v>
      </c>
      <c r="G4" s="19">
        <v>15</v>
      </c>
      <c r="H4" s="19">
        <v>15</v>
      </c>
    </row>
    <row r="5" spans="2:8">
      <c r="B5" s="14"/>
      <c r="C5" s="14" t="s">
        <v>122</v>
      </c>
      <c r="D5" s="19">
        <v>7</v>
      </c>
      <c r="E5" s="19">
        <v>30</v>
      </c>
      <c r="F5" s="19">
        <v>40</v>
      </c>
      <c r="G5" s="19">
        <v>50</v>
      </c>
      <c r="H5" s="1">
        <v>50</v>
      </c>
    </row>
    <row r="6" spans="2:8">
      <c r="B6" s="19">
        <v>2</v>
      </c>
      <c r="C6" s="14" t="s">
        <v>22</v>
      </c>
      <c r="D6" s="19">
        <f>D7-D8</f>
        <v>23.75</v>
      </c>
      <c r="E6" s="19">
        <f t="shared" ref="E6:H6" si="1">E7-E8</f>
        <v>81.490000000000009</v>
      </c>
      <c r="F6" s="19">
        <f t="shared" si="1"/>
        <v>101.84000000000002</v>
      </c>
      <c r="G6" s="19">
        <f t="shared" si="1"/>
        <v>127.30000000000001</v>
      </c>
      <c r="H6" s="19">
        <f t="shared" si="1"/>
        <v>127.30000000000001</v>
      </c>
    </row>
    <row r="7" spans="2:8">
      <c r="B7" s="19">
        <v>2.1</v>
      </c>
      <c r="C7" s="14" t="s">
        <v>123</v>
      </c>
      <c r="D7" s="19">
        <f>D3*0.17</f>
        <v>23.8</v>
      </c>
      <c r="E7" s="19">
        <f t="shared" ref="E7:H7" si="2">E3*0.17</f>
        <v>81.600000000000009</v>
      </c>
      <c r="F7" s="19">
        <f t="shared" si="2"/>
        <v>102.00000000000001</v>
      </c>
      <c r="G7" s="19">
        <f t="shared" si="2"/>
        <v>127.50000000000001</v>
      </c>
      <c r="H7" s="19">
        <f t="shared" si="2"/>
        <v>127.50000000000001</v>
      </c>
    </row>
    <row r="8" spans="2:8">
      <c r="B8" s="19">
        <v>2.2000000000000002</v>
      </c>
      <c r="C8" s="14" t="s">
        <v>124</v>
      </c>
      <c r="D8" s="19">
        <v>0.05</v>
      </c>
      <c r="E8" s="19">
        <v>0.11</v>
      </c>
      <c r="F8" s="19">
        <v>0.16</v>
      </c>
      <c r="G8" s="19">
        <v>0.2</v>
      </c>
      <c r="H8" s="19">
        <v>0.2</v>
      </c>
    </row>
    <row r="9" spans="2:8">
      <c r="B9" s="19">
        <v>3</v>
      </c>
      <c r="C9" s="14" t="s">
        <v>125</v>
      </c>
      <c r="D9" s="60">
        <f>SUM(D10:D13)</f>
        <v>2.758</v>
      </c>
      <c r="E9" s="60">
        <f t="shared" ref="E9:H9" si="3">SUM(E10:E13)</f>
        <v>9.4560000000000031</v>
      </c>
      <c r="F9" s="60">
        <f t="shared" si="3"/>
        <v>11.820000000000002</v>
      </c>
      <c r="G9" s="60">
        <f t="shared" si="3"/>
        <v>14.775000000000004</v>
      </c>
      <c r="H9" s="60">
        <f t="shared" si="3"/>
        <v>14.775000000000004</v>
      </c>
    </row>
    <row r="10" spans="2:8">
      <c r="B10" s="31">
        <v>3.1</v>
      </c>
      <c r="C10" s="31" t="s">
        <v>126</v>
      </c>
      <c r="D10" s="40">
        <f>D7*0.03</f>
        <v>0.71399999999999997</v>
      </c>
      <c r="E10" s="40">
        <f t="shared" ref="E10:H10" si="4">E7*0.03</f>
        <v>2.448</v>
      </c>
      <c r="F10" s="40">
        <f t="shared" si="4"/>
        <v>3.0600000000000005</v>
      </c>
      <c r="G10" s="40">
        <f t="shared" si="4"/>
        <v>3.8250000000000002</v>
      </c>
      <c r="H10" s="40">
        <f t="shared" si="4"/>
        <v>3.8250000000000002</v>
      </c>
    </row>
    <row r="11" spans="2:8">
      <c r="B11" s="31">
        <v>3.2</v>
      </c>
      <c r="C11" s="31" t="s">
        <v>127</v>
      </c>
      <c r="D11" s="40">
        <f>D7*0.07</f>
        <v>1.6660000000000001</v>
      </c>
      <c r="E11" s="40">
        <f t="shared" ref="E11:H11" si="5">E7*0.07</f>
        <v>5.7120000000000015</v>
      </c>
      <c r="F11" s="40">
        <f t="shared" si="5"/>
        <v>7.1400000000000015</v>
      </c>
      <c r="G11" s="40">
        <f t="shared" si="5"/>
        <v>8.9250000000000025</v>
      </c>
      <c r="H11" s="40">
        <f t="shared" si="5"/>
        <v>8.9250000000000025</v>
      </c>
    </row>
    <row r="12" spans="2:8">
      <c r="B12" s="31">
        <v>3.3</v>
      </c>
      <c r="C12" s="31" t="s">
        <v>128</v>
      </c>
      <c r="D12" s="31">
        <f>D7*0.01</f>
        <v>0.23800000000000002</v>
      </c>
      <c r="E12" s="40">
        <f t="shared" ref="E12:H12" si="6">E7*0.01</f>
        <v>0.81600000000000006</v>
      </c>
      <c r="F12" s="40">
        <f t="shared" si="6"/>
        <v>1.0200000000000002</v>
      </c>
      <c r="G12" s="40">
        <f t="shared" si="6"/>
        <v>1.2750000000000001</v>
      </c>
      <c r="H12" s="40">
        <f t="shared" si="6"/>
        <v>1.2750000000000001</v>
      </c>
    </row>
    <row r="13" spans="2:8">
      <c r="B13" s="31">
        <v>3.4</v>
      </c>
      <c r="C13" s="31" t="s">
        <v>129</v>
      </c>
      <c r="D13" s="31">
        <f>D3*0.001</f>
        <v>0.14000000000000001</v>
      </c>
      <c r="E13" s="31">
        <f t="shared" ref="E13:H13" si="7">E3*0.001</f>
        <v>0.48</v>
      </c>
      <c r="F13" s="31">
        <f t="shared" si="7"/>
        <v>0.6</v>
      </c>
      <c r="G13" s="31">
        <f t="shared" si="7"/>
        <v>0.75</v>
      </c>
      <c r="H13" s="31">
        <f t="shared" si="7"/>
        <v>0.75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workbookViewId="0">
      <selection activeCell="L7" sqref="L7"/>
    </sheetView>
  </sheetViews>
  <sheetFormatPr defaultRowHeight="14.4"/>
  <cols>
    <col min="1" max="1" width="0.3984375" style="61" customWidth="1"/>
    <col min="2" max="2" width="4.69921875" style="61" customWidth="1"/>
    <col min="3" max="3" width="12.8984375" style="61" customWidth="1"/>
    <col min="4" max="9" width="7.19921875" style="61" customWidth="1"/>
    <col min="10" max="16384" width="8.796875" style="61"/>
  </cols>
  <sheetData>
    <row r="1" spans="2:9">
      <c r="B1" s="91" t="s">
        <v>145</v>
      </c>
      <c r="C1" s="91"/>
      <c r="D1" s="91"/>
      <c r="E1" s="91"/>
      <c r="F1" s="91"/>
      <c r="G1" s="91"/>
      <c r="H1" s="91"/>
      <c r="I1" s="91"/>
    </row>
    <row r="2" spans="2:9">
      <c r="B2" s="73" t="s">
        <v>115</v>
      </c>
      <c r="C2" s="73" t="s">
        <v>18</v>
      </c>
      <c r="D2" s="72" t="s">
        <v>116</v>
      </c>
      <c r="E2" s="72" t="s">
        <v>117</v>
      </c>
      <c r="F2" s="72" t="s">
        <v>118</v>
      </c>
      <c r="G2" s="72" t="s">
        <v>119</v>
      </c>
      <c r="H2" s="72" t="s">
        <v>130</v>
      </c>
      <c r="I2" s="72" t="s">
        <v>3</v>
      </c>
    </row>
    <row r="3" spans="2:9">
      <c r="B3" s="14"/>
      <c r="C3" s="14" t="s">
        <v>131</v>
      </c>
      <c r="D3" s="31">
        <f>销售收入、销售税金!D5</f>
        <v>7</v>
      </c>
      <c r="E3" s="31">
        <v>30</v>
      </c>
      <c r="F3" s="31">
        <v>40</v>
      </c>
      <c r="G3" s="31">
        <v>50</v>
      </c>
      <c r="H3" s="31">
        <v>50</v>
      </c>
      <c r="I3" s="37">
        <f>SUM(D3:H3)</f>
        <v>177</v>
      </c>
    </row>
    <row r="4" spans="2:9">
      <c r="B4" s="19">
        <v>1</v>
      </c>
      <c r="C4" s="14" t="s">
        <v>132</v>
      </c>
      <c r="D4" s="60">
        <f>D3*0.0008</f>
        <v>5.5999999999999999E-3</v>
      </c>
      <c r="E4" s="60">
        <f t="shared" ref="E4:H4" si="0">E3*0.0008</f>
        <v>2.4E-2</v>
      </c>
      <c r="F4" s="60">
        <f t="shared" si="0"/>
        <v>3.2000000000000001E-2</v>
      </c>
      <c r="G4" s="60">
        <f t="shared" si="0"/>
        <v>0.04</v>
      </c>
      <c r="H4" s="60">
        <f t="shared" si="0"/>
        <v>0.04</v>
      </c>
      <c r="I4" s="62">
        <f t="shared" ref="I4:I15" si="1">SUM(D4:H4)</f>
        <v>0.1416</v>
      </c>
    </row>
    <row r="5" spans="2:9" ht="28.8">
      <c r="B5" s="19">
        <v>2</v>
      </c>
      <c r="C5" s="14" t="s">
        <v>133</v>
      </c>
      <c r="D5" s="19">
        <f>D3*0.02</f>
        <v>0.14000000000000001</v>
      </c>
      <c r="E5" s="19">
        <f t="shared" ref="E5:H5" si="2">E3*0.02</f>
        <v>0.6</v>
      </c>
      <c r="F5" s="19">
        <f t="shared" si="2"/>
        <v>0.8</v>
      </c>
      <c r="G5" s="19">
        <f t="shared" si="2"/>
        <v>1</v>
      </c>
      <c r="H5" s="19">
        <f t="shared" si="2"/>
        <v>1</v>
      </c>
      <c r="I5" s="37">
        <f t="shared" si="1"/>
        <v>3.54</v>
      </c>
    </row>
    <row r="6" spans="2:9">
      <c r="B6" s="14">
        <v>3</v>
      </c>
      <c r="C6" s="14" t="s">
        <v>134</v>
      </c>
      <c r="D6" s="19">
        <f>4.66*总成本费用!D3</f>
        <v>32.620000000000005</v>
      </c>
      <c r="E6" s="19">
        <f>4.66*总成本费用!E3</f>
        <v>139.80000000000001</v>
      </c>
      <c r="F6" s="19">
        <f>4.66*总成本费用!F3</f>
        <v>186.4</v>
      </c>
      <c r="G6" s="19">
        <f>4.66*总成本费用!G3</f>
        <v>233</v>
      </c>
      <c r="H6" s="19">
        <f>4.66*总成本费用!H3</f>
        <v>233</v>
      </c>
      <c r="I6" s="37">
        <f t="shared" si="1"/>
        <v>824.82</v>
      </c>
    </row>
    <row r="7" spans="2:9">
      <c r="B7" s="14">
        <v>4</v>
      </c>
      <c r="C7" s="14" t="s">
        <v>135</v>
      </c>
      <c r="D7" s="60">
        <f>793.73*D3/10000</f>
        <v>0.55561100000000008</v>
      </c>
      <c r="E7" s="60">
        <f t="shared" ref="E7:H7" si="3">793.73*E3/10000</f>
        <v>2.3811900000000001</v>
      </c>
      <c r="F7" s="60">
        <f t="shared" si="3"/>
        <v>3.1749200000000002</v>
      </c>
      <c r="G7" s="60">
        <f t="shared" si="3"/>
        <v>3.9686499999999998</v>
      </c>
      <c r="H7" s="60">
        <f t="shared" si="3"/>
        <v>3.9686499999999998</v>
      </c>
      <c r="I7" s="62">
        <f t="shared" si="1"/>
        <v>14.049021</v>
      </c>
    </row>
    <row r="8" spans="2:9">
      <c r="B8" s="14">
        <v>5</v>
      </c>
      <c r="C8" s="14" t="s">
        <v>136</v>
      </c>
      <c r="D8" s="60">
        <f>I8/5</f>
        <v>8.8120000000000012</v>
      </c>
      <c r="E8" s="60">
        <f>D8</f>
        <v>8.8120000000000012</v>
      </c>
      <c r="F8" s="60">
        <f t="shared" ref="F8:H8" si="4">E8</f>
        <v>8.8120000000000012</v>
      </c>
      <c r="G8" s="60">
        <f t="shared" si="4"/>
        <v>8.8120000000000012</v>
      </c>
      <c r="H8" s="60">
        <f t="shared" si="4"/>
        <v>8.8120000000000012</v>
      </c>
      <c r="I8" s="37">
        <v>44.06</v>
      </c>
    </row>
    <row r="9" spans="2:9">
      <c r="B9" s="14">
        <v>6</v>
      </c>
      <c r="C9" s="14" t="s">
        <v>137</v>
      </c>
      <c r="D9" s="60">
        <f>I9/5</f>
        <v>8</v>
      </c>
      <c r="E9" s="60">
        <f>D9</f>
        <v>8</v>
      </c>
      <c r="F9" s="60">
        <f t="shared" ref="F9:H9" si="5">E9</f>
        <v>8</v>
      </c>
      <c r="G9" s="60">
        <f t="shared" si="5"/>
        <v>8</v>
      </c>
      <c r="H9" s="60">
        <f t="shared" si="5"/>
        <v>8</v>
      </c>
      <c r="I9" s="37">
        <v>40</v>
      </c>
    </row>
    <row r="10" spans="2:9">
      <c r="B10" s="19">
        <v>7</v>
      </c>
      <c r="C10" s="14" t="s">
        <v>138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37">
        <f t="shared" si="1"/>
        <v>0</v>
      </c>
    </row>
    <row r="11" spans="2:9">
      <c r="B11" s="19">
        <v>8</v>
      </c>
      <c r="C11" s="14" t="s">
        <v>139</v>
      </c>
      <c r="D11" s="60">
        <f>SUM(D3:D10)*0.2</f>
        <v>11.426642200000002</v>
      </c>
      <c r="E11" s="60">
        <f t="shared" ref="E11:H11" si="6">SUM(E3:E10)*0.2</f>
        <v>37.923438000000004</v>
      </c>
      <c r="F11" s="60">
        <f t="shared" si="6"/>
        <v>49.443784000000008</v>
      </c>
      <c r="G11" s="60">
        <f t="shared" si="6"/>
        <v>60.964130000000011</v>
      </c>
      <c r="H11" s="60">
        <f t="shared" si="6"/>
        <v>60.964130000000011</v>
      </c>
      <c r="I11" s="62">
        <f t="shared" si="1"/>
        <v>220.72212420000005</v>
      </c>
    </row>
    <row r="12" spans="2:9">
      <c r="B12" s="31">
        <v>9</v>
      </c>
      <c r="C12" s="31" t="s">
        <v>140</v>
      </c>
      <c r="D12" s="40">
        <f>SUM(D4:D11)</f>
        <v>61.559853200000006</v>
      </c>
      <c r="E12" s="40">
        <f t="shared" ref="E12:H12" si="7">SUM(E3:E11)</f>
        <v>227.54062800000003</v>
      </c>
      <c r="F12" s="40">
        <f t="shared" si="7"/>
        <v>296.66270400000002</v>
      </c>
      <c r="G12" s="40">
        <f t="shared" si="7"/>
        <v>365.78478000000007</v>
      </c>
      <c r="H12" s="40">
        <f t="shared" si="7"/>
        <v>365.78478000000007</v>
      </c>
      <c r="I12" s="62">
        <f t="shared" si="1"/>
        <v>1317.3327452000003</v>
      </c>
    </row>
    <row r="13" spans="2:9">
      <c r="B13" s="31"/>
      <c r="C13" s="31" t="s">
        <v>141</v>
      </c>
      <c r="D13" s="40">
        <f>SUM(D6:D11)</f>
        <v>61.414253200000005</v>
      </c>
      <c r="E13" s="40">
        <f t="shared" ref="E13:H13" si="8">SUM(E6:E11)</f>
        <v>196.91662800000003</v>
      </c>
      <c r="F13" s="40">
        <f t="shared" si="8"/>
        <v>255.83070400000003</v>
      </c>
      <c r="G13" s="40">
        <f t="shared" si="8"/>
        <v>314.74477999999999</v>
      </c>
      <c r="H13" s="40">
        <f t="shared" si="8"/>
        <v>314.74477999999999</v>
      </c>
      <c r="I13" s="62">
        <f t="shared" si="1"/>
        <v>1143.6511452</v>
      </c>
    </row>
    <row r="14" spans="2:9">
      <c r="B14" s="31"/>
      <c r="C14" s="31" t="s">
        <v>142</v>
      </c>
      <c r="D14" s="40">
        <f>SUM(D4:D5)</f>
        <v>0.14560000000000001</v>
      </c>
      <c r="E14" s="40">
        <f t="shared" ref="E14:H14" si="9">SUM(E4:E5)</f>
        <v>0.624</v>
      </c>
      <c r="F14" s="40">
        <f t="shared" si="9"/>
        <v>0.83200000000000007</v>
      </c>
      <c r="G14" s="40">
        <f t="shared" si="9"/>
        <v>1.04</v>
      </c>
      <c r="H14" s="40">
        <f t="shared" si="9"/>
        <v>1.04</v>
      </c>
      <c r="I14" s="62">
        <f t="shared" si="1"/>
        <v>3.6816000000000004</v>
      </c>
    </row>
    <row r="15" spans="2:9">
      <c r="B15" s="31">
        <v>10</v>
      </c>
      <c r="C15" s="14" t="s">
        <v>143</v>
      </c>
      <c r="D15" s="71">
        <f>D12-D8-D9</f>
        <v>44.747853200000009</v>
      </c>
      <c r="E15" s="71">
        <f t="shared" ref="E15:H15" si="10">E12-E8-E9</f>
        <v>210.72862800000001</v>
      </c>
      <c r="F15" s="71">
        <f t="shared" si="10"/>
        <v>279.85070400000001</v>
      </c>
      <c r="G15" s="71">
        <f t="shared" si="10"/>
        <v>348.97278000000006</v>
      </c>
      <c r="H15" s="71">
        <f t="shared" si="10"/>
        <v>348.97278000000006</v>
      </c>
      <c r="I15" s="62">
        <f t="shared" si="1"/>
        <v>1233.2727452000001</v>
      </c>
    </row>
  </sheetData>
  <mergeCells count="1">
    <mergeCell ref="B1:I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workbookViewId="0">
      <selection activeCell="F18" sqref="F18"/>
    </sheetView>
  </sheetViews>
  <sheetFormatPr defaultRowHeight="14.4"/>
  <cols>
    <col min="1" max="1" width="0.296875" style="36" customWidth="1"/>
    <col min="2" max="2" width="5" style="36" customWidth="1"/>
    <col min="3" max="3" width="11.09765625" style="36" customWidth="1"/>
    <col min="4" max="4" width="6.3984375" style="36" customWidth="1"/>
    <col min="5" max="5" width="7.59765625" style="36" customWidth="1"/>
    <col min="6" max="6" width="4.5" style="36" customWidth="1"/>
    <col min="7" max="7" width="9.59765625" style="36" customWidth="1"/>
    <col min="8" max="8" width="15.296875" style="36" customWidth="1"/>
    <col min="9" max="16384" width="8.796875" style="36"/>
  </cols>
  <sheetData>
    <row r="1" spans="2:10">
      <c r="B1" s="91" t="s">
        <v>165</v>
      </c>
      <c r="C1" s="91"/>
      <c r="D1" s="91"/>
      <c r="E1" s="91"/>
      <c r="F1" s="91"/>
      <c r="G1" s="91"/>
      <c r="H1" s="91"/>
    </row>
    <row r="2" spans="2:10">
      <c r="B2" s="72" t="s">
        <v>115</v>
      </c>
      <c r="C2" s="72" t="s">
        <v>18</v>
      </c>
      <c r="D2" s="72" t="s">
        <v>146</v>
      </c>
      <c r="E2" s="72" t="s">
        <v>147</v>
      </c>
      <c r="F2" s="72" t="s">
        <v>148</v>
      </c>
      <c r="G2" s="72" t="s">
        <v>85</v>
      </c>
      <c r="H2" s="73" t="s">
        <v>185</v>
      </c>
    </row>
    <row r="3" spans="2:10">
      <c r="B3" s="63">
        <v>1</v>
      </c>
      <c r="C3" s="64" t="s">
        <v>149</v>
      </c>
      <c r="D3" s="31"/>
      <c r="E3" s="31"/>
      <c r="F3" s="31"/>
      <c r="G3" s="69">
        <v>8</v>
      </c>
      <c r="H3" s="14" t="s">
        <v>186</v>
      </c>
      <c r="J3" s="86">
        <f>G3/52032.07</f>
        <v>1.5375133066971965E-4</v>
      </c>
    </row>
    <row r="4" spans="2:10">
      <c r="B4" s="13">
        <v>1.1000000000000001</v>
      </c>
      <c r="C4" s="13" t="s">
        <v>150</v>
      </c>
      <c r="D4" s="14" t="s">
        <v>151</v>
      </c>
      <c r="E4" s="14">
        <v>1</v>
      </c>
      <c r="F4" s="31">
        <v>3</v>
      </c>
      <c r="G4" s="70">
        <v>3</v>
      </c>
      <c r="H4" s="14"/>
      <c r="J4" s="86">
        <f t="shared" ref="J4:J14" si="0">G4/52032.07</f>
        <v>5.7656749001144871E-5</v>
      </c>
    </row>
    <row r="5" spans="2:10">
      <c r="B5" s="13">
        <v>1.2</v>
      </c>
      <c r="C5" s="13" t="s">
        <v>152</v>
      </c>
      <c r="D5" s="14" t="s">
        <v>153</v>
      </c>
      <c r="E5" s="14">
        <v>1</v>
      </c>
      <c r="F5" s="31">
        <v>5</v>
      </c>
      <c r="G5" s="70">
        <v>5</v>
      </c>
      <c r="H5" s="14"/>
      <c r="J5" s="86">
        <f t="shared" si="0"/>
        <v>9.6094581668574789E-5</v>
      </c>
    </row>
    <row r="6" spans="2:10">
      <c r="B6" s="13">
        <v>2</v>
      </c>
      <c r="C6" s="64" t="s">
        <v>154</v>
      </c>
      <c r="D6" s="14"/>
      <c r="E6" s="14"/>
      <c r="F6" s="31"/>
      <c r="G6" s="70">
        <v>200</v>
      </c>
      <c r="H6" s="14" t="s">
        <v>187</v>
      </c>
      <c r="J6" s="86">
        <f t="shared" si="0"/>
        <v>3.8437832667429913E-3</v>
      </c>
    </row>
    <row r="7" spans="2:10">
      <c r="B7" s="13">
        <v>3</v>
      </c>
      <c r="C7" s="64" t="s">
        <v>155</v>
      </c>
      <c r="D7" s="14"/>
      <c r="E7" s="65"/>
      <c r="F7" s="66"/>
      <c r="G7" s="70">
        <v>46000</v>
      </c>
      <c r="H7" s="14" t="s">
        <v>188</v>
      </c>
      <c r="J7" s="86">
        <f t="shared" si="0"/>
        <v>0.88407015135088807</v>
      </c>
    </row>
    <row r="8" spans="2:10" ht="28.8">
      <c r="B8" s="13">
        <v>3.1</v>
      </c>
      <c r="C8" s="67" t="s">
        <v>156</v>
      </c>
      <c r="D8" s="14"/>
      <c r="E8" s="65"/>
      <c r="F8" s="66"/>
      <c r="G8" s="70">
        <v>28000</v>
      </c>
      <c r="H8" s="14" t="s">
        <v>157</v>
      </c>
      <c r="J8" s="86">
        <f t="shared" si="0"/>
        <v>0.53812965734401885</v>
      </c>
    </row>
    <row r="9" spans="2:10" ht="28.8">
      <c r="B9" s="13">
        <v>3.2</v>
      </c>
      <c r="C9" s="68" t="s">
        <v>163</v>
      </c>
      <c r="D9" s="14"/>
      <c r="E9" s="65"/>
      <c r="F9" s="66"/>
      <c r="G9" s="70">
        <v>10000</v>
      </c>
      <c r="H9" s="14" t="s">
        <v>158</v>
      </c>
      <c r="J9" s="86">
        <f t="shared" si="0"/>
        <v>0.19218916333714958</v>
      </c>
    </row>
    <row r="10" spans="2:10">
      <c r="B10" s="13">
        <v>3.3</v>
      </c>
      <c r="C10" s="67" t="s">
        <v>159</v>
      </c>
      <c r="D10" s="14"/>
      <c r="E10" s="65"/>
      <c r="F10" s="66"/>
      <c r="G10" s="70">
        <v>8000</v>
      </c>
      <c r="H10" s="14" t="s">
        <v>160</v>
      </c>
      <c r="J10" s="86">
        <f t="shared" si="0"/>
        <v>0.15375133066971966</v>
      </c>
    </row>
    <row r="11" spans="2:10">
      <c r="B11" s="13">
        <v>4</v>
      </c>
      <c r="C11" s="64" t="s">
        <v>161</v>
      </c>
      <c r="D11" s="14"/>
      <c r="E11" s="65"/>
      <c r="F11" s="66"/>
      <c r="G11" s="70">
        <f>SUM(G12:G14)</f>
        <v>5824.0677966101703</v>
      </c>
      <c r="H11" s="14" t="s">
        <v>189</v>
      </c>
      <c r="J11" s="86">
        <f t="shared" si="0"/>
        <v>0.11193227170493449</v>
      </c>
    </row>
    <row r="12" spans="2:10">
      <c r="B12" s="13">
        <v>4.0999999999999996</v>
      </c>
      <c r="C12" s="68" t="s">
        <v>162</v>
      </c>
      <c r="D12" s="14"/>
      <c r="E12" s="14"/>
      <c r="F12" s="14"/>
      <c r="G12" s="70">
        <v>600</v>
      </c>
      <c r="H12" s="14" t="s">
        <v>190</v>
      </c>
      <c r="J12" s="86">
        <f t="shared" si="0"/>
        <v>1.1531349800228975E-2</v>
      </c>
    </row>
    <row r="13" spans="2:10">
      <c r="B13" s="13">
        <v>4.2</v>
      </c>
      <c r="C13" s="68" t="s">
        <v>136</v>
      </c>
      <c r="D13" s="14"/>
      <c r="E13" s="14"/>
      <c r="F13" s="14"/>
      <c r="G13" s="70">
        <f>84.06/177*10000</f>
        <v>4749.1525423728817</v>
      </c>
      <c r="H13" s="14" t="s">
        <v>191</v>
      </c>
      <c r="J13" s="86">
        <f t="shared" si="0"/>
        <v>9.1273565367914089E-2</v>
      </c>
    </row>
    <row r="14" spans="2:10">
      <c r="B14" s="13">
        <v>4.3</v>
      </c>
      <c r="C14" s="68" t="s">
        <v>135</v>
      </c>
      <c r="D14" s="14"/>
      <c r="E14" s="14"/>
      <c r="F14" s="14"/>
      <c r="G14" s="69">
        <f>G13/10</f>
        <v>474.9152542372882</v>
      </c>
      <c r="H14" s="14" t="s">
        <v>192</v>
      </c>
      <c r="J14" s="86">
        <f t="shared" si="0"/>
        <v>9.1273565367914096E-3</v>
      </c>
    </row>
    <row r="15" spans="2:10">
      <c r="B15" s="92" t="s">
        <v>164</v>
      </c>
      <c r="C15" s="93"/>
      <c r="D15" s="14"/>
      <c r="E15" s="14"/>
      <c r="F15" s="14"/>
      <c r="G15" s="70">
        <f>G3+G6+G7+G11</f>
        <v>52032.067796610172</v>
      </c>
      <c r="H15" s="14" t="s">
        <v>193</v>
      </c>
      <c r="J15" s="86">
        <f>G15/52032.07</f>
        <v>0.99999995765323524</v>
      </c>
    </row>
  </sheetData>
  <mergeCells count="2">
    <mergeCell ref="B1:H1"/>
    <mergeCell ref="B15:C15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G9" sqref="G9"/>
    </sheetView>
  </sheetViews>
  <sheetFormatPr defaultRowHeight="14.4"/>
  <cols>
    <col min="1" max="1" width="0.296875" style="36" customWidth="1"/>
    <col min="2" max="2" width="4.296875" style="36" customWidth="1"/>
    <col min="3" max="3" width="9.796875" style="36" customWidth="1"/>
    <col min="4" max="9" width="7.19921875" style="36" customWidth="1"/>
    <col min="10" max="16384" width="8.796875" style="36"/>
  </cols>
  <sheetData>
    <row r="1" spans="2:9" ht="16.2" customHeight="1">
      <c r="B1" s="94" t="s">
        <v>175</v>
      </c>
      <c r="C1" s="94"/>
      <c r="D1" s="94"/>
      <c r="E1" s="94"/>
      <c r="F1" s="94"/>
      <c r="G1" s="94"/>
      <c r="H1" s="94"/>
      <c r="I1" s="94"/>
    </row>
    <row r="2" spans="2:9">
      <c r="B2" s="80" t="s">
        <v>166</v>
      </c>
      <c r="C2" s="80" t="s">
        <v>167</v>
      </c>
      <c r="D2" s="80" t="str">
        <f>销售收入、销售税金!D2</f>
        <v>2012年</v>
      </c>
      <c r="E2" s="80" t="str">
        <f>销售收入、销售税金!E2</f>
        <v>2013年</v>
      </c>
      <c r="F2" s="80" t="str">
        <f>销售收入、销售税金!F2</f>
        <v>2014年</v>
      </c>
      <c r="G2" s="80" t="str">
        <f>销售收入、销售税金!G2</f>
        <v>2015年</v>
      </c>
      <c r="H2" s="80" t="str">
        <f>销售收入、销售税金!H2</f>
        <v>2016年</v>
      </c>
      <c r="I2" s="80" t="s">
        <v>168</v>
      </c>
    </row>
    <row r="3" spans="2:9">
      <c r="B3" s="81">
        <v>1</v>
      </c>
      <c r="C3" s="14" t="s">
        <v>176</v>
      </c>
      <c r="D3" s="82">
        <f>销售收入、销售税金!D3</f>
        <v>140</v>
      </c>
      <c r="E3" s="82">
        <f>销售收入、销售税金!E3</f>
        <v>480</v>
      </c>
      <c r="F3" s="82">
        <f>销售收入、销售税金!F3</f>
        <v>600</v>
      </c>
      <c r="G3" s="82">
        <f>销售收入、销售税金!G3</f>
        <v>750</v>
      </c>
      <c r="H3" s="82">
        <f>销售收入、销售税金!H3</f>
        <v>750</v>
      </c>
      <c r="I3" s="83">
        <f>SUM(D3:H3)</f>
        <v>2720</v>
      </c>
    </row>
    <row r="4" spans="2:9">
      <c r="B4" s="81">
        <v>2</v>
      </c>
      <c r="C4" s="19" t="s">
        <v>169</v>
      </c>
      <c r="D4" s="82">
        <f>销售收入、销售税金!D6</f>
        <v>23.75</v>
      </c>
      <c r="E4" s="82">
        <f>销售收入、销售税金!E6</f>
        <v>81.490000000000009</v>
      </c>
      <c r="F4" s="82">
        <f>销售收入、销售税金!F6</f>
        <v>101.84000000000002</v>
      </c>
      <c r="G4" s="82">
        <f>销售收入、销售税金!G6</f>
        <v>127.30000000000001</v>
      </c>
      <c r="H4" s="82">
        <f>销售收入、销售税金!H6</f>
        <v>127.30000000000001</v>
      </c>
      <c r="I4" s="83">
        <f>SUM(D4:H4)</f>
        <v>461.68000000000006</v>
      </c>
    </row>
    <row r="5" spans="2:9" ht="28.8">
      <c r="B5" s="81">
        <v>3</v>
      </c>
      <c r="C5" s="19" t="s">
        <v>170</v>
      </c>
      <c r="D5" s="78">
        <f>销售收入、销售税金!D9</f>
        <v>2.758</v>
      </c>
      <c r="E5" s="79">
        <f>销售收入、销售税金!E9</f>
        <v>9.4560000000000031</v>
      </c>
      <c r="F5" s="79">
        <f>销售收入、销售税金!F9</f>
        <v>11.820000000000002</v>
      </c>
      <c r="G5" s="79">
        <f>销售收入、销售税金!G9</f>
        <v>14.775000000000004</v>
      </c>
      <c r="H5" s="79">
        <f>销售收入、销售税金!H9</f>
        <v>14.775000000000004</v>
      </c>
      <c r="I5" s="83">
        <f t="shared" ref="I5:I9" si="0">SUM(D5:H5)</f>
        <v>53.584000000000017</v>
      </c>
    </row>
    <row r="6" spans="2:9">
      <c r="B6" s="81">
        <v>4</v>
      </c>
      <c r="C6" s="19" t="s">
        <v>171</v>
      </c>
      <c r="D6" s="84">
        <f>总成本费用!D12</f>
        <v>61.559853200000006</v>
      </c>
      <c r="E6" s="84">
        <f>总成本费用!E12</f>
        <v>227.54062800000003</v>
      </c>
      <c r="F6" s="84">
        <f>总成本费用!F12</f>
        <v>296.66270400000002</v>
      </c>
      <c r="G6" s="84">
        <f>总成本费用!G12</f>
        <v>365.78478000000007</v>
      </c>
      <c r="H6" s="84">
        <f>总成本费用!H12</f>
        <v>365.78478000000007</v>
      </c>
      <c r="I6" s="84">
        <f t="shared" si="0"/>
        <v>1317.3327452000003</v>
      </c>
    </row>
    <row r="7" spans="2:9">
      <c r="B7" s="81">
        <v>5</v>
      </c>
      <c r="C7" s="19" t="s">
        <v>172</v>
      </c>
      <c r="D7" s="85">
        <f>D3-D5-D6-D4</f>
        <v>51.932146799999984</v>
      </c>
      <c r="E7" s="85">
        <f t="shared" ref="E7:H7" si="1">E3-E5-E6-E4</f>
        <v>161.51337199999995</v>
      </c>
      <c r="F7" s="85">
        <f t="shared" si="1"/>
        <v>189.6772959999999</v>
      </c>
      <c r="G7" s="85">
        <f t="shared" si="1"/>
        <v>242.14021999999994</v>
      </c>
      <c r="H7" s="85">
        <f t="shared" si="1"/>
        <v>242.14021999999994</v>
      </c>
      <c r="I7" s="84">
        <f t="shared" si="0"/>
        <v>887.40325479999979</v>
      </c>
    </row>
    <row r="8" spans="2:9">
      <c r="B8" s="81">
        <v>6</v>
      </c>
      <c r="C8" s="19" t="s">
        <v>173</v>
      </c>
      <c r="D8" s="84">
        <f>D7*0.25</f>
        <v>12.983036699999996</v>
      </c>
      <c r="E8" s="84">
        <f t="shared" ref="E8:H8" si="2">E7*0.25</f>
        <v>40.378342999999987</v>
      </c>
      <c r="F8" s="84">
        <f t="shared" si="2"/>
        <v>47.419323999999975</v>
      </c>
      <c r="G8" s="84">
        <f t="shared" si="2"/>
        <v>60.535054999999986</v>
      </c>
      <c r="H8" s="84">
        <f t="shared" si="2"/>
        <v>60.535054999999986</v>
      </c>
      <c r="I8" s="84">
        <f t="shared" si="0"/>
        <v>221.85081369999995</v>
      </c>
    </row>
    <row r="9" spans="2:9">
      <c r="B9" s="81">
        <v>7</v>
      </c>
      <c r="C9" s="19" t="s">
        <v>174</v>
      </c>
      <c r="D9" s="85">
        <f>D7-D8</f>
        <v>38.949110099999984</v>
      </c>
      <c r="E9" s="85">
        <f t="shared" ref="E9:H9" si="3">E7-E8</f>
        <v>121.13502899999996</v>
      </c>
      <c r="F9" s="85">
        <f t="shared" si="3"/>
        <v>142.25797199999994</v>
      </c>
      <c r="G9" s="85">
        <f t="shared" si="3"/>
        <v>181.60516499999994</v>
      </c>
      <c r="H9" s="85">
        <f t="shared" si="3"/>
        <v>181.60516499999994</v>
      </c>
      <c r="I9" s="84">
        <f t="shared" si="0"/>
        <v>665.55244109999978</v>
      </c>
    </row>
    <row r="11" spans="2:9">
      <c r="D11" s="74">
        <f>D9+E9/3</f>
        <v>79.327453099999971</v>
      </c>
    </row>
    <row r="12" spans="2:9">
      <c r="D12" s="74">
        <f>D4+E4/3</f>
        <v>50.913333333333341</v>
      </c>
    </row>
    <row r="13" spans="2:9">
      <c r="D13" s="74">
        <f>D5+E5/3</f>
        <v>5.910000000000001</v>
      </c>
    </row>
    <row r="14" spans="2:9">
      <c r="D14" s="74">
        <f>D8+E8/3</f>
        <v>26.442484366666658</v>
      </c>
    </row>
  </sheetData>
  <mergeCells count="1">
    <mergeCell ref="B1:I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F8" sqref="F8"/>
    </sheetView>
  </sheetViews>
  <sheetFormatPr defaultColWidth="16.69921875" defaultRowHeight="19.95" customHeight="1"/>
  <cols>
    <col min="1" max="1" width="0.296875" customWidth="1"/>
    <col min="2" max="2" width="15.296875" customWidth="1"/>
    <col min="3" max="3" width="12.59765625" customWidth="1"/>
    <col min="4" max="4" width="13.3984375" customWidth="1"/>
    <col min="5" max="5" width="11.69921875" customWidth="1"/>
  </cols>
  <sheetData>
    <row r="1" spans="2:5" ht="19.95" customHeight="1">
      <c r="B1" s="95" t="s">
        <v>184</v>
      </c>
      <c r="C1" s="95"/>
      <c r="D1" s="95"/>
      <c r="E1" s="95"/>
    </row>
    <row r="2" spans="2:5" ht="19.95" customHeight="1">
      <c r="B2" s="14" t="s">
        <v>177</v>
      </c>
      <c r="C2" s="14" t="s">
        <v>178</v>
      </c>
      <c r="D2" s="14" t="s">
        <v>140</v>
      </c>
      <c r="E2" s="14" t="s">
        <v>21</v>
      </c>
    </row>
    <row r="3" spans="2:5" ht="19.95" customHeight="1">
      <c r="B3" s="14" t="s">
        <v>179</v>
      </c>
      <c r="C3" s="14">
        <v>140</v>
      </c>
      <c r="D3" s="14">
        <v>61.56</v>
      </c>
      <c r="E3" s="14">
        <v>38.950000000000003</v>
      </c>
    </row>
    <row r="4" spans="2:5" ht="19.95" customHeight="1">
      <c r="B4" s="14" t="s">
        <v>180</v>
      </c>
      <c r="C4" s="14">
        <v>480</v>
      </c>
      <c r="D4" s="14">
        <v>227.54</v>
      </c>
      <c r="E4" s="14">
        <v>121.14</v>
      </c>
    </row>
    <row r="5" spans="2:5" ht="19.95" customHeight="1">
      <c r="B5" s="14" t="s">
        <v>181</v>
      </c>
      <c r="C5" s="14">
        <v>600</v>
      </c>
      <c r="D5" s="14">
        <v>296.66000000000003</v>
      </c>
      <c r="E5" s="14">
        <v>142.26</v>
      </c>
    </row>
    <row r="6" spans="2:5" ht="19.95" customHeight="1">
      <c r="B6" s="14" t="s">
        <v>182</v>
      </c>
      <c r="C6" s="14">
        <v>750</v>
      </c>
      <c r="D6" s="14">
        <v>365.78</v>
      </c>
      <c r="E6" s="14">
        <v>181.61</v>
      </c>
    </row>
    <row r="7" spans="2:5" ht="19.95" customHeight="1">
      <c r="B7" s="14" t="s">
        <v>183</v>
      </c>
      <c r="C7" s="14">
        <v>750</v>
      </c>
      <c r="D7" s="14">
        <v>365.78</v>
      </c>
      <c r="E7" s="14">
        <v>181.61</v>
      </c>
    </row>
  </sheetData>
  <mergeCells count="1">
    <mergeCell ref="B1:E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近三年财务</vt:lpstr>
      <vt:lpstr>项目已完成投资明细</vt:lpstr>
      <vt:lpstr>项目拟新增固定资产和流动资金情况</vt:lpstr>
      <vt:lpstr>总收入</vt:lpstr>
      <vt:lpstr>应收账款</vt:lpstr>
      <vt:lpstr>应付帐款</vt:lpstr>
      <vt:lpstr>其他应付款</vt:lpstr>
      <vt:lpstr>销售收入、销售税金</vt:lpstr>
      <vt:lpstr>总成本费用</vt:lpstr>
      <vt:lpstr>单位生产成本</vt:lpstr>
      <vt:lpstr>损益表</vt:lpstr>
      <vt:lpstr>本项目经济效益预测表</vt:lpstr>
    </vt:vector>
  </TitlesOfParts>
  <Company>MC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liuan</cp:lastModifiedBy>
  <dcterms:created xsi:type="dcterms:W3CDTF">2009-08-09T07:56:46Z</dcterms:created>
  <dcterms:modified xsi:type="dcterms:W3CDTF">2011-05-23T15:29:21Z</dcterms:modified>
</cp:coreProperties>
</file>