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uc43/Documents/GitHub/Weight-Loss-Medication-project/"/>
    </mc:Choice>
  </mc:AlternateContent>
  <xr:revisionPtr revIDLastSave="0" documentId="13_ncr:1_{92EC661D-D736-3742-995C-237AF5A0C611}" xr6:coauthVersionLast="47" xr6:coauthVersionMax="47" xr10:uidLastSave="{00000000-0000-0000-0000-000000000000}"/>
  <bookViews>
    <workbookView xWindow="0" yWindow="760" windowWidth="30240" windowHeight="17340" activeTab="1" xr2:uid="{96DC594E-6D50-554A-B2BF-BCE2D1A92884}"/>
  </bookViews>
  <sheets>
    <sheet name="Tradeoffs" sheetId="13" r:id="rId1"/>
    <sheet name="Result Tables" sheetId="15" r:id="rId2"/>
    <sheet name="Tornado diagram" sheetId="16" r:id="rId3"/>
    <sheet name="CEA result lifetime" sheetId="11" r:id="rId4"/>
    <sheet name="CEA result 2yr pp" sheetId="18" r:id="rId5"/>
    <sheet name="Parameters" sheetId="1" r:id="rId6"/>
    <sheet name="final report parameters" sheetId="19" r:id="rId7"/>
    <sheet name="Sensitivty Analysis inputs" sheetId="14" r:id="rId8"/>
    <sheet name="Baseline clinical char" sheetId="8" r:id="rId9"/>
    <sheet name="Prevalence conversion" sheetId="10" r:id="rId10"/>
    <sheet name="archive" sheetId="9" state="hidden" r:id="rId11"/>
    <sheet name="Utility Q" sheetId="6" r:id="rId12"/>
    <sheet name="age dist starting cohort" sheetId="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9" l="1"/>
  <c r="B17" i="19"/>
  <c r="G97" i="15"/>
  <c r="G94" i="15"/>
  <c r="G95" i="15"/>
  <c r="G96" i="15"/>
  <c r="G93" i="15"/>
  <c r="F94" i="15"/>
  <c r="F95" i="15"/>
  <c r="F96" i="15"/>
  <c r="F97" i="15"/>
  <c r="F93" i="15"/>
  <c r="E94" i="15"/>
  <c r="E95" i="15"/>
  <c r="E96" i="15"/>
  <c r="E97" i="15"/>
  <c r="E93" i="15"/>
  <c r="D94" i="15"/>
  <c r="D95" i="15"/>
  <c r="D96" i="15"/>
  <c r="D97" i="15"/>
  <c r="D93" i="15"/>
  <c r="C94" i="15"/>
  <c r="C95" i="15"/>
  <c r="C96" i="15"/>
  <c r="C97" i="15"/>
  <c r="C93" i="15"/>
  <c r="B94" i="15"/>
  <c r="B95" i="15"/>
  <c r="B96" i="15"/>
  <c r="B97" i="15"/>
  <c r="B93" i="15"/>
  <c r="D27" i="18"/>
  <c r="C27" i="18"/>
  <c r="B27" i="18"/>
  <c r="D26" i="18"/>
  <c r="C26" i="18"/>
  <c r="B26" i="18"/>
  <c r="D25" i="18"/>
  <c r="C25" i="18"/>
  <c r="C33" i="18" s="1"/>
  <c r="B25" i="18"/>
  <c r="D24" i="18"/>
  <c r="C24" i="18"/>
  <c r="B24" i="18"/>
  <c r="D23" i="18"/>
  <c r="C23" i="18"/>
  <c r="B23" i="18"/>
  <c r="C13" i="16"/>
  <c r="B13" i="16"/>
  <c r="C12" i="16"/>
  <c r="B12" i="16"/>
  <c r="C11" i="16"/>
  <c r="B11" i="16"/>
  <c r="B10" i="16"/>
  <c r="C10" i="16"/>
  <c r="F5" i="16"/>
  <c r="D5" i="16"/>
  <c r="E43" i="14"/>
  <c r="D43" i="14"/>
  <c r="D33" i="18" l="1"/>
  <c r="C32" i="18"/>
  <c r="C34" i="18"/>
  <c r="C35" i="18"/>
  <c r="B34" i="18"/>
  <c r="B32" i="18"/>
  <c r="B35" i="18"/>
  <c r="B33" i="18"/>
  <c r="D34" i="18"/>
  <c r="D32" i="18"/>
  <c r="D35" i="18"/>
  <c r="F6" i="16"/>
  <c r="D6" i="16"/>
  <c r="E37" i="14"/>
  <c r="D37" i="14"/>
  <c r="B22" i="10"/>
  <c r="E22" i="10" s="1"/>
  <c r="H36" i="15"/>
  <c r="H37" i="15"/>
  <c r="H38" i="15"/>
  <c r="H39" i="15"/>
  <c r="H35" i="15"/>
  <c r="G36" i="15"/>
  <c r="G37" i="15"/>
  <c r="G38" i="15"/>
  <c r="G39" i="15"/>
  <c r="G35" i="15"/>
  <c r="F36" i="15"/>
  <c r="F37" i="15"/>
  <c r="F38" i="15"/>
  <c r="F39" i="15"/>
  <c r="F35" i="15"/>
  <c r="E36" i="15"/>
  <c r="E37" i="15"/>
  <c r="E38" i="15"/>
  <c r="E39" i="15"/>
  <c r="E35" i="15"/>
  <c r="D35" i="15"/>
  <c r="C36" i="15"/>
  <c r="C37" i="15"/>
  <c r="C38" i="15"/>
  <c r="C39" i="15"/>
  <c r="B36" i="15"/>
  <c r="B37" i="15"/>
  <c r="B38" i="15"/>
  <c r="B39" i="15"/>
  <c r="B35" i="15"/>
  <c r="D23" i="11"/>
  <c r="D24" i="11"/>
  <c r="D27" i="11"/>
  <c r="C27" i="11"/>
  <c r="D26" i="11"/>
  <c r="C26" i="11"/>
  <c r="D25" i="11"/>
  <c r="C25" i="11"/>
  <c r="C33" i="11" s="1"/>
  <c r="C24" i="11"/>
  <c r="B27" i="11"/>
  <c r="B26" i="11"/>
  <c r="B25" i="11"/>
  <c r="B24" i="11"/>
  <c r="C23" i="11"/>
  <c r="B23" i="11"/>
  <c r="B34" i="11" s="1"/>
  <c r="D38" i="15" s="1"/>
  <c r="C44" i="14"/>
  <c r="C17" i="14"/>
  <c r="D4" i="8"/>
  <c r="E4" i="8"/>
  <c r="F4" i="8"/>
  <c r="D5" i="8"/>
  <c r="E5" i="8"/>
  <c r="F5" i="8"/>
  <c r="D6" i="8"/>
  <c r="E6" i="8"/>
  <c r="F6" i="8"/>
  <c r="D7" i="8"/>
  <c r="E7" i="8"/>
  <c r="F7" i="8"/>
  <c r="D8" i="8"/>
  <c r="E8" i="8"/>
  <c r="F8" i="8"/>
  <c r="D9" i="8"/>
  <c r="E9" i="8"/>
  <c r="F9" i="8"/>
  <c r="D116" i="8"/>
  <c r="E116" i="8"/>
  <c r="F116" i="8"/>
  <c r="E114" i="8"/>
  <c r="D114" i="8"/>
  <c r="E113" i="8"/>
  <c r="D113" i="8"/>
  <c r="F112" i="8"/>
  <c r="E112" i="8"/>
  <c r="D112" i="8"/>
  <c r="E111" i="8"/>
  <c r="D111" i="8"/>
  <c r="F114" i="8"/>
  <c r="F113" i="8"/>
  <c r="F111" i="8"/>
  <c r="E101" i="8"/>
  <c r="D101" i="8"/>
  <c r="E100" i="8"/>
  <c r="D100" i="8"/>
  <c r="E99" i="8"/>
  <c r="D99" i="8"/>
  <c r="E98" i="8"/>
  <c r="D98" i="8"/>
  <c r="E97" i="8"/>
  <c r="D97" i="8"/>
  <c r="E96" i="8"/>
  <c r="D96" i="8"/>
  <c r="F101" i="8"/>
  <c r="F100" i="8"/>
  <c r="F99" i="8"/>
  <c r="F98" i="8"/>
  <c r="F97" i="8"/>
  <c r="F96" i="8"/>
  <c r="E81" i="8"/>
  <c r="D81" i="8"/>
  <c r="E82" i="8"/>
  <c r="D82" i="8"/>
  <c r="E83" i="8"/>
  <c r="D83" i="8"/>
  <c r="E84" i="8"/>
  <c r="D84" i="8"/>
  <c r="E85" i="8"/>
  <c r="D85" i="8"/>
  <c r="E86" i="8"/>
  <c r="D86" i="8"/>
  <c r="F86" i="8"/>
  <c r="F85" i="8"/>
  <c r="F84" i="8"/>
  <c r="F83" i="8"/>
  <c r="F82" i="8"/>
  <c r="F81" i="8"/>
  <c r="F71" i="8"/>
  <c r="E71" i="8"/>
  <c r="D71" i="8"/>
  <c r="E70" i="8"/>
  <c r="D70" i="8"/>
  <c r="E69" i="8"/>
  <c r="D69" i="8"/>
  <c r="E68" i="8"/>
  <c r="D68" i="8"/>
  <c r="E67" i="8"/>
  <c r="D67" i="8"/>
  <c r="E66" i="8"/>
  <c r="D66" i="8"/>
  <c r="F66" i="8"/>
  <c r="F67" i="8"/>
  <c r="F68" i="8"/>
  <c r="F69" i="8"/>
  <c r="F70" i="8"/>
  <c r="B6" i="10"/>
  <c r="B10" i="10"/>
  <c r="E10" i="10" s="1"/>
  <c r="C33" i="10"/>
  <c r="B33" i="10"/>
  <c r="C49" i="1"/>
  <c r="D30" i="10"/>
  <c r="C30" i="10"/>
  <c r="B30" i="10"/>
  <c r="E24" i="10"/>
  <c r="E23" i="10"/>
  <c r="E11" i="10"/>
  <c r="C17" i="1"/>
  <c r="B24" i="10"/>
  <c r="B23" i="10"/>
  <c r="B20" i="9"/>
  <c r="B19" i="9"/>
  <c r="B18" i="9"/>
  <c r="B7" i="10"/>
  <c r="B11" i="10" s="1"/>
  <c r="E57" i="8"/>
  <c r="D57" i="8"/>
  <c r="E56" i="8"/>
  <c r="D56" i="8"/>
  <c r="E55" i="8"/>
  <c r="D55" i="8"/>
  <c r="E52" i="8"/>
  <c r="D52" i="8"/>
  <c r="F57" i="8"/>
  <c r="F56" i="8"/>
  <c r="F55" i="8"/>
  <c r="F52" i="8"/>
  <c r="E38" i="8"/>
  <c r="D38" i="8"/>
  <c r="E37" i="8"/>
  <c r="D37" i="8"/>
  <c r="E36" i="8"/>
  <c r="D36" i="8"/>
  <c r="E35" i="8"/>
  <c r="D35" i="8"/>
  <c r="E34" i="8"/>
  <c r="D34" i="8"/>
  <c r="E33" i="8"/>
  <c r="D33" i="8"/>
  <c r="F38" i="8"/>
  <c r="F37" i="8"/>
  <c r="F36" i="8"/>
  <c r="F35" i="8"/>
  <c r="F34" i="8"/>
  <c r="F33" i="8"/>
  <c r="E23" i="8"/>
  <c r="D23" i="8"/>
  <c r="E22" i="8"/>
  <c r="D22" i="8"/>
  <c r="E21" i="8"/>
  <c r="D21" i="8"/>
  <c r="E20" i="8"/>
  <c r="D20" i="8"/>
  <c r="F20" i="8"/>
  <c r="E19" i="8"/>
  <c r="D19" i="8"/>
  <c r="E18" i="8"/>
  <c r="D18" i="8"/>
  <c r="F23" i="8"/>
  <c r="F22" i="8"/>
  <c r="F21" i="8"/>
  <c r="F19" i="8"/>
  <c r="F18" i="8"/>
  <c r="C35" i="15" l="1"/>
  <c r="B32" i="11"/>
  <c r="D36" i="15" s="1"/>
  <c r="B33" i="11"/>
  <c r="D37" i="15" s="1"/>
  <c r="C34" i="11"/>
  <c r="D34" i="11"/>
  <c r="D35" i="11"/>
  <c r="D32" i="11"/>
  <c r="C35" i="11"/>
  <c r="C32" i="11"/>
  <c r="B35" i="11"/>
  <c r="D39" i="15" s="1"/>
  <c r="D33" i="11"/>
  <c r="E13" i="8"/>
  <c r="D13" i="8"/>
  <c r="D61" i="8"/>
  <c r="E61" i="8"/>
  <c r="D27" i="8"/>
  <c r="E120" i="8"/>
  <c r="D42" i="8"/>
  <c r="D105" i="8"/>
  <c r="D120" i="8"/>
  <c r="E105" i="8"/>
  <c r="E90" i="8"/>
  <c r="D90" i="8"/>
  <c r="E75" i="8"/>
  <c r="D75" i="8"/>
  <c r="E42" i="8"/>
  <c r="E27" i="8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D3" i="5"/>
  <c r="E3" i="5" s="1"/>
  <c r="D2" i="5"/>
  <c r="E2" i="5" s="1"/>
  <c r="E26" i="5" l="1"/>
  <c r="H4" i="5" s="1"/>
  <c r="H9" i="5" l="1"/>
  <c r="H23" i="5"/>
  <c r="H21" i="5"/>
  <c r="H5" i="5"/>
  <c r="H19" i="5"/>
  <c r="H11" i="5"/>
  <c r="H22" i="5"/>
  <c r="H15" i="5"/>
  <c r="H17" i="5"/>
  <c r="H16" i="5"/>
  <c r="H3" i="5"/>
  <c r="H8" i="5"/>
  <c r="H14" i="5"/>
  <c r="H10" i="5"/>
  <c r="H7" i="5"/>
  <c r="H6" i="5"/>
  <c r="H18" i="5"/>
  <c r="H20" i="5"/>
  <c r="H12" i="5"/>
  <c r="H13" i="5"/>
  <c r="H2" i="5"/>
  <c r="H24" i="5"/>
</calcChain>
</file>

<file path=xl/sharedStrings.xml><?xml version="1.0" encoding="utf-8"?>
<sst xmlns="http://schemas.openxmlformats.org/spreadsheetml/2006/main" count="900" uniqueCount="303">
  <si>
    <t>p_healthy</t>
  </si>
  <si>
    <t>p_htn</t>
  </si>
  <si>
    <t>p_cvd</t>
  </si>
  <si>
    <t>Absolute diff in % weight change SEM vs. LST</t>
  </si>
  <si>
    <t>Absolute diff in % weight change LIR vs. LST</t>
  </si>
  <si>
    <t>Absolute diff in % weight change P/T vs. LST</t>
  </si>
  <si>
    <t>Absolute diff in % weight change B/N vs. LST</t>
  </si>
  <si>
    <t>Absolute diff in % weight change Met vs. LST</t>
  </si>
  <si>
    <t>Var name</t>
  </si>
  <si>
    <t>Parameter</t>
  </si>
  <si>
    <t>Input</t>
  </si>
  <si>
    <t>Source</t>
  </si>
  <si>
    <t>Absolute diff in HbA1C change SEM vs. LST</t>
  </si>
  <si>
    <t>Absolute diff in HbA1C change LIR vs. LST</t>
  </si>
  <si>
    <t>Absolute diff in HbA1C change P/T vs. LST</t>
  </si>
  <si>
    <t>Absolute diff in HbA1C change B/N vs. LST</t>
  </si>
  <si>
    <t>Absolute diff in HbA1C change Met vs. LST</t>
  </si>
  <si>
    <t>AGE</t>
  </si>
  <si>
    <t>POPESTIMATE2021</t>
  </si>
  <si>
    <t>SEX (2=F)</t>
  </si>
  <si>
    <t>Source: NC-EST2023-AGESEX-RES: Annual Estimates of the Resident Population by Single Year of Age and Sex for the United States: April 1, 2020 to July 1, 2023</t>
  </si>
  <si>
    <t>https://www2.census.gov/programs-surveys/popest/technical-documentation/file-layouts/2020-2023/NC-EST2023-AGESEX-RES.pdf</t>
  </si>
  <si>
    <t>Starting cohort N</t>
  </si>
  <si>
    <t>Birth Rate 2021 ( https://www.cdc.gov/nchs/data/vsrr/vsrr020.pdf)</t>
  </si>
  <si>
    <t>Utility Normal BMI</t>
  </si>
  <si>
    <t>u_bmi_normal</t>
  </si>
  <si>
    <t>Disutility per BMI increase</t>
  </si>
  <si>
    <t>ICER Report</t>
  </si>
  <si>
    <t>disu_bmi</t>
  </si>
  <si>
    <t>0.9442- 0.0007×Age</t>
  </si>
  <si>
    <t>Mean EQ5D</t>
  </si>
  <si>
    <t>disutility of condition b1</t>
  </si>
  <si>
    <t>CCC101 - Coronary atherosclerosis and other heart disease</t>
  </si>
  <si>
    <t>_x0004_0.0264</t>
  </si>
  <si>
    <t>Sullivan 2005</t>
  </si>
  <si>
    <t>ICER REPORT 2022</t>
  </si>
  <si>
    <t>% distribution age</t>
  </si>
  <si>
    <t>Source/note</t>
  </si>
  <si>
    <t>CONQUER</t>
  </si>
  <si>
    <t>Rubino DM, Greenway FL, Khalid U, et al. Effect of Weekly Subcutaneous Semaglutide vs Daily Liraglutide on Body Weight in Adults With Overweight or Obesity Without Diabetes: The STEP 8 Randomized Clinical Trial. JAMA. 2022;327(2):138–150. doi:10.1001/jama.2021.23619</t>
  </si>
  <si>
    <t>Duration assessed</t>
  </si>
  <si>
    <t xml:space="preserve">Mean starting BMI </t>
  </si>
  <si>
    <t>EQUIP</t>
  </si>
  <si>
    <t>Pi-Sunyer X, Astrup A, Fujioka K, et al. A Randomized, Controlled Trial of 3.0 mg of Liraglutide in Weight Management. New England Journal of Medicine. 2015;373(1):11-22.</t>
  </si>
  <si>
    <t>average SD</t>
  </si>
  <si>
    <t>N</t>
  </si>
  <si>
    <t>COR-I</t>
  </si>
  <si>
    <t>SCALE</t>
  </si>
  <si>
    <t>STEP 1</t>
  </si>
  <si>
    <t>STEP 8</t>
  </si>
  <si>
    <t>https://www.statology.org/averaging-standard-deviations/</t>
  </si>
  <si>
    <t>Gadde KM, Allison DB, Ryan DH, et al. Effects of low-dose, controlled-release, phentermine plus topiramate combination on weight and associated comorbidities in overweight and obese adults (CONQUER): a randomised, placebo-controlled, phase 3 trial. Lancet. 2011;377(9774):1341- 1352.</t>
  </si>
  <si>
    <t>56weeks</t>
  </si>
  <si>
    <t>68 weeks</t>
  </si>
  <si>
    <t>56 weeks</t>
  </si>
  <si>
    <t>Allison DB, Gadde KM, Garvey WT, et al. Controlled-release phentermine/topiramate in severely obese adults: a randomized controlled trial (EQUIP). Obesity (Silver Spring). 2012;20(2):330-342.</t>
  </si>
  <si>
    <t>Wilding JPH, Batterham RL, Calanna S, et al. Once-Weekly Semaglutide in Adults with Overweight or Obesity. N Engl J Med. 2021;384(11):989-1002.</t>
  </si>
  <si>
    <t>Greenway FL, Fujioka K, Plodkowski RA, et al. Effect of naltrexone plus bupropion on weight loss in overweight and obese adults (COR-I): a multicentre, randomised, double-blind, placebocontrolled, phase 3 trial. Lancet. 2010;376(9741):595-605.</t>
  </si>
  <si>
    <t>Avg starting BMI</t>
  </si>
  <si>
    <t>Mean BMI (SD)</t>
  </si>
  <si>
    <t>RCT</t>
  </si>
  <si>
    <t>37.92 kg/m^2 (5.76)</t>
  </si>
  <si>
    <t>Mean Age</t>
  </si>
  <si>
    <t>Mean systolic BP</t>
  </si>
  <si>
    <t>Calculated from RCT</t>
  </si>
  <si>
    <t>Age distribution</t>
  </si>
  <si>
    <t>Prevalence of Smoking 3m pp</t>
  </si>
  <si>
    <t>Allen H, Daw J. Perinatal Smoking Patterns From Preconception to 1-Year Post Partum. JAMA Netw Open. 2025;8(1):e2454974. doi:10.1001/jamanetworkopen.2024.54974</t>
  </si>
  <si>
    <t>Diagnosis of T2DM</t>
  </si>
  <si>
    <t xml:space="preserve">Mean starting SBP </t>
  </si>
  <si>
    <t>124.11mmHg (12.71)</t>
  </si>
  <si>
    <t>Assumption</t>
  </si>
  <si>
    <t xml:space="preserve">Mean starting DBP </t>
  </si>
  <si>
    <t>htn risk</t>
  </si>
  <si>
    <t>1-exp(-exp((ln(4)-(22.9495-0.1564*(age_initial+t)-0.2029*1-0.0593*SBP-0.1285*DBP-0.1907*smoke-0.1661*0-0.0339*BMI+0.0016*(age_initial+t)*DBP))/0.8769))</t>
  </si>
  <si>
    <t xml:space="preserve">Mean starting HbA1c </t>
  </si>
  <si>
    <t>1-0.94833^exp((2.72107*log(age_initial+1)+0.51125*BMI+2.88267*log(SBP)+0.61868*smoke+0.77763*n_t2dm)-29.4016)</t>
  </si>
  <si>
    <t>https://www-ahajournals-org.proxy.library.vanderbilt.edu/doi/epub/10.1161/CIR.0000000000001303</t>
  </si>
  <si>
    <t>Prevalence of CVD excluding HTN overall, 2017-2020 NHANES (4year)</t>
  </si>
  <si>
    <t>Age-adjusted prevalence of HTN among women in US in 2017-2020 (4year)</t>
  </si>
  <si>
    <t>Conversion to annual rate</t>
  </si>
  <si>
    <t>Age-adjusted annual rate of HTN among women in US</t>
  </si>
  <si>
    <t>Annual rate of CVD excluding HTN overall</t>
  </si>
  <si>
    <t>Conversion to annual probability</t>
  </si>
  <si>
    <t>1-p_htn-p_cvd</t>
  </si>
  <si>
    <t>18.8 (18.6–18.9)</t>
  </si>
  <si>
    <t>Age-adjusted mortality rate attributable primarily to HBP, female, 2022</t>
  </si>
  <si>
    <t>Age-adjusted mortality rate attributable to diabetes, female, 2022</t>
  </si>
  <si>
    <t>27.6 (27.4–27.8)</t>
  </si>
  <si>
    <t>mortality rate per 100,000</t>
  </si>
  <si>
    <t>Age-adjusted mortality rate attributable to CVD (include htn), female, 2022</t>
  </si>
  <si>
    <t>183.1 (182.6–183.7)</t>
  </si>
  <si>
    <t>conversion to probability of mortality</t>
  </si>
  <si>
    <t>p_die_cvd</t>
  </si>
  <si>
    <t>p_die_htn</t>
  </si>
  <si>
    <t>p_die_t2dm</t>
  </si>
  <si>
    <t>probability of starting healthy</t>
  </si>
  <si>
    <t>Starting Prevalence conversion</t>
  </si>
  <si>
    <t>Annual Mortality Rate conversion to probability</t>
  </si>
  <si>
    <t>per 100,000</t>
  </si>
  <si>
    <t>conversion to annual probability of mortality</t>
  </si>
  <si>
    <t>Martin SS, Aday AW, Allen NB, et al. 2025 Heart Disease and Stroke Statistics: A Report of US and Global Data From the American Heart Association. Circulation. 2025;151(8):e41-e660. doi:10.1161/CIR.0000000000001303</t>
  </si>
  <si>
    <t>&lt;- probability</t>
  </si>
  <si>
    <t>&lt;- rate</t>
  </si>
  <si>
    <t>Mean systolic BP (SD)</t>
  </si>
  <si>
    <t>Annual Costs</t>
  </si>
  <si>
    <t>-3.17kg (2.22-4.05)</t>
  </si>
  <si>
    <t>Mean (95% CI) diff in kg weight change LST</t>
  </si>
  <si>
    <t>Finkelstein EA, Verghese NR. Incremental cost-effectiveness of evidence-based non-surgical weight loss strategies. Clin Obes. 2019; 9:e12294. https://doi-org.proxy.library.vanderbilt.edu/10.1111/cob.12294</t>
  </si>
  <si>
    <t>$9089 (95% CI, $8900–$9278)</t>
  </si>
  <si>
    <t>Trends in Healthcare Expenditures Among US Adults With Hypertension: National Estimates, 2003–2014. Elizabeth B. Kirkland , MD, MSCR kirklane@musc.edu , Marc Heincelman , MD , Kinfe G. Bishu , PhD , Samuel O. Schumann , MD, MSCR , Andrew Schreiner , MD, MSCR , R. Neal Axon , MD, MSCR , Patrick D. Mauldin , PhD , and William P. Moran , MD, MS</t>
  </si>
  <si>
    <t>unadjusted mean annual medical expenditure attributable to patients with HTN, 2016 dollars</t>
  </si>
  <si>
    <t>Adjusted for inflation to 2021 dollars Mean &amp; 95%CI</t>
  </si>
  <si>
    <t>10200.69 (9988.58, 10412.81)</t>
  </si>
  <si>
    <t>https://diabetesjournals.org/care/article/47/1/26/153797/Economic-Costs-of-Diabetes-in-the-U-S-in-2022</t>
  </si>
  <si>
    <t>unadjusted mean annual medical expenditure attributable to patients with HTN, 2021 dollars</t>
  </si>
  <si>
    <t>Average annual medical expenditure attributable to patients with T2DM, 2021 dollars</t>
  </si>
  <si>
    <t>Average annual per capita cost  of Coronary Heart Disease, 2021 dollars</t>
  </si>
  <si>
    <t>Inflation adjustment:https://meps.ahrq.gov/about_meps/Price_Index.shtml</t>
  </si>
  <si>
    <t>Forecasting the Economic Burden of Cardiovascular Disease and Stroke in the United States Through 2050: A Presidential Advisory From the American Heart Association</t>
  </si>
  <si>
    <t>Average annual per capita cost  of Coronary Heart Disease, 2022 dollars</t>
  </si>
  <si>
    <t>13000 (730)</t>
  </si>
  <si>
    <t>Adjusted for inflation to 2021 dollars Mean &amp; SD</t>
  </si>
  <si>
    <t>12143.29 (681.89)</t>
  </si>
  <si>
    <t>Avg starting HbA1C</t>
  </si>
  <si>
    <t>https://www.framinghamheartstudy.org/fhs-risk-functions/hypertension/</t>
  </si>
  <si>
    <t>https://www.ahajournals.org/doi/pdf/10.1161/CIRCULATIONAHA.107.699579</t>
  </si>
  <si>
    <t>converted from 2017-2020 values in Amua</t>
  </si>
  <si>
    <t>Age-adjusted mortality rate attributable to CVD (include htn), female, 2022 (per 100,000)</t>
  </si>
  <si>
    <t>Age-adjusted mortality rate attributable primarily to HBP, female, 2022 (per 100,000)</t>
  </si>
  <si>
    <t>Age-adjusted mortality rate attributable to diabetes, female, 2022 (per 100,000)</t>
  </si>
  <si>
    <t>ICER report</t>
  </si>
  <si>
    <t>c_cvd</t>
  </si>
  <si>
    <t>c_t2dm</t>
  </si>
  <si>
    <t>c_htn</t>
  </si>
  <si>
    <t>Sullivan PW, Lawrence WF, Ghushchyan V. A National Catalog of Preference-Based Scores for Chronic Conditions in the United States. Medical Care. 2005; 43 (7): 736-749. doi: 10.1097/01.mlr.0000172050.67085.4f.</t>
  </si>
  <si>
    <t>-0.02 (0.0001)</t>
  </si>
  <si>
    <t>-0.024 (0.0001)</t>
  </si>
  <si>
    <t>Disutility of HTN, additive beta (SD)</t>
  </si>
  <si>
    <t>Disutility of T2DM, additive beta (SD)</t>
  </si>
  <si>
    <t>multiplicative proportion of Other CVD</t>
  </si>
  <si>
    <t>multiplicative proportion of MI</t>
  </si>
  <si>
    <t>multiplicative proportion of Stroke</t>
  </si>
  <si>
    <t>Disutility of MI, additive beta (SD)</t>
  </si>
  <si>
    <t>-0.012 (0.0002)</t>
  </si>
  <si>
    <t>Disutility of Other CVD (Heart Disease), additive beta (SD)</t>
  </si>
  <si>
    <t>-0.014 (0.0001)</t>
  </si>
  <si>
    <t>Disutility of Stroke, additive beta (SD)</t>
  </si>
  <si>
    <t>-0.04 (0.0002)</t>
  </si>
  <si>
    <t>10yr Risk of CVD (log = natural log)</t>
  </si>
  <si>
    <t>1-exp(-exp((log(4)-(22.9495-0.1564*(age_initial+t)-0.2029*1-0.0593*SBP-0.1285*DBP-0.1907*smoke-0.1661*0-0.0339*BMI+0.0016*(age_initial+t)*DBP))/0.8769))</t>
  </si>
  <si>
    <t>4yr Risk of HTN (log = natural log)</t>
  </si>
  <si>
    <t>Avg starting SBP</t>
  </si>
  <si>
    <t>Avg starting HDL-C</t>
  </si>
  <si>
    <t>Mean starting HDL-C mg/dL</t>
  </si>
  <si>
    <t>HDL Cholestrol mg/dL</t>
  </si>
  <si>
    <t>Triglyceride level mg/dL</t>
  </si>
  <si>
    <t>Mean starting Triglyceride mg/dL</t>
  </si>
  <si>
    <t>Avg starting Triglyceride</t>
  </si>
  <si>
    <t>Waist Circumference cm</t>
  </si>
  <si>
    <t>Avg starting circumference</t>
  </si>
  <si>
    <t xml:space="preserve">Mean starting circumference </t>
  </si>
  <si>
    <t>Fasting Glucose mg/dl</t>
  </si>
  <si>
    <t xml:space="preserve">Mean starting mg/dL </t>
  </si>
  <si>
    <t>Avg starting mg/dL</t>
  </si>
  <si>
    <t>log normal</t>
  </si>
  <si>
    <t>normal</t>
  </si>
  <si>
    <t>Normal</t>
  </si>
  <si>
    <t>Avg starting DBP</t>
  </si>
  <si>
    <t>Systolic Blood Pressure</t>
  </si>
  <si>
    <t>Dystolic  Blood Pressure</t>
  </si>
  <si>
    <t>BMI</t>
  </si>
  <si>
    <t>HbA1c</t>
  </si>
  <si>
    <t>7year Risk of diabetes</t>
  </si>
  <si>
    <t>1/(1+exp(-(-5.517-0.018*if((age_initial+t&gt;=50) &amp; (age_initial+t&lt;=64),1,0)-0.081*if(age_initial+t&gt;=65,1,0)+0.301*if((BMI&gt;=25) &amp; (BMI&lt;=29.9),1,0)+0.92*if(BMI&gt;=30,1,0)+0.498*if(SBP&gt;130,1,0)+0.944*if(hdlc&lt;50,1,0)+0.575*if(triglyceride&gt;=150,1,0)+1.98*if((fglucose&gt;=100) &amp; (fglucose&lt;=126),1,0))))</t>
  </si>
  <si>
    <t>https://www.framinghamheartstudy.org/fhs-risk-functions/diabetes/</t>
  </si>
  <si>
    <t>*equation assumes sample has no parental history of diabetes</t>
  </si>
  <si>
    <t>Cost of Life Style Therapy</t>
  </si>
  <si>
    <t xml:space="preserve">Cost of Semaglutide </t>
  </si>
  <si>
    <t xml:space="preserve">Cost of Liraglutide </t>
  </si>
  <si>
    <t xml:space="preserve">Cost of Phentermine/Topiramate </t>
  </si>
  <si>
    <t xml:space="preserve">Cost of Bupropion/Naltrexone </t>
  </si>
  <si>
    <t>delta_pct_bmi_sem</t>
  </si>
  <si>
    <t>delta_pct_bmi_lir</t>
  </si>
  <si>
    <t>delta_pct_bmi_pt</t>
  </si>
  <si>
    <t>delta_pct_bmi_bn</t>
  </si>
  <si>
    <t>delta_pct_bmi_met</t>
  </si>
  <si>
    <t>c_tx_lst</t>
  </si>
  <si>
    <t>c_tx_sem</t>
  </si>
  <si>
    <t>c_tx_lir</t>
  </si>
  <si>
    <t>c_tx_pt</t>
  </si>
  <si>
    <t>c_tx_bn</t>
  </si>
  <si>
    <t xml:space="preserve">Strategy              </t>
  </si>
  <si>
    <t xml:space="preserve">Cost               </t>
  </si>
  <si>
    <t xml:space="preserve">QALE        </t>
  </si>
  <si>
    <t xml:space="preserve">ICER       </t>
  </si>
  <si>
    <t xml:space="preserve">Notes             </t>
  </si>
  <si>
    <t xml:space="preserve">Lifestyle Therapy     </t>
  </si>
  <si>
    <t xml:space="preserve">Baseline          </t>
  </si>
  <si>
    <t>Phentermine/Topiramate</t>
  </si>
  <si>
    <t xml:space="preserve">                  </t>
  </si>
  <si>
    <t xml:space="preserve">Bupropion/Naltrexone  </t>
  </si>
  <si>
    <t>Strongly Dominated</t>
  </si>
  <si>
    <t xml:space="preserve">Liraglutide           </t>
  </si>
  <si>
    <t xml:space="preserve">Semaglutide           </t>
  </si>
  <si>
    <t>#HTN events</t>
  </si>
  <si>
    <t>#CVD events</t>
  </si>
  <si>
    <t>#T2DM events</t>
  </si>
  <si>
    <t>Strategy</t>
  </si>
  <si>
    <t>Route</t>
  </si>
  <si>
    <t>Dose (Maintenance dose)</t>
  </si>
  <si>
    <t>Frequency</t>
  </si>
  <si>
    <t>Difference in % weight loss at 1 yr compared to placebo *</t>
  </si>
  <si>
    <t>Semaglutide</t>
  </si>
  <si>
    <t>Subcutaneous</t>
  </si>
  <si>
    <t>2.4mg</t>
  </si>
  <si>
    <t>Weekly</t>
  </si>
  <si>
    <t>-13.7 (-12.6 to -15.1)</t>
  </si>
  <si>
    <t>Liraglutide</t>
  </si>
  <si>
    <t>3mg</t>
  </si>
  <si>
    <t>Daily</t>
  </si>
  <si>
    <t>-9.1 (-7.1 to -11)</t>
  </si>
  <si>
    <t>Oral</t>
  </si>
  <si>
    <t>32mg/360mg</t>
  </si>
  <si>
    <t>-5.0 (-3.9 to -6.1)</t>
  </si>
  <si>
    <t>15mg/92mg</t>
  </si>
  <si>
    <t>-4.6 (-3.0 to -6.0)</t>
  </si>
  <si>
    <t>Bupropion/Naltrexone</t>
  </si>
  <si>
    <t>*among participants with obesity alone</t>
  </si>
  <si>
    <t>Source: ICER report 2022</t>
  </si>
  <si>
    <t>Annual Cost 
(net price, ICER report, US FSS database)</t>
  </si>
  <si>
    <t>95% CI lower</t>
  </si>
  <si>
    <t>95% CI Upper</t>
  </si>
  <si>
    <t>why still on market? Why still being prescribed&gt;/</t>
  </si>
  <si>
    <t>n</t>
  </si>
  <si>
    <t>Mechanism of Action</t>
  </si>
  <si>
    <t>GLP-1 receptor agonist</t>
  </si>
  <si>
    <t>Opioid antagonist/NE and DA
inhibitor</t>
  </si>
  <si>
    <t>Individual level</t>
  </si>
  <si>
    <t>Events averted</t>
  </si>
  <si>
    <t>Ref</t>
  </si>
  <si>
    <t>Common side-effects</t>
  </si>
  <si>
    <t>GI side effects: Nausea, vomiting, diarrhea, constipation, abdominal pain, headache, fatigue, GERD</t>
  </si>
  <si>
    <t>GI side effects similar to Semaglutide</t>
  </si>
  <si>
    <t>Combination opioid antagonist/aminoketone antidepressant</t>
  </si>
  <si>
    <t>Blurred vision, discouragement, dizziness, fear or nervousness, feeling sad or empty, headache, irritability, loss of interest or pleasure, insomnia, trouble concentrating, fatigue</t>
  </si>
  <si>
    <t xml:space="preserve">dysgeusia (taste disorder), insomnia, constipation, dry mouth, Paresthesia (tingling), dizziness, </t>
  </si>
  <si>
    <t xml:space="preserve">         ---</t>
  </si>
  <si>
    <t>Life Expectancy</t>
  </si>
  <si>
    <t>51.56 (14.1)</t>
  </si>
  <si>
    <t>Population level (events per 100,000 population)</t>
  </si>
  <si>
    <t>51.35 (14.17)</t>
  </si>
  <si>
    <t>51.27 (14.25)</t>
  </si>
  <si>
    <t>51.23 (14.1)</t>
  </si>
  <si>
    <t>51.35 (14.25)</t>
  </si>
  <si>
    <t>Figure 1. Cost-effectiveness plane</t>
  </si>
  <si>
    <t>#HTN events per 100,000 people</t>
  </si>
  <si>
    <t>#CVD events per 100,000 people</t>
  </si>
  <si>
    <t>#T2DM events per 100,000 people</t>
  </si>
  <si>
    <t>Incremental HTN events</t>
  </si>
  <si>
    <t>Incremental CVD events</t>
  </si>
  <si>
    <t>Incremental T2DM events</t>
  </si>
  <si>
    <t>Table 2. Estimated Health Outcomes over lifetime</t>
  </si>
  <si>
    <t xml:space="preserve">        ---</t>
  </si>
  <si>
    <t>Lower Bound</t>
  </si>
  <si>
    <t>Lower Bound ICER</t>
  </si>
  <si>
    <t xml:space="preserve">Tornado diagram </t>
  </si>
  <si>
    <t>Upper Bound</t>
  </si>
  <si>
    <t>Upper Bound ICER</t>
  </si>
  <si>
    <t>Mean Input</t>
  </si>
  <si>
    <t xml:space="preserve">Utility </t>
  </si>
  <si>
    <t>Effectiveness (delta_pct_bmi_pt)</t>
  </si>
  <si>
    <t>Cost (c_htn)</t>
  </si>
  <si>
    <t xml:space="preserve">Disutility of HTN </t>
  </si>
  <si>
    <t>Cost of HTN</t>
  </si>
  <si>
    <t>Cost (c_cvd)</t>
  </si>
  <si>
    <t>Cost of CVD</t>
  </si>
  <si>
    <t>Figure 2. Tornado Diagram of one way sensitivity analysis by Incremental Cost Effectiveness Ratio for Phentermine/Topiramate</t>
  </si>
  <si>
    <t>Figure 3. Cost effectiveness acceptability curve with second-order uncertainty</t>
  </si>
  <si>
    <t>Table 1. Estimated Lifetime Cost-effectiveness of weight loss medications</t>
  </si>
  <si>
    <t>Table 1. Estimated 2 yr postpartum Cost-effectiveness of weight loss medications</t>
  </si>
  <si>
    <t xml:space="preserve">4yr Risk of HTN </t>
  </si>
  <si>
    <t>(log = natural log)</t>
  </si>
  <si>
    <t>10yr Risk of CVD</t>
  </si>
  <si>
    <t>Table 2. Estimated Health Outcomes over 2 yr postpartum</t>
  </si>
  <si>
    <t>CONQUER, EQUIP, COR-I, SCALE, STEP 1, STEP 8</t>
  </si>
  <si>
    <t>2021 birth rate, National population by age distribution</t>
  </si>
  <si>
    <t>Allen et al. 2025</t>
  </si>
  <si>
    <t>Martin et al. 2025</t>
  </si>
  <si>
    <t>Framingham Heart Study: Parikh et al. 2008</t>
  </si>
  <si>
    <t>Framingham Heart Study: Agostino et al. 2008</t>
  </si>
  <si>
    <t>Framingham Heart Study: Wilson et al. 2007</t>
  </si>
  <si>
    <t>Sullivan et al. 2005</t>
  </si>
  <si>
    <t>Kazi et al. 2024</t>
  </si>
  <si>
    <t>Parker et al. 2024</t>
  </si>
  <si>
    <t>Kirkland et al. 2018</t>
  </si>
  <si>
    <t>Starting Prevalence</t>
  </si>
  <si>
    <t xml:space="preserve">Disease Attributable Mortality Rate </t>
  </si>
  <si>
    <t>Absolute difference in % weight change</t>
  </si>
  <si>
    <t>Transition Probability</t>
  </si>
  <si>
    <t>Utility Input</t>
  </si>
  <si>
    <t>Cost Input</t>
  </si>
  <si>
    <t>fks;fkjas;dlkfjasl/dkfjl;askjfsd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</si>
</sst>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0.0"/>
    <numFmt numFmtId="165" formatCode="0.0000"/>
    <numFmt numFmtId="166" formatCode="0.00000"/>
  </numFmts>
  <fonts count="1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color theme="1"/>
      <name val="Aptos Narrow"/>
      <family val="2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Aptos Narrow"/>
      <scheme val="minor"/>
    </font>
    <font>
      <sz val="9"/>
      <color theme="1"/>
      <name val="Aptos Narrow"/>
      <scheme val="minor"/>
    </font>
    <font>
      <u/>
      <sz val="9"/>
      <color theme="10"/>
      <name val="Aptos Narrow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1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0" xfId="0" quotePrefix="1"/>
    <xf numFmtId="165" fontId="0" fillId="0" borderId="0" xfId="0" applyNumberFormat="1"/>
    <xf numFmtId="166" fontId="0" fillId="0" borderId="0" xfId="0" applyNumberFormat="1"/>
    <xf numFmtId="11" fontId="0" fillId="0" borderId="0" xfId="0" applyNumberFormat="1"/>
    <xf numFmtId="0" fontId="4" fillId="0" borderId="0" xfId="0" applyFont="1"/>
    <xf numFmtId="0" fontId="5" fillId="0" borderId="0" xfId="2"/>
    <xf numFmtId="0" fontId="0" fillId="0" borderId="0" xfId="0" quotePrefix="1" applyAlignment="1">
      <alignment horizontal="right"/>
    </xf>
    <xf numFmtId="6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 wrapText="1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wrapText="1"/>
    </xf>
    <xf numFmtId="0" fontId="6" fillId="0" borderId="0" xfId="0" applyFont="1"/>
    <xf numFmtId="2" fontId="6" fillId="0" borderId="0" xfId="0" applyNumberFormat="1" applyFont="1"/>
    <xf numFmtId="0" fontId="0" fillId="0" borderId="0" xfId="0" applyAlignment="1">
      <alignment horizontal="left" wrapText="1"/>
    </xf>
    <xf numFmtId="0" fontId="8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0" xfId="0" applyFont="1"/>
    <xf numFmtId="0" fontId="9" fillId="0" borderId="0" xfId="0" applyFont="1"/>
    <xf numFmtId="0" fontId="9" fillId="0" borderId="2" xfId="0" applyFont="1" applyBorder="1" applyAlignment="1">
      <alignment vertical="center"/>
    </xf>
    <xf numFmtId="0" fontId="2" fillId="0" borderId="3" xfId="0" applyFont="1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9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7" fillId="0" borderId="0" xfId="0" applyFont="1"/>
    <xf numFmtId="0" fontId="0" fillId="0" borderId="1" xfId="0" applyBorder="1" applyAlignment="1">
      <alignment horizontal="right"/>
    </xf>
    <xf numFmtId="44" fontId="0" fillId="0" borderId="1" xfId="3" applyFont="1" applyBorder="1"/>
    <xf numFmtId="0" fontId="2" fillId="0" borderId="1" xfId="0" applyFont="1" applyBorder="1" applyAlignment="1">
      <alignment wrapText="1"/>
    </xf>
    <xf numFmtId="0" fontId="0" fillId="0" borderId="1" xfId="3" applyNumberFormat="1" applyFont="1" applyBorder="1"/>
    <xf numFmtId="0" fontId="0" fillId="0" borderId="1" xfId="0" quotePrefix="1" applyBorder="1" applyAlignment="1">
      <alignment horizontal="right"/>
    </xf>
    <xf numFmtId="1" fontId="0" fillId="0" borderId="1" xfId="0" applyNumberFormat="1" applyBorder="1"/>
    <xf numFmtId="1" fontId="0" fillId="0" borderId="1" xfId="0" quotePrefix="1" applyNumberFormat="1" applyBorder="1" applyAlignment="1">
      <alignment horizontal="right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6" fontId="11" fillId="0" borderId="1" xfId="0" applyNumberFormat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/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/>
    <xf numFmtId="9" fontId="13" fillId="0" borderId="1" xfId="0" applyNumberFormat="1" applyFont="1" applyBorder="1" applyAlignment="1">
      <alignment horizontal="center" vertical="center" wrapText="1"/>
    </xf>
    <xf numFmtId="0" fontId="14" fillId="0" borderId="0" xfId="2" applyFont="1"/>
    <xf numFmtId="0" fontId="13" fillId="0" borderId="1" xfId="0" quotePrefix="1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6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right" wrapText="1"/>
    </xf>
    <xf numFmtId="9" fontId="13" fillId="0" borderId="1" xfId="0" applyNumberFormat="1" applyFont="1" applyBorder="1" applyAlignment="1">
      <alignment horizontal="right" wrapText="1"/>
    </xf>
    <xf numFmtId="0" fontId="13" fillId="0" borderId="1" xfId="0" quotePrefix="1" applyFont="1" applyBorder="1" applyAlignment="1">
      <alignment horizontal="right" wrapText="1"/>
    </xf>
    <xf numFmtId="0" fontId="13" fillId="0" borderId="1" xfId="1" applyNumberFormat="1" applyFont="1" applyBorder="1" applyAlignment="1">
      <alignment horizontal="right" wrapText="1"/>
    </xf>
    <xf numFmtId="0" fontId="13" fillId="0" borderId="1" xfId="0" quotePrefix="1" applyFont="1" applyBorder="1" applyAlignment="1">
      <alignment horizontal="right" vertical="center" wrapText="1"/>
    </xf>
    <xf numFmtId="6" fontId="13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left" wrapText="1"/>
    </xf>
    <xf numFmtId="0" fontId="13" fillId="0" borderId="1" xfId="0" quotePrefix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3" fillId="0" borderId="1" xfId="0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3" fillId="0" borderId="1" xfId="0" applyFont="1" applyBorder="1" applyAlignment="1">
      <alignment horizontal="center" vertical="center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'Tornado diagram'!$C$9</c:f>
              <c:strCache>
                <c:ptCount val="1"/>
                <c:pt idx="0">
                  <c:v>Upper Bound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'Tornado diagram'!$A$10:$A$13</c:f>
              <c:strCache>
                <c:ptCount val="4"/>
                <c:pt idx="0">
                  <c:v>Cost of CVD</c:v>
                </c:pt>
                <c:pt idx="1">
                  <c:v>Cost of HTN</c:v>
                </c:pt>
                <c:pt idx="2">
                  <c:v>Disutility of HTN </c:v>
                </c:pt>
                <c:pt idx="3">
                  <c:v>Effectiveness (delta_pct_bmi_pt)</c:v>
                </c:pt>
              </c:strCache>
            </c:strRef>
          </c:cat>
          <c:val>
            <c:numRef>
              <c:f>'Tornado diagram'!$C$10:$C$13</c:f>
              <c:numCache>
                <c:formatCode>0</c:formatCode>
                <c:ptCount val="4"/>
                <c:pt idx="0">
                  <c:v>112650.7877</c:v>
                </c:pt>
                <c:pt idx="1">
                  <c:v>112384.9011</c:v>
                </c:pt>
                <c:pt idx="2">
                  <c:v>113719.37480000001</c:v>
                </c:pt>
                <c:pt idx="3">
                  <c:v>146007.89670000001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0-9348-951D-42DD42A3988F}"/>
            </c:ext>
          </c:extLst>
        </c:ser>
        <c:ser>
          <c:idx val="1"/>
          <c:order val="1"/>
          <c:tx>
            <c:strRef>
              <c:f>'Tornado diagram'!$B$9</c:f>
              <c:strCache>
                <c:ptCount val="1"/>
                <c:pt idx="0">
                  <c:v>Lower Bound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'Tornado diagram'!$A$10:$A$13</c:f>
              <c:strCache>
                <c:ptCount val="4"/>
                <c:pt idx="0">
                  <c:v>Cost of CVD</c:v>
                </c:pt>
                <c:pt idx="1">
                  <c:v>Cost of HTN</c:v>
                </c:pt>
                <c:pt idx="2">
                  <c:v>Disutility of HTN </c:v>
                </c:pt>
                <c:pt idx="3">
                  <c:v>Effectiveness (delta_pct_bmi_pt)</c:v>
                </c:pt>
              </c:strCache>
            </c:strRef>
          </c:cat>
          <c:val>
            <c:numRef>
              <c:f>'Tornado diagram'!$B$10:$B$13</c:f>
              <c:numCache>
                <c:formatCode>0</c:formatCode>
                <c:ptCount val="4"/>
                <c:pt idx="0">
                  <c:v>113420.6164</c:v>
                </c:pt>
                <c:pt idx="1">
                  <c:v>113686.3052</c:v>
                </c:pt>
                <c:pt idx="2">
                  <c:v>112360.0355</c:v>
                </c:pt>
                <c:pt idx="3">
                  <c:v>84499.624500000005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0-9348-951D-42DD42A398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-2114384576"/>
        <c:axId val="-2114750368"/>
      </c:barChart>
      <c:catAx>
        <c:axId val="-211438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750368"/>
        <c:crossesAt val="113035.6185"/>
        <c:auto val="1"/>
        <c:lblAlgn val="ctr"/>
        <c:lblOffset val="100"/>
        <c:noMultiLvlLbl val="0"/>
      </c:catAx>
      <c:valAx>
        <c:axId val="-2114750368"/>
        <c:scaling>
          <c:orientation val="minMax"/>
          <c:max val="150000"/>
          <c:min val="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3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'Tornado diagram'!$C$9</c:f>
              <c:strCache>
                <c:ptCount val="1"/>
                <c:pt idx="0">
                  <c:v>Upper Bound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'Tornado diagram'!$A$10:$A$13</c:f>
              <c:strCache>
                <c:ptCount val="4"/>
                <c:pt idx="0">
                  <c:v>Cost of CVD</c:v>
                </c:pt>
                <c:pt idx="1">
                  <c:v>Cost of HTN</c:v>
                </c:pt>
                <c:pt idx="2">
                  <c:v>Disutility of HTN </c:v>
                </c:pt>
                <c:pt idx="3">
                  <c:v>Effectiveness (delta_pct_bmi_pt)</c:v>
                </c:pt>
              </c:strCache>
            </c:strRef>
          </c:cat>
          <c:val>
            <c:numRef>
              <c:f>'Tornado diagram'!$C$10:$C$13</c:f>
              <c:numCache>
                <c:formatCode>0</c:formatCode>
                <c:ptCount val="4"/>
                <c:pt idx="0">
                  <c:v>112650.7877</c:v>
                </c:pt>
                <c:pt idx="1">
                  <c:v>112384.9011</c:v>
                </c:pt>
                <c:pt idx="2">
                  <c:v>113719.37480000001</c:v>
                </c:pt>
                <c:pt idx="3">
                  <c:v>146007.89670000001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7-5B4C-9B97-B3FF13B2F0E2}"/>
            </c:ext>
          </c:extLst>
        </c:ser>
        <c:ser>
          <c:idx val="1"/>
          <c:order val="1"/>
          <c:tx>
            <c:strRef>
              <c:f>'Tornado diagram'!$B$9</c:f>
              <c:strCache>
                <c:ptCount val="1"/>
                <c:pt idx="0">
                  <c:v>Lower Bound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'Tornado diagram'!$A$10:$A$13</c:f>
              <c:strCache>
                <c:ptCount val="4"/>
                <c:pt idx="0">
                  <c:v>Cost of CVD</c:v>
                </c:pt>
                <c:pt idx="1">
                  <c:v>Cost of HTN</c:v>
                </c:pt>
                <c:pt idx="2">
                  <c:v>Disutility of HTN </c:v>
                </c:pt>
                <c:pt idx="3">
                  <c:v>Effectiveness (delta_pct_bmi_pt)</c:v>
                </c:pt>
              </c:strCache>
            </c:strRef>
          </c:cat>
          <c:val>
            <c:numRef>
              <c:f>'Tornado diagram'!$B$10:$B$13</c:f>
              <c:numCache>
                <c:formatCode>0</c:formatCode>
                <c:ptCount val="4"/>
                <c:pt idx="0">
                  <c:v>113420.6164</c:v>
                </c:pt>
                <c:pt idx="1">
                  <c:v>113686.3052</c:v>
                </c:pt>
                <c:pt idx="2">
                  <c:v>112360.0355</c:v>
                </c:pt>
                <c:pt idx="3">
                  <c:v>84499.624500000005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7-5B4C-9B97-B3FF13B2F0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-2114384576"/>
        <c:axId val="-2114750368"/>
      </c:barChart>
      <c:catAx>
        <c:axId val="-211438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750368"/>
        <c:crossesAt val="113035.6185"/>
        <c:auto val="1"/>
        <c:lblAlgn val="ctr"/>
        <c:lblOffset val="100"/>
        <c:noMultiLvlLbl val="0"/>
      </c:catAx>
      <c:valAx>
        <c:axId val="-2114750368"/>
        <c:scaling>
          <c:orientation val="minMax"/>
          <c:max val="150000"/>
          <c:min val="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3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chart" Target="../charts/chart1.xml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if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if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</xdr:col>
      <xdr:colOff>706738</xdr:colOff>
      <xdr:row>18</xdr:row>
      <xdr:rowOff>186765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A3C843-F323-589E-8A90-357FF57C9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3412"/>
          <a:ext cx="3881738" cy="341405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44</xdr:row>
      <xdr:rowOff>0</xdr:rowOff>
    </xdr:from>
    <xdr:to>
      <xdr:col>4</xdr:col>
      <xdr:colOff>1187107</xdr:colOff>
      <xdr:row>61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F405EE-75B2-3340-A7D7-B8D2EE28D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64</xdr:row>
      <xdr:rowOff>0</xdr:rowOff>
    </xdr:from>
    <xdr:to>
      <xdr:col>2</xdr:col>
      <xdr:colOff>396875</xdr:colOff>
      <xdr:row>80</xdr:row>
      <xdr:rowOff>78709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25D0BD-528F-D14A-99DA-83381A397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866813"/>
          <a:ext cx="3571875" cy="33807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74706</xdr:rowOff>
    </xdr:from>
    <xdr:to>
      <xdr:col>4</xdr:col>
      <xdr:colOff>1202048</xdr:colOff>
      <xdr:row>34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1D620B-66CF-5747-B272-C7156DCB4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41</xdr:row>
      <xdr:rowOff>0</xdr:rowOff>
    </xdr:from>
    <xdr:to>
      <xdr:col>3</xdr:col>
      <xdr:colOff>1022595</xdr:colOff>
      <xdr:row>64</xdr:row>
      <xdr:rowOff>84667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A2D8EDF-70E7-4441-9F74-E80A850B8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244417"/>
          <a:ext cx="5023095" cy="47095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119945</xdr:colOff>
      <xdr:row>19</xdr:row>
      <xdr:rowOff>52705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3325B8-4307-2346-828A-938988A6B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8111" y="204611"/>
          <a:ext cx="4247445" cy="37357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119945</xdr:colOff>
      <xdr:row>19</xdr:row>
      <xdr:rowOff>52705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9D61D7-0169-3D4A-95E0-F216845BD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50400" y="203200"/>
          <a:ext cx="4247445" cy="37103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2</xdr:row>
      <xdr:rowOff>0</xdr:rowOff>
    </xdr:from>
    <xdr:ext cx="4902200" cy="520700"/>
    <xdr:pic>
      <xdr:nvPicPr>
        <xdr:cNvPr id="3" name="Picture 2">
          <a:extLst>
            <a:ext uri="{FF2B5EF4-FFF2-40B4-BE49-F238E27FC236}">
              <a16:creationId xmlns:a16="http://schemas.microsoft.com/office/drawing/2014/main" id="{17D17478-CEDB-ED4B-96A0-5E20A0C4B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6200" y="406400"/>
          <a:ext cx="4902200" cy="52070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0</xdr:row>
      <xdr:rowOff>0</xdr:rowOff>
    </xdr:from>
    <xdr:to>
      <xdr:col>14</xdr:col>
      <xdr:colOff>83671</xdr:colOff>
      <xdr:row>24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73AC8C-A74E-2C47-EE36-E991B92C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8300" y="0"/>
          <a:ext cx="6649570" cy="4914900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cer.org/wp-content/uploads/2022/03/ICER_Obesity_Final_Evidence_Report_and_Meeting_Summary_102022.pdf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-ahajournals-org.proxy.library.vanderbilt.edu/doi/epub/10.1161/CIR.0000000000001303" TargetMode="External"/><Relationship Id="rId1" Type="http://schemas.openxmlformats.org/officeDocument/2006/relationships/hyperlink" Target="https://www-ahajournals-org.proxy.library.vanderbilt.edu/doi/abs/10.1161/CIR.0000000000001258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61/CIR.0000000000001303" TargetMode="External"/><Relationship Id="rId7" Type="http://schemas.openxmlformats.org/officeDocument/2006/relationships/hyperlink" Target="https://doi.org/10.1161/CIR.0000000000001303" TargetMode="External"/><Relationship Id="rId2" Type="http://schemas.openxmlformats.org/officeDocument/2006/relationships/hyperlink" Target="https://doi.org/10.1161/CIR.0000000000001303" TargetMode="External"/><Relationship Id="rId1" Type="http://schemas.openxmlformats.org/officeDocument/2006/relationships/hyperlink" Target="https://doi.org/10.1161/CIR.0000000000001303" TargetMode="External"/><Relationship Id="rId6" Type="http://schemas.openxmlformats.org/officeDocument/2006/relationships/hyperlink" Target="https://doi.org/10.1161/CIR.0000000000001303" TargetMode="External"/><Relationship Id="rId5" Type="http://schemas.openxmlformats.org/officeDocument/2006/relationships/hyperlink" Target="https://www-ahajournals-org.proxy.library.vanderbilt.edu/doi/abs/10.1161/CIR.0000000000001258" TargetMode="External"/><Relationship Id="rId4" Type="http://schemas.openxmlformats.org/officeDocument/2006/relationships/hyperlink" Target="https://doi-org.proxy.library.vanderbilt.edu/10.1111/cob.12294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ajournals.org/doi/pdf/10.1161/CIRCULATIONAHA.107.699579" TargetMode="External"/><Relationship Id="rId3" Type="http://schemas.openxmlformats.org/officeDocument/2006/relationships/hyperlink" Target="https://doi.org/10.1161/CIR.0000000000001303" TargetMode="External"/><Relationship Id="rId7" Type="http://schemas.openxmlformats.org/officeDocument/2006/relationships/hyperlink" Target="https://www.framinghamheartstudy.org/fhs-risk-functions/hypertension/" TargetMode="External"/><Relationship Id="rId2" Type="http://schemas.openxmlformats.org/officeDocument/2006/relationships/hyperlink" Target="https://doi.org/10.1161/CIR.0000000000001303" TargetMode="External"/><Relationship Id="rId1" Type="http://schemas.openxmlformats.org/officeDocument/2006/relationships/hyperlink" Target="https://doi.org/10.1161/CIR.0000000000001303" TargetMode="External"/><Relationship Id="rId6" Type="http://schemas.openxmlformats.org/officeDocument/2006/relationships/hyperlink" Target="https://doi.org/10.1161/CIR.0000000000001303" TargetMode="External"/><Relationship Id="rId5" Type="http://schemas.openxmlformats.org/officeDocument/2006/relationships/hyperlink" Target="https://doi.org/10.1161/CIR.0000000000001303" TargetMode="External"/><Relationship Id="rId10" Type="http://schemas.openxmlformats.org/officeDocument/2006/relationships/hyperlink" Target="https://diabetesjournals.org/care/article/47/1/26/153797/Economic-Costs-of-Diabetes-in-the-U-S-in-2022" TargetMode="External"/><Relationship Id="rId4" Type="http://schemas.openxmlformats.org/officeDocument/2006/relationships/hyperlink" Target="https://www-ahajournals-org.proxy.library.vanderbilt.edu/doi/abs/10.1161/CIR.0000000000001258" TargetMode="External"/><Relationship Id="rId9" Type="http://schemas.openxmlformats.org/officeDocument/2006/relationships/hyperlink" Target="https://www.framinghamheartstudy.org/fhs-risk-functions/diabetes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61/CIR.0000000000001303" TargetMode="External"/><Relationship Id="rId7" Type="http://schemas.openxmlformats.org/officeDocument/2006/relationships/hyperlink" Target="https://doi.org/10.1161/CIR.0000000000001303" TargetMode="External"/><Relationship Id="rId2" Type="http://schemas.openxmlformats.org/officeDocument/2006/relationships/hyperlink" Target="https://doi.org/10.1161/CIR.0000000000001303" TargetMode="External"/><Relationship Id="rId1" Type="http://schemas.openxmlformats.org/officeDocument/2006/relationships/hyperlink" Target="https://doi.org/10.1161/CIR.0000000000001303" TargetMode="External"/><Relationship Id="rId6" Type="http://schemas.openxmlformats.org/officeDocument/2006/relationships/hyperlink" Target="https://doi.org/10.1161/CIR.0000000000001303" TargetMode="External"/><Relationship Id="rId5" Type="http://schemas.openxmlformats.org/officeDocument/2006/relationships/hyperlink" Target="https://www-ahajournals-org.proxy.library.vanderbilt.edu/doi/abs/10.1161/CIR.0000000000001258" TargetMode="External"/><Relationship Id="rId4" Type="http://schemas.openxmlformats.org/officeDocument/2006/relationships/hyperlink" Target="https://doi-org.proxy.library.vanderbilt.edu/10.1111/cob.1229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9AF6A-B798-6841-9079-FBF9B902FB7B}">
  <dimension ref="A1:J7"/>
  <sheetViews>
    <sheetView zoomScale="150" zoomScaleNormal="1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baseColWidth="10" defaultColWidth="11.1640625" defaultRowHeight="16" x14ac:dyDescent="0.2"/>
  <cols>
    <col min="1" max="1" width="11.5" customWidth="1"/>
    <col min="2" max="2" width="16.6640625" customWidth="1"/>
    <col min="3" max="3" width="11.83203125" bestFit="1" customWidth="1"/>
    <col min="4" max="4" width="11.5" hidden="1" customWidth="1"/>
    <col min="5" max="5" width="9" bestFit="1" customWidth="1"/>
    <col min="6" max="6" width="15.6640625" customWidth="1"/>
    <col min="7" max="7" width="17" bestFit="1" customWidth="1"/>
    <col min="8" max="8" width="25" customWidth="1"/>
  </cols>
  <sheetData>
    <row r="1" spans="1:10" s="37" customFormat="1" ht="39" x14ac:dyDescent="0.2">
      <c r="A1" s="45" t="s">
        <v>208</v>
      </c>
      <c r="B1" s="45" t="s">
        <v>235</v>
      </c>
      <c r="C1" s="45" t="s">
        <v>209</v>
      </c>
      <c r="D1" s="45" t="s">
        <v>210</v>
      </c>
      <c r="E1" s="45" t="s">
        <v>211</v>
      </c>
      <c r="F1" s="45" t="s">
        <v>230</v>
      </c>
      <c r="G1" s="45" t="s">
        <v>212</v>
      </c>
      <c r="H1" s="45" t="s">
        <v>241</v>
      </c>
    </row>
    <row r="2" spans="1:10" ht="39" x14ac:dyDescent="0.2">
      <c r="A2" s="46" t="s">
        <v>213</v>
      </c>
      <c r="B2" s="46" t="s">
        <v>236</v>
      </c>
      <c r="C2" s="47" t="s">
        <v>214</v>
      </c>
      <c r="D2" s="47" t="s">
        <v>215</v>
      </c>
      <c r="E2" s="47" t="s">
        <v>216</v>
      </c>
      <c r="F2" s="48">
        <v>13618</v>
      </c>
      <c r="G2" s="47" t="s">
        <v>217</v>
      </c>
      <c r="H2" s="46" t="s">
        <v>242</v>
      </c>
    </row>
    <row r="3" spans="1:10" x14ac:dyDescent="0.2">
      <c r="A3" s="46" t="s">
        <v>218</v>
      </c>
      <c r="B3" s="46" t="s">
        <v>236</v>
      </c>
      <c r="C3" s="47" t="s">
        <v>214</v>
      </c>
      <c r="D3" s="47" t="s">
        <v>219</v>
      </c>
      <c r="E3" s="47" t="s">
        <v>220</v>
      </c>
      <c r="F3" s="48">
        <v>11309</v>
      </c>
      <c r="G3" s="47" t="s">
        <v>224</v>
      </c>
      <c r="H3" s="47" t="s">
        <v>243</v>
      </c>
      <c r="I3" s="36"/>
      <c r="J3" s="30" t="s">
        <v>233</v>
      </c>
    </row>
    <row r="4" spans="1:10" ht="65" x14ac:dyDescent="0.2">
      <c r="A4" s="46" t="s">
        <v>227</v>
      </c>
      <c r="B4" s="46" t="s">
        <v>244</v>
      </c>
      <c r="C4" s="47" t="s">
        <v>222</v>
      </c>
      <c r="D4" s="47" t="s">
        <v>223</v>
      </c>
      <c r="E4" s="47" t="s">
        <v>220</v>
      </c>
      <c r="F4" s="48">
        <v>2034</v>
      </c>
      <c r="G4" s="49" t="s">
        <v>226</v>
      </c>
      <c r="H4" s="50" t="s">
        <v>245</v>
      </c>
      <c r="I4" s="36"/>
    </row>
    <row r="5" spans="1:10" ht="39" x14ac:dyDescent="0.2">
      <c r="A5" s="46" t="s">
        <v>199</v>
      </c>
      <c r="B5" s="46" t="s">
        <v>237</v>
      </c>
      <c r="C5" s="47" t="s">
        <v>222</v>
      </c>
      <c r="D5" s="47" t="s">
        <v>225</v>
      </c>
      <c r="E5" s="47" t="s">
        <v>220</v>
      </c>
      <c r="F5" s="48">
        <v>1355</v>
      </c>
      <c r="G5" s="49" t="s">
        <v>221</v>
      </c>
      <c r="H5" s="46" t="s">
        <v>246</v>
      </c>
    </row>
    <row r="6" spans="1:10" x14ac:dyDescent="0.2">
      <c r="A6" s="29" t="s">
        <v>228</v>
      </c>
      <c r="B6" s="29"/>
    </row>
    <row r="7" spans="1:10" x14ac:dyDescent="0.2">
      <c r="A7" s="14" t="s">
        <v>229</v>
      </c>
      <c r="B7" s="14"/>
    </row>
  </sheetData>
  <hyperlinks>
    <hyperlink ref="A7" r:id="rId1" display="https://icer.org/wp-content/uploads/2022/03/ICER_Obesity_Final_Evidence_Report_and_Meeting_Summary_102022.pdf" xr:uid="{8B0B475C-1445-0A49-8052-8B8940A2628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8B61-6711-E842-AE44-025E593BC187}">
  <dimension ref="A1:F33"/>
  <sheetViews>
    <sheetView topLeftCell="A15" zoomScale="125" workbookViewId="0">
      <selection activeCell="B22" sqref="B22"/>
    </sheetView>
  </sheetViews>
  <sheetFormatPr baseColWidth="10" defaultRowHeight="16" x14ac:dyDescent="0.2"/>
  <cols>
    <col min="1" max="1" width="78.6640625" customWidth="1"/>
    <col min="2" max="2" width="25.6640625" bestFit="1" customWidth="1"/>
    <col min="3" max="3" width="12.5" customWidth="1"/>
  </cols>
  <sheetData>
    <row r="1" spans="1:6" x14ac:dyDescent="0.2">
      <c r="A1" s="4" t="s">
        <v>97</v>
      </c>
    </row>
    <row r="2" spans="1:6" x14ac:dyDescent="0.2">
      <c r="A2" t="s">
        <v>79</v>
      </c>
      <c r="B2" s="5">
        <v>0.46700000000000003</v>
      </c>
      <c r="C2" s="14" t="s">
        <v>77</v>
      </c>
    </row>
    <row r="3" spans="1:6" x14ac:dyDescent="0.2">
      <c r="A3" t="s">
        <v>78</v>
      </c>
      <c r="B3" s="5">
        <v>9.9000000000000005E-2</v>
      </c>
      <c r="C3" t="s">
        <v>77</v>
      </c>
    </row>
    <row r="5" spans="1:6" x14ac:dyDescent="0.2">
      <c r="A5" t="s">
        <v>80</v>
      </c>
    </row>
    <row r="6" spans="1:6" x14ac:dyDescent="0.2">
      <c r="A6" t="s">
        <v>81</v>
      </c>
      <c r="B6">
        <f>-LN(1-B2)/4</f>
        <v>0.15730846370407317</v>
      </c>
    </row>
    <row r="7" spans="1:6" x14ac:dyDescent="0.2">
      <c r="A7" t="s">
        <v>82</v>
      </c>
      <c r="B7">
        <f>-LN(1-B3)/4</f>
        <v>2.6062505343449779E-2</v>
      </c>
    </row>
    <row r="9" spans="1:6" x14ac:dyDescent="0.2">
      <c r="A9" t="s">
        <v>83</v>
      </c>
    </row>
    <row r="10" spans="1:6" x14ac:dyDescent="0.2">
      <c r="A10" s="13" t="s">
        <v>1</v>
      </c>
      <c r="B10" s="13">
        <f>1-EXP(-B6*1)</f>
        <v>0.14555954570388052</v>
      </c>
      <c r="C10" t="s">
        <v>102</v>
      </c>
      <c r="E10">
        <f>-LN(1-B10)/1</f>
        <v>0.15730846370407323</v>
      </c>
      <c r="F10" t="s">
        <v>103</v>
      </c>
    </row>
    <row r="11" spans="1:6" x14ac:dyDescent="0.2">
      <c r="A11" s="13" t="s">
        <v>2</v>
      </c>
      <c r="B11" s="13">
        <f>1-EXP(-B7*1)</f>
        <v>2.5725809637377917E-2</v>
      </c>
      <c r="C11" t="s">
        <v>102</v>
      </c>
      <c r="E11">
        <f>-LN(1-B11)/1</f>
        <v>2.6062505343449834E-2</v>
      </c>
      <c r="F11" t="s">
        <v>103</v>
      </c>
    </row>
    <row r="14" spans="1:6" x14ac:dyDescent="0.2">
      <c r="A14" s="4" t="s">
        <v>98</v>
      </c>
    </row>
    <row r="15" spans="1:6" x14ac:dyDescent="0.2">
      <c r="B15" t="s">
        <v>99</v>
      </c>
    </row>
    <row r="16" spans="1:6" x14ac:dyDescent="0.2">
      <c r="A16" t="s">
        <v>128</v>
      </c>
      <c r="B16" t="s">
        <v>91</v>
      </c>
      <c r="C16" t="s">
        <v>77</v>
      </c>
    </row>
    <row r="17" spans="1:6" x14ac:dyDescent="0.2">
      <c r="A17" t="s">
        <v>129</v>
      </c>
      <c r="B17" t="s">
        <v>88</v>
      </c>
    </row>
    <row r="18" spans="1:6" x14ac:dyDescent="0.2">
      <c r="A18" t="s">
        <v>130</v>
      </c>
      <c r="B18" t="s">
        <v>85</v>
      </c>
    </row>
    <row r="21" spans="1:6" x14ac:dyDescent="0.2">
      <c r="A21" t="s">
        <v>100</v>
      </c>
    </row>
    <row r="22" spans="1:6" x14ac:dyDescent="0.2">
      <c r="A22" t="s">
        <v>93</v>
      </c>
      <c r="B22" s="12">
        <f>1-EXP(-183.1/100000)</f>
        <v>1.8293247421217185E-3</v>
      </c>
      <c r="C22" t="s">
        <v>102</v>
      </c>
      <c r="E22">
        <f>-LN(1-B22)/1</f>
        <v>1.8310000000000012E-3</v>
      </c>
      <c r="F22" t="s">
        <v>103</v>
      </c>
    </row>
    <row r="23" spans="1:6" x14ac:dyDescent="0.2">
      <c r="A23" t="s">
        <v>94</v>
      </c>
      <c r="B23" s="12">
        <f>1-EXP(-27.6/100000)</f>
        <v>2.7596191550383065E-4</v>
      </c>
      <c r="C23" t="s">
        <v>102</v>
      </c>
      <c r="E23">
        <f t="shared" ref="E23" si="0">-LN(1-B23)/1</f>
        <v>2.7599999999997641E-4</v>
      </c>
      <c r="F23" t="s">
        <v>103</v>
      </c>
    </row>
    <row r="24" spans="1:6" x14ac:dyDescent="0.2">
      <c r="A24" t="s">
        <v>95</v>
      </c>
      <c r="B24" s="12">
        <f>1-EXP(-18.8/100000)</f>
        <v>1.8798232910743895E-4</v>
      </c>
      <c r="C24" t="s">
        <v>102</v>
      </c>
      <c r="E24">
        <f>-LN(1-B24)/1</f>
        <v>1.8800000000004566E-4</v>
      </c>
      <c r="F24" t="s">
        <v>103</v>
      </c>
    </row>
    <row r="29" spans="1:6" x14ac:dyDescent="0.2">
      <c r="A29" t="s">
        <v>111</v>
      </c>
      <c r="B29" s="1" t="s">
        <v>109</v>
      </c>
      <c r="C29" t="s">
        <v>110</v>
      </c>
    </row>
    <row r="30" spans="1:6" x14ac:dyDescent="0.2">
      <c r="A30" t="s">
        <v>112</v>
      </c>
      <c r="B30">
        <f>9089*(110.22/98.208)</f>
        <v>10200.692204301075</v>
      </c>
      <c r="C30">
        <f>8900*(110.22/98.208)</f>
        <v>9988.5752688172051</v>
      </c>
      <c r="D30">
        <f>9278*(110.22/98.208)</f>
        <v>10412.809139784946</v>
      </c>
    </row>
    <row r="32" spans="1:6" x14ac:dyDescent="0.2">
      <c r="A32" t="s">
        <v>120</v>
      </c>
      <c r="B32" s="5" t="s">
        <v>121</v>
      </c>
      <c r="C32" s="14" t="s">
        <v>119</v>
      </c>
      <c r="D32" t="s">
        <v>118</v>
      </c>
    </row>
    <row r="33" spans="1:3" x14ac:dyDescent="0.2">
      <c r="A33" t="s">
        <v>122</v>
      </c>
      <c r="B33" s="5">
        <f>13000*(110.22/117.996)</f>
        <v>12143.292992982813</v>
      </c>
      <c r="C33" s="5">
        <f>730*(110.22/117.996)</f>
        <v>681.89260652903488</v>
      </c>
    </row>
  </sheetData>
  <hyperlinks>
    <hyperlink ref="C32" r:id="rId1" display="https://www-ahajournals-org.proxy.library.vanderbilt.edu/doi/abs/10.1161/CIR.0000000000001258" xr:uid="{F67912B8-3B06-D141-ABD3-F8EDB91A5AB0}"/>
    <hyperlink ref="C2" r:id="rId2" xr:uid="{3B832D7F-7C4F-2C45-A33E-13198BF522B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49E22-AEAA-4A47-8083-A15BACD6BB63}">
  <dimension ref="A1:C20"/>
  <sheetViews>
    <sheetView zoomScale="170" zoomScaleNormal="170" workbookViewId="0">
      <selection activeCell="A20" sqref="A20"/>
    </sheetView>
  </sheetViews>
  <sheetFormatPr baseColWidth="10" defaultRowHeight="16" x14ac:dyDescent="0.2"/>
  <cols>
    <col min="1" max="1" width="62.33203125" bestFit="1" customWidth="1"/>
    <col min="2" max="2" width="18.1640625" bestFit="1" customWidth="1"/>
    <col min="3" max="3" width="12.5" customWidth="1"/>
  </cols>
  <sheetData>
    <row r="1" spans="1:3" x14ac:dyDescent="0.2">
      <c r="A1" t="s">
        <v>9</v>
      </c>
      <c r="B1" s="5" t="s">
        <v>10</v>
      </c>
      <c r="C1" t="s">
        <v>37</v>
      </c>
    </row>
    <row r="2" spans="1:3" x14ac:dyDescent="0.2">
      <c r="A2" t="s">
        <v>62</v>
      </c>
      <c r="B2" s="5">
        <v>29</v>
      </c>
      <c r="C2" t="s">
        <v>65</v>
      </c>
    </row>
    <row r="3" spans="1:3" x14ac:dyDescent="0.2">
      <c r="A3" t="s">
        <v>59</v>
      </c>
      <c r="B3" s="5" t="s">
        <v>61</v>
      </c>
      <c r="C3" s="73" t="s">
        <v>64</v>
      </c>
    </row>
    <row r="4" spans="1:3" x14ac:dyDescent="0.2">
      <c r="A4" t="s">
        <v>63</v>
      </c>
      <c r="B4" s="5" t="s">
        <v>70</v>
      </c>
      <c r="C4" s="73"/>
    </row>
    <row r="5" spans="1:3" x14ac:dyDescent="0.2">
      <c r="A5" t="s">
        <v>68</v>
      </c>
      <c r="B5" s="8">
        <v>0</v>
      </c>
      <c r="C5" t="s">
        <v>71</v>
      </c>
    </row>
    <row r="6" spans="1:3" x14ac:dyDescent="0.2">
      <c r="A6" t="s">
        <v>66</v>
      </c>
      <c r="B6" s="5">
        <v>7.0000000000000007E-2</v>
      </c>
      <c r="C6" t="s">
        <v>67</v>
      </c>
    </row>
    <row r="11" spans="1:3" x14ac:dyDescent="0.2">
      <c r="B11" t="s">
        <v>89</v>
      </c>
    </row>
    <row r="12" spans="1:3" x14ac:dyDescent="0.2">
      <c r="A12" t="s">
        <v>90</v>
      </c>
      <c r="B12" t="s">
        <v>91</v>
      </c>
      <c r="C12" t="s">
        <v>77</v>
      </c>
    </row>
    <row r="13" spans="1:3" x14ac:dyDescent="0.2">
      <c r="A13" t="s">
        <v>86</v>
      </c>
      <c r="B13" t="s">
        <v>88</v>
      </c>
    </row>
    <row r="14" spans="1:3" x14ac:dyDescent="0.2">
      <c r="A14" t="s">
        <v>87</v>
      </c>
      <c r="B14" t="s">
        <v>85</v>
      </c>
    </row>
    <row r="17" spans="1:2" x14ac:dyDescent="0.2">
      <c r="A17" t="s">
        <v>92</v>
      </c>
    </row>
    <row r="18" spans="1:2" x14ac:dyDescent="0.2">
      <c r="A18" t="s">
        <v>93</v>
      </c>
      <c r="B18" s="12">
        <f>1-EXP(-183.1/100000)</f>
        <v>1.8293247421217185E-3</v>
      </c>
    </row>
    <row r="19" spans="1:2" x14ac:dyDescent="0.2">
      <c r="A19" t="s">
        <v>94</v>
      </c>
      <c r="B19" s="12">
        <f>1-EXP(-27.6/100000)</f>
        <v>2.7596191550383065E-4</v>
      </c>
    </row>
    <row r="20" spans="1:2" x14ac:dyDescent="0.2">
      <c r="A20" t="s">
        <v>95</v>
      </c>
      <c r="B20" s="12">
        <f>1-EXP(-18.8/100000)</f>
        <v>1.8798232910743895E-4</v>
      </c>
    </row>
  </sheetData>
  <mergeCells count="1">
    <mergeCell ref="C3:C4"/>
  </mergeCells>
  <pageMargins left="0.7" right="0.7" top="0.75" bottom="0.75" header="0.3" footer="0.3"/>
  <ignoredErrors>
    <ignoredError sqref="B19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7602C-F93A-A14D-AE89-C7DD87BF4C66}">
  <dimension ref="A1:E2"/>
  <sheetViews>
    <sheetView zoomScale="140" zoomScaleNormal="140" workbookViewId="0">
      <selection activeCell="E2" sqref="E2"/>
    </sheetView>
  </sheetViews>
  <sheetFormatPr baseColWidth="10" defaultRowHeight="16" x14ac:dyDescent="0.2"/>
  <cols>
    <col min="1" max="1" width="50.1640625" bestFit="1" customWidth="1"/>
    <col min="3" max="3" width="18.1640625" bestFit="1" customWidth="1"/>
  </cols>
  <sheetData>
    <row r="1" spans="1:5" x14ac:dyDescent="0.2">
      <c r="B1" t="s">
        <v>30</v>
      </c>
      <c r="C1" t="s">
        <v>31</v>
      </c>
    </row>
    <row r="2" spans="1:5" x14ac:dyDescent="0.2">
      <c r="A2" t="s">
        <v>32</v>
      </c>
      <c r="B2">
        <v>0.72399999999999998</v>
      </c>
      <c r="C2" t="s">
        <v>33</v>
      </c>
      <c r="E2" t="s">
        <v>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5952-AB92-E844-A8E7-2CB3D4570E4F}">
  <dimension ref="A1:H32"/>
  <sheetViews>
    <sheetView topLeftCell="A8" zoomScale="131" workbookViewId="0">
      <selection activeCell="A31" sqref="A31"/>
    </sheetView>
  </sheetViews>
  <sheetFormatPr baseColWidth="10" defaultRowHeight="16" x14ac:dyDescent="0.2"/>
  <cols>
    <col min="3" max="3" width="16.33203125" bestFit="1" customWidth="1"/>
    <col min="4" max="4" width="13.6640625" bestFit="1" customWidth="1"/>
    <col min="5" max="5" width="26.33203125" bestFit="1" customWidth="1"/>
  </cols>
  <sheetData>
    <row r="1" spans="1:8" x14ac:dyDescent="0.2">
      <c r="A1" t="s">
        <v>19</v>
      </c>
      <c r="B1" t="s">
        <v>17</v>
      </c>
      <c r="C1" t="s">
        <v>18</v>
      </c>
      <c r="D1" t="s">
        <v>23</v>
      </c>
      <c r="E1" s="4" t="s">
        <v>22</v>
      </c>
      <c r="H1" t="s">
        <v>36</v>
      </c>
    </row>
    <row r="2" spans="1:8" x14ac:dyDescent="0.2">
      <c r="A2">
        <v>2</v>
      </c>
      <c r="B2">
        <v>18</v>
      </c>
      <c r="C2">
        <v>2100834</v>
      </c>
      <c r="D2">
        <f>27.3/1000</f>
        <v>2.7300000000000001E-2</v>
      </c>
      <c r="E2" s="3">
        <f>C2*D2</f>
        <v>57352.768200000006</v>
      </c>
      <c r="H2">
        <f>E2/$E$26</f>
        <v>1.6315150381241102E-2</v>
      </c>
    </row>
    <row r="3" spans="1:8" x14ac:dyDescent="0.2">
      <c r="A3">
        <v>2</v>
      </c>
      <c r="B3">
        <v>19</v>
      </c>
      <c r="C3">
        <v>2092222</v>
      </c>
      <c r="D3">
        <f>27.3/1000</f>
        <v>2.7300000000000001E-2</v>
      </c>
      <c r="E3" s="3">
        <f t="shared" ref="E3:E24" si="0">C3*D3</f>
        <v>57117.660600000003</v>
      </c>
      <c r="H3">
        <f t="shared" ref="H3:H24" si="1">E3/$E$26</f>
        <v>1.6248269287788095E-2</v>
      </c>
    </row>
    <row r="4" spans="1:8" x14ac:dyDescent="0.2">
      <c r="A4">
        <v>2</v>
      </c>
      <c r="B4">
        <v>20</v>
      </c>
      <c r="C4">
        <v>2130047</v>
      </c>
      <c r="D4">
        <f>61.5/1000</f>
        <v>6.1499999999999999E-2</v>
      </c>
      <c r="E4" s="3">
        <f t="shared" si="0"/>
        <v>130997.89049999999</v>
      </c>
      <c r="H4">
        <f t="shared" si="1"/>
        <v>3.7264989122754402E-2</v>
      </c>
    </row>
    <row r="5" spans="1:8" x14ac:dyDescent="0.2">
      <c r="A5">
        <v>2</v>
      </c>
      <c r="B5">
        <v>21</v>
      </c>
      <c r="C5">
        <v>2130641</v>
      </c>
      <c r="D5">
        <f>61.5/1000</f>
        <v>6.1499999999999999E-2</v>
      </c>
      <c r="E5" s="3">
        <f t="shared" si="0"/>
        <v>131034.4215</v>
      </c>
      <c r="H5">
        <f t="shared" si="1"/>
        <v>3.7275381101682062E-2</v>
      </c>
    </row>
    <row r="6" spans="1:8" x14ac:dyDescent="0.2">
      <c r="A6">
        <v>2</v>
      </c>
      <c r="B6">
        <v>22</v>
      </c>
      <c r="C6">
        <v>2098649</v>
      </c>
      <c r="D6">
        <f>61.5/1000</f>
        <v>6.1499999999999999E-2</v>
      </c>
      <c r="E6" s="3">
        <f t="shared" si="0"/>
        <v>129066.9135</v>
      </c>
      <c r="H6">
        <f t="shared" si="1"/>
        <v>3.6715683812366305E-2</v>
      </c>
    </row>
    <row r="7" spans="1:8" x14ac:dyDescent="0.2">
      <c r="A7">
        <v>2</v>
      </c>
      <c r="B7">
        <v>23</v>
      </c>
      <c r="C7">
        <v>2096581</v>
      </c>
      <c r="D7">
        <f>61.5/1000</f>
        <v>6.1499999999999999E-2</v>
      </c>
      <c r="E7" s="3">
        <f t="shared" si="0"/>
        <v>128939.73149999999</v>
      </c>
      <c r="H7">
        <f t="shared" si="1"/>
        <v>3.6679504330173723E-2</v>
      </c>
    </row>
    <row r="8" spans="1:8" x14ac:dyDescent="0.2">
      <c r="A8">
        <v>2</v>
      </c>
      <c r="B8">
        <v>24</v>
      </c>
      <c r="C8">
        <v>2103956</v>
      </c>
      <c r="D8">
        <f>61.5/1000</f>
        <v>6.1499999999999999E-2</v>
      </c>
      <c r="E8" s="3">
        <f t="shared" si="0"/>
        <v>129393.29399999999</v>
      </c>
      <c r="H8">
        <f t="shared" si="1"/>
        <v>3.6808529321068442E-2</v>
      </c>
    </row>
    <row r="9" spans="1:8" x14ac:dyDescent="0.2">
      <c r="A9">
        <v>2</v>
      </c>
      <c r="B9">
        <v>25</v>
      </c>
      <c r="C9">
        <v>2116958</v>
      </c>
      <c r="D9">
        <f>92/1000</f>
        <v>9.1999999999999998E-2</v>
      </c>
      <c r="E9" s="3">
        <f t="shared" si="0"/>
        <v>194760.136</v>
      </c>
      <c r="H9">
        <f t="shared" si="1"/>
        <v>5.5403444451543812E-2</v>
      </c>
    </row>
    <row r="10" spans="1:8" x14ac:dyDescent="0.2">
      <c r="A10">
        <v>2</v>
      </c>
      <c r="B10">
        <v>26</v>
      </c>
      <c r="C10">
        <v>2157321</v>
      </c>
      <c r="D10">
        <f>92/1000</f>
        <v>9.1999999999999998E-2</v>
      </c>
      <c r="E10" s="3">
        <f t="shared" si="0"/>
        <v>198473.53200000001</v>
      </c>
      <c r="H10">
        <f t="shared" si="1"/>
        <v>5.645979475627242E-2</v>
      </c>
    </row>
    <row r="11" spans="1:8" x14ac:dyDescent="0.2">
      <c r="A11">
        <v>2</v>
      </c>
      <c r="B11">
        <v>27</v>
      </c>
      <c r="C11">
        <v>2204005</v>
      </c>
      <c r="D11">
        <f>92/1000</f>
        <v>9.1999999999999998E-2</v>
      </c>
      <c r="E11" s="3">
        <f t="shared" si="0"/>
        <v>202768.46</v>
      </c>
      <c r="H11">
        <f t="shared" si="1"/>
        <v>5.7681573554328812E-2</v>
      </c>
    </row>
    <row r="12" spans="1:8" x14ac:dyDescent="0.2">
      <c r="A12">
        <v>2</v>
      </c>
      <c r="B12">
        <v>28</v>
      </c>
      <c r="C12">
        <v>2241931</v>
      </c>
      <c r="D12">
        <f>92/1000</f>
        <v>9.1999999999999998E-2</v>
      </c>
      <c r="E12" s="3">
        <f t="shared" si="0"/>
        <v>206257.652</v>
      </c>
      <c r="H12">
        <f t="shared" si="1"/>
        <v>5.8674144514295548E-2</v>
      </c>
    </row>
    <row r="13" spans="1:8" x14ac:dyDescent="0.2">
      <c r="A13">
        <v>2</v>
      </c>
      <c r="B13">
        <v>29</v>
      </c>
      <c r="C13">
        <v>2300857</v>
      </c>
      <c r="D13">
        <f>92/1000</f>
        <v>9.1999999999999998E-2</v>
      </c>
      <c r="E13" s="3">
        <f t="shared" si="0"/>
        <v>211678.84399999998</v>
      </c>
      <c r="H13">
        <f t="shared" si="1"/>
        <v>6.0216311797610403E-2</v>
      </c>
    </row>
    <row r="14" spans="1:8" x14ac:dyDescent="0.2">
      <c r="A14">
        <v>2</v>
      </c>
      <c r="B14">
        <v>30</v>
      </c>
      <c r="C14">
        <v>2341139</v>
      </c>
      <c r="D14">
        <f>97.3/1000</f>
        <v>9.7299999999999998E-2</v>
      </c>
      <c r="E14" s="3">
        <f t="shared" si="0"/>
        <v>227792.8247</v>
      </c>
      <c r="H14">
        <f t="shared" si="1"/>
        <v>6.4800258250624285E-2</v>
      </c>
    </row>
    <row r="15" spans="1:8" x14ac:dyDescent="0.2">
      <c r="A15">
        <v>2</v>
      </c>
      <c r="B15">
        <v>31</v>
      </c>
      <c r="C15">
        <v>2350965</v>
      </c>
      <c r="D15">
        <f>97.3/1000</f>
        <v>9.7299999999999998E-2</v>
      </c>
      <c r="E15" s="3">
        <f t="shared" si="0"/>
        <v>228748.89449999999</v>
      </c>
      <c r="H15">
        <f t="shared" si="1"/>
        <v>6.5072231566847979E-2</v>
      </c>
    </row>
    <row r="16" spans="1:8" x14ac:dyDescent="0.2">
      <c r="A16">
        <v>2</v>
      </c>
      <c r="B16">
        <v>32</v>
      </c>
      <c r="C16">
        <v>2283264</v>
      </c>
      <c r="D16">
        <f>97.3/1000</f>
        <v>9.7299999999999998E-2</v>
      </c>
      <c r="E16" s="3">
        <f t="shared" si="0"/>
        <v>222161.58720000001</v>
      </c>
      <c r="H16">
        <f t="shared" si="1"/>
        <v>6.3198339293119035E-2</v>
      </c>
    </row>
    <row r="17" spans="1:8" x14ac:dyDescent="0.2">
      <c r="A17">
        <v>2</v>
      </c>
      <c r="B17">
        <v>33</v>
      </c>
      <c r="C17">
        <v>2244285</v>
      </c>
      <c r="D17">
        <f>97.3/1000</f>
        <v>9.7299999999999998E-2</v>
      </c>
      <c r="E17" s="3">
        <f t="shared" si="0"/>
        <v>218368.93049999999</v>
      </c>
      <c r="H17">
        <f t="shared" si="1"/>
        <v>6.2119441685437003E-2</v>
      </c>
    </row>
    <row r="18" spans="1:8" x14ac:dyDescent="0.2">
      <c r="A18">
        <v>2</v>
      </c>
      <c r="B18">
        <v>34</v>
      </c>
      <c r="C18">
        <v>2215434</v>
      </c>
      <c r="D18">
        <f>97.3/1000</f>
        <v>9.7299999999999998E-2</v>
      </c>
      <c r="E18" s="3">
        <f t="shared" si="0"/>
        <v>215561.72819999998</v>
      </c>
      <c r="H18">
        <f t="shared" si="1"/>
        <v>6.1320876435450242E-2</v>
      </c>
    </row>
    <row r="19" spans="1:8" x14ac:dyDescent="0.2">
      <c r="A19">
        <v>2</v>
      </c>
      <c r="B19">
        <v>35</v>
      </c>
      <c r="C19">
        <v>2218725</v>
      </c>
      <c r="D19">
        <f>54.2/1000</f>
        <v>5.4200000000000005E-2</v>
      </c>
      <c r="E19" s="3">
        <f t="shared" si="0"/>
        <v>120254.89500000002</v>
      </c>
      <c r="H19">
        <f t="shared" si="1"/>
        <v>3.4208927617296048E-2</v>
      </c>
    </row>
    <row r="20" spans="1:8" x14ac:dyDescent="0.2">
      <c r="A20">
        <v>2</v>
      </c>
      <c r="B20">
        <v>36</v>
      </c>
      <c r="C20">
        <v>2220531</v>
      </c>
      <c r="D20">
        <f>54.2/1000</f>
        <v>5.4200000000000005E-2</v>
      </c>
      <c r="E20" s="3">
        <f t="shared" si="0"/>
        <v>120352.78020000001</v>
      </c>
      <c r="H20">
        <f t="shared" si="1"/>
        <v>3.4236773034495939E-2</v>
      </c>
    </row>
    <row r="21" spans="1:8" x14ac:dyDescent="0.2">
      <c r="A21">
        <v>2</v>
      </c>
      <c r="B21">
        <v>37</v>
      </c>
      <c r="C21">
        <v>2178210</v>
      </c>
      <c r="D21">
        <f>54.2/1000</f>
        <v>5.4200000000000005E-2</v>
      </c>
      <c r="E21" s="3">
        <f t="shared" si="0"/>
        <v>118058.98200000002</v>
      </c>
      <c r="H21">
        <f t="shared" si="1"/>
        <v>3.3584255924132299E-2</v>
      </c>
    </row>
    <row r="22" spans="1:8" x14ac:dyDescent="0.2">
      <c r="A22">
        <v>2</v>
      </c>
      <c r="B22">
        <v>38</v>
      </c>
      <c r="C22">
        <v>2212469</v>
      </c>
      <c r="D22">
        <f>54.2/1000</f>
        <v>5.4200000000000005E-2</v>
      </c>
      <c r="E22" s="3">
        <f t="shared" si="0"/>
        <v>119915.81980000001</v>
      </c>
      <c r="H22">
        <f t="shared" si="1"/>
        <v>3.4112470845423098E-2</v>
      </c>
    </row>
    <row r="23" spans="1:8" x14ac:dyDescent="0.2">
      <c r="A23">
        <v>2</v>
      </c>
      <c r="B23">
        <v>39</v>
      </c>
      <c r="C23">
        <v>2211377</v>
      </c>
      <c r="D23">
        <f>54.2/1000</f>
        <v>5.4200000000000005E-2</v>
      </c>
      <c r="E23" s="3">
        <f t="shared" si="0"/>
        <v>119856.63340000001</v>
      </c>
      <c r="H23">
        <f t="shared" si="1"/>
        <v>3.4095634081534792E-2</v>
      </c>
    </row>
    <row r="24" spans="1:8" x14ac:dyDescent="0.2">
      <c r="A24">
        <v>2</v>
      </c>
      <c r="B24">
        <v>40</v>
      </c>
      <c r="C24">
        <v>2181238</v>
      </c>
      <c r="D24">
        <f>12.1/1000</f>
        <v>1.21E-2</v>
      </c>
      <c r="E24" s="3">
        <f t="shared" si="0"/>
        <v>26392.979800000001</v>
      </c>
      <c r="H24">
        <f t="shared" si="1"/>
        <v>7.5080148345142766E-3</v>
      </c>
    </row>
    <row r="26" spans="1:8" x14ac:dyDescent="0.2">
      <c r="E26" s="3">
        <f>SUM(E2:E24)</f>
        <v>3515307.3590999995</v>
      </c>
    </row>
    <row r="31" spans="1:8" x14ac:dyDescent="0.2">
      <c r="A31" t="s">
        <v>20</v>
      </c>
    </row>
    <row r="32" spans="1:8" x14ac:dyDescent="0.2">
      <c r="A3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40EB-D50E-2548-9AA6-8627F387D3D8}">
  <dimension ref="A2:H104"/>
  <sheetViews>
    <sheetView tabSelected="1" topLeftCell="A85" zoomScale="150" zoomScaleNormal="190" workbookViewId="0">
      <selection activeCell="A104" sqref="A104"/>
    </sheetView>
  </sheetViews>
  <sheetFormatPr baseColWidth="10" defaultRowHeight="16" x14ac:dyDescent="0.2"/>
  <cols>
    <col min="1" max="1" width="21.6640625" bestFit="1" customWidth="1"/>
    <col min="2" max="2" width="20" customWidth="1"/>
    <col min="3" max="4" width="14.33203125" customWidth="1"/>
    <col min="5" max="5" width="17.1640625" bestFit="1" customWidth="1"/>
    <col min="6" max="8" width="14.33203125" customWidth="1"/>
  </cols>
  <sheetData>
    <row r="2" spans="1:1" x14ac:dyDescent="0.2">
      <c r="A2" t="s">
        <v>255</v>
      </c>
    </row>
    <row r="24" spans="1:8" x14ac:dyDescent="0.2">
      <c r="A24" t="s">
        <v>279</v>
      </c>
    </row>
    <row r="25" spans="1:8" x14ac:dyDescent="0.2">
      <c r="A25" s="26" t="s">
        <v>192</v>
      </c>
      <c r="B25" s="26" t="s">
        <v>193</v>
      </c>
      <c r="C25" s="26" t="s">
        <v>194</v>
      </c>
      <c r="D25" s="26" t="s">
        <v>195</v>
      </c>
      <c r="E25" s="26" t="s">
        <v>196</v>
      </c>
    </row>
    <row r="26" spans="1:8" x14ac:dyDescent="0.2">
      <c r="A26" s="27" t="s">
        <v>197</v>
      </c>
      <c r="B26" s="39">
        <v>1777367450.0107999</v>
      </c>
      <c r="C26" s="27">
        <v>210198.38680000001</v>
      </c>
      <c r="D26" s="27" t="s">
        <v>263</v>
      </c>
      <c r="E26" s="27" t="s">
        <v>198</v>
      </c>
    </row>
    <row r="27" spans="1:8" x14ac:dyDescent="0.2">
      <c r="A27" s="27" t="s">
        <v>199</v>
      </c>
      <c r="B27" s="39">
        <v>2031767246.5755</v>
      </c>
      <c r="C27" s="27">
        <v>212449.003</v>
      </c>
      <c r="D27" s="27">
        <v>113035.6185</v>
      </c>
      <c r="E27" s="27" t="s">
        <v>200</v>
      </c>
      <c r="H27" s="12"/>
    </row>
    <row r="28" spans="1:8" x14ac:dyDescent="0.2">
      <c r="A28" s="27" t="s">
        <v>201</v>
      </c>
      <c r="B28" s="39">
        <v>2254721580.1420002</v>
      </c>
      <c r="C28" s="27">
        <v>211182.37469999999</v>
      </c>
      <c r="D28" s="27" t="s">
        <v>263</v>
      </c>
      <c r="E28" s="27" t="s">
        <v>202</v>
      </c>
      <c r="H28" s="12"/>
    </row>
    <row r="29" spans="1:8" x14ac:dyDescent="0.2">
      <c r="A29" s="27" t="s">
        <v>203</v>
      </c>
      <c r="B29" s="39">
        <v>4552268936.2594995</v>
      </c>
      <c r="C29" s="27">
        <v>211159.44779999999</v>
      </c>
      <c r="D29" s="27" t="s">
        <v>263</v>
      </c>
      <c r="E29" s="27" t="s">
        <v>202</v>
      </c>
      <c r="H29" s="12"/>
    </row>
    <row r="30" spans="1:8" x14ac:dyDescent="0.2">
      <c r="A30" s="27" t="s">
        <v>204</v>
      </c>
      <c r="B30" s="39">
        <v>5057530379.9750004</v>
      </c>
      <c r="C30" s="27">
        <v>214080.15299999999</v>
      </c>
      <c r="D30" s="27">
        <v>1854987.659</v>
      </c>
      <c r="E30" s="27"/>
      <c r="H30" s="12"/>
    </row>
    <row r="31" spans="1:8" x14ac:dyDescent="0.2">
      <c r="H31" s="12"/>
    </row>
    <row r="33" spans="1:8" x14ac:dyDescent="0.2">
      <c r="A33" t="s">
        <v>262</v>
      </c>
    </row>
    <row r="34" spans="1:8" ht="68" x14ac:dyDescent="0.2">
      <c r="A34" s="26" t="s">
        <v>192</v>
      </c>
      <c r="B34" s="26" t="s">
        <v>248</v>
      </c>
      <c r="C34" s="40" t="s">
        <v>256</v>
      </c>
      <c r="D34" s="40" t="s">
        <v>259</v>
      </c>
      <c r="E34" s="40" t="s">
        <v>257</v>
      </c>
      <c r="F34" s="40" t="s">
        <v>260</v>
      </c>
      <c r="G34" s="40" t="s">
        <v>258</v>
      </c>
      <c r="H34" s="40" t="s">
        <v>261</v>
      </c>
    </row>
    <row r="35" spans="1:8" x14ac:dyDescent="0.2">
      <c r="A35" s="27" t="s">
        <v>197</v>
      </c>
      <c r="B35" s="38" t="str">
        <f>'CEA result lifetime'!E31</f>
        <v>51.56 (14.1)</v>
      </c>
      <c r="C35" s="27">
        <f>'CEA result lifetime'!B23</f>
        <v>77570</v>
      </c>
      <c r="D35" s="38" t="str">
        <f>'CEA result lifetime'!B31</f>
        <v>Ref</v>
      </c>
      <c r="E35" s="27">
        <f>'CEA result lifetime'!C23</f>
        <v>9640</v>
      </c>
      <c r="F35" s="38" t="str">
        <f>'CEA result lifetime'!C31</f>
        <v>Ref</v>
      </c>
      <c r="G35" s="27">
        <f>'CEA result lifetime'!D23</f>
        <v>14120</v>
      </c>
      <c r="H35" s="38" t="str">
        <f>'CEA result lifetime'!D31</f>
        <v>Ref</v>
      </c>
    </row>
    <row r="36" spans="1:8" x14ac:dyDescent="0.2">
      <c r="A36" s="27" t="s">
        <v>199</v>
      </c>
      <c r="B36" s="38" t="str">
        <f>'CEA result lifetime'!E32</f>
        <v>51.27 (14.25)</v>
      </c>
      <c r="C36" s="27">
        <f>'CEA result lifetime'!B24</f>
        <v>76410</v>
      </c>
      <c r="D36" s="27">
        <f>'CEA result lifetime'!B32</f>
        <v>-1160</v>
      </c>
      <c r="E36" s="27">
        <f>'CEA result lifetime'!C24</f>
        <v>9230</v>
      </c>
      <c r="F36" s="27">
        <f>'CEA result lifetime'!C32</f>
        <v>-410</v>
      </c>
      <c r="G36" s="27">
        <f>'CEA result lifetime'!D24</f>
        <v>13869.999999999998</v>
      </c>
      <c r="H36" s="27">
        <f>'CEA result lifetime'!D32</f>
        <v>-250.00000000000182</v>
      </c>
    </row>
    <row r="37" spans="1:8" x14ac:dyDescent="0.2">
      <c r="A37" s="27" t="s">
        <v>201</v>
      </c>
      <c r="B37" s="38" t="str">
        <f>'CEA result lifetime'!E33</f>
        <v>51.35 (14.17)</v>
      </c>
      <c r="C37" s="27">
        <f>'CEA result lifetime'!B25</f>
        <v>77270</v>
      </c>
      <c r="D37" s="27">
        <f>'CEA result lifetime'!B33</f>
        <v>-300</v>
      </c>
      <c r="E37" s="27">
        <f>'CEA result lifetime'!C25</f>
        <v>9560</v>
      </c>
      <c r="F37" s="27">
        <f>'CEA result lifetime'!C33</f>
        <v>-80</v>
      </c>
      <c r="G37" s="27">
        <f>'CEA result lifetime'!D25</f>
        <v>14230.000000000002</v>
      </c>
      <c r="H37" s="27">
        <f>'CEA result lifetime'!D33</f>
        <v>110.00000000000182</v>
      </c>
    </row>
    <row r="38" spans="1:8" x14ac:dyDescent="0.2">
      <c r="A38" s="27" t="s">
        <v>203</v>
      </c>
      <c r="B38" s="38" t="str">
        <f>'CEA result lifetime'!E34</f>
        <v>51.23 (14.1)</v>
      </c>
      <c r="C38" s="27">
        <f>'CEA result lifetime'!B26</f>
        <v>76780</v>
      </c>
      <c r="D38" s="27">
        <f>'CEA result lifetime'!B34</f>
        <v>-790</v>
      </c>
      <c r="E38" s="27">
        <f>'CEA result lifetime'!C26</f>
        <v>8830</v>
      </c>
      <c r="F38" s="27">
        <f>'CEA result lifetime'!C34</f>
        <v>-810</v>
      </c>
      <c r="G38" s="27">
        <f>'CEA result lifetime'!D26</f>
        <v>14160</v>
      </c>
      <c r="H38" s="27">
        <f>'CEA result lifetime'!D34</f>
        <v>40</v>
      </c>
    </row>
    <row r="39" spans="1:8" x14ac:dyDescent="0.2">
      <c r="A39" s="27" t="s">
        <v>204</v>
      </c>
      <c r="B39" s="38" t="str">
        <f>'CEA result lifetime'!E35</f>
        <v>51.35 (14.25)</v>
      </c>
      <c r="C39" s="27">
        <f>'CEA result lifetime'!B27</f>
        <v>76130</v>
      </c>
      <c r="D39" s="27">
        <f>'CEA result lifetime'!B35</f>
        <v>-1440</v>
      </c>
      <c r="E39" s="27">
        <f>'CEA result lifetime'!C27</f>
        <v>8730</v>
      </c>
      <c r="F39" s="27">
        <f>'CEA result lifetime'!C35</f>
        <v>-910</v>
      </c>
      <c r="G39" s="27">
        <f>'CEA result lifetime'!D27</f>
        <v>13980</v>
      </c>
      <c r="H39" s="27">
        <f>'CEA result lifetime'!D35</f>
        <v>-140</v>
      </c>
    </row>
    <row r="44" spans="1:8" x14ac:dyDescent="0.2">
      <c r="A44" t="s">
        <v>277</v>
      </c>
    </row>
    <row r="64" spans="1:1" x14ac:dyDescent="0.2">
      <c r="A64" t="s">
        <v>278</v>
      </c>
    </row>
    <row r="83" spans="1:8" x14ac:dyDescent="0.2">
      <c r="A83" t="s">
        <v>280</v>
      </c>
    </row>
    <row r="84" spans="1:8" x14ac:dyDescent="0.2">
      <c r="A84" s="26" t="s">
        <v>192</v>
      </c>
      <c r="B84" s="26" t="s">
        <v>193</v>
      </c>
      <c r="C84" s="26" t="s">
        <v>194</v>
      </c>
      <c r="D84" s="26" t="s">
        <v>195</v>
      </c>
      <c r="E84" s="26" t="s">
        <v>196</v>
      </c>
    </row>
    <row r="85" spans="1:8" x14ac:dyDescent="0.2">
      <c r="A85" s="27" t="s">
        <v>197</v>
      </c>
      <c r="B85" s="39">
        <v>39498875.319899999</v>
      </c>
      <c r="C85" s="27">
        <v>16313.5622</v>
      </c>
      <c r="D85" s="27" t="s">
        <v>247</v>
      </c>
      <c r="E85" s="27" t="s">
        <v>198</v>
      </c>
      <c r="H85" s="12"/>
    </row>
    <row r="86" spans="1:8" x14ac:dyDescent="0.2">
      <c r="A86" s="27" t="s">
        <v>199</v>
      </c>
      <c r="B86" s="39">
        <v>64286838.077100001</v>
      </c>
      <c r="C86" s="27">
        <v>16526.678500000002</v>
      </c>
      <c r="D86" s="27">
        <v>116311.9118</v>
      </c>
      <c r="E86" s="27" t="s">
        <v>200</v>
      </c>
      <c r="H86" s="12"/>
    </row>
    <row r="87" spans="1:8" x14ac:dyDescent="0.2">
      <c r="A87" s="27" t="s">
        <v>201</v>
      </c>
      <c r="B87" s="39">
        <v>77433040.904400006</v>
      </c>
      <c r="C87" s="27">
        <v>16419.546699999999</v>
      </c>
      <c r="D87" s="27" t="s">
        <v>247</v>
      </c>
      <c r="E87" s="27" t="s">
        <v>202</v>
      </c>
      <c r="H87" s="12"/>
    </row>
    <row r="88" spans="1:8" x14ac:dyDescent="0.2">
      <c r="A88" s="27" t="s">
        <v>203</v>
      </c>
      <c r="B88" s="39">
        <v>252018805.69159999</v>
      </c>
      <c r="C88" s="27">
        <v>16428.8194</v>
      </c>
      <c r="D88" s="27" t="s">
        <v>247</v>
      </c>
      <c r="E88" s="27" t="s">
        <v>202</v>
      </c>
      <c r="H88" s="12"/>
    </row>
    <row r="89" spans="1:8" x14ac:dyDescent="0.2">
      <c r="A89" s="27" t="s">
        <v>204</v>
      </c>
      <c r="B89" s="39">
        <v>295102917.61400002</v>
      </c>
      <c r="C89" s="27">
        <v>16633.3992</v>
      </c>
      <c r="D89" s="27">
        <v>2162804.4736000001</v>
      </c>
      <c r="E89" s="27" t="s">
        <v>200</v>
      </c>
      <c r="H89" s="12"/>
    </row>
    <row r="91" spans="1:8" x14ac:dyDescent="0.2">
      <c r="A91" t="s">
        <v>284</v>
      </c>
    </row>
    <row r="92" spans="1:8" ht="51" x14ac:dyDescent="0.2">
      <c r="A92" s="26" t="s">
        <v>192</v>
      </c>
      <c r="B92" s="40" t="s">
        <v>256</v>
      </c>
      <c r="C92" s="40" t="s">
        <v>259</v>
      </c>
      <c r="D92" s="40" t="s">
        <v>257</v>
      </c>
      <c r="E92" s="40" t="s">
        <v>260</v>
      </c>
      <c r="F92" s="40" t="s">
        <v>258</v>
      </c>
      <c r="G92" s="40" t="s">
        <v>261</v>
      </c>
    </row>
    <row r="93" spans="1:8" x14ac:dyDescent="0.2">
      <c r="A93" s="27" t="s">
        <v>197</v>
      </c>
      <c r="B93" s="27">
        <f>'CEA result 2yr pp'!B23</f>
        <v>9070</v>
      </c>
      <c r="C93" s="38" t="str">
        <f>'CEA result 2yr pp'!B31</f>
        <v>Ref</v>
      </c>
      <c r="D93" s="27">
        <f>'CEA result 2yr pp'!C23</f>
        <v>460</v>
      </c>
      <c r="E93" s="38" t="str">
        <f>'CEA result 2yr pp'!C31</f>
        <v>Ref</v>
      </c>
      <c r="F93" s="27">
        <f>'CEA result 2yr pp'!D23</f>
        <v>1050</v>
      </c>
      <c r="G93" s="38" t="str">
        <f>'CEA result 2yr pp'!D31</f>
        <v>Ref</v>
      </c>
    </row>
    <row r="94" spans="1:8" x14ac:dyDescent="0.2">
      <c r="A94" s="27" t="s">
        <v>199</v>
      </c>
      <c r="B94" s="27">
        <f>'CEA result 2yr pp'!B24</f>
        <v>7940</v>
      </c>
      <c r="C94" s="38">
        <f>'CEA result 2yr pp'!B32</f>
        <v>-1130</v>
      </c>
      <c r="D94" s="27">
        <f>'CEA result 2yr pp'!C24</f>
        <v>479.99999999999994</v>
      </c>
      <c r="E94" s="38">
        <f>'CEA result 2yr pp'!C32</f>
        <v>19.999999999999943</v>
      </c>
      <c r="F94" s="27">
        <f>'CEA result 2yr pp'!D24</f>
        <v>929.99999999999989</v>
      </c>
      <c r="G94" s="38">
        <f>'CEA result 2yr pp'!D32</f>
        <v>-120.00000000000011</v>
      </c>
    </row>
    <row r="95" spans="1:8" x14ac:dyDescent="0.2">
      <c r="A95" s="27" t="s">
        <v>201</v>
      </c>
      <c r="B95" s="27">
        <f>'CEA result 2yr pp'!B25</f>
        <v>8810</v>
      </c>
      <c r="C95" s="38">
        <f>'CEA result 2yr pp'!B33</f>
        <v>-260</v>
      </c>
      <c r="D95" s="27">
        <f>'CEA result 2yr pp'!C25</f>
        <v>500</v>
      </c>
      <c r="E95" s="38">
        <f>'CEA result 2yr pp'!C33</f>
        <v>40</v>
      </c>
      <c r="F95" s="27">
        <f>'CEA result 2yr pp'!D25</f>
        <v>1020.0000000000001</v>
      </c>
      <c r="G95" s="38">
        <f>'CEA result 2yr pp'!D33</f>
        <v>-29.999999999999886</v>
      </c>
    </row>
    <row r="96" spans="1:8" x14ac:dyDescent="0.2">
      <c r="A96" s="27" t="s">
        <v>203</v>
      </c>
      <c r="B96" s="27">
        <f>'CEA result 2yr pp'!B26</f>
        <v>8480</v>
      </c>
      <c r="C96" s="38">
        <f>'CEA result 2yr pp'!B34</f>
        <v>-590</v>
      </c>
      <c r="D96" s="27">
        <f>'CEA result 2yr pp'!C26</f>
        <v>460</v>
      </c>
      <c r="E96" s="38">
        <f>'CEA result 2yr pp'!C34</f>
        <v>0</v>
      </c>
      <c r="F96" s="27">
        <f>'CEA result 2yr pp'!D26</f>
        <v>1080</v>
      </c>
      <c r="G96" s="38">
        <f>'CEA result 2yr pp'!D34</f>
        <v>30</v>
      </c>
    </row>
    <row r="97" spans="1:7" x14ac:dyDescent="0.2">
      <c r="A97" s="27" t="s">
        <v>204</v>
      </c>
      <c r="B97" s="27">
        <f>'CEA result 2yr pp'!B27</f>
        <v>7650</v>
      </c>
      <c r="C97" s="38">
        <f>'CEA result 2yr pp'!B35</f>
        <v>-1420</v>
      </c>
      <c r="D97" s="27">
        <f>'CEA result 2yr pp'!C27</f>
        <v>479.99999999999994</v>
      </c>
      <c r="E97" s="38">
        <f>'CEA result 2yr pp'!C35</f>
        <v>19.999999999999943</v>
      </c>
      <c r="F97" s="27">
        <f>'CEA result 2yr pp'!D27</f>
        <v>980</v>
      </c>
      <c r="G97" s="38">
        <f>'CEA result 2yr pp'!D35</f>
        <v>-70</v>
      </c>
    </row>
    <row r="104" spans="1:7" x14ac:dyDescent="0.2">
      <c r="A104" t="s">
        <v>302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23ED-BE03-8A44-9450-253653B686B6}">
  <dimension ref="A1:G41"/>
  <sheetViews>
    <sheetView zoomScale="150" zoomScaleNormal="120" workbookViewId="0">
      <selection activeCell="F24" sqref="F24"/>
    </sheetView>
  </sheetViews>
  <sheetFormatPr baseColWidth="10" defaultColWidth="11" defaultRowHeight="16" x14ac:dyDescent="0.2"/>
  <cols>
    <col min="1" max="1" width="22.6640625" customWidth="1"/>
    <col min="2" max="2" width="17.6640625" bestFit="1" customWidth="1"/>
    <col min="3" max="3" width="12.1640625" bestFit="1" customWidth="1"/>
    <col min="4" max="4" width="17.6640625" bestFit="1" customWidth="1"/>
    <col min="5" max="5" width="16" bestFit="1" customWidth="1"/>
    <col min="6" max="6" width="17.1640625" bestFit="1" customWidth="1"/>
    <col min="7" max="7" width="15.83203125" bestFit="1" customWidth="1"/>
  </cols>
  <sheetData>
    <row r="1" spans="1:7" x14ac:dyDescent="0.2">
      <c r="A1" t="s">
        <v>266</v>
      </c>
    </row>
    <row r="2" spans="1:7" x14ac:dyDescent="0.2">
      <c r="A2" s="26" t="s">
        <v>199</v>
      </c>
      <c r="B2" s="26" t="s">
        <v>269</v>
      </c>
      <c r="C2" s="26" t="s">
        <v>195</v>
      </c>
      <c r="D2" s="26" t="s">
        <v>264</v>
      </c>
      <c r="E2" s="26" t="s">
        <v>265</v>
      </c>
      <c r="F2" s="26" t="s">
        <v>267</v>
      </c>
      <c r="G2" s="26" t="s">
        <v>268</v>
      </c>
    </row>
    <row r="3" spans="1:7" x14ac:dyDescent="0.2">
      <c r="A3" s="27" t="s">
        <v>271</v>
      </c>
      <c r="B3" s="41">
        <v>-9.0999999999999998E-2</v>
      </c>
      <c r="C3" s="27">
        <v>113035.6185</v>
      </c>
      <c r="D3" s="41">
        <v>-0.11</v>
      </c>
      <c r="E3" s="43">
        <v>84499.624500000005</v>
      </c>
      <c r="F3" s="27">
        <v>-7.0999999999999994E-2</v>
      </c>
      <c r="G3" s="43">
        <v>146007.89670000001</v>
      </c>
    </row>
    <row r="4" spans="1:7" x14ac:dyDescent="0.2">
      <c r="A4" s="27" t="s">
        <v>272</v>
      </c>
      <c r="B4" s="41">
        <v>10200.69</v>
      </c>
      <c r="C4" s="27">
        <v>113035.6185</v>
      </c>
      <c r="D4" s="41">
        <v>9988.58</v>
      </c>
      <c r="E4" s="43">
        <v>113686.3052</v>
      </c>
      <c r="F4" s="27">
        <v>10412.81</v>
      </c>
      <c r="G4" s="43">
        <v>112384.9011</v>
      </c>
    </row>
    <row r="5" spans="1:7" x14ac:dyDescent="0.2">
      <c r="A5" s="27" t="s">
        <v>275</v>
      </c>
      <c r="B5" s="41">
        <v>12143.29</v>
      </c>
      <c r="C5" s="27">
        <v>113035.6185</v>
      </c>
      <c r="D5" s="41">
        <f>'Sensitivty Analysis inputs'!D43</f>
        <v>10806.4956</v>
      </c>
      <c r="E5" s="43">
        <v>113420.6164</v>
      </c>
      <c r="F5" s="27">
        <f>'Sensitivty Analysis inputs'!E43</f>
        <v>13479.5044</v>
      </c>
      <c r="G5" s="43">
        <v>112650.7877</v>
      </c>
    </row>
    <row r="6" spans="1:7" x14ac:dyDescent="0.2">
      <c r="A6" s="27" t="s">
        <v>270</v>
      </c>
      <c r="B6" s="41">
        <v>-0.02</v>
      </c>
      <c r="C6" s="27">
        <v>113035.6185</v>
      </c>
      <c r="D6" s="42">
        <f>-0.02-1.96*0.001</f>
        <v>-2.196E-2</v>
      </c>
      <c r="E6" s="44">
        <v>112360.0355</v>
      </c>
      <c r="F6" s="42">
        <f>-0.02+1.96*0.001</f>
        <v>-1.804E-2</v>
      </c>
      <c r="G6" s="43">
        <v>113719.37480000001</v>
      </c>
    </row>
    <row r="9" spans="1:7" x14ac:dyDescent="0.2">
      <c r="A9" s="26" t="s">
        <v>199</v>
      </c>
      <c r="B9" s="26" t="s">
        <v>264</v>
      </c>
      <c r="C9" s="26" t="s">
        <v>267</v>
      </c>
    </row>
    <row r="10" spans="1:7" x14ac:dyDescent="0.2">
      <c r="A10" s="27" t="s">
        <v>276</v>
      </c>
      <c r="B10" s="43">
        <f>E5</f>
        <v>113420.6164</v>
      </c>
      <c r="C10" s="43">
        <f>G5</f>
        <v>112650.7877</v>
      </c>
      <c r="D10" s="3"/>
    </row>
    <row r="11" spans="1:7" x14ac:dyDescent="0.2">
      <c r="A11" s="27" t="s">
        <v>274</v>
      </c>
      <c r="B11" s="43">
        <f>E4</f>
        <v>113686.3052</v>
      </c>
      <c r="C11" s="43">
        <f>G4</f>
        <v>112384.9011</v>
      </c>
      <c r="D11" s="3"/>
    </row>
    <row r="12" spans="1:7" x14ac:dyDescent="0.2">
      <c r="A12" s="27" t="s">
        <v>273</v>
      </c>
      <c r="B12" s="44">
        <f>E6</f>
        <v>112360.0355</v>
      </c>
      <c r="C12" s="43">
        <f>G6</f>
        <v>113719.37480000001</v>
      </c>
    </row>
    <row r="13" spans="1:7" x14ac:dyDescent="0.2">
      <c r="A13" s="27" t="s">
        <v>271</v>
      </c>
      <c r="B13" s="43">
        <f>E3</f>
        <v>84499.624500000005</v>
      </c>
      <c r="C13" s="43">
        <f>G3</f>
        <v>146007.89670000001</v>
      </c>
    </row>
    <row r="16" spans="1:7" x14ac:dyDescent="0.2">
      <c r="A16" t="s">
        <v>277</v>
      </c>
      <c r="C16" s="27"/>
    </row>
    <row r="41" spans="1:1" x14ac:dyDescent="0.2">
      <c r="A41" t="s">
        <v>278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DF427-73EA-5C42-9A14-55E56E662428}">
  <dimension ref="A3:E47"/>
  <sheetViews>
    <sheetView zoomScale="180" zoomScaleNormal="180" workbookViewId="0">
      <selection activeCell="B4" sqref="B4:E8"/>
    </sheetView>
  </sheetViews>
  <sheetFormatPr baseColWidth="10" defaultRowHeight="16" x14ac:dyDescent="0.2"/>
  <cols>
    <col min="1" max="1" width="21.6640625" bestFit="1" customWidth="1"/>
    <col min="2" max="2" width="18.83203125" bestFit="1" customWidth="1"/>
    <col min="3" max="4" width="12.1640625" bestFit="1" customWidth="1"/>
    <col min="5" max="5" width="17.1640625" bestFit="1" customWidth="1"/>
  </cols>
  <sheetData>
    <row r="3" spans="1:5" x14ac:dyDescent="0.2">
      <c r="A3" s="26" t="s">
        <v>192</v>
      </c>
      <c r="B3" s="26" t="s">
        <v>193</v>
      </c>
      <c r="C3" s="26" t="s">
        <v>194</v>
      </c>
      <c r="D3" s="26" t="s">
        <v>195</v>
      </c>
      <c r="E3" s="26" t="s">
        <v>196</v>
      </c>
    </row>
    <row r="4" spans="1:5" x14ac:dyDescent="0.2">
      <c r="A4" s="27" t="s">
        <v>197</v>
      </c>
      <c r="B4" s="39">
        <v>1777367450.0107999</v>
      </c>
      <c r="C4" s="27">
        <v>210198.38680000001</v>
      </c>
      <c r="D4" s="27" t="s">
        <v>263</v>
      </c>
      <c r="E4" s="27" t="s">
        <v>198</v>
      </c>
    </row>
    <row r="5" spans="1:5" x14ac:dyDescent="0.2">
      <c r="A5" s="27" t="s">
        <v>199</v>
      </c>
      <c r="B5" s="39">
        <v>2031767246.5755</v>
      </c>
      <c r="C5" s="27">
        <v>212449.003</v>
      </c>
      <c r="D5" s="27">
        <v>113035.6185</v>
      </c>
      <c r="E5" s="27" t="s">
        <v>200</v>
      </c>
    </row>
    <row r="6" spans="1:5" x14ac:dyDescent="0.2">
      <c r="A6" s="27" t="s">
        <v>201</v>
      </c>
      <c r="B6" s="39">
        <v>2254721580.1420002</v>
      </c>
      <c r="C6" s="27">
        <v>211182.37469999999</v>
      </c>
      <c r="D6" s="27" t="s">
        <v>263</v>
      </c>
      <c r="E6" s="27" t="s">
        <v>202</v>
      </c>
    </row>
    <row r="7" spans="1:5" x14ac:dyDescent="0.2">
      <c r="A7" s="27" t="s">
        <v>203</v>
      </c>
      <c r="B7" s="39">
        <v>4552268936.2594995</v>
      </c>
      <c r="C7" s="27">
        <v>211159.44779999999</v>
      </c>
      <c r="D7" s="27" t="s">
        <v>263</v>
      </c>
      <c r="E7" s="27" t="s">
        <v>202</v>
      </c>
    </row>
    <row r="8" spans="1:5" x14ac:dyDescent="0.2">
      <c r="A8" s="27" t="s">
        <v>204</v>
      </c>
      <c r="B8" s="39">
        <v>5057530379.9750004</v>
      </c>
      <c r="C8" s="27">
        <v>214080.15299999999</v>
      </c>
      <c r="D8" s="27">
        <v>1854987.659</v>
      </c>
      <c r="E8" s="27"/>
    </row>
    <row r="9" spans="1:5" x14ac:dyDescent="0.2">
      <c r="A9" s="28"/>
    </row>
    <row r="11" spans="1:5" x14ac:dyDescent="0.2">
      <c r="A11" t="s">
        <v>238</v>
      </c>
    </row>
    <row r="12" spans="1:5" x14ac:dyDescent="0.2">
      <c r="A12" s="26" t="s">
        <v>192</v>
      </c>
      <c r="B12" s="26" t="s">
        <v>205</v>
      </c>
      <c r="C12" s="26" t="s">
        <v>206</v>
      </c>
      <c r="D12" s="31" t="s">
        <v>207</v>
      </c>
      <c r="E12" s="33"/>
    </row>
    <row r="13" spans="1:5" x14ac:dyDescent="0.2">
      <c r="A13" s="27" t="s">
        <v>197</v>
      </c>
      <c r="B13" s="27">
        <v>0.77569999999999995</v>
      </c>
      <c r="C13" s="27">
        <v>9.64E-2</v>
      </c>
      <c r="D13" s="32">
        <v>0.14119999999999999</v>
      </c>
      <c r="E13" s="34"/>
    </row>
    <row r="14" spans="1:5" x14ac:dyDescent="0.2">
      <c r="A14" s="27" t="s">
        <v>199</v>
      </c>
      <c r="B14" s="27">
        <v>0.7641</v>
      </c>
      <c r="C14" s="27">
        <v>9.2299999999999993E-2</v>
      </c>
      <c r="D14" s="32">
        <v>0.13869999999999999</v>
      </c>
      <c r="E14" s="34"/>
    </row>
    <row r="15" spans="1:5" x14ac:dyDescent="0.2">
      <c r="A15" s="27" t="s">
        <v>201</v>
      </c>
      <c r="B15" s="27">
        <v>0.77270000000000005</v>
      </c>
      <c r="C15" s="27">
        <v>9.5600000000000004E-2</v>
      </c>
      <c r="D15" s="32">
        <v>0.14230000000000001</v>
      </c>
      <c r="E15" s="34"/>
    </row>
    <row r="16" spans="1:5" x14ac:dyDescent="0.2">
      <c r="A16" s="27" t="s">
        <v>203</v>
      </c>
      <c r="B16" s="27">
        <v>0.76780000000000004</v>
      </c>
      <c r="C16" s="27">
        <v>8.8300000000000003E-2</v>
      </c>
      <c r="D16" s="32">
        <v>0.1416</v>
      </c>
      <c r="E16" s="34"/>
    </row>
    <row r="17" spans="1:5" x14ac:dyDescent="0.2">
      <c r="A17" s="27" t="s">
        <v>204</v>
      </c>
      <c r="B17" s="27">
        <v>0.76129999999999998</v>
      </c>
      <c r="C17" s="27">
        <v>8.7300000000000003E-2</v>
      </c>
      <c r="D17" s="32">
        <v>0.13980000000000001</v>
      </c>
      <c r="E17" s="34"/>
    </row>
    <row r="19" spans="1:5" x14ac:dyDescent="0.2">
      <c r="A19" t="s">
        <v>234</v>
      </c>
      <c r="B19">
        <v>100000</v>
      </c>
    </row>
    <row r="21" spans="1:5" x14ac:dyDescent="0.2">
      <c r="A21" t="s">
        <v>250</v>
      </c>
    </row>
    <row r="22" spans="1:5" x14ac:dyDescent="0.2">
      <c r="A22" s="26" t="s">
        <v>192</v>
      </c>
      <c r="B22" s="26" t="s">
        <v>205</v>
      </c>
      <c r="C22" s="26" t="s">
        <v>206</v>
      </c>
      <c r="D22" s="26" t="s">
        <v>207</v>
      </c>
      <c r="E22" s="33"/>
    </row>
    <row r="23" spans="1:5" x14ac:dyDescent="0.2">
      <c r="A23" s="27" t="s">
        <v>197</v>
      </c>
      <c r="B23" s="27">
        <f>B13*$B$19</f>
        <v>77570</v>
      </c>
      <c r="C23" s="27">
        <f>C13*$B$19</f>
        <v>9640</v>
      </c>
      <c r="D23" s="27">
        <f>D13*$B$19</f>
        <v>14120</v>
      </c>
      <c r="E23" s="34"/>
    </row>
    <row r="24" spans="1:5" x14ac:dyDescent="0.2">
      <c r="A24" s="27" t="s">
        <v>199</v>
      </c>
      <c r="B24" s="27">
        <f>B14*$B$19</f>
        <v>76410</v>
      </c>
      <c r="C24" s="27">
        <f t="shared" ref="C24" si="0">C14*$B$19</f>
        <v>9230</v>
      </c>
      <c r="D24" s="27">
        <f>D14*$B$19</f>
        <v>13869.999999999998</v>
      </c>
      <c r="E24" s="34"/>
    </row>
    <row r="25" spans="1:5" x14ac:dyDescent="0.2">
      <c r="A25" s="27" t="s">
        <v>201</v>
      </c>
      <c r="B25" s="27">
        <f>B15*$B$19</f>
        <v>77270</v>
      </c>
      <c r="C25" s="27">
        <f t="shared" ref="C25:D25" si="1">C15*$B$19</f>
        <v>9560</v>
      </c>
      <c r="D25" s="27">
        <f t="shared" si="1"/>
        <v>14230.000000000002</v>
      </c>
      <c r="E25" s="34"/>
    </row>
    <row r="26" spans="1:5" x14ac:dyDescent="0.2">
      <c r="A26" s="27" t="s">
        <v>203</v>
      </c>
      <c r="B26" s="27">
        <f>B16*$B$19</f>
        <v>76780</v>
      </c>
      <c r="C26" s="27">
        <f t="shared" ref="C26:D26" si="2">C16*$B$19</f>
        <v>8830</v>
      </c>
      <c r="D26" s="27">
        <f t="shared" si="2"/>
        <v>14160</v>
      </c>
      <c r="E26" s="34"/>
    </row>
    <row r="27" spans="1:5" x14ac:dyDescent="0.2">
      <c r="A27" s="27" t="s">
        <v>204</v>
      </c>
      <c r="B27" s="27">
        <f>B17*$B$19</f>
        <v>76130</v>
      </c>
      <c r="C27" s="27">
        <f t="shared" ref="C27:D27" si="3">C17*$B$19</f>
        <v>8730</v>
      </c>
      <c r="D27" s="27">
        <f t="shared" si="3"/>
        <v>13980</v>
      </c>
      <c r="E27" s="34"/>
    </row>
    <row r="29" spans="1:5" x14ac:dyDescent="0.2">
      <c r="A29" t="s">
        <v>239</v>
      </c>
    </row>
    <row r="30" spans="1:5" x14ac:dyDescent="0.2">
      <c r="A30" s="26" t="s">
        <v>192</v>
      </c>
      <c r="B30" s="26" t="s">
        <v>205</v>
      </c>
      <c r="C30" s="26" t="s">
        <v>206</v>
      </c>
      <c r="D30" s="26" t="s">
        <v>207</v>
      </c>
      <c r="E30" s="26" t="s">
        <v>248</v>
      </c>
    </row>
    <row r="31" spans="1:5" x14ac:dyDescent="0.2">
      <c r="A31" s="27" t="s">
        <v>197</v>
      </c>
      <c r="B31" s="27" t="s">
        <v>240</v>
      </c>
      <c r="C31" s="27" t="s">
        <v>240</v>
      </c>
      <c r="D31" s="27" t="s">
        <v>240</v>
      </c>
      <c r="E31" s="38" t="s">
        <v>249</v>
      </c>
    </row>
    <row r="32" spans="1:5" x14ac:dyDescent="0.2">
      <c r="A32" s="27" t="s">
        <v>199</v>
      </c>
      <c r="B32" s="27">
        <f>B24-$B$23</f>
        <v>-1160</v>
      </c>
      <c r="C32" s="27">
        <f>C24-$C$23</f>
        <v>-410</v>
      </c>
      <c r="D32" s="27">
        <f>D24-$D$23</f>
        <v>-250.00000000000182</v>
      </c>
      <c r="E32" s="38" t="s">
        <v>252</v>
      </c>
    </row>
    <row r="33" spans="1:5" x14ac:dyDescent="0.2">
      <c r="A33" s="27" t="s">
        <v>201</v>
      </c>
      <c r="B33" s="27">
        <f>B25-$B$23</f>
        <v>-300</v>
      </c>
      <c r="C33" s="27">
        <f t="shared" ref="C33:C35" si="4">C25-$C$23</f>
        <v>-80</v>
      </c>
      <c r="D33" s="27">
        <f t="shared" ref="D33:D35" si="5">D25-$D$23</f>
        <v>110.00000000000182</v>
      </c>
      <c r="E33" s="38" t="s">
        <v>251</v>
      </c>
    </row>
    <row r="34" spans="1:5" x14ac:dyDescent="0.2">
      <c r="A34" s="27" t="s">
        <v>203</v>
      </c>
      <c r="B34" s="27">
        <f t="shared" ref="B34:B35" si="6">B26-$B$23</f>
        <v>-790</v>
      </c>
      <c r="C34" s="27">
        <f t="shared" si="4"/>
        <v>-810</v>
      </c>
      <c r="D34" s="27">
        <f t="shared" si="5"/>
        <v>40</v>
      </c>
      <c r="E34" s="38" t="s">
        <v>253</v>
      </c>
    </row>
    <row r="35" spans="1:5" x14ac:dyDescent="0.2">
      <c r="A35" s="27" t="s">
        <v>204</v>
      </c>
      <c r="B35" s="27">
        <f t="shared" si="6"/>
        <v>-1440</v>
      </c>
      <c r="C35" s="27">
        <f t="shared" si="4"/>
        <v>-910</v>
      </c>
      <c r="D35" s="27">
        <f t="shared" si="5"/>
        <v>-140</v>
      </c>
      <c r="E35" s="38" t="s">
        <v>254</v>
      </c>
    </row>
    <row r="41" spans="1:5" x14ac:dyDescent="0.2">
      <c r="B41" s="12"/>
    </row>
    <row r="42" spans="1:5" x14ac:dyDescent="0.2">
      <c r="B42" s="12"/>
    </row>
    <row r="43" spans="1:5" x14ac:dyDescent="0.2">
      <c r="B43" s="12"/>
    </row>
    <row r="44" spans="1:5" x14ac:dyDescent="0.2">
      <c r="B44" s="12"/>
    </row>
    <row r="45" spans="1:5" x14ac:dyDescent="0.2">
      <c r="B45" s="12"/>
    </row>
    <row r="46" spans="1:5" x14ac:dyDescent="0.2">
      <c r="B46" s="12"/>
    </row>
    <row r="47" spans="1:5" x14ac:dyDescent="0.2">
      <c r="B47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784D-5863-6544-9174-0EE797B7D0EC}">
  <dimension ref="A3:E47"/>
  <sheetViews>
    <sheetView topLeftCell="A12" zoomScale="180" zoomScaleNormal="180" workbookViewId="0">
      <selection activeCell="F34" sqref="F34"/>
    </sheetView>
  </sheetViews>
  <sheetFormatPr baseColWidth="10" defaultRowHeight="16" x14ac:dyDescent="0.2"/>
  <cols>
    <col min="1" max="1" width="21.6640625" bestFit="1" customWidth="1"/>
    <col min="2" max="2" width="18.83203125" bestFit="1" customWidth="1"/>
    <col min="3" max="4" width="12.1640625" bestFit="1" customWidth="1"/>
    <col min="5" max="5" width="17.1640625" bestFit="1" customWidth="1"/>
  </cols>
  <sheetData>
    <row r="3" spans="1:5" x14ac:dyDescent="0.2">
      <c r="A3" s="26" t="s">
        <v>192</v>
      </c>
      <c r="B3" s="26" t="s">
        <v>193</v>
      </c>
      <c r="C3" s="26" t="s">
        <v>194</v>
      </c>
      <c r="D3" s="26" t="s">
        <v>195</v>
      </c>
      <c r="E3" s="26" t="s">
        <v>196</v>
      </c>
    </row>
    <row r="4" spans="1:5" x14ac:dyDescent="0.2">
      <c r="A4" s="27" t="s">
        <v>197</v>
      </c>
      <c r="B4" s="39">
        <v>39498875.319899999</v>
      </c>
      <c r="C4" s="27">
        <v>16313.5622</v>
      </c>
      <c r="D4" s="27" t="s">
        <v>247</v>
      </c>
      <c r="E4" s="27" t="s">
        <v>198</v>
      </c>
    </row>
    <row r="5" spans="1:5" x14ac:dyDescent="0.2">
      <c r="A5" s="27" t="s">
        <v>199</v>
      </c>
      <c r="B5" s="39">
        <v>64286838.077100001</v>
      </c>
      <c r="C5" s="27">
        <v>16526.678500000002</v>
      </c>
      <c r="D5" s="27">
        <v>116311.9118</v>
      </c>
      <c r="E5" s="27" t="s">
        <v>200</v>
      </c>
    </row>
    <row r="6" spans="1:5" x14ac:dyDescent="0.2">
      <c r="A6" s="27" t="s">
        <v>201</v>
      </c>
      <c r="B6" s="39">
        <v>77433040.904400006</v>
      </c>
      <c r="C6" s="27">
        <v>16419.546699999999</v>
      </c>
      <c r="D6" s="27" t="s">
        <v>247</v>
      </c>
      <c r="E6" s="27" t="s">
        <v>202</v>
      </c>
    </row>
    <row r="7" spans="1:5" x14ac:dyDescent="0.2">
      <c r="A7" s="27" t="s">
        <v>203</v>
      </c>
      <c r="B7" s="39">
        <v>252018805.69159999</v>
      </c>
      <c r="C7" s="27">
        <v>16428.8194</v>
      </c>
      <c r="D7" s="27" t="s">
        <v>247</v>
      </c>
      <c r="E7" s="27" t="s">
        <v>202</v>
      </c>
    </row>
    <row r="8" spans="1:5" x14ac:dyDescent="0.2">
      <c r="A8" s="27" t="s">
        <v>204</v>
      </c>
      <c r="B8" s="39">
        <v>295102917.61400002</v>
      </c>
      <c r="C8" s="27">
        <v>16633.3992</v>
      </c>
      <c r="D8" s="27">
        <v>2162804.4736000001</v>
      </c>
      <c r="E8" s="27" t="s">
        <v>200</v>
      </c>
    </row>
    <row r="9" spans="1:5" x14ac:dyDescent="0.2">
      <c r="A9" s="28"/>
    </row>
    <row r="11" spans="1:5" x14ac:dyDescent="0.2">
      <c r="A11" t="s">
        <v>238</v>
      </c>
    </row>
    <row r="12" spans="1:5" x14ac:dyDescent="0.2">
      <c r="A12" s="26" t="s">
        <v>192</v>
      </c>
      <c r="B12" s="26" t="s">
        <v>205</v>
      </c>
      <c r="C12" s="26" t="s">
        <v>206</v>
      </c>
      <c r="D12" s="31" t="s">
        <v>207</v>
      </c>
      <c r="E12" s="33"/>
    </row>
    <row r="13" spans="1:5" x14ac:dyDescent="0.2">
      <c r="A13" s="27" t="s">
        <v>197</v>
      </c>
      <c r="B13" s="27">
        <v>9.0700000000000003E-2</v>
      </c>
      <c r="C13" s="27">
        <v>4.5999999999999999E-3</v>
      </c>
      <c r="D13" s="32">
        <v>1.0500000000000001E-2</v>
      </c>
      <c r="E13" s="34"/>
    </row>
    <row r="14" spans="1:5" x14ac:dyDescent="0.2">
      <c r="A14" s="27" t="s">
        <v>199</v>
      </c>
      <c r="B14" s="27">
        <v>7.9399999999999998E-2</v>
      </c>
      <c r="C14" s="27">
        <v>4.7999999999999996E-3</v>
      </c>
      <c r="D14" s="32">
        <v>9.2999999999999992E-3</v>
      </c>
      <c r="E14" s="34"/>
    </row>
    <row r="15" spans="1:5" x14ac:dyDescent="0.2">
      <c r="A15" s="27" t="s">
        <v>201</v>
      </c>
      <c r="B15" s="27">
        <v>8.8099999999999998E-2</v>
      </c>
      <c r="C15" s="27">
        <v>5.0000000000000001E-3</v>
      </c>
      <c r="D15" s="32">
        <v>1.0200000000000001E-2</v>
      </c>
      <c r="E15" s="34"/>
    </row>
    <row r="16" spans="1:5" x14ac:dyDescent="0.2">
      <c r="A16" s="27" t="s">
        <v>203</v>
      </c>
      <c r="B16" s="27">
        <v>8.48E-2</v>
      </c>
      <c r="C16" s="27">
        <v>4.5999999999999999E-3</v>
      </c>
      <c r="D16" s="32">
        <v>1.0800000000000001E-2</v>
      </c>
      <c r="E16" s="34"/>
    </row>
    <row r="17" spans="1:5" x14ac:dyDescent="0.2">
      <c r="A17" s="27" t="s">
        <v>204</v>
      </c>
      <c r="B17" s="27">
        <v>7.6499999999999999E-2</v>
      </c>
      <c r="C17" s="27">
        <v>4.7999999999999996E-3</v>
      </c>
      <c r="D17" s="32">
        <v>9.7999999999999997E-3</v>
      </c>
      <c r="E17" s="34"/>
    </row>
    <row r="19" spans="1:5" x14ac:dyDescent="0.2">
      <c r="A19" t="s">
        <v>234</v>
      </c>
      <c r="B19">
        <v>100000</v>
      </c>
    </row>
    <row r="21" spans="1:5" x14ac:dyDescent="0.2">
      <c r="A21" t="s">
        <v>250</v>
      </c>
    </row>
    <row r="22" spans="1:5" x14ac:dyDescent="0.2">
      <c r="A22" s="26" t="s">
        <v>192</v>
      </c>
      <c r="B22" s="26" t="s">
        <v>205</v>
      </c>
      <c r="C22" s="26" t="s">
        <v>206</v>
      </c>
      <c r="D22" s="26" t="s">
        <v>207</v>
      </c>
      <c r="E22" s="33"/>
    </row>
    <row r="23" spans="1:5" x14ac:dyDescent="0.2">
      <c r="A23" s="27" t="s">
        <v>197</v>
      </c>
      <c r="B23" s="27">
        <f>B13*$B$19</f>
        <v>9070</v>
      </c>
      <c r="C23" s="27">
        <f>C13*$B$19</f>
        <v>460</v>
      </c>
      <c r="D23" s="27">
        <f>D13*$B$19</f>
        <v>1050</v>
      </c>
      <c r="E23" s="34"/>
    </row>
    <row r="24" spans="1:5" x14ac:dyDescent="0.2">
      <c r="A24" s="27" t="s">
        <v>199</v>
      </c>
      <c r="B24" s="27">
        <f>B14*$B$19</f>
        <v>7940</v>
      </c>
      <c r="C24" s="27">
        <f t="shared" ref="C24:D27" si="0">C14*$B$19</f>
        <v>479.99999999999994</v>
      </c>
      <c r="D24" s="27">
        <f>D14*$B$19</f>
        <v>929.99999999999989</v>
      </c>
      <c r="E24" s="34"/>
    </row>
    <row r="25" spans="1:5" x14ac:dyDescent="0.2">
      <c r="A25" s="27" t="s">
        <v>201</v>
      </c>
      <c r="B25" s="27">
        <f>B15*$B$19</f>
        <v>8810</v>
      </c>
      <c r="C25" s="27">
        <f t="shared" si="0"/>
        <v>500</v>
      </c>
      <c r="D25" s="27">
        <f t="shared" si="0"/>
        <v>1020.0000000000001</v>
      </c>
      <c r="E25" s="34"/>
    </row>
    <row r="26" spans="1:5" x14ac:dyDescent="0.2">
      <c r="A26" s="27" t="s">
        <v>203</v>
      </c>
      <c r="B26" s="27">
        <f>B16*$B$19</f>
        <v>8480</v>
      </c>
      <c r="C26" s="27">
        <f t="shared" si="0"/>
        <v>460</v>
      </c>
      <c r="D26" s="27">
        <f t="shared" si="0"/>
        <v>1080</v>
      </c>
      <c r="E26" s="34"/>
    </row>
    <row r="27" spans="1:5" x14ac:dyDescent="0.2">
      <c r="A27" s="27" t="s">
        <v>204</v>
      </c>
      <c r="B27" s="27">
        <f>B17*$B$19</f>
        <v>7650</v>
      </c>
      <c r="C27" s="27">
        <f t="shared" si="0"/>
        <v>479.99999999999994</v>
      </c>
      <c r="D27" s="27">
        <f t="shared" si="0"/>
        <v>980</v>
      </c>
      <c r="E27" s="34"/>
    </row>
    <row r="29" spans="1:5" x14ac:dyDescent="0.2">
      <c r="A29" t="s">
        <v>239</v>
      </c>
    </row>
    <row r="30" spans="1:5" x14ac:dyDescent="0.2">
      <c r="A30" s="26" t="s">
        <v>192</v>
      </c>
      <c r="B30" s="26" t="s">
        <v>205</v>
      </c>
      <c r="C30" s="26" t="s">
        <v>206</v>
      </c>
      <c r="D30" s="26" t="s">
        <v>207</v>
      </c>
    </row>
    <row r="31" spans="1:5" x14ac:dyDescent="0.2">
      <c r="A31" s="27" t="s">
        <v>197</v>
      </c>
      <c r="B31" s="27" t="s">
        <v>240</v>
      </c>
      <c r="C31" s="27" t="s">
        <v>240</v>
      </c>
      <c r="D31" s="27" t="s">
        <v>240</v>
      </c>
    </row>
    <row r="32" spans="1:5" x14ac:dyDescent="0.2">
      <c r="A32" s="27" t="s">
        <v>199</v>
      </c>
      <c r="B32" s="27">
        <f>B24-$B$23</f>
        <v>-1130</v>
      </c>
      <c r="C32" s="27">
        <f>C24-$C$23</f>
        <v>19.999999999999943</v>
      </c>
      <c r="D32" s="27">
        <f>D24-$D$23</f>
        <v>-120.00000000000011</v>
      </c>
    </row>
    <row r="33" spans="1:4" x14ac:dyDescent="0.2">
      <c r="A33" s="27" t="s">
        <v>201</v>
      </c>
      <c r="B33" s="27">
        <f>B25-$B$23</f>
        <v>-260</v>
      </c>
      <c r="C33" s="27">
        <f t="shared" ref="C33:C35" si="1">C25-$C$23</f>
        <v>40</v>
      </c>
      <c r="D33" s="27">
        <f t="shared" ref="D33:D35" si="2">D25-$D$23</f>
        <v>-29.999999999999886</v>
      </c>
    </row>
    <row r="34" spans="1:4" x14ac:dyDescent="0.2">
      <c r="A34" s="27" t="s">
        <v>203</v>
      </c>
      <c r="B34" s="27">
        <f t="shared" ref="B34:B35" si="3">B26-$B$23</f>
        <v>-590</v>
      </c>
      <c r="C34" s="27">
        <f t="shared" si="1"/>
        <v>0</v>
      </c>
      <c r="D34" s="27">
        <f t="shared" si="2"/>
        <v>30</v>
      </c>
    </row>
    <row r="35" spans="1:4" x14ac:dyDescent="0.2">
      <c r="A35" s="27" t="s">
        <v>204</v>
      </c>
      <c r="B35" s="27">
        <f t="shared" si="3"/>
        <v>-1420</v>
      </c>
      <c r="C35" s="27">
        <f t="shared" si="1"/>
        <v>19.999999999999943</v>
      </c>
      <c r="D35" s="27">
        <f t="shared" si="2"/>
        <v>-70</v>
      </c>
    </row>
    <row r="41" spans="1:4" x14ac:dyDescent="0.2">
      <c r="B41" s="12"/>
    </row>
    <row r="42" spans="1:4" x14ac:dyDescent="0.2">
      <c r="B42" s="12"/>
    </row>
    <row r="43" spans="1:4" x14ac:dyDescent="0.2">
      <c r="B43" s="12"/>
    </row>
    <row r="44" spans="1:4" x14ac:dyDescent="0.2">
      <c r="B44" s="12"/>
    </row>
    <row r="45" spans="1:4" x14ac:dyDescent="0.2">
      <c r="B45" s="12"/>
    </row>
    <row r="46" spans="1:4" x14ac:dyDescent="0.2">
      <c r="B46" s="12"/>
    </row>
    <row r="47" spans="1:4" x14ac:dyDescent="0.2">
      <c r="B47" s="1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6EC1-E649-AE41-B9C7-6CC3E25C1038}">
  <dimension ref="A1:E55"/>
  <sheetViews>
    <sheetView zoomScale="125" zoomScaleNormal="160" workbookViewId="0">
      <selection activeCell="C20" sqref="C20"/>
    </sheetView>
  </sheetViews>
  <sheetFormatPr baseColWidth="10" defaultRowHeight="16" x14ac:dyDescent="0.2"/>
  <cols>
    <col min="1" max="1" width="18.33203125" bestFit="1" customWidth="1"/>
    <col min="2" max="2" width="77" bestFit="1" customWidth="1"/>
    <col min="3" max="3" width="64" style="5" customWidth="1"/>
  </cols>
  <sheetData>
    <row r="1" spans="1:5" s="4" customFormat="1" x14ac:dyDescent="0.2">
      <c r="A1" s="4" t="s">
        <v>8</v>
      </c>
      <c r="B1" s="4" t="s">
        <v>9</v>
      </c>
      <c r="C1" s="17" t="s">
        <v>10</v>
      </c>
      <c r="D1" s="4" t="s">
        <v>37</v>
      </c>
    </row>
    <row r="2" spans="1:5" x14ac:dyDescent="0.2">
      <c r="B2" t="s">
        <v>62</v>
      </c>
      <c r="C2" s="5">
        <v>29</v>
      </c>
      <c r="D2" t="s">
        <v>65</v>
      </c>
    </row>
    <row r="3" spans="1:5" x14ac:dyDescent="0.2">
      <c r="B3" t="s">
        <v>59</v>
      </c>
      <c r="C3" s="5" t="s">
        <v>61</v>
      </c>
      <c r="D3" s="73" t="s">
        <v>64</v>
      </c>
    </row>
    <row r="4" spans="1:5" x14ac:dyDescent="0.2">
      <c r="B4" t="s">
        <v>104</v>
      </c>
      <c r="C4" s="5" t="s">
        <v>70</v>
      </c>
      <c r="D4" s="73"/>
    </row>
    <row r="5" spans="1:5" x14ac:dyDescent="0.2">
      <c r="B5" t="s">
        <v>68</v>
      </c>
      <c r="C5" s="8">
        <v>0</v>
      </c>
      <c r="D5" t="s">
        <v>71</v>
      </c>
    </row>
    <row r="6" spans="1:5" x14ac:dyDescent="0.2">
      <c r="B6" t="s">
        <v>66</v>
      </c>
      <c r="C6" s="5">
        <v>7.0000000000000007E-2</v>
      </c>
      <c r="D6" t="s">
        <v>67</v>
      </c>
    </row>
    <row r="8" spans="1:5" x14ac:dyDescent="0.2">
      <c r="A8" t="s">
        <v>0</v>
      </c>
      <c r="B8" t="s">
        <v>96</v>
      </c>
      <c r="C8" t="s">
        <v>84</v>
      </c>
    </row>
    <row r="9" spans="1:5" x14ac:dyDescent="0.2">
      <c r="A9" t="s">
        <v>1</v>
      </c>
      <c r="B9" t="s">
        <v>79</v>
      </c>
      <c r="C9" s="5">
        <v>0.46700000000000003</v>
      </c>
      <c r="D9" s="14" t="s">
        <v>101</v>
      </c>
      <c r="E9" t="s">
        <v>127</v>
      </c>
    </row>
    <row r="10" spans="1:5" x14ac:dyDescent="0.2">
      <c r="A10" t="s">
        <v>2</v>
      </c>
      <c r="B10" t="s">
        <v>78</v>
      </c>
      <c r="C10" s="5">
        <v>9.9000000000000005E-2</v>
      </c>
      <c r="D10" s="14" t="s">
        <v>101</v>
      </c>
      <c r="E10" t="s">
        <v>127</v>
      </c>
    </row>
    <row r="12" spans="1:5" x14ac:dyDescent="0.2">
      <c r="A12" t="s">
        <v>93</v>
      </c>
      <c r="B12" t="s">
        <v>128</v>
      </c>
      <c r="C12" t="s">
        <v>91</v>
      </c>
      <c r="D12" s="14" t="s">
        <v>101</v>
      </c>
    </row>
    <row r="13" spans="1:5" x14ac:dyDescent="0.2">
      <c r="A13" t="s">
        <v>94</v>
      </c>
      <c r="B13" t="s">
        <v>129</v>
      </c>
      <c r="C13" t="s">
        <v>88</v>
      </c>
      <c r="D13" s="14" t="s">
        <v>101</v>
      </c>
    </row>
    <row r="14" spans="1:5" x14ac:dyDescent="0.2">
      <c r="A14" t="s">
        <v>95</v>
      </c>
      <c r="B14" t="s">
        <v>130</v>
      </c>
      <c r="C14" t="s">
        <v>85</v>
      </c>
      <c r="D14" s="14" t="s">
        <v>101</v>
      </c>
    </row>
    <row r="16" spans="1:5" x14ac:dyDescent="0.2">
      <c r="B16" t="s">
        <v>107</v>
      </c>
      <c r="C16" s="15" t="s">
        <v>106</v>
      </c>
      <c r="D16" s="14" t="s">
        <v>108</v>
      </c>
    </row>
    <row r="17" spans="1:5" x14ac:dyDescent="0.2">
      <c r="A17" t="s">
        <v>182</v>
      </c>
      <c r="B17" t="s">
        <v>3</v>
      </c>
      <c r="C17" s="6">
        <f>-13.7/100</f>
        <v>-0.13699999999999998</v>
      </c>
      <c r="D17" s="72" t="s">
        <v>35</v>
      </c>
    </row>
    <row r="18" spans="1:5" x14ac:dyDescent="0.2">
      <c r="A18" t="s">
        <v>183</v>
      </c>
      <c r="B18" t="s">
        <v>4</v>
      </c>
      <c r="C18" s="6">
        <v>-0.05</v>
      </c>
      <c r="D18" s="72"/>
    </row>
    <row r="19" spans="1:5" x14ac:dyDescent="0.2">
      <c r="A19" s="25" t="s">
        <v>184</v>
      </c>
      <c r="B19" t="s">
        <v>5</v>
      </c>
      <c r="C19" s="5">
        <v>-9.0999999999999998E-2</v>
      </c>
      <c r="D19" s="72"/>
    </row>
    <row r="20" spans="1:5" x14ac:dyDescent="0.2">
      <c r="A20" s="25" t="s">
        <v>185</v>
      </c>
      <c r="B20" t="s">
        <v>6</v>
      </c>
      <c r="C20" s="5">
        <v>-4.5999999999999999E-2</v>
      </c>
      <c r="D20" s="72"/>
    </row>
    <row r="21" spans="1:5" x14ac:dyDescent="0.2">
      <c r="A21" s="25" t="s">
        <v>186</v>
      </c>
      <c r="B21" t="s">
        <v>7</v>
      </c>
    </row>
    <row r="22" spans="1:5" x14ac:dyDescent="0.2">
      <c r="B22" t="s">
        <v>12</v>
      </c>
      <c r="C22" s="6">
        <v>-0.3</v>
      </c>
      <c r="D22" s="72" t="s">
        <v>35</v>
      </c>
    </row>
    <row r="23" spans="1:5" x14ac:dyDescent="0.2">
      <c r="B23" t="s">
        <v>13</v>
      </c>
      <c r="C23" s="6">
        <v>-0.2</v>
      </c>
      <c r="D23" s="72"/>
    </row>
    <row r="24" spans="1:5" x14ac:dyDescent="0.2">
      <c r="B24" t="s">
        <v>14</v>
      </c>
      <c r="C24" s="7">
        <v>0</v>
      </c>
      <c r="D24" s="72"/>
    </row>
    <row r="25" spans="1:5" x14ac:dyDescent="0.2">
      <c r="B25" t="s">
        <v>15</v>
      </c>
      <c r="C25" s="7">
        <v>0</v>
      </c>
      <c r="D25" s="72"/>
    </row>
    <row r="26" spans="1:5" x14ac:dyDescent="0.2">
      <c r="B26" t="s">
        <v>16</v>
      </c>
    </row>
    <row r="28" spans="1:5" ht="51" x14ac:dyDescent="0.2">
      <c r="B28" s="18" t="s">
        <v>281</v>
      </c>
      <c r="C28" s="19" t="s">
        <v>150</v>
      </c>
      <c r="D28" t="s">
        <v>125</v>
      </c>
      <c r="E28" t="s">
        <v>282</v>
      </c>
    </row>
    <row r="29" spans="1:5" ht="51" x14ac:dyDescent="0.2">
      <c r="B29" s="18" t="s">
        <v>283</v>
      </c>
      <c r="C29" s="20" t="s">
        <v>76</v>
      </c>
      <c r="D29" t="s">
        <v>126</v>
      </c>
      <c r="E29" t="s">
        <v>282</v>
      </c>
    </row>
    <row r="30" spans="1:5" ht="83" customHeight="1" x14ac:dyDescent="0.2">
      <c r="B30" s="18" t="s">
        <v>173</v>
      </c>
      <c r="C30" s="24" t="s">
        <v>174</v>
      </c>
      <c r="D30" t="s">
        <v>175</v>
      </c>
      <c r="E30" t="s">
        <v>176</v>
      </c>
    </row>
    <row r="34" spans="1:5" x14ac:dyDescent="0.2">
      <c r="A34" t="s">
        <v>25</v>
      </c>
      <c r="B34" t="s">
        <v>24</v>
      </c>
      <c r="C34" s="5" t="s">
        <v>29</v>
      </c>
      <c r="D34" t="s">
        <v>27</v>
      </c>
    </row>
    <row r="35" spans="1:5" x14ac:dyDescent="0.2">
      <c r="A35" t="s">
        <v>28</v>
      </c>
      <c r="B35" t="s">
        <v>26</v>
      </c>
      <c r="C35" s="5">
        <v>3.3E-3</v>
      </c>
      <c r="D35" t="s">
        <v>27</v>
      </c>
    </row>
    <row r="36" spans="1:5" x14ac:dyDescent="0.2">
      <c r="B36" t="s">
        <v>140</v>
      </c>
      <c r="C36" s="5">
        <v>0.55000000000000004</v>
      </c>
    </row>
    <row r="37" spans="1:5" x14ac:dyDescent="0.2">
      <c r="B37" t="s">
        <v>141</v>
      </c>
      <c r="C37" s="5">
        <v>0.22</v>
      </c>
      <c r="D37" t="s">
        <v>27</v>
      </c>
    </row>
    <row r="38" spans="1:5" x14ac:dyDescent="0.2">
      <c r="B38" t="s">
        <v>142</v>
      </c>
      <c r="C38" s="5">
        <v>0.23</v>
      </c>
      <c r="D38" t="s">
        <v>27</v>
      </c>
    </row>
    <row r="39" spans="1:5" x14ac:dyDescent="0.2">
      <c r="B39" t="s">
        <v>145</v>
      </c>
      <c r="C39" s="15" t="s">
        <v>146</v>
      </c>
      <c r="D39" t="s">
        <v>135</v>
      </c>
    </row>
    <row r="40" spans="1:5" x14ac:dyDescent="0.2">
      <c r="B40" t="s">
        <v>143</v>
      </c>
      <c r="C40" s="15" t="s">
        <v>144</v>
      </c>
      <c r="D40" t="s">
        <v>135</v>
      </c>
    </row>
    <row r="41" spans="1:5" x14ac:dyDescent="0.2">
      <c r="B41" t="s">
        <v>147</v>
      </c>
      <c r="C41" s="15" t="s">
        <v>148</v>
      </c>
      <c r="D41" t="s">
        <v>135</v>
      </c>
    </row>
    <row r="42" spans="1:5" x14ac:dyDescent="0.2">
      <c r="B42" t="s">
        <v>138</v>
      </c>
      <c r="C42" s="15" t="s">
        <v>136</v>
      </c>
      <c r="D42" t="s">
        <v>135</v>
      </c>
    </row>
    <row r="43" spans="1:5" x14ac:dyDescent="0.2">
      <c r="B43" t="s">
        <v>139</v>
      </c>
      <c r="C43" s="15" t="s">
        <v>137</v>
      </c>
      <c r="D43" t="s">
        <v>135</v>
      </c>
    </row>
    <row r="47" spans="1:5" x14ac:dyDescent="0.2">
      <c r="A47" t="s">
        <v>105</v>
      </c>
    </row>
    <row r="48" spans="1:5" x14ac:dyDescent="0.2">
      <c r="A48" t="s">
        <v>132</v>
      </c>
      <c r="B48" t="s">
        <v>117</v>
      </c>
      <c r="C48" s="5" t="s">
        <v>123</v>
      </c>
      <c r="D48" s="14" t="s">
        <v>119</v>
      </c>
      <c r="E48" t="s">
        <v>118</v>
      </c>
    </row>
    <row r="49" spans="1:5" x14ac:dyDescent="0.2">
      <c r="A49" t="s">
        <v>133</v>
      </c>
      <c r="B49" t="s">
        <v>116</v>
      </c>
      <c r="C49" s="16">
        <f>12022*(110.22/117.996)</f>
        <v>11229.743720126105</v>
      </c>
      <c r="D49" t="s">
        <v>114</v>
      </c>
      <c r="E49" t="s">
        <v>118</v>
      </c>
    </row>
    <row r="50" spans="1:5" x14ac:dyDescent="0.2">
      <c r="A50" t="s">
        <v>134</v>
      </c>
      <c r="B50" t="s">
        <v>115</v>
      </c>
      <c r="C50" s="5" t="s">
        <v>113</v>
      </c>
      <c r="D50" t="s">
        <v>110</v>
      </c>
      <c r="E50" t="s">
        <v>118</v>
      </c>
    </row>
    <row r="51" spans="1:5" x14ac:dyDescent="0.2">
      <c r="A51" t="s">
        <v>187</v>
      </c>
      <c r="B51" t="s">
        <v>177</v>
      </c>
      <c r="C51" s="5">
        <v>0</v>
      </c>
      <c r="D51" s="14"/>
    </row>
    <row r="52" spans="1:5" x14ac:dyDescent="0.2">
      <c r="A52" t="s">
        <v>188</v>
      </c>
      <c r="B52" t="s">
        <v>178</v>
      </c>
      <c r="C52" s="5">
        <v>13618</v>
      </c>
      <c r="D52" t="s">
        <v>131</v>
      </c>
    </row>
    <row r="53" spans="1:5" x14ac:dyDescent="0.2">
      <c r="A53" t="s">
        <v>189</v>
      </c>
      <c r="B53" t="s">
        <v>179</v>
      </c>
      <c r="C53" s="5">
        <v>11309</v>
      </c>
      <c r="D53" t="s">
        <v>131</v>
      </c>
    </row>
    <row r="54" spans="1:5" x14ac:dyDescent="0.2">
      <c r="A54" t="s">
        <v>190</v>
      </c>
      <c r="B54" t="s">
        <v>180</v>
      </c>
      <c r="C54" s="5">
        <v>1355</v>
      </c>
      <c r="D54" t="s">
        <v>131</v>
      </c>
    </row>
    <row r="55" spans="1:5" x14ac:dyDescent="0.2">
      <c r="A55" t="s">
        <v>191</v>
      </c>
      <c r="B55" t="s">
        <v>181</v>
      </c>
      <c r="C55" s="5">
        <v>2034</v>
      </c>
      <c r="D55" t="s">
        <v>131</v>
      </c>
    </row>
  </sheetData>
  <mergeCells count="3">
    <mergeCell ref="D17:D20"/>
    <mergeCell ref="D22:D25"/>
    <mergeCell ref="D3:D4"/>
  </mergeCells>
  <hyperlinks>
    <hyperlink ref="D12" r:id="rId1" display="https://doi.org/10.1161/CIR.0000000000001303" xr:uid="{5FAAD6D3-F882-3646-B222-CBC8C9ECE2E6}"/>
    <hyperlink ref="D13" r:id="rId2" display="https://doi.org/10.1161/CIR.0000000000001303" xr:uid="{DDFA0CAA-8BB1-F149-A546-0D05C86E9179}"/>
    <hyperlink ref="D14" r:id="rId3" display="https://doi.org/10.1161/CIR.0000000000001303" xr:uid="{DB8A4F04-F20A-1C40-8B92-72EE046C654C}"/>
    <hyperlink ref="D16" r:id="rId4" display="https://doi-org.proxy.library.vanderbilt.edu/10.1111/cob.12294" xr:uid="{C2062E08-B4CE-AA4D-98D6-FB2026B2878A}"/>
    <hyperlink ref="D48" r:id="rId5" display="https://www-ahajournals-org.proxy.library.vanderbilt.edu/doi/abs/10.1161/CIR.0000000000001258" xr:uid="{47710971-4F83-D44E-B505-73E64149644C}"/>
    <hyperlink ref="D9" r:id="rId6" display="https://doi.org/10.1161/CIR.0000000000001303" xr:uid="{F747604D-6A26-D840-A932-07D14ABE05A6}"/>
    <hyperlink ref="D10" r:id="rId7" display="https://doi.org/10.1161/CIR.0000000000001303" xr:uid="{2E72B5BD-456E-E140-B905-EFBC1801D5D9}"/>
  </hyperlink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F241-3193-7041-A39C-3F8E77087755}">
  <dimension ref="A1:E45"/>
  <sheetViews>
    <sheetView workbookViewId="0">
      <selection activeCell="D32" sqref="D32"/>
    </sheetView>
  </sheetViews>
  <sheetFormatPr baseColWidth="10" defaultRowHeight="16" x14ac:dyDescent="0.2"/>
  <cols>
    <col min="1" max="1" width="35.1640625" style="51" customWidth="1"/>
    <col min="2" max="2" width="30.1640625" style="52" customWidth="1"/>
    <col min="3" max="3" width="17.83203125" style="53" customWidth="1"/>
    <col min="4" max="16384" width="10.83203125" style="13"/>
  </cols>
  <sheetData>
    <row r="1" spans="1:5" s="4" customFormat="1" x14ac:dyDescent="0.2">
      <c r="A1" s="54" t="s">
        <v>9</v>
      </c>
      <c r="B1" s="55" t="s">
        <v>10</v>
      </c>
      <c r="C1" s="56" t="s">
        <v>11</v>
      </c>
      <c r="D1" s="57" t="s">
        <v>37</v>
      </c>
      <c r="E1" s="57"/>
    </row>
    <row r="2" spans="1:5" ht="42" x14ac:dyDescent="0.2">
      <c r="A2" s="58" t="s">
        <v>62</v>
      </c>
      <c r="B2" s="66">
        <v>29</v>
      </c>
      <c r="C2" s="59" t="s">
        <v>286</v>
      </c>
      <c r="D2" s="60" t="s">
        <v>65</v>
      </c>
      <c r="E2" s="60"/>
    </row>
    <row r="3" spans="1:5" x14ac:dyDescent="0.2">
      <c r="A3" s="58" t="s">
        <v>59</v>
      </c>
      <c r="B3" s="66" t="s">
        <v>61</v>
      </c>
      <c r="C3" s="75" t="s">
        <v>285</v>
      </c>
      <c r="D3" s="77" t="s">
        <v>285</v>
      </c>
      <c r="E3" s="60"/>
    </row>
    <row r="4" spans="1:5" x14ac:dyDescent="0.2">
      <c r="A4" s="58" t="s">
        <v>104</v>
      </c>
      <c r="B4" s="66" t="s">
        <v>70</v>
      </c>
      <c r="C4" s="75"/>
      <c r="D4" s="77"/>
      <c r="E4" s="60"/>
    </row>
    <row r="5" spans="1:5" x14ac:dyDescent="0.2">
      <c r="A5" s="58" t="s">
        <v>68</v>
      </c>
      <c r="B5" s="67">
        <v>0</v>
      </c>
      <c r="C5" s="61" t="s">
        <v>71</v>
      </c>
      <c r="D5" s="60" t="s">
        <v>71</v>
      </c>
      <c r="E5" s="60"/>
    </row>
    <row r="6" spans="1:5" x14ac:dyDescent="0.2">
      <c r="A6" s="58" t="s">
        <v>66</v>
      </c>
      <c r="B6" s="66">
        <v>7.0000000000000007E-2</v>
      </c>
      <c r="C6" s="59" t="s">
        <v>287</v>
      </c>
      <c r="D6" s="60" t="s">
        <v>67</v>
      </c>
      <c r="E6" s="60"/>
    </row>
    <row r="7" spans="1:5" x14ac:dyDescent="0.2">
      <c r="A7" s="76" t="s">
        <v>296</v>
      </c>
      <c r="B7" s="76"/>
      <c r="C7" s="76"/>
      <c r="D7" s="60"/>
      <c r="E7" s="60"/>
    </row>
    <row r="8" spans="1:5" x14ac:dyDescent="0.2">
      <c r="A8" s="58" t="s">
        <v>96</v>
      </c>
      <c r="B8" s="66" t="s">
        <v>84</v>
      </c>
      <c r="C8" s="59"/>
      <c r="D8" s="60"/>
      <c r="E8" s="60"/>
    </row>
    <row r="9" spans="1:5" ht="28" x14ac:dyDescent="0.2">
      <c r="A9" s="58" t="s">
        <v>79</v>
      </c>
      <c r="B9" s="66">
        <v>0.46700000000000003</v>
      </c>
      <c r="C9" s="75" t="s">
        <v>288</v>
      </c>
      <c r="D9" s="62" t="s">
        <v>101</v>
      </c>
      <c r="E9" s="60" t="s">
        <v>127</v>
      </c>
    </row>
    <row r="10" spans="1:5" ht="28" x14ac:dyDescent="0.2">
      <c r="A10" s="58" t="s">
        <v>78</v>
      </c>
      <c r="B10" s="66">
        <v>9.9000000000000005E-2</v>
      </c>
      <c r="C10" s="75"/>
      <c r="D10" s="62" t="s">
        <v>101</v>
      </c>
      <c r="E10" s="60" t="s">
        <v>127</v>
      </c>
    </row>
    <row r="11" spans="1:5" x14ac:dyDescent="0.2">
      <c r="A11" s="76" t="s">
        <v>297</v>
      </c>
      <c r="B11" s="76"/>
      <c r="C11" s="76"/>
      <c r="D11" s="60"/>
      <c r="E11" s="60"/>
    </row>
    <row r="12" spans="1:5" ht="28" x14ac:dyDescent="0.2">
      <c r="A12" s="58" t="s">
        <v>128</v>
      </c>
      <c r="B12" s="66" t="s">
        <v>91</v>
      </c>
      <c r="C12" s="75" t="s">
        <v>288</v>
      </c>
      <c r="D12" s="62" t="s">
        <v>101</v>
      </c>
      <c r="E12" s="60"/>
    </row>
    <row r="13" spans="1:5" ht="28" x14ac:dyDescent="0.2">
      <c r="A13" s="58" t="s">
        <v>129</v>
      </c>
      <c r="B13" s="66" t="s">
        <v>88</v>
      </c>
      <c r="C13" s="75"/>
      <c r="D13" s="62" t="s">
        <v>101</v>
      </c>
      <c r="E13" s="60"/>
    </row>
    <row r="14" spans="1:5" ht="28" x14ac:dyDescent="0.2">
      <c r="A14" s="58" t="s">
        <v>130</v>
      </c>
      <c r="B14" s="66" t="s">
        <v>85</v>
      </c>
      <c r="C14" s="75"/>
      <c r="D14" s="62" t="s">
        <v>101</v>
      </c>
      <c r="E14" s="60"/>
    </row>
    <row r="15" spans="1:5" x14ac:dyDescent="0.2">
      <c r="A15" s="76" t="s">
        <v>298</v>
      </c>
      <c r="B15" s="76"/>
      <c r="C15" s="76"/>
      <c r="D15" s="60"/>
      <c r="E15" s="60"/>
    </row>
    <row r="16" spans="1:5" x14ac:dyDescent="0.2">
      <c r="A16" s="58" t="s">
        <v>107</v>
      </c>
      <c r="B16" s="68">
        <v>0</v>
      </c>
      <c r="C16" s="63" t="s">
        <v>71</v>
      </c>
      <c r="D16" s="62"/>
      <c r="E16" s="60"/>
    </row>
    <row r="17" spans="1:5" x14ac:dyDescent="0.2">
      <c r="A17" s="58" t="s">
        <v>3</v>
      </c>
      <c r="B17" s="69">
        <f>-13.7/100</f>
        <v>-0.13699999999999998</v>
      </c>
      <c r="C17" s="79" t="s">
        <v>35</v>
      </c>
      <c r="D17" s="78" t="s">
        <v>35</v>
      </c>
      <c r="E17" s="60"/>
    </row>
    <row r="18" spans="1:5" x14ac:dyDescent="0.2">
      <c r="A18" s="58" t="s">
        <v>4</v>
      </c>
      <c r="B18" s="69">
        <v>-0.05</v>
      </c>
      <c r="C18" s="79"/>
      <c r="D18" s="78"/>
      <c r="E18" s="60"/>
    </row>
    <row r="19" spans="1:5" x14ac:dyDescent="0.2">
      <c r="A19" s="58" t="s">
        <v>5</v>
      </c>
      <c r="B19" s="66">
        <v>-9.0999999999999998E-2</v>
      </c>
      <c r="C19" s="79"/>
      <c r="D19" s="78"/>
      <c r="E19" s="60"/>
    </row>
    <row r="20" spans="1:5" x14ac:dyDescent="0.2">
      <c r="A20" s="58" t="s">
        <v>6</v>
      </c>
      <c r="B20" s="66">
        <v>-4.5999999999999999E-2</v>
      </c>
      <c r="C20" s="79"/>
      <c r="D20" s="78"/>
      <c r="E20" s="60"/>
    </row>
    <row r="21" spans="1:5" x14ac:dyDescent="0.2">
      <c r="A21" s="58" t="s">
        <v>7</v>
      </c>
      <c r="B21" s="66"/>
      <c r="C21" s="59"/>
      <c r="D21" s="60"/>
      <c r="E21" s="60"/>
    </row>
    <row r="22" spans="1:5" x14ac:dyDescent="0.2">
      <c r="A22" s="76" t="s">
        <v>299</v>
      </c>
      <c r="B22" s="76"/>
      <c r="C22" s="76"/>
      <c r="D22" s="60"/>
      <c r="E22" s="60"/>
    </row>
    <row r="23" spans="1:5" ht="70" x14ac:dyDescent="0.2">
      <c r="A23" s="64" t="s">
        <v>281</v>
      </c>
      <c r="B23" s="70" t="s">
        <v>150</v>
      </c>
      <c r="C23" s="63" t="s">
        <v>289</v>
      </c>
      <c r="D23" s="62" t="s">
        <v>125</v>
      </c>
      <c r="E23" s="60" t="s">
        <v>282</v>
      </c>
    </row>
    <row r="24" spans="1:5" ht="56" x14ac:dyDescent="0.2">
      <c r="A24" s="64" t="s">
        <v>283</v>
      </c>
      <c r="B24" s="70" t="s">
        <v>76</v>
      </c>
      <c r="C24" s="63" t="s">
        <v>290</v>
      </c>
      <c r="D24" s="62" t="s">
        <v>126</v>
      </c>
      <c r="E24" s="60" t="s">
        <v>282</v>
      </c>
    </row>
    <row r="25" spans="1:5" ht="126" x14ac:dyDescent="0.2">
      <c r="A25" s="64" t="s">
        <v>173</v>
      </c>
      <c r="B25" s="66" t="s">
        <v>174</v>
      </c>
      <c r="C25" s="63" t="s">
        <v>291</v>
      </c>
      <c r="D25" s="62" t="s">
        <v>175</v>
      </c>
      <c r="E25" s="60" t="s">
        <v>176</v>
      </c>
    </row>
    <row r="26" spans="1:5" x14ac:dyDescent="0.2">
      <c r="A26" s="76" t="s">
        <v>300</v>
      </c>
      <c r="B26" s="76"/>
      <c r="C26" s="76"/>
      <c r="D26" s="60"/>
      <c r="E26" s="60"/>
    </row>
    <row r="27" spans="1:5" x14ac:dyDescent="0.2">
      <c r="A27" s="58" t="s">
        <v>24</v>
      </c>
      <c r="B27" s="66" t="s">
        <v>29</v>
      </c>
      <c r="C27" s="80" t="s">
        <v>27</v>
      </c>
      <c r="D27" s="60" t="s">
        <v>27</v>
      </c>
      <c r="E27" s="60"/>
    </row>
    <row r="28" spans="1:5" x14ac:dyDescent="0.2">
      <c r="A28" s="58" t="s">
        <v>26</v>
      </c>
      <c r="B28" s="66">
        <v>3.3E-3</v>
      </c>
      <c r="C28" s="80"/>
      <c r="D28" s="60" t="s">
        <v>27</v>
      </c>
      <c r="E28" s="60"/>
    </row>
    <row r="29" spans="1:5" x14ac:dyDescent="0.2">
      <c r="A29" s="58" t="s">
        <v>140</v>
      </c>
      <c r="B29" s="66">
        <v>0.55000000000000004</v>
      </c>
      <c r="C29" s="80"/>
      <c r="D29" s="60"/>
      <c r="E29" s="60"/>
    </row>
    <row r="30" spans="1:5" x14ac:dyDescent="0.2">
      <c r="A30" s="58" t="s">
        <v>141</v>
      </c>
      <c r="B30" s="66">
        <v>0.22</v>
      </c>
      <c r="C30" s="80"/>
      <c r="D30" s="60" t="s">
        <v>27</v>
      </c>
      <c r="E30" s="60"/>
    </row>
    <row r="31" spans="1:5" x14ac:dyDescent="0.2">
      <c r="A31" s="58" t="s">
        <v>142</v>
      </c>
      <c r="B31" s="66">
        <v>0.23</v>
      </c>
      <c r="C31" s="80"/>
      <c r="D31" s="60" t="s">
        <v>27</v>
      </c>
      <c r="E31" s="60"/>
    </row>
    <row r="32" spans="1:5" ht="28" x14ac:dyDescent="0.2">
      <c r="A32" s="58" t="s">
        <v>145</v>
      </c>
      <c r="B32" s="68" t="s">
        <v>146</v>
      </c>
      <c r="C32" s="74" t="s">
        <v>292</v>
      </c>
      <c r="D32" s="60" t="s">
        <v>135</v>
      </c>
      <c r="E32" s="60"/>
    </row>
    <row r="33" spans="1:5" x14ac:dyDescent="0.2">
      <c r="A33" s="58" t="s">
        <v>143</v>
      </c>
      <c r="B33" s="68" t="s">
        <v>144</v>
      </c>
      <c r="C33" s="74"/>
      <c r="D33" s="60" t="s">
        <v>135</v>
      </c>
      <c r="E33" s="60"/>
    </row>
    <row r="34" spans="1:5" x14ac:dyDescent="0.2">
      <c r="A34" s="58" t="s">
        <v>147</v>
      </c>
      <c r="B34" s="68" t="s">
        <v>148</v>
      </c>
      <c r="C34" s="74"/>
      <c r="D34" s="60" t="s">
        <v>135</v>
      </c>
      <c r="E34" s="60"/>
    </row>
    <row r="35" spans="1:5" x14ac:dyDescent="0.2">
      <c r="A35" s="58" t="s">
        <v>138</v>
      </c>
      <c r="B35" s="68" t="s">
        <v>136</v>
      </c>
      <c r="C35" s="74"/>
      <c r="D35" s="60" t="s">
        <v>135</v>
      </c>
      <c r="E35" s="60"/>
    </row>
    <row r="36" spans="1:5" x14ac:dyDescent="0.2">
      <c r="A36" s="58" t="s">
        <v>139</v>
      </c>
      <c r="B36" s="68" t="s">
        <v>137</v>
      </c>
      <c r="C36" s="74"/>
      <c r="D36" s="60" t="s">
        <v>135</v>
      </c>
      <c r="E36" s="60"/>
    </row>
    <row r="37" spans="1:5" x14ac:dyDescent="0.2">
      <c r="A37" s="76" t="s">
        <v>301</v>
      </c>
      <c r="B37" s="76"/>
      <c r="C37" s="76"/>
      <c r="D37" s="60"/>
      <c r="E37" s="60"/>
    </row>
    <row r="38" spans="1:5" ht="28" x14ac:dyDescent="0.2">
      <c r="A38" s="58" t="s">
        <v>117</v>
      </c>
      <c r="B38" s="66" t="s">
        <v>123</v>
      </c>
      <c r="C38" s="59" t="s">
        <v>293</v>
      </c>
      <c r="D38" s="62" t="s">
        <v>119</v>
      </c>
      <c r="E38" s="60" t="s">
        <v>118</v>
      </c>
    </row>
    <row r="39" spans="1:5" ht="28" x14ac:dyDescent="0.2">
      <c r="A39" s="58" t="s">
        <v>116</v>
      </c>
      <c r="B39" s="71">
        <f>12022*(110.22/117.996)</f>
        <v>11229.743720126105</v>
      </c>
      <c r="C39" s="65" t="s">
        <v>294</v>
      </c>
      <c r="D39" s="62" t="s">
        <v>114</v>
      </c>
      <c r="E39" s="60" t="s">
        <v>118</v>
      </c>
    </row>
    <row r="40" spans="1:5" ht="28" x14ac:dyDescent="0.2">
      <c r="A40" s="58" t="s">
        <v>115</v>
      </c>
      <c r="B40" s="66" t="s">
        <v>113</v>
      </c>
      <c r="C40" s="59" t="s">
        <v>295</v>
      </c>
      <c r="D40" s="60" t="s">
        <v>110</v>
      </c>
      <c r="E40" s="60" t="s">
        <v>118</v>
      </c>
    </row>
    <row r="41" spans="1:5" x14ac:dyDescent="0.2">
      <c r="A41" s="58" t="s">
        <v>177</v>
      </c>
      <c r="B41" s="66">
        <v>0</v>
      </c>
      <c r="C41" s="59" t="s">
        <v>71</v>
      </c>
      <c r="D41" s="62"/>
      <c r="E41" s="60"/>
    </row>
    <row r="42" spans="1:5" x14ac:dyDescent="0.2">
      <c r="A42" s="58" t="s">
        <v>178</v>
      </c>
      <c r="B42" s="66">
        <v>13618</v>
      </c>
      <c r="C42" s="75" t="s">
        <v>131</v>
      </c>
      <c r="D42" s="60" t="s">
        <v>131</v>
      </c>
      <c r="E42" s="60"/>
    </row>
    <row r="43" spans="1:5" x14ac:dyDescent="0.2">
      <c r="A43" s="58" t="s">
        <v>179</v>
      </c>
      <c r="B43" s="66">
        <v>11309</v>
      </c>
      <c r="C43" s="75"/>
      <c r="D43" s="60" t="s">
        <v>131</v>
      </c>
      <c r="E43" s="60"/>
    </row>
    <row r="44" spans="1:5" x14ac:dyDescent="0.2">
      <c r="A44" s="58" t="s">
        <v>180</v>
      </c>
      <c r="B44" s="66">
        <v>1355</v>
      </c>
      <c r="C44" s="75"/>
      <c r="D44" s="60" t="s">
        <v>131</v>
      </c>
      <c r="E44" s="60"/>
    </row>
    <row r="45" spans="1:5" x14ac:dyDescent="0.2">
      <c r="A45" s="58" t="s">
        <v>181</v>
      </c>
      <c r="B45" s="66">
        <v>2034</v>
      </c>
      <c r="C45" s="75"/>
      <c r="D45" s="60" t="s">
        <v>131</v>
      </c>
      <c r="E45" s="60"/>
    </row>
  </sheetData>
  <mergeCells count="15">
    <mergeCell ref="D3:D4"/>
    <mergeCell ref="D17:D20"/>
    <mergeCell ref="C3:C4"/>
    <mergeCell ref="C17:C20"/>
    <mergeCell ref="C27:C31"/>
    <mergeCell ref="C12:C14"/>
    <mergeCell ref="C9:C10"/>
    <mergeCell ref="C32:C36"/>
    <mergeCell ref="C42:C45"/>
    <mergeCell ref="A7:C7"/>
    <mergeCell ref="A11:C11"/>
    <mergeCell ref="A15:C15"/>
    <mergeCell ref="A22:C22"/>
    <mergeCell ref="A26:C26"/>
    <mergeCell ref="A37:C37"/>
  </mergeCells>
  <hyperlinks>
    <hyperlink ref="D12" r:id="rId1" display="https://doi.org/10.1161/CIR.0000000000001303" xr:uid="{2DD95560-92BB-1040-A995-631E3187DCE2}"/>
    <hyperlink ref="D13" r:id="rId2" display="https://doi.org/10.1161/CIR.0000000000001303" xr:uid="{8E4BC818-98D5-A742-A96C-B0E7B71024FC}"/>
    <hyperlink ref="D14" r:id="rId3" display="https://doi.org/10.1161/CIR.0000000000001303" xr:uid="{E466ED82-58A5-374B-9C36-E0EAC8384CF4}"/>
    <hyperlink ref="D38" r:id="rId4" display="https://www-ahajournals-org.proxy.library.vanderbilt.edu/doi/abs/10.1161/CIR.0000000000001258" xr:uid="{68162569-553C-FD44-9668-3065623CBAC2}"/>
    <hyperlink ref="D9" r:id="rId5" display="https://doi.org/10.1161/CIR.0000000000001303" xr:uid="{075AD9DD-ECB4-3041-B976-AFCC5625EE21}"/>
    <hyperlink ref="D10" r:id="rId6" display="https://doi.org/10.1161/CIR.0000000000001303" xr:uid="{3345FFA2-0695-AF4D-912C-D459B0A491D2}"/>
    <hyperlink ref="D23" r:id="rId7" xr:uid="{BAF3B99E-2F37-7D4D-B118-C67AA776416C}"/>
    <hyperlink ref="D24" r:id="rId8" xr:uid="{735FF3F2-6D3D-2748-B0E4-361642899789}"/>
    <hyperlink ref="D25" r:id="rId9" xr:uid="{4AA71F98-675D-D84F-929F-A97AA68A1A1D}"/>
    <hyperlink ref="D39" r:id="rId10" xr:uid="{FD172BAB-9721-9A44-AF71-C7EC32CF487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A600-DA3A-374E-A964-F9CBC0FB34FF}">
  <dimension ref="A1:G50"/>
  <sheetViews>
    <sheetView zoomScaleNormal="120" workbookViewId="0">
      <selection activeCell="C37" sqref="C37"/>
    </sheetView>
  </sheetViews>
  <sheetFormatPr baseColWidth="10" defaultRowHeight="16" x14ac:dyDescent="0.2"/>
  <cols>
    <col min="1" max="1" width="18.33203125" bestFit="1" customWidth="1"/>
    <col min="2" max="2" width="45.1640625" customWidth="1"/>
    <col min="3" max="3" width="87.33203125" style="5" customWidth="1"/>
    <col min="4" max="4" width="15" style="5" customWidth="1"/>
    <col min="5" max="5" width="16.6640625" style="5" customWidth="1"/>
  </cols>
  <sheetData>
    <row r="1" spans="1:7" s="4" customFormat="1" x14ac:dyDescent="0.2">
      <c r="A1" s="4" t="s">
        <v>8</v>
      </c>
      <c r="B1" s="4" t="s">
        <v>9</v>
      </c>
      <c r="C1" s="17" t="s">
        <v>10</v>
      </c>
      <c r="D1" s="17" t="s">
        <v>231</v>
      </c>
      <c r="E1" s="17" t="s">
        <v>232</v>
      </c>
      <c r="F1" s="4" t="s">
        <v>37</v>
      </c>
    </row>
    <row r="2" spans="1:7" x14ac:dyDescent="0.2">
      <c r="B2" t="s">
        <v>62</v>
      </c>
      <c r="C2" s="5">
        <v>29</v>
      </c>
      <c r="F2" t="s">
        <v>65</v>
      </c>
    </row>
    <row r="3" spans="1:7" x14ac:dyDescent="0.2">
      <c r="B3" t="s">
        <v>59</v>
      </c>
      <c r="C3" s="5" t="s">
        <v>61</v>
      </c>
      <c r="F3" s="73" t="s">
        <v>64</v>
      </c>
    </row>
    <row r="4" spans="1:7" x14ac:dyDescent="0.2">
      <c r="B4" t="s">
        <v>104</v>
      </c>
      <c r="C4" s="5" t="s">
        <v>70</v>
      </c>
      <c r="F4" s="73"/>
    </row>
    <row r="5" spans="1:7" x14ac:dyDescent="0.2">
      <c r="B5" t="s">
        <v>68</v>
      </c>
      <c r="C5" s="8">
        <v>0</v>
      </c>
      <c r="D5" s="8"/>
      <c r="E5" s="8"/>
      <c r="F5" t="s">
        <v>71</v>
      </c>
    </row>
    <row r="6" spans="1:7" x14ac:dyDescent="0.2">
      <c r="B6" t="s">
        <v>66</v>
      </c>
      <c r="C6" s="5">
        <v>7.0000000000000007E-2</v>
      </c>
      <c r="F6" t="s">
        <v>67</v>
      </c>
    </row>
    <row r="8" spans="1:7" x14ac:dyDescent="0.2">
      <c r="A8" t="s">
        <v>0</v>
      </c>
      <c r="B8" t="s">
        <v>96</v>
      </c>
      <c r="C8" t="s">
        <v>84</v>
      </c>
      <c r="D8"/>
      <c r="E8"/>
    </row>
    <row r="9" spans="1:7" x14ac:dyDescent="0.2">
      <c r="A9" t="s">
        <v>1</v>
      </c>
      <c r="B9" t="s">
        <v>79</v>
      </c>
      <c r="C9" s="5">
        <v>0.46700000000000003</v>
      </c>
      <c r="F9" s="14" t="s">
        <v>101</v>
      </c>
      <c r="G9" t="s">
        <v>127</v>
      </c>
    </row>
    <row r="10" spans="1:7" x14ac:dyDescent="0.2">
      <c r="A10" t="s">
        <v>2</v>
      </c>
      <c r="B10" t="s">
        <v>78</v>
      </c>
      <c r="C10" s="5">
        <v>9.9000000000000005E-2</v>
      </c>
      <c r="F10" s="14" t="s">
        <v>101</v>
      </c>
      <c r="G10" t="s">
        <v>127</v>
      </c>
    </row>
    <row r="12" spans="1:7" x14ac:dyDescent="0.2">
      <c r="A12" t="s">
        <v>93</v>
      </c>
      <c r="B12" t="s">
        <v>128</v>
      </c>
      <c r="C12" s="5" t="s">
        <v>91</v>
      </c>
      <c r="D12"/>
      <c r="E12"/>
      <c r="F12" s="14" t="s">
        <v>101</v>
      </c>
    </row>
    <row r="13" spans="1:7" x14ac:dyDescent="0.2">
      <c r="A13" t="s">
        <v>94</v>
      </c>
      <c r="B13" t="s">
        <v>129</v>
      </c>
      <c r="C13" s="5" t="s">
        <v>88</v>
      </c>
      <c r="D13"/>
      <c r="E13"/>
      <c r="F13" s="14" t="s">
        <v>101</v>
      </c>
    </row>
    <row r="14" spans="1:7" x14ac:dyDescent="0.2">
      <c r="A14" t="s">
        <v>95</v>
      </c>
      <c r="B14" t="s">
        <v>130</v>
      </c>
      <c r="C14" s="5" t="s">
        <v>85</v>
      </c>
      <c r="D14"/>
      <c r="E14"/>
      <c r="F14" s="14" t="s">
        <v>101</v>
      </c>
    </row>
    <row r="16" spans="1:7" x14ac:dyDescent="0.2">
      <c r="B16" t="s">
        <v>107</v>
      </c>
      <c r="C16" s="15" t="s">
        <v>106</v>
      </c>
      <c r="D16" s="15"/>
      <c r="E16" s="15"/>
      <c r="F16" s="14" t="s">
        <v>108</v>
      </c>
    </row>
    <row r="17" spans="1:7" x14ac:dyDescent="0.2">
      <c r="A17" t="s">
        <v>182</v>
      </c>
      <c r="B17" t="s">
        <v>3</v>
      </c>
      <c r="C17" s="6">
        <f>-13.7/100</f>
        <v>-0.13699999999999998</v>
      </c>
      <c r="D17" s="6"/>
      <c r="E17" s="6"/>
      <c r="F17" s="72" t="s">
        <v>35</v>
      </c>
    </row>
    <row r="18" spans="1:7" x14ac:dyDescent="0.2">
      <c r="A18" t="s">
        <v>183</v>
      </c>
      <c r="B18" t="s">
        <v>4</v>
      </c>
      <c r="C18" s="6">
        <v>-0.05</v>
      </c>
      <c r="D18" s="6"/>
      <c r="E18" s="6"/>
      <c r="F18" s="72"/>
    </row>
    <row r="19" spans="1:7" x14ac:dyDescent="0.2">
      <c r="A19" s="25" t="s">
        <v>184</v>
      </c>
      <c r="B19" t="s">
        <v>5</v>
      </c>
      <c r="C19" s="5">
        <v>-9.0999999999999998E-2</v>
      </c>
      <c r="D19" s="35">
        <v>-0.11</v>
      </c>
      <c r="E19" s="5">
        <v>-7.0999999999999994E-2</v>
      </c>
      <c r="F19" s="72"/>
    </row>
    <row r="20" spans="1:7" x14ac:dyDescent="0.2">
      <c r="A20" s="25" t="s">
        <v>185</v>
      </c>
      <c r="B20" t="s">
        <v>6</v>
      </c>
      <c r="C20" s="5">
        <v>-4.5999999999999999E-2</v>
      </c>
      <c r="F20" s="72"/>
    </row>
    <row r="21" spans="1:7" x14ac:dyDescent="0.2">
      <c r="A21" s="25" t="s">
        <v>186</v>
      </c>
      <c r="B21" t="s">
        <v>7</v>
      </c>
    </row>
    <row r="23" spans="1:7" ht="34" x14ac:dyDescent="0.2">
      <c r="B23" s="18" t="s">
        <v>151</v>
      </c>
      <c r="C23" s="19" t="s">
        <v>150</v>
      </c>
      <c r="D23" s="19"/>
      <c r="E23" s="19"/>
      <c r="F23" t="s">
        <v>125</v>
      </c>
    </row>
    <row r="24" spans="1:7" ht="51" x14ac:dyDescent="0.2">
      <c r="B24" s="18" t="s">
        <v>149</v>
      </c>
      <c r="C24" s="20" t="s">
        <v>76</v>
      </c>
      <c r="D24" s="20"/>
      <c r="E24" s="20"/>
      <c r="F24" t="s">
        <v>126</v>
      </c>
    </row>
    <row r="25" spans="1:7" ht="68" x14ac:dyDescent="0.2">
      <c r="B25" s="18" t="s">
        <v>173</v>
      </c>
      <c r="C25" s="24" t="s">
        <v>174</v>
      </c>
      <c r="D25" s="24"/>
      <c r="E25" s="24"/>
      <c r="F25" t="s">
        <v>175</v>
      </c>
      <c r="G25" t="s">
        <v>176</v>
      </c>
    </row>
    <row r="29" spans="1:7" x14ac:dyDescent="0.2">
      <c r="A29" t="s">
        <v>25</v>
      </c>
      <c r="B29" t="s">
        <v>24</v>
      </c>
      <c r="C29" s="5" t="s">
        <v>29</v>
      </c>
      <c r="F29" t="s">
        <v>27</v>
      </c>
    </row>
    <row r="30" spans="1:7" x14ac:dyDescent="0.2">
      <c r="A30" t="s">
        <v>28</v>
      </c>
      <c r="B30" t="s">
        <v>26</v>
      </c>
      <c r="C30" s="5">
        <v>3.3E-3</v>
      </c>
      <c r="F30" t="s">
        <v>27</v>
      </c>
    </row>
    <row r="31" spans="1:7" x14ac:dyDescent="0.2">
      <c r="B31" t="s">
        <v>140</v>
      </c>
      <c r="C31" s="5">
        <v>0.55000000000000004</v>
      </c>
    </row>
    <row r="32" spans="1:7" x14ac:dyDescent="0.2">
      <c r="B32" t="s">
        <v>141</v>
      </c>
      <c r="C32" s="5">
        <v>0.22</v>
      </c>
      <c r="F32" t="s">
        <v>27</v>
      </c>
    </row>
    <row r="33" spans="1:7" x14ac:dyDescent="0.2">
      <c r="B33" t="s">
        <v>142</v>
      </c>
      <c r="C33" s="5">
        <v>0.23</v>
      </c>
      <c r="F33" t="s">
        <v>27</v>
      </c>
    </row>
    <row r="34" spans="1:7" x14ac:dyDescent="0.2">
      <c r="B34" t="s">
        <v>145</v>
      </c>
      <c r="C34" s="15" t="s">
        <v>146</v>
      </c>
      <c r="D34" s="15"/>
      <c r="E34" s="15"/>
      <c r="F34" t="s">
        <v>135</v>
      </c>
    </row>
    <row r="35" spans="1:7" x14ac:dyDescent="0.2">
      <c r="B35" t="s">
        <v>143</v>
      </c>
      <c r="C35" s="15" t="s">
        <v>144</v>
      </c>
      <c r="D35" s="15"/>
      <c r="E35" s="15"/>
      <c r="F35" t="s">
        <v>135</v>
      </c>
    </row>
    <row r="36" spans="1:7" x14ac:dyDescent="0.2">
      <c r="B36" t="s">
        <v>147</v>
      </c>
      <c r="C36" s="15" t="s">
        <v>148</v>
      </c>
      <c r="D36" s="15"/>
      <c r="E36" s="15"/>
      <c r="F36" t="s">
        <v>135</v>
      </c>
    </row>
    <row r="37" spans="1:7" x14ac:dyDescent="0.2">
      <c r="B37" t="s">
        <v>138</v>
      </c>
      <c r="C37" s="15" t="s">
        <v>136</v>
      </c>
      <c r="D37" s="15">
        <f>-0.02-1.96*0.001</f>
        <v>-2.196E-2</v>
      </c>
      <c r="E37" s="15">
        <f>-0.02+1.96*0.001</f>
        <v>-1.804E-2</v>
      </c>
      <c r="F37" t="s">
        <v>135</v>
      </c>
    </row>
    <row r="38" spans="1:7" x14ac:dyDescent="0.2">
      <c r="B38" t="s">
        <v>139</v>
      </c>
      <c r="C38" s="15" t="s">
        <v>137</v>
      </c>
      <c r="D38" s="15"/>
      <c r="E38" s="15"/>
      <c r="F38" t="s">
        <v>135</v>
      </c>
    </row>
    <row r="42" spans="1:7" x14ac:dyDescent="0.2">
      <c r="A42" t="s">
        <v>105</v>
      </c>
    </row>
    <row r="43" spans="1:7" x14ac:dyDescent="0.2">
      <c r="A43" t="s">
        <v>132</v>
      </c>
      <c r="B43" t="s">
        <v>117</v>
      </c>
      <c r="C43" s="5" t="s">
        <v>123</v>
      </c>
      <c r="D43" s="5">
        <f>12143-1.96*681.89</f>
        <v>10806.4956</v>
      </c>
      <c r="E43" s="5">
        <f>12143+1.96*681.89</f>
        <v>13479.5044</v>
      </c>
      <c r="F43" s="14" t="s">
        <v>119</v>
      </c>
      <c r="G43" t="s">
        <v>118</v>
      </c>
    </row>
    <row r="44" spans="1:7" x14ac:dyDescent="0.2">
      <c r="A44" t="s">
        <v>133</v>
      </c>
      <c r="B44" t="s">
        <v>116</v>
      </c>
      <c r="C44" s="16">
        <f>12022*(110.22/117.996)</f>
        <v>11229.743720126105</v>
      </c>
      <c r="D44" s="16"/>
      <c r="E44" s="16"/>
      <c r="F44" t="s">
        <v>114</v>
      </c>
      <c r="G44" t="s">
        <v>118</v>
      </c>
    </row>
    <row r="45" spans="1:7" x14ac:dyDescent="0.2">
      <c r="A45" t="s">
        <v>134</v>
      </c>
      <c r="B45" t="s">
        <v>115</v>
      </c>
      <c r="C45" s="5" t="s">
        <v>113</v>
      </c>
      <c r="D45" s="5">
        <v>9988.58</v>
      </c>
      <c r="E45" s="5">
        <v>10412.81</v>
      </c>
      <c r="F45" t="s">
        <v>110</v>
      </c>
      <c r="G45" t="s">
        <v>118</v>
      </c>
    </row>
    <row r="46" spans="1:7" x14ac:dyDescent="0.2">
      <c r="A46" t="s">
        <v>187</v>
      </c>
      <c r="B46" t="s">
        <v>177</v>
      </c>
      <c r="C46" s="5">
        <v>0</v>
      </c>
      <c r="F46" s="14"/>
    </row>
    <row r="47" spans="1:7" x14ac:dyDescent="0.2">
      <c r="A47" t="s">
        <v>188</v>
      </c>
      <c r="B47" t="s">
        <v>178</v>
      </c>
      <c r="C47" s="5">
        <v>13618</v>
      </c>
      <c r="F47" t="s">
        <v>131</v>
      </c>
    </row>
    <row r="48" spans="1:7" x14ac:dyDescent="0.2">
      <c r="A48" t="s">
        <v>189</v>
      </c>
      <c r="B48" t="s">
        <v>179</v>
      </c>
      <c r="C48" s="5">
        <v>11309</v>
      </c>
      <c r="F48" t="s">
        <v>131</v>
      </c>
    </row>
    <row r="49" spans="1:6" x14ac:dyDescent="0.2">
      <c r="A49" t="s">
        <v>190</v>
      </c>
      <c r="B49" t="s">
        <v>180</v>
      </c>
      <c r="C49" s="5">
        <v>1355</v>
      </c>
      <c r="F49" t="s">
        <v>131</v>
      </c>
    </row>
    <row r="50" spans="1:6" x14ac:dyDescent="0.2">
      <c r="A50" t="s">
        <v>191</v>
      </c>
      <c r="B50" t="s">
        <v>181</v>
      </c>
      <c r="C50" s="5">
        <v>2034</v>
      </c>
      <c r="F50" t="s">
        <v>131</v>
      </c>
    </row>
  </sheetData>
  <mergeCells count="2">
    <mergeCell ref="F3:F4"/>
    <mergeCell ref="F17:F20"/>
  </mergeCells>
  <hyperlinks>
    <hyperlink ref="F12" r:id="rId1" display="https://doi.org/10.1161/CIR.0000000000001303" xr:uid="{0E9416BF-CD4C-264D-8454-11172A690B6E}"/>
    <hyperlink ref="F13" r:id="rId2" display="https://doi.org/10.1161/CIR.0000000000001303" xr:uid="{61604829-3529-6344-BBD6-A3E0B5B1070D}"/>
    <hyperlink ref="F14" r:id="rId3" display="https://doi.org/10.1161/CIR.0000000000001303" xr:uid="{B5102EE0-16AC-C94D-BA05-B3BFDB0F1C96}"/>
    <hyperlink ref="F16" r:id="rId4" display="https://doi-org.proxy.library.vanderbilt.edu/10.1111/cob.12294" xr:uid="{2F5D4FCC-8AD6-2441-A79C-BD6088C8CFD7}"/>
    <hyperlink ref="F43" r:id="rId5" display="https://www-ahajournals-org.proxy.library.vanderbilt.edu/doi/abs/10.1161/CIR.0000000000001258" xr:uid="{D1CA40AE-AE82-854B-ACCC-1E17FD780D87}"/>
    <hyperlink ref="F9" r:id="rId6" display="https://doi.org/10.1161/CIR.0000000000001303" xr:uid="{CDEB6FA0-6A22-AE4A-BF22-85FF60FBC04A}"/>
    <hyperlink ref="F10" r:id="rId7" display="https://doi.org/10.1161/CIR.0000000000001303" xr:uid="{608F3343-A88A-B341-9ECA-C371A10C1CD2}"/>
  </hyperlink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6B75-4028-A54D-BB15-2D89C5CD3C3F}">
  <dimension ref="A1:J120"/>
  <sheetViews>
    <sheetView zoomScale="139" zoomScaleNormal="200" workbookViewId="0">
      <selection activeCell="C116" sqref="C116"/>
    </sheetView>
  </sheetViews>
  <sheetFormatPr baseColWidth="10" defaultRowHeight="16" x14ac:dyDescent="0.2"/>
  <cols>
    <col min="2" max="2" width="20.5" customWidth="1"/>
    <col min="3" max="3" width="16.1640625" bestFit="1" customWidth="1"/>
    <col min="4" max="4" width="18.5" bestFit="1" customWidth="1"/>
  </cols>
  <sheetData>
    <row r="1" spans="1:10" x14ac:dyDescent="0.2">
      <c r="A1" s="4" t="s">
        <v>171</v>
      </c>
    </row>
    <row r="2" spans="1:10" x14ac:dyDescent="0.2">
      <c r="A2" t="s">
        <v>60</v>
      </c>
      <c r="B2" t="s">
        <v>11</v>
      </c>
      <c r="C2" t="s">
        <v>40</v>
      </c>
      <c r="D2" t="s">
        <v>41</v>
      </c>
      <c r="E2" t="s">
        <v>44</v>
      </c>
      <c r="F2" t="s">
        <v>45</v>
      </c>
    </row>
    <row r="4" spans="1:10" x14ac:dyDescent="0.2">
      <c r="A4" t="s">
        <v>38</v>
      </c>
      <c r="B4" t="s">
        <v>51</v>
      </c>
      <c r="C4" t="s">
        <v>54</v>
      </c>
      <c r="D4" s="2">
        <f>(36.7*994+36.2*498+36.6*995)/(994+498+995)</f>
        <v>36.559871330920792</v>
      </c>
      <c r="E4" s="2">
        <f>SQRT((4.6^2*993+4.4^2*497+4.5^2*994)/(994+498+995))</f>
        <v>4.5178598361386531</v>
      </c>
      <c r="F4">
        <f>994+498+995</f>
        <v>2487</v>
      </c>
    </row>
    <row r="5" spans="1:10" x14ac:dyDescent="0.2">
      <c r="A5" t="s">
        <v>42</v>
      </c>
      <c r="B5" t="s">
        <v>55</v>
      </c>
      <c r="C5" t="s">
        <v>52</v>
      </c>
      <c r="D5" s="2">
        <f>(42*513+42.6*240+41.9*511)/(513+240+511)</f>
        <v>42.073496835443031</v>
      </c>
      <c r="E5" s="2">
        <f>SQRT((6.15^2*512+6.5^2*239+6.04^2*510)/(513+240+511))</f>
        <v>6.1667548602428752</v>
      </c>
      <c r="F5">
        <f>513+240+511</f>
        <v>1264</v>
      </c>
    </row>
    <row r="6" spans="1:10" x14ac:dyDescent="0.2">
      <c r="A6" t="s">
        <v>46</v>
      </c>
      <c r="B6" t="s">
        <v>57</v>
      </c>
      <c r="C6" t="s">
        <v>54</v>
      </c>
      <c r="D6" s="2">
        <f>(36.2*581+36.2*578+36.1*583)/(581+578+583)</f>
        <v>36.166532721010334</v>
      </c>
      <c r="E6" s="2">
        <f>SQRT((4^2*580+4.3^2*577+4.4^2*582)/(581+578+583))</f>
        <v>4.2331756542107941</v>
      </c>
      <c r="F6">
        <f>581+578+583</f>
        <v>1742</v>
      </c>
      <c r="J6" t="s">
        <v>50</v>
      </c>
    </row>
    <row r="7" spans="1:10" x14ac:dyDescent="0.2">
      <c r="A7" t="s">
        <v>47</v>
      </c>
      <c r="B7" t="s">
        <v>43</v>
      </c>
      <c r="C7" t="s">
        <v>54</v>
      </c>
      <c r="D7" s="2">
        <f>(38.3*2487+38.3*1244)/(2487+1244)</f>
        <v>38.299999999999997</v>
      </c>
      <c r="E7" s="2">
        <f>SQRT((6.4^2*2486+6.3^2*1243)/(2487+1244))</f>
        <v>6.3651344851625336</v>
      </c>
      <c r="F7">
        <f>2487+1244</f>
        <v>3731</v>
      </c>
    </row>
    <row r="8" spans="1:10" x14ac:dyDescent="0.2">
      <c r="A8" t="s">
        <v>48</v>
      </c>
      <c r="B8" t="s">
        <v>56</v>
      </c>
      <c r="C8" t="s">
        <v>53</v>
      </c>
      <c r="D8" s="2">
        <f>(37.8*1306+38*655)/(1306+655)</f>
        <v>37.866802651708305</v>
      </c>
      <c r="E8" s="2">
        <f>SQRT((6.7^2*1305+6.5^2*654)/(1306+655))</f>
        <v>6.6305179650964376</v>
      </c>
      <c r="F8">
        <f>1306+655</f>
        <v>1961</v>
      </c>
    </row>
    <row r="9" spans="1:10" x14ac:dyDescent="0.2">
      <c r="A9" t="s">
        <v>49</v>
      </c>
      <c r="B9" t="s">
        <v>39</v>
      </c>
      <c r="C9" t="s">
        <v>53</v>
      </c>
      <c r="D9" s="2">
        <f>(37*126+37.2*127+38.8*85)/(126+127+85)</f>
        <v>37.527810650887581</v>
      </c>
      <c r="E9" s="2">
        <f>SQRT((7.4^2*125+6.4^2*126+6.5^2*84)/(126+127+85))</f>
        <v>6.7838478547190562</v>
      </c>
      <c r="F9">
        <f>126+127+85</f>
        <v>338</v>
      </c>
    </row>
    <row r="13" spans="1:10" x14ac:dyDescent="0.2">
      <c r="C13" t="s">
        <v>58</v>
      </c>
      <c r="D13" s="2">
        <f>(D4*F4+D5*F5+D6*F6+D7*F7+D8*F8+D9*F9)/SUM(F4:F9)</f>
        <v>37.919456738696518</v>
      </c>
      <c r="E13" s="2">
        <f>SQRT((E4^2*2486+E5^2*1263+E6^2*1741+E7^2*3730+E8^2*1960+E9^2*337)/(SUM(F4:F9)))</f>
        <v>5.7634931013788471</v>
      </c>
    </row>
    <row r="14" spans="1:10" x14ac:dyDescent="0.2">
      <c r="D14" s="2"/>
      <c r="E14" s="2"/>
    </row>
    <row r="15" spans="1:10" x14ac:dyDescent="0.2">
      <c r="A15" s="4" t="s">
        <v>169</v>
      </c>
    </row>
    <row r="16" spans="1:10" x14ac:dyDescent="0.2">
      <c r="A16" t="s">
        <v>60</v>
      </c>
      <c r="B16" t="s">
        <v>11</v>
      </c>
      <c r="C16" t="s">
        <v>40</v>
      </c>
      <c r="D16" t="s">
        <v>69</v>
      </c>
      <c r="E16" t="s">
        <v>44</v>
      </c>
      <c r="F16" t="s">
        <v>45</v>
      </c>
    </row>
    <row r="18" spans="1:6" x14ac:dyDescent="0.2">
      <c r="A18" t="s">
        <v>38</v>
      </c>
      <c r="B18" t="s">
        <v>51</v>
      </c>
      <c r="C18" t="s">
        <v>54</v>
      </c>
      <c r="D18" s="2">
        <f>(128.9*994+128.3*498+127.9*995)/(994+498+995)</f>
        <v>128.37977482911137</v>
      </c>
      <c r="E18" s="2">
        <f>SQRT((13.5^2*993+13.8^2*497+13.4^2*994)/(994+498+995))</f>
        <v>13.512649809171389</v>
      </c>
      <c r="F18">
        <f>994+498+995</f>
        <v>2487</v>
      </c>
    </row>
    <row r="19" spans="1:6" x14ac:dyDescent="0.2">
      <c r="A19" t="s">
        <v>42</v>
      </c>
      <c r="B19" t="s">
        <v>55</v>
      </c>
      <c r="C19" t="s">
        <v>52</v>
      </c>
      <c r="D19" s="2">
        <f>(121.8*513+122.5*240+122*511)/(513+240+511)</f>
        <v>122.0137658227848</v>
      </c>
      <c r="E19" s="2">
        <f>SQRT((11.45^2*512+11.08^2*239+11.58^2*510)/(513+240+511))</f>
        <v>11.420293867730219</v>
      </c>
      <c r="F19">
        <f>513+240+511</f>
        <v>1264</v>
      </c>
    </row>
    <row r="20" spans="1:6" x14ac:dyDescent="0.2">
      <c r="A20" t="s">
        <v>46</v>
      </c>
      <c r="B20" t="s">
        <v>57</v>
      </c>
      <c r="C20" t="s">
        <v>54</v>
      </c>
      <c r="D20" s="2">
        <f>(119*581+119.5*578+118.9*583)/(581+578+583)</f>
        <v>119.13243398392653</v>
      </c>
      <c r="E20" s="2">
        <f>SQRT((9.8^2*580+9.9^2*577+9.9^2*582)/(581+578+583))</f>
        <v>9.8582604199454327</v>
      </c>
      <c r="F20">
        <f>581+578+583</f>
        <v>1742</v>
      </c>
    </row>
    <row r="21" spans="1:6" x14ac:dyDescent="0.2">
      <c r="A21" t="s">
        <v>47</v>
      </c>
      <c r="B21" t="s">
        <v>43</v>
      </c>
      <c r="C21" t="s">
        <v>54</v>
      </c>
      <c r="D21" s="2">
        <f>(123*2487+123.2*1244)/(2487+1244)</f>
        <v>123.06668453497723</v>
      </c>
      <c r="E21" s="2">
        <f>SQRT((12.9^2*2486+12.8^2*1243)/(2487+1244))</f>
        <v>12.863303952801147</v>
      </c>
      <c r="F21">
        <f>2487+1244</f>
        <v>3731</v>
      </c>
    </row>
    <row r="22" spans="1:6" x14ac:dyDescent="0.2">
      <c r="A22" t="s">
        <v>48</v>
      </c>
      <c r="B22" t="s">
        <v>56</v>
      </c>
      <c r="C22" t="s">
        <v>53</v>
      </c>
      <c r="D22" s="2">
        <f>(126*1306+127*655)/(1306+655)</f>
        <v>126.33401325854156</v>
      </c>
      <c r="E22" s="2">
        <f>SQRT((14^2*1305+14^2*654)/(1306+655))</f>
        <v>13.99285896408526</v>
      </c>
      <c r="F22">
        <f>1306+655</f>
        <v>1961</v>
      </c>
    </row>
    <row r="23" spans="1:6" x14ac:dyDescent="0.2">
      <c r="A23" t="s">
        <v>49</v>
      </c>
      <c r="B23" t="s">
        <v>39</v>
      </c>
      <c r="C23" t="s">
        <v>53</v>
      </c>
      <c r="D23" s="2">
        <f>(125*126+126*127+123*85)/(126+127+85)</f>
        <v>124.87278106508876</v>
      </c>
      <c r="E23" s="2">
        <f>SQRT((14^2*125+16^2*126+14^2*84)/(126+127+85))</f>
        <v>14.718261410061693</v>
      </c>
      <c r="F23">
        <f>126+127+85</f>
        <v>338</v>
      </c>
    </row>
    <row r="27" spans="1:6" x14ac:dyDescent="0.2">
      <c r="C27" t="s">
        <v>152</v>
      </c>
      <c r="D27" s="2">
        <f>(D18*F18+D19*F19+D20*F20+D21*F21+D22*F22+D23*F23)/SUM(F18:F23)</f>
        <v>124.11215829211145</v>
      </c>
      <c r="E27" s="2">
        <f>SQRT((E18^2*2486+E19^2*1263+E20^2*1741+E21^2*3730+E22^2*1960+E23^2*337)/(SUM(F18:F23)))</f>
        <v>12.711122452380076</v>
      </c>
    </row>
    <row r="30" spans="1:6" x14ac:dyDescent="0.2">
      <c r="A30" s="4" t="s">
        <v>170</v>
      </c>
    </row>
    <row r="31" spans="1:6" x14ac:dyDescent="0.2">
      <c r="A31" t="s">
        <v>60</v>
      </c>
      <c r="B31" t="s">
        <v>11</v>
      </c>
      <c r="C31" t="s">
        <v>40</v>
      </c>
      <c r="D31" t="s">
        <v>72</v>
      </c>
      <c r="E31" t="s">
        <v>44</v>
      </c>
      <c r="F31" t="s">
        <v>45</v>
      </c>
    </row>
    <row r="33" spans="1:6" x14ac:dyDescent="0.2">
      <c r="A33" t="s">
        <v>38</v>
      </c>
      <c r="B33" t="s">
        <v>51</v>
      </c>
      <c r="C33" t="s">
        <v>54</v>
      </c>
      <c r="D33" s="2">
        <f>(81.1*994+80.6*498+80.1*995)/(994+498+995)</f>
        <v>80.599798954563724</v>
      </c>
      <c r="E33" s="2">
        <f>SQRT((9.2^2*993+8.8^2*497+9.1^2*994)/(994+498+995))</f>
        <v>9.0756623873079167</v>
      </c>
      <c r="F33">
        <f>994+498+995</f>
        <v>2487</v>
      </c>
    </row>
    <row r="34" spans="1:6" x14ac:dyDescent="0.2">
      <c r="A34" t="s">
        <v>42</v>
      </c>
      <c r="B34" t="s">
        <v>55</v>
      </c>
      <c r="C34" t="s">
        <v>52</v>
      </c>
      <c r="D34" s="2">
        <f>(77.2*513+77.8*240+77.4*511)/(513+240+511)</f>
        <v>77.394778481012665</v>
      </c>
      <c r="E34" s="2">
        <f>SQRT((7.85^2*512+7.46^2*239+7.69^2*510)/(513+240+511))</f>
        <v>7.7035081294174015</v>
      </c>
      <c r="F34">
        <f>513+240+511</f>
        <v>1264</v>
      </c>
    </row>
    <row r="35" spans="1:6" x14ac:dyDescent="0.2">
      <c r="A35" t="s">
        <v>46</v>
      </c>
      <c r="B35" t="s">
        <v>57</v>
      </c>
      <c r="C35" t="s">
        <v>54</v>
      </c>
      <c r="D35" s="2">
        <f>(77.3*581+76.6*578+77.1*583)/(581+578+583)</f>
        <v>77.000803673937995</v>
      </c>
      <c r="E35" s="2">
        <f>SQRT((6.6^2*580+7.2^2*577+7.2^2*582)/(581+578+583))</f>
        <v>6.99956370626564</v>
      </c>
      <c r="F35">
        <f>581+578+583</f>
        <v>1742</v>
      </c>
    </row>
    <row r="36" spans="1:6" x14ac:dyDescent="0.2">
      <c r="A36" t="s">
        <v>47</v>
      </c>
      <c r="B36" t="s">
        <v>43</v>
      </c>
      <c r="C36" t="s">
        <v>54</v>
      </c>
      <c r="D36" s="2">
        <f>(78.7*2487+78.9*1244)/(2487+1244)</f>
        <v>78.766684534977216</v>
      </c>
      <c r="E36" s="2">
        <f>SQRT((8.6^2*2486+8.5^2*1243)/(2487+1244))</f>
        <v>8.5644999469122158</v>
      </c>
      <c r="F36">
        <f>2487+1244</f>
        <v>3731</v>
      </c>
    </row>
    <row r="37" spans="1:6" x14ac:dyDescent="0.2">
      <c r="A37" t="s">
        <v>48</v>
      </c>
      <c r="B37" t="s">
        <v>56</v>
      </c>
      <c r="C37" t="s">
        <v>53</v>
      </c>
      <c r="D37" s="2">
        <f>(80*1306+80*655)/(1306+655)</f>
        <v>80</v>
      </c>
      <c r="E37" s="2">
        <f>SQRT((10^2*1305+10^2*654)/(1306+655))</f>
        <v>9.994899260060901</v>
      </c>
      <c r="F37">
        <f>1306+655</f>
        <v>1961</v>
      </c>
    </row>
    <row r="38" spans="1:6" x14ac:dyDescent="0.2">
      <c r="A38" t="s">
        <v>49</v>
      </c>
      <c r="B38" t="s">
        <v>39</v>
      </c>
      <c r="C38" t="s">
        <v>53</v>
      </c>
      <c r="D38" s="2">
        <f>(81*126+81*127+79*85)/(126+127+85)</f>
        <v>80.49704142011835</v>
      </c>
      <c r="E38" s="2">
        <f>SQRT((9^2*125+10^2*126+9^2*84)/(126+127+85))</f>
        <v>9.3468660697286001</v>
      </c>
      <c r="F38">
        <f>126+127+85</f>
        <v>338</v>
      </c>
    </row>
    <row r="42" spans="1:6" x14ac:dyDescent="0.2">
      <c r="C42" t="s">
        <v>168</v>
      </c>
      <c r="D42" s="2">
        <f>(D33*F33+D34*F34+D35*F35+D36*F36+D37*F37+D38*F38)/SUM(F33:F38)</f>
        <v>79.005519395990632</v>
      </c>
      <c r="E42" s="2">
        <f>SQRT((E33^2*2486+E34^2*1263+E35^2*1741+E36^2*3730+E37^2*1960+E38^2*337)/(SUM(F33:F38)))</f>
        <v>8.6584027679647484</v>
      </c>
    </row>
    <row r="46" spans="1:6" x14ac:dyDescent="0.2">
      <c r="A46" t="s">
        <v>73</v>
      </c>
      <c r="B46" s="9" t="s">
        <v>74</v>
      </c>
    </row>
    <row r="49" spans="1:7" x14ac:dyDescent="0.2">
      <c r="A49" s="4" t="s">
        <v>172</v>
      </c>
    </row>
    <row r="50" spans="1:7" x14ac:dyDescent="0.2">
      <c r="A50" t="s">
        <v>60</v>
      </c>
      <c r="B50" t="s">
        <v>11</v>
      </c>
      <c r="C50" t="s">
        <v>40</v>
      </c>
      <c r="D50" t="s">
        <v>75</v>
      </c>
      <c r="E50" t="s">
        <v>44</v>
      </c>
      <c r="F50" t="s">
        <v>45</v>
      </c>
    </row>
    <row r="52" spans="1:7" x14ac:dyDescent="0.2">
      <c r="A52" t="s">
        <v>38</v>
      </c>
      <c r="B52" t="s">
        <v>51</v>
      </c>
      <c r="C52" t="s">
        <v>54</v>
      </c>
      <c r="D52" s="2">
        <f>(0.059*994+0.058*498+0.059*995)/(994+498+995)</f>
        <v>5.879975874547648E-2</v>
      </c>
      <c r="E52" s="2">
        <f>SQRT((0.008^2*993+0.007^2*497+0.008^2*994)/(994+498+995))</f>
        <v>7.8054603386160434E-3</v>
      </c>
      <c r="F52">
        <f>994+498+995</f>
        <v>2487</v>
      </c>
    </row>
    <row r="53" spans="1:7" x14ac:dyDescent="0.2">
      <c r="A53" t="s">
        <v>42</v>
      </c>
      <c r="B53" t="s">
        <v>55</v>
      </c>
      <c r="C53" t="s">
        <v>52</v>
      </c>
      <c r="D53" s="2"/>
      <c r="E53" s="2"/>
    </row>
    <row r="54" spans="1:7" x14ac:dyDescent="0.2">
      <c r="A54" t="s">
        <v>46</v>
      </c>
      <c r="B54" t="s">
        <v>57</v>
      </c>
      <c r="C54" t="s">
        <v>54</v>
      </c>
      <c r="D54" s="2"/>
      <c r="E54" s="2"/>
    </row>
    <row r="55" spans="1:7" x14ac:dyDescent="0.2">
      <c r="A55" t="s">
        <v>47</v>
      </c>
      <c r="B55" t="s">
        <v>43</v>
      </c>
      <c r="C55" t="s">
        <v>54</v>
      </c>
      <c r="D55" s="2">
        <f>(0.056*2487+0.056*1244)/(2487+1244)</f>
        <v>5.5999999999999994E-2</v>
      </c>
      <c r="E55" s="10">
        <f>SQRT((0.004^2*2486+0.004^2*1243)/(2487+1244))</f>
        <v>3.9989277576539693E-3</v>
      </c>
      <c r="F55">
        <f>2487+1244</f>
        <v>3731</v>
      </c>
    </row>
    <row r="56" spans="1:7" x14ac:dyDescent="0.2">
      <c r="A56" t="s">
        <v>48</v>
      </c>
      <c r="B56" t="s">
        <v>56</v>
      </c>
      <c r="C56" t="s">
        <v>53</v>
      </c>
      <c r="D56" s="2">
        <f>(0.057*1306+0.057*655)/(1306+655)</f>
        <v>5.7000000000000009E-2</v>
      </c>
      <c r="E56" s="10">
        <f>SQRT((0.003^2*1305+0.003^2*654)/(1306+655))</f>
        <v>2.9984697780182702E-3</v>
      </c>
      <c r="F56">
        <f>1306+655</f>
        <v>1961</v>
      </c>
    </row>
    <row r="57" spans="1:7" x14ac:dyDescent="0.2">
      <c r="A57" t="s">
        <v>49</v>
      </c>
      <c r="B57" t="s">
        <v>39</v>
      </c>
      <c r="C57" t="s">
        <v>53</v>
      </c>
      <c r="D57" s="2">
        <f>(0.055*126+0.055*127+0.056*85)/(126+127+85)</f>
        <v>5.5251479289940821E-2</v>
      </c>
      <c r="E57" s="2">
        <f>SQRT((0.003^2*125+0.003^2*126+0.004^2*84)/(126+127+85))</f>
        <v>3.2649292968775705E-3</v>
      </c>
      <c r="F57">
        <f>126+127+85</f>
        <v>338</v>
      </c>
    </row>
    <row r="61" spans="1:7" x14ac:dyDescent="0.2">
      <c r="C61" t="s">
        <v>124</v>
      </c>
      <c r="D61" s="11">
        <f>(D52*F52+D53*F53+D54*F54+D55*F55+D56*F56+D57*F57)/SUM(F52:F57)</f>
        <v>5.7018081484090641E-2</v>
      </c>
      <c r="E61" s="11">
        <f>SQRT((E52^2*2486+E53^2*1263+E54^2*1741+E55^2*3730+E56^2*1960+E57^2*337)/(SUM(F52:F57)))</f>
        <v>5.2227862222771334E-3</v>
      </c>
    </row>
    <row r="63" spans="1:7" x14ac:dyDescent="0.2">
      <c r="A63" s="4" t="s">
        <v>155</v>
      </c>
      <c r="G63" t="s">
        <v>165</v>
      </c>
    </row>
    <row r="64" spans="1:7" ht="34" x14ac:dyDescent="0.2">
      <c r="A64" t="s">
        <v>60</v>
      </c>
      <c r="B64" t="s">
        <v>11</v>
      </c>
      <c r="C64" t="s">
        <v>40</v>
      </c>
      <c r="D64" s="21" t="s">
        <v>154</v>
      </c>
      <c r="E64" t="s">
        <v>44</v>
      </c>
      <c r="F64" t="s">
        <v>45</v>
      </c>
    </row>
    <row r="66" spans="1:7" x14ac:dyDescent="0.2">
      <c r="A66" t="s">
        <v>38</v>
      </c>
      <c r="B66" t="s">
        <v>51</v>
      </c>
      <c r="C66" t="s">
        <v>54</v>
      </c>
      <c r="D66" s="2">
        <f>(23.4*994+23.4*498+23.4*995)/(994+498+995)</f>
        <v>23.4</v>
      </c>
      <c r="E66" s="2">
        <f>SQRT((7.2^2*993+5.4^2*497+7.2^2*994)/(994+498+995))</f>
        <v>6.8735081723890223</v>
      </c>
      <c r="F66">
        <f>994+498+995</f>
        <v>2487</v>
      </c>
    </row>
    <row r="67" spans="1:7" x14ac:dyDescent="0.2">
      <c r="A67" t="s">
        <v>42</v>
      </c>
      <c r="B67" t="s">
        <v>55</v>
      </c>
      <c r="C67" t="s">
        <v>52</v>
      </c>
      <c r="D67" s="2">
        <f>(49.5*513+50.2*240+49.8*511)/(513+240+511)</f>
        <v>49.754193037974687</v>
      </c>
      <c r="E67" s="2">
        <f>SQRT((13.09^2*512+11.2^2*239+11.72^2*510)/(513+240+511))</f>
        <v>12.187978202237968</v>
      </c>
      <c r="F67">
        <f>513+240+511</f>
        <v>1264</v>
      </c>
    </row>
    <row r="68" spans="1:7" x14ac:dyDescent="0.2">
      <c r="A68" t="s">
        <v>46</v>
      </c>
      <c r="B68" t="s">
        <v>57</v>
      </c>
      <c r="C68" t="s">
        <v>54</v>
      </c>
      <c r="D68" s="2">
        <f>(24.3*581+24.3*578+24.1*583)/(581+578+583)</f>
        <v>24.233065442020667</v>
      </c>
      <c r="E68" s="2">
        <f>SQRT((6.3^2*580+6.3^2*577+6.3^2*582)/(581+578+583))</f>
        <v>6.2945728633143085</v>
      </c>
      <c r="F68">
        <f>581+578+583</f>
        <v>1742</v>
      </c>
    </row>
    <row r="69" spans="1:7" x14ac:dyDescent="0.2">
      <c r="A69" t="s">
        <v>47</v>
      </c>
      <c r="B69" t="s">
        <v>43</v>
      </c>
      <c r="C69" t="s">
        <v>54</v>
      </c>
      <c r="D69" s="2">
        <f>(51.4*2487+51*1244)/(2487+1244)</f>
        <v>51.266630930045558</v>
      </c>
      <c r="E69" s="2">
        <f>SQRT((26.2^2*2486+26.4^2*1243)/(2487+1244))</f>
        <v>26.259794767430169</v>
      </c>
      <c r="F69">
        <f>2487+1244</f>
        <v>3731</v>
      </c>
    </row>
    <row r="70" spans="1:7" x14ac:dyDescent="0.2">
      <c r="A70" t="s">
        <v>48</v>
      </c>
      <c r="B70" t="s">
        <v>56</v>
      </c>
      <c r="C70" t="s">
        <v>53</v>
      </c>
      <c r="D70" s="2">
        <f>(49.4*1306+49.5*655)/(1306+655)</f>
        <v>49.433401325854156</v>
      </c>
      <c r="E70" s="2">
        <f>SQRT((25.6^2*1305+25^2*654)/(1306+655))</f>
        <v>25.38831317143725</v>
      </c>
      <c r="F70">
        <f>1306+655</f>
        <v>1961</v>
      </c>
    </row>
    <row r="71" spans="1:7" x14ac:dyDescent="0.2">
      <c r="A71" t="s">
        <v>49</v>
      </c>
      <c r="B71" t="s">
        <v>39</v>
      </c>
      <c r="C71" t="s">
        <v>53</v>
      </c>
      <c r="D71" s="2">
        <f>(51.9*125+53.7*124+50.7*84)/(125+124+84)</f>
        <v>52.267567567567561</v>
      </c>
      <c r="E71" s="2">
        <f>SQRT((24.1^2*124+25.3^2*123+27.7^2*83)/(125+124+84))</f>
        <v>25.376242702450924</v>
      </c>
      <c r="F71">
        <f>125+124+84</f>
        <v>333</v>
      </c>
    </row>
    <row r="75" spans="1:7" x14ac:dyDescent="0.2">
      <c r="C75" t="s">
        <v>153</v>
      </c>
      <c r="D75" s="2">
        <f>(D66*F66+D67*F67+D68*F68+D69*F69+D70*F70+D71*F71)/SUM(F66:F71)</f>
        <v>40.71183365167564</v>
      </c>
      <c r="E75" s="2">
        <f>SQRT((E66^2*2486+E67^2*1263+E68^2*1741+E69^2*3730+E70^2*1960+E71^2*337)/(SUM(F66:F71)))</f>
        <v>19.603934349529055</v>
      </c>
    </row>
    <row r="78" spans="1:7" x14ac:dyDescent="0.2">
      <c r="A78" s="4" t="s">
        <v>156</v>
      </c>
      <c r="G78" t="s">
        <v>165</v>
      </c>
    </row>
    <row r="79" spans="1:7" ht="34" x14ac:dyDescent="0.2">
      <c r="A79" t="s">
        <v>60</v>
      </c>
      <c r="B79" t="s">
        <v>11</v>
      </c>
      <c r="C79" t="s">
        <v>40</v>
      </c>
      <c r="D79" s="21" t="s">
        <v>157</v>
      </c>
      <c r="E79" t="s">
        <v>44</v>
      </c>
      <c r="F79" t="s">
        <v>45</v>
      </c>
    </row>
    <row r="81" spans="1:7" x14ac:dyDescent="0.2">
      <c r="A81" s="22" t="s">
        <v>38</v>
      </c>
      <c r="B81" s="22" t="s">
        <v>51</v>
      </c>
      <c r="C81" s="22" t="s">
        <v>54</v>
      </c>
      <c r="D81" s="23">
        <f>(32.4*994+32.4*498+32.4*995)/(994+498+995)</f>
        <v>32.4</v>
      </c>
      <c r="E81" s="23">
        <f>SQRT((16.2^2*993+14.4^2*497+14.4^2*994)/(994+498+995))</f>
        <v>15.136115829780941</v>
      </c>
      <c r="F81" s="22">
        <f>994+498+995</f>
        <v>2487</v>
      </c>
    </row>
    <row r="82" spans="1:7" x14ac:dyDescent="0.2">
      <c r="A82" t="s">
        <v>42</v>
      </c>
      <c r="B82" t="s">
        <v>55</v>
      </c>
      <c r="C82" t="s">
        <v>52</v>
      </c>
      <c r="D82" s="2">
        <f>(118.8*513+116.7*240+114*511)/(513+240+511)</f>
        <v>116.46075949367088</v>
      </c>
      <c r="E82" s="2">
        <f>SQRT((39.2^2*512+40.12^2*239+37.24^2*510)/(513+240+511))</f>
        <v>38.553087860044414</v>
      </c>
      <c r="F82">
        <f>513+240+511</f>
        <v>1264</v>
      </c>
    </row>
    <row r="83" spans="1:7" x14ac:dyDescent="0.2">
      <c r="A83" s="22" t="s">
        <v>46</v>
      </c>
      <c r="B83" s="22" t="s">
        <v>57</v>
      </c>
      <c r="C83" s="22" t="s">
        <v>54</v>
      </c>
      <c r="D83" s="23">
        <f>(23*581+23.9*578+23.6*583)/(581+578+583)</f>
        <v>23.499425947187142</v>
      </c>
      <c r="E83" s="23">
        <f>SQRT((0.4^2*580+0.4^2*577+0.4^2*582)/(581+578+583))</f>
        <v>0.3996554198929721</v>
      </c>
      <c r="F83" s="22">
        <f>581+578+583</f>
        <v>1742</v>
      </c>
    </row>
    <row r="84" spans="1:7" x14ac:dyDescent="0.2">
      <c r="A84" t="s">
        <v>47</v>
      </c>
      <c r="B84" t="s">
        <v>43</v>
      </c>
      <c r="C84" t="s">
        <v>54</v>
      </c>
      <c r="D84" s="2">
        <f>(126.2*2487+128.9*1244)/(2487+1244)</f>
        <v>127.10024122219244</v>
      </c>
      <c r="E84" s="2">
        <f>SQRT((56.9^2*2486+61^2*1243)/(2487+1244))</f>
        <v>58.283085949063405</v>
      </c>
      <c r="F84">
        <f>2487+1244</f>
        <v>3731</v>
      </c>
    </row>
    <row r="85" spans="1:7" x14ac:dyDescent="0.2">
      <c r="A85" t="s">
        <v>48</v>
      </c>
      <c r="B85" t="s">
        <v>56</v>
      </c>
      <c r="C85" t="s">
        <v>53</v>
      </c>
      <c r="D85" s="2">
        <f>(126.2*1306+127.9*655)/(1306+655)</f>
        <v>126.76782253952067</v>
      </c>
      <c r="E85" s="2">
        <f>SQRT((47.4^2*1305+49^2*654)/(1306+655))</f>
        <v>47.915635319883926</v>
      </c>
      <c r="F85">
        <f>1306+655</f>
        <v>1961</v>
      </c>
    </row>
    <row r="86" spans="1:7" x14ac:dyDescent="0.2">
      <c r="A86" t="s">
        <v>49</v>
      </c>
      <c r="B86" t="s">
        <v>39</v>
      </c>
      <c r="C86" t="s">
        <v>53</v>
      </c>
      <c r="D86" s="2">
        <f>(110.1*125+113.1*124+108.2*84)/(125+124+84)</f>
        <v>110.73783783783784</v>
      </c>
      <c r="E86" s="2">
        <f>SQRT((49.1^2*124+49.4^2*123+49.2^2*83)/(125+124+84))</f>
        <v>49.014854646076181</v>
      </c>
      <c r="F86">
        <f>125+124+84</f>
        <v>333</v>
      </c>
    </row>
    <row r="90" spans="1:7" x14ac:dyDescent="0.2">
      <c r="C90" t="s">
        <v>158</v>
      </c>
      <c r="D90" s="2">
        <f>(D81*F81+D82*F82+D83*F83+D84*F84+D85*F85+D86*F86)/SUM(F81:F86)</f>
        <v>89.286299704809849</v>
      </c>
      <c r="E90" s="2">
        <f>SQRT((E81^2*2486+E82^2*1263+E83^2*1741+E84^2*3730+E85^2*1960+E86^2*337)/(SUM(F81:F86)))</f>
        <v>42.11295668927599</v>
      </c>
    </row>
    <row r="93" spans="1:7" x14ac:dyDescent="0.2">
      <c r="A93" s="4" t="s">
        <v>159</v>
      </c>
      <c r="G93" t="s">
        <v>167</v>
      </c>
    </row>
    <row r="94" spans="1:7" x14ac:dyDescent="0.2">
      <c r="A94" t="s">
        <v>60</v>
      </c>
      <c r="B94" t="s">
        <v>11</v>
      </c>
      <c r="C94" t="s">
        <v>40</v>
      </c>
      <c r="D94" t="s">
        <v>161</v>
      </c>
      <c r="E94" t="s">
        <v>44</v>
      </c>
      <c r="F94" t="s">
        <v>45</v>
      </c>
    </row>
    <row r="96" spans="1:7" x14ac:dyDescent="0.2">
      <c r="A96" t="s">
        <v>38</v>
      </c>
      <c r="B96" t="s">
        <v>51</v>
      </c>
      <c r="C96" t="s">
        <v>54</v>
      </c>
      <c r="D96" s="2">
        <f>(113.4*994+112.6*498+113.2*995)/(994+498+995)</f>
        <v>113.15979091274629</v>
      </c>
      <c r="E96" s="2">
        <f>SQRT((13.5^2*993+13.8^2*497+13.4^2*994)/(994+498+995))</f>
        <v>13.512649809171389</v>
      </c>
      <c r="F96">
        <f>994+498+995</f>
        <v>2487</v>
      </c>
    </row>
    <row r="97" spans="1:7" x14ac:dyDescent="0.2">
      <c r="A97" t="s">
        <v>42</v>
      </c>
      <c r="B97" t="s">
        <v>55</v>
      </c>
      <c r="C97" t="s">
        <v>52</v>
      </c>
      <c r="D97" s="2">
        <f>(120.5*513+121.7*240+120.1*511)/(513+240+511)</f>
        <v>120.56613924050633</v>
      </c>
      <c r="E97" s="2">
        <f>SQRT((13.92^2*512+15.15^2*239+14.63^2*510)/(513+240+511))</f>
        <v>14.430735189763848</v>
      </c>
      <c r="F97">
        <f>513+240+511</f>
        <v>1264</v>
      </c>
    </row>
    <row r="98" spans="1:7" x14ac:dyDescent="0.2">
      <c r="A98" t="s">
        <v>46</v>
      </c>
      <c r="B98" t="s">
        <v>57</v>
      </c>
      <c r="C98" t="s">
        <v>54</v>
      </c>
      <c r="D98" s="2">
        <f>(110*581+109.8*578+108.8*583)/(581+578+583)</f>
        <v>109.53203214695752</v>
      </c>
      <c r="E98" s="2">
        <f>SQRT((12.2^2*580+11.2^2*577+11.3^2*582)/(581+578+583))</f>
        <v>11.565757190085868</v>
      </c>
      <c r="F98">
        <f>581+578+583</f>
        <v>1742</v>
      </c>
    </row>
    <row r="99" spans="1:7" x14ac:dyDescent="0.2">
      <c r="A99" t="s">
        <v>47</v>
      </c>
      <c r="B99" t="s">
        <v>43</v>
      </c>
      <c r="C99" t="s">
        <v>54</v>
      </c>
      <c r="D99" s="2">
        <f>(115*2487+114.5*1244)/(2487+1244)</f>
        <v>114.83328866255695</v>
      </c>
      <c r="E99" s="2">
        <f>SQRT((14.4^2*2486+14.3^2*1243)/(2487+1244))</f>
        <v>14.362892848154546</v>
      </c>
      <c r="F99">
        <f>2487+1244</f>
        <v>3731</v>
      </c>
    </row>
    <row r="100" spans="1:7" x14ac:dyDescent="0.2">
      <c r="A100" t="s">
        <v>48</v>
      </c>
      <c r="B100" t="s">
        <v>56</v>
      </c>
      <c r="C100" t="s">
        <v>53</v>
      </c>
      <c r="D100" s="2">
        <f>(114.6*1306+114.8*655)/(1306+655)</f>
        <v>114.66680265170831</v>
      </c>
      <c r="E100" s="2">
        <f>SQRT((14.8^2*1305+14.4^2*654)/(1306+655))</f>
        <v>14.660193895670123</v>
      </c>
      <c r="F100">
        <f>1306+655</f>
        <v>1961</v>
      </c>
    </row>
    <row r="101" spans="1:7" x14ac:dyDescent="0.2">
      <c r="A101" t="s">
        <v>49</v>
      </c>
      <c r="B101" t="s">
        <v>39</v>
      </c>
      <c r="C101" t="s">
        <v>53</v>
      </c>
      <c r="D101" s="2">
        <f>(111.8*126+113.5*127+115.4*85)/(126+127+85)</f>
        <v>113.34408284023669</v>
      </c>
      <c r="E101" s="2">
        <f>SQRT((16.3^2*125+15^2*126+15.1^2*84)/(126+127+85))</f>
        <v>15.453125342151234</v>
      </c>
      <c r="F101">
        <f>126+127+85</f>
        <v>338</v>
      </c>
    </row>
    <row r="105" spans="1:7" x14ac:dyDescent="0.2">
      <c r="C105" t="s">
        <v>160</v>
      </c>
      <c r="D105" s="2">
        <f>(D96*F96+D97*F97+D98*F98+D99*F99+D100*F100+D101*F101)/SUM(F96:F101)</f>
        <v>114.22751887529292</v>
      </c>
      <c r="E105" s="2">
        <f>SQRT((E96^2*2486+E97^2*1263+E98^2*1741+E99^2*3730+E100^2*1960+E101^2*337)/(SUM(F96:F101)))</f>
        <v>13.883319033970521</v>
      </c>
    </row>
    <row r="108" spans="1:7" x14ac:dyDescent="0.2">
      <c r="A108" s="4" t="s">
        <v>162</v>
      </c>
      <c r="G108" t="s">
        <v>166</v>
      </c>
    </row>
    <row r="109" spans="1:7" x14ac:dyDescent="0.2">
      <c r="A109" t="s">
        <v>60</v>
      </c>
      <c r="B109" t="s">
        <v>11</v>
      </c>
      <c r="C109" t="s">
        <v>40</v>
      </c>
      <c r="D109" t="s">
        <v>163</v>
      </c>
      <c r="E109" t="s">
        <v>44</v>
      </c>
      <c r="F109" t="s">
        <v>45</v>
      </c>
    </row>
    <row r="111" spans="1:7" x14ac:dyDescent="0.2">
      <c r="A111" t="s">
        <v>38</v>
      </c>
      <c r="B111" t="s">
        <v>51</v>
      </c>
      <c r="C111" t="s">
        <v>54</v>
      </c>
      <c r="D111" s="2">
        <f>(106.2*994+106.2*498+106.2*995)/(994+498+995)</f>
        <v>106.2</v>
      </c>
      <c r="E111" s="2">
        <f>SQRT((23.4^2*993+21.6^2*497+21.6^2*994)/(994+498+995))</f>
        <v>22.323498305559351</v>
      </c>
      <c r="F111">
        <f>994+498+995</f>
        <v>2487</v>
      </c>
    </row>
    <row r="112" spans="1:7" x14ac:dyDescent="0.2">
      <c r="A112" t="s">
        <v>42</v>
      </c>
      <c r="B112" t="s">
        <v>55</v>
      </c>
      <c r="C112" t="s">
        <v>52</v>
      </c>
      <c r="D112" s="2">
        <f>(93*510+93.8*240+93*511)/(510+240+511)</f>
        <v>93.152260111022997</v>
      </c>
      <c r="E112" s="2">
        <f>SQRT((8.7^2*509+9.11^2*239+9.47^2*510)/(510+240+511))</f>
        <v>9.0858353258572961</v>
      </c>
      <c r="F112">
        <f>510+240+511</f>
        <v>1261</v>
      </c>
    </row>
    <row r="113" spans="1:6" x14ac:dyDescent="0.2">
      <c r="A113" t="s">
        <v>46</v>
      </c>
      <c r="B113" t="s">
        <v>57</v>
      </c>
      <c r="C113" t="s">
        <v>54</v>
      </c>
      <c r="D113" s="2">
        <f>(93.8*581+95*578+94.1*583)/(581+578+583)</f>
        <v>94.298564867967841</v>
      </c>
      <c r="E113" s="2">
        <f>SQRT((11.2^2*580+11.5^2*577+12.1^2*582)/(581+578+583))</f>
        <v>11.596796491418457</v>
      </c>
      <c r="F113">
        <f>581+578+583</f>
        <v>1742</v>
      </c>
    </row>
    <row r="114" spans="1:6" x14ac:dyDescent="0.2">
      <c r="A114" t="s">
        <v>47</v>
      </c>
      <c r="B114" t="s">
        <v>43</v>
      </c>
      <c r="C114" t="s">
        <v>54</v>
      </c>
      <c r="D114" s="2">
        <f>(95.9*2487+95.5*1244)/(2487+1244)</f>
        <v>95.766630930045579</v>
      </c>
      <c r="E114" s="2">
        <f>SQRT((10.6^2*2486+9.8^2*1243)/(2487+1244))</f>
        <v>10.337440960270383</v>
      </c>
      <c r="F114">
        <f>2487+1244</f>
        <v>3731</v>
      </c>
    </row>
    <row r="115" spans="1:6" x14ac:dyDescent="0.2">
      <c r="A115" t="s">
        <v>48</v>
      </c>
      <c r="B115" t="s">
        <v>56</v>
      </c>
      <c r="C115" t="s">
        <v>53</v>
      </c>
      <c r="D115" s="2"/>
      <c r="E115" s="2"/>
    </row>
    <row r="116" spans="1:6" x14ac:dyDescent="0.2">
      <c r="A116" t="s">
        <v>49</v>
      </c>
      <c r="B116" t="s">
        <v>39</v>
      </c>
      <c r="C116" t="s">
        <v>53</v>
      </c>
      <c r="D116" s="2">
        <f>(96.1*125+95.1*125+97.6*84)/(125+125+84)</f>
        <v>96.102994011976051</v>
      </c>
      <c r="E116" s="2">
        <f>SQRT((10.2^2*124+8.5^2*124+12.2^2*83)/(125+125+84))</f>
        <v>10.121075420362731</v>
      </c>
      <c r="F116">
        <f>125+125+84</f>
        <v>334</v>
      </c>
    </row>
    <row r="120" spans="1:6" x14ac:dyDescent="0.2">
      <c r="C120" t="s">
        <v>164</v>
      </c>
      <c r="D120" s="2">
        <f>(D111*F111+D112*F112+D113*F113+D114*F114+D115*F115+D116*F116)/SUM(F111:F116)</f>
        <v>97.881339612768187</v>
      </c>
      <c r="E120" s="2">
        <f>SQRT((E111^2*2486+E112^2*1263+E113^2*1741+E114^2*3730+E115^2*1960+E116^2*337)/(SUM(F111:F116)))</f>
        <v>14.505242839521744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ba5a7f39-e3be-4ab3-b450-67fa80faecad}" enabled="0" method="" siteId="{ba5a7f39-e3be-4ab3-b450-67fa80faeca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Tradeoffs</vt:lpstr>
      <vt:lpstr>Result Tables</vt:lpstr>
      <vt:lpstr>Tornado diagram</vt:lpstr>
      <vt:lpstr>CEA result lifetime</vt:lpstr>
      <vt:lpstr>CEA result 2yr pp</vt:lpstr>
      <vt:lpstr>Parameters</vt:lpstr>
      <vt:lpstr>final report parameters</vt:lpstr>
      <vt:lpstr>Sensitivty Analysis inputs</vt:lpstr>
      <vt:lpstr>Baseline clinical char</vt:lpstr>
      <vt:lpstr>Prevalence conversion</vt:lpstr>
      <vt:lpstr>archive</vt:lpstr>
      <vt:lpstr>Utility Q</vt:lpstr>
      <vt:lpstr>age dist starting cohort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Chen</dc:creator>
  <cp:lastModifiedBy>Liu, Chen</cp:lastModifiedBy>
  <dcterms:created xsi:type="dcterms:W3CDTF">2025-02-12T13:54:50Z</dcterms:created>
  <dcterms:modified xsi:type="dcterms:W3CDTF">2025-04-02T17:33:25Z</dcterms:modified>
</cp:coreProperties>
</file>