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4AF7BD9-E667-4FDE-BC2C-BBC03DE78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<sst xmlns="http://schemas.openxmlformats.org/spreadsheetml/2006/main" count="273" uniqueCount="80">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</sst>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87833</c:v>
                </c:pt>
                <c:pt idx="1">
                  <c:v>42255.624999999993</c:v>
                </c:pt>
                <c:pt idx="2">
                  <c:v>130891.9</c:v>
                </c:pt>
                <c:pt idx="3">
                  <c:v>74701.527052187521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335682.0520521875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C7" sqref="C7:D7"/>
    </sheetView>
  </sheetViews>
  <sheetFormatPr defaultRowHeight="16.2" x14ac:dyDescent="0.3"/>
  <sheetData>
    <row r="1" spans="1:26" ht="31.2" thickBot="1" x14ac:dyDescent="0.35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3">
      <c r="A2" s="73" t="s">
        <v>48</v>
      </c>
      <c r="B2" s="74"/>
      <c r="C2" s="75">
        <v>51572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16665.899999999998</v>
      </c>
      <c r="L2" s="82"/>
      <c r="M2" s="89" t="s">
        <v>20</v>
      </c>
      <c r="N2" s="90"/>
      <c r="O2" s="140">
        <f>(BND!H3 * BND!D3)</f>
        <v>518.77974960000006</v>
      </c>
      <c r="P2" s="141"/>
      <c r="Q2" s="142">
        <f>SUM(C10,G10,K10,O10)</f>
        <v>335682.0520521875</v>
      </c>
      <c r="R2" s="143"/>
      <c r="S2" s="148">
        <v>8093</v>
      </c>
      <c r="T2" s="149"/>
    </row>
    <row r="3" spans="1:26" ht="16.8" thickBot="1" x14ac:dyDescent="0.35">
      <c r="A3" s="59" t="s">
        <v>49</v>
      </c>
      <c r="B3" s="60"/>
      <c r="C3" s="64">
        <v>31649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38648.18</v>
      </c>
      <c r="L3" s="84"/>
      <c r="M3" s="91" t="s">
        <v>22</v>
      </c>
      <c r="N3" s="92"/>
      <c r="O3" s="117">
        <f>(VEA!D3*VEA!H3)</f>
        <v>196.69200210000002</v>
      </c>
      <c r="P3" s="118"/>
      <c r="Q3" s="144"/>
      <c r="R3" s="145"/>
      <c r="S3" s="150"/>
      <c r="T3" s="151"/>
    </row>
    <row r="4" spans="1:26" ht="16.2" customHeight="1" x14ac:dyDescent="0.3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3324.3199999999997</v>
      </c>
      <c r="L4" s="84"/>
      <c r="M4" s="91" t="s">
        <v>19</v>
      </c>
      <c r="N4" s="92"/>
      <c r="O4" s="117">
        <f>(VT!D3*VT!H3)</f>
        <v>1507.0987241200003</v>
      </c>
      <c r="P4" s="118"/>
      <c r="Q4" s="152" t="s">
        <v>60</v>
      </c>
      <c r="R4" s="153"/>
      <c r="S4" s="156" t="s">
        <v>61</v>
      </c>
      <c r="T4" s="157"/>
    </row>
    <row r="5" spans="1:26" ht="16.95" customHeight="1" thickBot="1" x14ac:dyDescent="0.35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69559.5</v>
      </c>
      <c r="L5" s="84"/>
      <c r="M5" s="91" t="s">
        <v>21</v>
      </c>
      <c r="N5" s="92"/>
      <c r="O5" s="117">
        <f>(VTI!D3*VTI!H3)</f>
        <v>167.87838984999999</v>
      </c>
      <c r="P5" s="118"/>
      <c r="Q5" s="154"/>
      <c r="R5" s="155"/>
      <c r="S5" s="158"/>
      <c r="T5" s="159"/>
    </row>
    <row r="6" spans="1:26" x14ac:dyDescent="0.3">
      <c r="A6" s="59" t="s">
        <v>62</v>
      </c>
      <c r="B6" s="60"/>
      <c r="C6" s="64">
        <f xml:space="preserve"> 投資!G2 * 0</f>
        <v>0</v>
      </c>
      <c r="D6" s="65"/>
      <c r="E6" s="66"/>
      <c r="F6" s="67"/>
      <c r="G6" s="71"/>
      <c r="H6" s="72"/>
      <c r="I6" s="111" t="s">
        <v>78</v>
      </c>
      <c r="J6" s="112"/>
      <c r="K6" s="87">
        <v>2694</v>
      </c>
      <c r="L6" s="88"/>
      <c r="M6" s="85"/>
      <c r="N6" s="86"/>
      <c r="O6" s="119"/>
      <c r="P6" s="120"/>
      <c r="Q6" s="123">
        <f>Q2-S2</f>
        <v>327589.0520521875</v>
      </c>
      <c r="R6" s="124"/>
      <c r="S6" s="127">
        <f>S2/Q2</f>
        <v>2.4109123352063534E-2</v>
      </c>
      <c r="T6" s="128"/>
    </row>
    <row r="7" spans="1:26" ht="16.8" thickBot="1" x14ac:dyDescent="0.35">
      <c r="A7" s="59" t="s">
        <v>67</v>
      </c>
      <c r="B7" s="60"/>
      <c r="C7" s="64">
        <v>1350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3">
      <c r="A8" s="59" t="s">
        <v>68</v>
      </c>
      <c r="B8" s="60"/>
      <c r="C8" s="64">
        <v>220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6.8" thickBot="1" x14ac:dyDescent="0.35">
      <c r="A9" s="103" t="s">
        <v>74</v>
      </c>
      <c r="B9" s="104"/>
      <c r="C9" s="107">
        <v>3042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6.8" thickBot="1" x14ac:dyDescent="0.35">
      <c r="A10" s="133" t="s">
        <v>57</v>
      </c>
      <c r="B10" s="134"/>
      <c r="C10" s="135">
        <f>SUM(C2:D9)</f>
        <v>87833</v>
      </c>
      <c r="D10" s="136"/>
      <c r="E10" s="133" t="s">
        <v>57</v>
      </c>
      <c r="F10" s="134"/>
      <c r="G10" s="135">
        <f>SUM(G2:H9) * 投資!G2</f>
        <v>42255.624999999993</v>
      </c>
      <c r="H10" s="137"/>
      <c r="I10" s="133" t="s">
        <v>57</v>
      </c>
      <c r="J10" s="134"/>
      <c r="K10" s="135">
        <f>SUM(K2:L9)</f>
        <v>130891.9</v>
      </c>
      <c r="L10" s="136"/>
      <c r="M10" s="133" t="s">
        <v>57</v>
      </c>
      <c r="N10" s="134"/>
      <c r="O10" s="135">
        <f>SUM(O2:P9) * 投資!G2</f>
        <v>74701.527052187521</v>
      </c>
      <c r="P10" s="136"/>
      <c r="Q10" s="55"/>
      <c r="R10" s="55"/>
      <c r="S10" s="55"/>
      <c r="T10" s="55"/>
    </row>
    <row r="11" spans="1:26" x14ac:dyDescent="0.3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3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3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3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3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3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3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3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3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3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3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3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3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8671875" defaultRowHeight="15.6" x14ac:dyDescent="0.3"/>
  <cols>
    <col min="1" max="2" width="15.109375" style="35" customWidth="1"/>
    <col min="3" max="3" width="15" style="34" customWidth="1"/>
    <col min="4" max="4" width="12.88671875" style="35" customWidth="1"/>
    <col min="5" max="6" width="15.109375" style="35" customWidth="1"/>
    <col min="7" max="7" width="15" style="35" customWidth="1"/>
    <col min="8" max="8" width="8.88671875" style="27"/>
    <col min="9" max="10" width="15.109375" style="27" customWidth="1"/>
    <col min="11" max="11" width="15" style="26" customWidth="1"/>
    <col min="12" max="16384" width="8.88671875" style="26"/>
  </cols>
  <sheetData>
    <row r="1" spans="1:9" ht="30.6" customHeight="1" x14ac:dyDescent="0.45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2" customHeight="1" x14ac:dyDescent="0.35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31.25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128197.9</v>
      </c>
      <c r="C3" s="1">
        <f>(B3-A3)/A3</f>
        <v>0.11722223674693015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13450.899999999994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3.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74934.527052187506</v>
      </c>
      <c r="C10" s="1">
        <f>(B10-A10)/A10</f>
        <v>2.9716471337705525E-2</v>
      </c>
      <c r="D10" s="28"/>
      <c r="E10" s="161">
        <f>SUM(A3,A10)</f>
        <v>187519</v>
      </c>
      <c r="F10" s="161">
        <f>SUM(B3,B10)</f>
        <v>203132.4270521875</v>
      </c>
      <c r="G10" s="1">
        <f>(F10-E10)/E10</f>
        <v>8.3263173610074181E-2</v>
      </c>
    </row>
    <row r="11" spans="1:9" ht="18" customHeight="1" x14ac:dyDescent="0.3">
      <c r="A11" s="162"/>
      <c r="B11" s="162"/>
      <c r="C11" s="57">
        <f>B10-A10</f>
        <v>2162.5270521875063</v>
      </c>
      <c r="D11" s="28"/>
      <c r="E11" s="161"/>
      <c r="F11" s="161"/>
      <c r="G11" s="56">
        <f>F10-E10</f>
        <v>15613.427052187501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71.958904109589042</v>
      </c>
      <c r="B3" s="166">
        <f>E3/D3</f>
        <v>73.347031963470315</v>
      </c>
      <c r="C3" s="168">
        <v>76.099999999999994</v>
      </c>
      <c r="D3" s="170">
        <f>SUM(D6:D505)</f>
        <v>219</v>
      </c>
      <c r="E3" s="172">
        <f>SUM(E6:E505)</f>
        <v>16063</v>
      </c>
      <c r="F3" s="172">
        <f>SUM(F6:F505)</f>
        <v>304</v>
      </c>
      <c r="G3" s="1">
        <f>(C3-A3)/B3</f>
        <v>5.6458942912282796E-2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906.89999999999986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152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152</v>
      </c>
      <c r="G16" s="163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29.188176519567026</v>
      </c>
      <c r="B3" s="166">
        <f>E3/D3</f>
        <v>31.243130724396337</v>
      </c>
      <c r="C3" s="168">
        <v>32.18</v>
      </c>
      <c r="D3" s="170">
        <f>SUM(D6:D505)</f>
        <v>1201</v>
      </c>
      <c r="E3" s="172">
        <f>SUM(E6:E505)</f>
        <v>37523</v>
      </c>
      <c r="F3" s="172">
        <f>SUM(F6:F505)</f>
        <v>2468</v>
      </c>
      <c r="G3" s="1">
        <f>(C3-A3)/B3</f>
        <v>9.5759400900780889E-2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3593.1799999999985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1234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1234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21.04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3.4850407978241085E-2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115.31999999999977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19.75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0.13608304389011674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8619.4999999999982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64">
        <f>(E3-F3)/D3</f>
        <v>2251.464520156359</v>
      </c>
      <c r="B3" s="166">
        <f>E3/D3</f>
        <v>2263.9152760021302</v>
      </c>
      <c r="C3" s="182">
        <f>H3*I3</f>
        <v>2293.75</v>
      </c>
      <c r="D3" s="170">
        <f>SUM(D7:D505)</f>
        <v>7.067844</v>
      </c>
      <c r="E3" s="172">
        <f>SUM(E7:E505)</f>
        <v>16001</v>
      </c>
      <c r="F3" s="172">
        <f>SUM(F7:G505)</f>
        <v>88</v>
      </c>
      <c r="G3" s="1">
        <f>(C3*D3+F3-E3)/E3</f>
        <v>1.8678031060558677E-2</v>
      </c>
      <c r="H3" s="183">
        <v>73.400000000000006</v>
      </c>
      <c r="I3" s="184">
        <f>投資!G2</f>
        <v>31.25</v>
      </c>
      <c r="J3" s="185"/>
    </row>
    <row r="4" spans="1:10" ht="18" x14ac:dyDescent="0.3">
      <c r="A4" s="165"/>
      <c r="B4" s="167"/>
      <c r="C4" s="182"/>
      <c r="D4" s="171"/>
      <c r="E4" s="173"/>
      <c r="F4" s="173"/>
      <c r="G4" s="14">
        <f>C3*D3+F3-E3</f>
        <v>298.86717499999941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88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90"/>
      <c r="G17" s="191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90">
        <v>29</v>
      </c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64">
        <f>(E3-F3)/D3</f>
        <v>1433.4116130286723</v>
      </c>
      <c r="B3" s="166">
        <f>E3/D3</f>
        <v>1436.7640625078573</v>
      </c>
      <c r="C3" s="168">
        <f>H3*I3</f>
        <v>1471.875</v>
      </c>
      <c r="D3" s="170">
        <f>SUM(D7:D505)</f>
        <v>4.1760510000000002</v>
      </c>
      <c r="E3" s="172">
        <f>SUM(E7:E505)</f>
        <v>6000</v>
      </c>
      <c r="F3" s="172">
        <f>SUM(F7:G505)</f>
        <v>14</v>
      </c>
      <c r="G3" s="1">
        <f>(C3*D3+F3-E3)/E3</f>
        <v>2.6770844270833399E-2</v>
      </c>
      <c r="H3" s="183">
        <v>47.1</v>
      </c>
      <c r="I3" s="184">
        <f>投資!G2</f>
        <v>31.25</v>
      </c>
      <c r="J3" s="185"/>
    </row>
    <row r="4" spans="1:10" ht="18" x14ac:dyDescent="0.3">
      <c r="A4" s="165"/>
      <c r="B4" s="167"/>
      <c r="C4" s="169"/>
      <c r="D4" s="171"/>
      <c r="E4" s="173"/>
      <c r="F4" s="173"/>
      <c r="G4" s="14">
        <f>C3*D3+F3-E3</f>
        <v>160.62506562500039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90"/>
      <c r="G13" s="191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12" customWidth="1"/>
    <col min="3" max="3" width="15" style="11" customWidth="1"/>
    <col min="4" max="4" width="12.88671875" style="12" customWidth="1"/>
    <col min="5" max="5" width="17" style="12" customWidth="1"/>
    <col min="6" max="6" width="12.77734375" style="12" customWidth="1"/>
    <col min="7" max="7" width="12.88671875" style="12" customWidth="1"/>
    <col min="8" max="10" width="8.88671875" style="2"/>
    <col min="11" max="16384" width="8.88671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" x14ac:dyDescent="0.3">
      <c r="A3" s="164">
        <f>(E3-F3)/D3</f>
        <v>3099.2257542566217</v>
      </c>
      <c r="B3" s="166">
        <f>E3/D3</f>
        <v>3107.7375125075555</v>
      </c>
      <c r="C3" s="168">
        <f>H3*I3</f>
        <v>3181.5625</v>
      </c>
      <c r="D3" s="170">
        <f>SUM(D7:D505)</f>
        <v>14.803052000000003</v>
      </c>
      <c r="E3" s="172">
        <f>SUM(E7:E505)</f>
        <v>46004</v>
      </c>
      <c r="F3" s="172">
        <f>SUM(F7:G505)</f>
        <v>126</v>
      </c>
      <c r="G3" s="1">
        <f>(C3*D3+F3-E3)/E3</f>
        <v>2.6494112006564902E-2</v>
      </c>
      <c r="H3" s="183">
        <v>101.81</v>
      </c>
      <c r="I3" s="184">
        <f>投資!G2</f>
        <v>31.25</v>
      </c>
      <c r="J3" s="185"/>
    </row>
    <row r="4" spans="1:10" ht="18" x14ac:dyDescent="0.3">
      <c r="A4" s="165"/>
      <c r="B4" s="167"/>
      <c r="C4" s="169"/>
      <c r="D4" s="171"/>
      <c r="E4" s="173"/>
      <c r="F4" s="173"/>
      <c r="G4" s="14">
        <f>C3*D3+F3-E3</f>
        <v>1218.8351287500118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90"/>
      <c r="G14" s="191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8671875" defaultRowHeight="15.6" x14ac:dyDescent="0.3"/>
  <cols>
    <col min="1" max="2" width="15.109375" style="52" customWidth="1"/>
    <col min="3" max="3" width="15" style="51" customWidth="1"/>
    <col min="4" max="4" width="12.88671875" style="52" customWidth="1"/>
    <col min="5" max="5" width="17" style="52" customWidth="1"/>
    <col min="6" max="6" width="12.77734375" style="52" customWidth="1"/>
    <col min="7" max="7" width="12.88671875" style="52" customWidth="1"/>
    <col min="8" max="16384" width="8.88671875" style="41"/>
  </cols>
  <sheetData>
    <row r="1" spans="1:10" ht="30.6" customHeight="1" x14ac:dyDescent="0.3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2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" x14ac:dyDescent="0.3">
      <c r="A3" s="164">
        <f>(E3-F3)/D3</f>
        <v>7001.3385942657715</v>
      </c>
      <c r="B3" s="166">
        <f>E3/D3</f>
        <v>7008.346941206978</v>
      </c>
      <c r="C3" s="168">
        <f>H3*I3</f>
        <v>7353.4375</v>
      </c>
      <c r="D3" s="170">
        <f>SUM(D7:D505)</f>
        <v>0.71343499999999993</v>
      </c>
      <c r="E3" s="172">
        <f>SUM(E7:E505)</f>
        <v>5000</v>
      </c>
      <c r="F3" s="172">
        <f>SUM(F7:G505)</f>
        <v>5</v>
      </c>
      <c r="G3" s="1">
        <f>(C3*D3+F3-E3)/E3</f>
        <v>5.0239936562499858E-2</v>
      </c>
      <c r="H3" s="183">
        <v>235.31</v>
      </c>
      <c r="I3" s="183">
        <f>投資!G2</f>
        <v>31.25</v>
      </c>
      <c r="J3" s="185"/>
    </row>
    <row r="4" spans="1:10" ht="18" x14ac:dyDescent="0.3">
      <c r="A4" s="165"/>
      <c r="B4" s="167"/>
      <c r="C4" s="169"/>
      <c r="D4" s="171"/>
      <c r="E4" s="173"/>
      <c r="F4" s="173"/>
      <c r="G4" s="14">
        <f>C3*D3+F3-E3</f>
        <v>251.1996828124993</v>
      </c>
      <c r="H4" s="183"/>
      <c r="I4" s="183"/>
      <c r="J4" s="185"/>
    </row>
    <row r="5" spans="1:10" x14ac:dyDescent="0.3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3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3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3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3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3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3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3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6"/>
      <c r="G12" s="197"/>
      <c r="H12" s="48">
        <v>227.89</v>
      </c>
      <c r="I12" s="48">
        <v>31.552</v>
      </c>
      <c r="J12" s="48">
        <v>31.69</v>
      </c>
    </row>
    <row r="13" spans="1:10" x14ac:dyDescent="0.3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3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3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3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3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3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3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3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3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3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3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3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3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3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3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3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3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3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3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3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3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3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3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3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3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3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3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3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3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3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3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3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3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3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3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3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3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3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3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3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3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3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3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3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3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3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3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3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3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3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3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3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3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3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3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3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3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3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3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3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3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3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3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3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3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3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3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3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3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3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3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3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3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3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3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3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3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3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3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3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3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3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3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3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3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3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3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3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3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3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3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3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3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3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3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3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3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3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3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3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3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3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3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3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3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3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3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3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3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3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3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3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3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3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3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3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3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3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3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3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3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3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3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3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3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3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3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3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3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3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3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3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3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3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3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3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3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3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3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3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3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3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3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3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3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3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3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3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3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3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3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3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3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3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3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3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3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3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3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3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3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3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3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3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3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3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3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3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3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3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3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3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3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3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3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3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3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3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3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3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3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3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3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3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3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3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3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3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3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3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3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3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3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3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3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3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3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3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3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3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3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3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3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3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3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3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3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3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3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3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3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3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3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3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3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3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3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3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3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3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3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3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3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3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3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3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3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3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3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3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3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3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3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3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3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3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3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3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3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3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3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3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3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3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3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3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3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3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3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3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3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3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3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3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3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3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3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3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3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3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3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3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3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3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3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3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3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3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3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3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3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3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3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3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3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3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3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3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3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3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3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3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3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3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3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3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3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3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3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3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3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3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3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3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3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3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3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3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3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3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3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3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3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3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3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3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3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3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3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3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3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3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3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3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3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3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3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3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3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3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3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3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3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3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3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3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3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3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3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3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3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3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3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3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3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3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3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3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3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3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3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3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3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3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3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3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3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3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3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3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3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3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3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3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3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3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3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3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3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3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3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3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3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3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3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3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3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3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3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3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3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3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3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3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3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3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3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3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3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3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3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3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3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3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3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3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3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3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3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3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3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3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3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3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3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3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3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3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3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3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3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3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3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3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3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3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3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3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3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3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3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3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3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3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3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3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3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3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3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3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3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3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3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3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3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3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3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3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3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3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3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3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3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3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3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3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3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3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3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3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3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3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3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3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3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3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3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3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3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3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3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3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3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3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3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3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3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3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3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3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3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3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3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3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3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3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3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3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3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3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3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3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3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3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3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3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3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3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3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3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3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3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3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3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3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3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3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3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3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3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3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3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3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3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2023-12-18T11:25:14Z</dcterms:modified>
</cp:coreProperties>
</file>