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3" documentId="13_ncr:1_{735FC1BD-A765-4ACA-96A1-5B5551E3A8C9}" xr6:coauthVersionLast="47" xr6:coauthVersionMax="47" xr10:uidLastSave="{31EF36F4-4AE4-49C6-8216-AEA9A6B32921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O3" i="32" l="1"/>
  <c r="O4" i="32"/>
  <c r="O2" i="32"/>
  <c r="K10" i="32"/>
  <c r="O5" i="32"/>
  <c r="O10" i="32" s="1"/>
  <c r="Q2" i="32" s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S6" i="32" l="1"/>
  <c r="Q6" i="32"/>
  <c r="B3" i="3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<sst xmlns="http://schemas.openxmlformats.org/spreadsheetml/2006/main" count="246" uniqueCount="64">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</sst>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105374</c:v>
                </c:pt>
                <c:pt idx="1">
                  <c:v>33932.805</c:v>
                </c:pt>
                <c:pt idx="2">
                  <c:v>105952.47999999998</c:v>
                </c:pt>
                <c:pt idx="3">
                  <c:v>63762.684803924996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Q21" sqref="Q21"/>
    </sheetView>
  </sheetViews>
  <sheetFormatPr defaultRowHeight="16.5" x14ac:dyDescent="0.25"/>
  <sheetData>
    <row r="1" spans="1:26" ht="31.5" thickBot="1" x14ac:dyDescent="0.3">
      <c r="A1" s="148" t="s">
        <v>53</v>
      </c>
      <c r="B1" s="149"/>
      <c r="C1" s="149"/>
      <c r="D1" s="150"/>
      <c r="E1" s="151" t="s">
        <v>54</v>
      </c>
      <c r="F1" s="152"/>
      <c r="G1" s="152"/>
      <c r="H1" s="153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4" t="s">
        <v>49</v>
      </c>
      <c r="B2" s="155"/>
      <c r="C2" s="156">
        <v>74342</v>
      </c>
      <c r="D2" s="157"/>
      <c r="E2" s="142" t="s">
        <v>57</v>
      </c>
      <c r="F2" s="143"/>
      <c r="G2" s="144">
        <v>281.52</v>
      </c>
      <c r="H2" s="145"/>
      <c r="I2" s="132" t="s">
        <v>15</v>
      </c>
      <c r="J2" s="133"/>
      <c r="K2" s="146">
        <f>('006208'!C3*'006208'!D3)</f>
        <v>9331.2000000000007</v>
      </c>
      <c r="L2" s="147"/>
      <c r="M2" s="140" t="s">
        <v>20</v>
      </c>
      <c r="N2" s="141"/>
      <c r="O2" s="94">
        <f>(BND!H3 * BND!D3 * BND!I3)</f>
        <v>13895.258373832497</v>
      </c>
      <c r="P2" s="95"/>
      <c r="Q2" s="57">
        <f>SUM(C10,G10,K10,O10)</f>
        <v>309021.96980392496</v>
      </c>
      <c r="R2" s="58"/>
      <c r="S2" s="63">
        <v>17031</v>
      </c>
      <c r="T2" s="64"/>
    </row>
    <row r="3" spans="1:26" ht="17.25" thickBot="1" x14ac:dyDescent="0.3">
      <c r="A3" s="116" t="s">
        <v>50</v>
      </c>
      <c r="B3" s="117"/>
      <c r="C3" s="106">
        <v>31032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38">
        <f>('00692'!C3*'00692'!D3)</f>
        <v>34453.78</v>
      </c>
      <c r="L3" s="139"/>
      <c r="M3" s="136" t="s">
        <v>22</v>
      </c>
      <c r="N3" s="137"/>
      <c r="O3" s="96">
        <f>(VEA!D3*VEA!H3*VEA!I3)</f>
        <v>3926.2831411800003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38">
        <f>('00878'!C3 * '00878'!D3)</f>
        <v>2275.5</v>
      </c>
      <c r="L4" s="139"/>
      <c r="M4" s="136" t="s">
        <v>19</v>
      </c>
      <c r="N4" s="137"/>
      <c r="O4" s="96">
        <f>(VT!D3*VT!H3*VT!I3)</f>
        <v>42942.691792140002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38">
        <f>(永豐金!C3 * 永豐金!D3)</f>
        <v>59891.999999999993</v>
      </c>
      <c r="L5" s="139"/>
      <c r="M5" s="136" t="s">
        <v>21</v>
      </c>
      <c r="N5" s="137"/>
      <c r="O5" s="96">
        <f>(VTI!D3*VTI!H3*VTI!I3)</f>
        <v>2998.4514967724995</v>
      </c>
      <c r="P5" s="97"/>
      <c r="Q5" s="69"/>
      <c r="R5" s="70"/>
      <c r="S5" s="73"/>
      <c r="T5" s="74"/>
    </row>
    <row r="6" spans="1:26" x14ac:dyDescent="0.25">
      <c r="A6" s="116"/>
      <c r="B6" s="117"/>
      <c r="C6" s="106"/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291990.96980392496</v>
      </c>
      <c r="R6" s="76"/>
      <c r="S6" s="79">
        <f>S2/Q2</f>
        <v>5.5112586366614008E-2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105374</v>
      </c>
      <c r="D10" s="88"/>
      <c r="E10" s="85" t="s">
        <v>59</v>
      </c>
      <c r="F10" s="86"/>
      <c r="G10" s="87">
        <f>SUM(G2:H9) * 投資!G2</f>
        <v>33932.805</v>
      </c>
      <c r="H10" s="89"/>
      <c r="I10" s="85" t="s">
        <v>59</v>
      </c>
      <c r="J10" s="86"/>
      <c r="K10" s="87">
        <f>SUM(K2:L9)</f>
        <v>105952.47999999998</v>
      </c>
      <c r="L10" s="88"/>
      <c r="M10" s="85" t="s">
        <v>59</v>
      </c>
      <c r="N10" s="86"/>
      <c r="O10" s="87">
        <f>SUM(O2:P9)</f>
        <v>63762.684803924996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6:L6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6966.3224999999993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1.1504989241664892E-3</v>
      </c>
      <c r="H3" s="189">
        <v>216.01</v>
      </c>
      <c r="I3" s="189">
        <f>投資!G2</f>
        <v>32.25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3.4514967724994676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32.25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107165.47999999998</v>
      </c>
      <c r="C3" s="1">
        <f>(B3-A3)/A3</f>
        <v>2.8301604360174842E-2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2949.4799999999814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63938.684803924996</v>
      </c>
      <c r="C10" s="1">
        <f>(B10-A10)/A10</f>
        <v>-1.6403587355972676E-2</v>
      </c>
      <c r="D10" s="28"/>
      <c r="E10" s="159">
        <f>SUM(A3,A10)</f>
        <v>169221</v>
      </c>
      <c r="F10" s="159">
        <f>SUM(B3,B10)</f>
        <v>171104.16480392497</v>
      </c>
      <c r="G10" s="1">
        <f>(F10-E10)/E10</f>
        <v>1.11284344373628E-2</v>
      </c>
    </row>
    <row r="11" spans="1:9" ht="18" customHeight="1" x14ac:dyDescent="0.3">
      <c r="A11" s="160"/>
      <c r="B11" s="160"/>
      <c r="C11" s="14">
        <f>B10-A10</f>
        <v>-1066.3151960750038</v>
      </c>
      <c r="D11" s="28"/>
      <c r="E11" s="159"/>
      <c r="F11" s="159"/>
      <c r="G11" s="36">
        <f>F10-E10</f>
        <v>1883.1648039249703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72.900000000000006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-7.0022347557730418E-3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-65.799999999999272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31.237396883593036</v>
      </c>
      <c r="B3" s="172">
        <f>E3/D3</f>
        <v>31.237396883593036</v>
      </c>
      <c r="C3" s="174">
        <v>31.58</v>
      </c>
      <c r="D3" s="176">
        <f>SUM(D6:D505)</f>
        <v>1091</v>
      </c>
      <c r="E3" s="178">
        <f>SUM(E6:E505)</f>
        <v>34080</v>
      </c>
      <c r="F3" s="178">
        <f>SUM(F6:F505)</f>
        <v>0</v>
      </c>
      <c r="G3" s="1">
        <f>(C3-A3)/B3</f>
        <v>1.0967723004694728E-2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373.77999999999633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/>
      <c r="C11" s="15"/>
      <c r="D11" s="18"/>
      <c r="E11" s="18"/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20.5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-2.5340715502555435E-2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-59.499999999999872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18.399999999999999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4.625712866708899E-2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2700.9999999999927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2247.5025000000001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-5.33830627580178E-3</v>
      </c>
      <c r="H3" s="189">
        <v>69.69</v>
      </c>
      <c r="I3" s="190">
        <f>投資!G2</f>
        <v>32.25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-74.741626167500726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1407.39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-1.4929214704999937E-2</v>
      </c>
      <c r="H3" s="189">
        <v>43.64</v>
      </c>
      <c r="I3" s="190">
        <f>投資!G2</f>
        <v>32.25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-59.716858819999743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3033.7574999999997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-2.1255072444777708E-2</v>
      </c>
      <c r="H3" s="189">
        <v>94.07</v>
      </c>
      <c r="I3" s="190">
        <f>投資!G2</f>
        <v>32.25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-935.30820785999822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2023-10-17T01:46:23Z</dcterms:modified>
</cp:coreProperties>
</file>