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A68D2EE-0429-4633-B30E-4215E9DEE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<sst xmlns="http://schemas.openxmlformats.org/spreadsheetml/2006/main" count="273" uniqueCount="80">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</sst>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87932</c:v>
                </c:pt>
                <c:pt idx="1">
                  <c:v>42175.846379999995</c:v>
                </c:pt>
                <c:pt idx="2">
                  <c:v>131712.52000000002</c:v>
                </c:pt>
                <c:pt idx="3">
                  <c:v>74560.490569112982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336380.85694911302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C8" sqref="C8:D8"/>
    </sheetView>
  </sheetViews>
  <sheetFormatPr defaultRowHeight="16.2" x14ac:dyDescent="0.3"/>
  <sheetData>
    <row r="1" spans="1:26" ht="31.2" thickBot="1" x14ac:dyDescent="0.35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3">
      <c r="A2" s="154" t="s">
        <v>48</v>
      </c>
      <c r="B2" s="155"/>
      <c r="C2" s="156">
        <v>51572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16654.95</v>
      </c>
      <c r="L2" s="141"/>
      <c r="M2" s="144" t="s">
        <v>20</v>
      </c>
      <c r="N2" s="145"/>
      <c r="O2" s="96">
        <f>(BND!H3 * BND!D3)</f>
        <v>518.77974960000006</v>
      </c>
      <c r="P2" s="97"/>
      <c r="Q2" s="59">
        <f>SUM(C10,G10,K10,O10)</f>
        <v>336380.85694911302</v>
      </c>
      <c r="R2" s="60"/>
      <c r="S2" s="65">
        <v>7914</v>
      </c>
      <c r="T2" s="66"/>
    </row>
    <row r="3" spans="1:26" ht="16.8" thickBot="1" x14ac:dyDescent="0.35">
      <c r="A3" s="118" t="s">
        <v>49</v>
      </c>
      <c r="B3" s="119"/>
      <c r="C3" s="108">
        <v>31649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38612.15</v>
      </c>
      <c r="L3" s="143"/>
      <c r="M3" s="146" t="s">
        <v>22</v>
      </c>
      <c r="N3" s="147"/>
      <c r="O3" s="98">
        <f>(VEA!D3*VEA!H3)</f>
        <v>196.69200210000002</v>
      </c>
      <c r="P3" s="99"/>
      <c r="Q3" s="61"/>
      <c r="R3" s="62"/>
      <c r="S3" s="67"/>
      <c r="T3" s="68"/>
    </row>
    <row r="4" spans="1:26" ht="16.2" customHeight="1" x14ac:dyDescent="0.3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3316.4199999999996</v>
      </c>
      <c r="L4" s="143"/>
      <c r="M4" s="146" t="s">
        <v>19</v>
      </c>
      <c r="N4" s="147"/>
      <c r="O4" s="98">
        <f>(VT!D3*VT!H3)</f>
        <v>1507.0987241200003</v>
      </c>
      <c r="P4" s="99"/>
      <c r="Q4" s="69" t="s">
        <v>60</v>
      </c>
      <c r="R4" s="70"/>
      <c r="S4" s="73" t="s">
        <v>61</v>
      </c>
      <c r="T4" s="74"/>
    </row>
    <row r="5" spans="1:26" ht="16.95" customHeight="1" thickBot="1" x14ac:dyDescent="0.35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70440</v>
      </c>
      <c r="L5" s="143"/>
      <c r="M5" s="146" t="s">
        <v>21</v>
      </c>
      <c r="N5" s="147"/>
      <c r="O5" s="98">
        <f>(VTI!D3*VTI!H3)</f>
        <v>167.87838984999999</v>
      </c>
      <c r="P5" s="99"/>
      <c r="Q5" s="71"/>
      <c r="R5" s="72"/>
      <c r="S5" s="75"/>
      <c r="T5" s="76"/>
    </row>
    <row r="6" spans="1:26" x14ac:dyDescent="0.3">
      <c r="A6" s="118" t="s">
        <v>62</v>
      </c>
      <c r="B6" s="119"/>
      <c r="C6" s="108">
        <f xml:space="preserve"> 投資!G2 * 0</f>
        <v>0</v>
      </c>
      <c r="D6" s="109"/>
      <c r="E6" s="122"/>
      <c r="F6" s="123"/>
      <c r="G6" s="114"/>
      <c r="H6" s="115"/>
      <c r="I6" s="110" t="s">
        <v>78</v>
      </c>
      <c r="J6" s="111"/>
      <c r="K6" s="104">
        <v>2689</v>
      </c>
      <c r="L6" s="105"/>
      <c r="M6" s="92"/>
      <c r="N6" s="93"/>
      <c r="O6" s="100"/>
      <c r="P6" s="101"/>
      <c r="Q6" s="77">
        <f>Q2-S2</f>
        <v>328466.85694911302</v>
      </c>
      <c r="R6" s="78"/>
      <c r="S6" s="81">
        <f>S2/Q2</f>
        <v>2.3526903616864301E-2</v>
      </c>
      <c r="T6" s="82"/>
    </row>
    <row r="7" spans="1:26" ht="16.8" thickBot="1" x14ac:dyDescent="0.35">
      <c r="A7" s="118" t="s">
        <v>67</v>
      </c>
      <c r="B7" s="119"/>
      <c r="C7" s="108">
        <v>1449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3">
      <c r="A8" s="118" t="s">
        <v>68</v>
      </c>
      <c r="B8" s="119"/>
      <c r="C8" s="108">
        <v>220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6.8" thickBot="1" x14ac:dyDescent="0.35">
      <c r="A9" s="120" t="s">
        <v>74</v>
      </c>
      <c r="B9" s="121"/>
      <c r="C9" s="126">
        <v>3042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6.8" thickBot="1" x14ac:dyDescent="0.35">
      <c r="A10" s="87" t="s">
        <v>57</v>
      </c>
      <c r="B10" s="88"/>
      <c r="C10" s="89">
        <f>SUM(C2:D9)</f>
        <v>87932</v>
      </c>
      <c r="D10" s="90"/>
      <c r="E10" s="87" t="s">
        <v>57</v>
      </c>
      <c r="F10" s="88"/>
      <c r="G10" s="89">
        <f>SUM(G2:H9) * 投資!G2</f>
        <v>42175.846379999995</v>
      </c>
      <c r="H10" s="91"/>
      <c r="I10" s="87" t="s">
        <v>57</v>
      </c>
      <c r="J10" s="88"/>
      <c r="K10" s="89">
        <f>SUM(K2:L9)</f>
        <v>131712.52000000002</v>
      </c>
      <c r="L10" s="90"/>
      <c r="M10" s="87" t="s">
        <v>57</v>
      </c>
      <c r="N10" s="88"/>
      <c r="O10" s="89">
        <f>SUM(O2:P9) * 投資!G2</f>
        <v>74560.490569112982</v>
      </c>
      <c r="P10" s="90"/>
      <c r="Q10" s="55"/>
      <c r="R10" s="55"/>
      <c r="S10" s="55"/>
      <c r="T10" s="55"/>
    </row>
    <row r="11" spans="1:26" x14ac:dyDescent="0.3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3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3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3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3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3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3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3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3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3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3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3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3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8671875" defaultRowHeight="15.6" x14ac:dyDescent="0.3"/>
  <cols>
    <col min="1" max="2" width="15.109375" style="35" customWidth="1"/>
    <col min="3" max="3" width="15" style="34" customWidth="1"/>
    <col min="4" max="4" width="12.88671875" style="35" customWidth="1"/>
    <col min="5" max="6" width="15.109375" style="35" customWidth="1"/>
    <col min="7" max="7" width="15" style="35" customWidth="1"/>
    <col min="8" max="8" width="8.88671875" style="27"/>
    <col min="9" max="10" width="15.109375" style="27" customWidth="1"/>
    <col min="11" max="11" width="15" style="26" customWidth="1"/>
    <col min="12" max="16384" width="8.88671875" style="26"/>
  </cols>
  <sheetData>
    <row r="1" spans="1:9" ht="30.6" customHeight="1" x14ac:dyDescent="0.45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2" customHeight="1" x14ac:dyDescent="0.35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31.190999999999999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129023.52</v>
      </c>
      <c r="C3" s="1">
        <f>(B3-A3)/A3</f>
        <v>0.12441737038876836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14276.520000000004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3.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74793.490569112968</v>
      </c>
      <c r="C10" s="1">
        <f>(B10-A10)/A10</f>
        <v>2.7778411602167975E-2</v>
      </c>
      <c r="D10" s="28"/>
      <c r="E10" s="161">
        <f>SUM(A3,A10)</f>
        <v>187519</v>
      </c>
      <c r="F10" s="161">
        <f>SUM(B3,B10)</f>
        <v>203817.01056911296</v>
      </c>
      <c r="G10" s="1">
        <f>(F10-E10)/E10</f>
        <v>8.6913915758472252E-2</v>
      </c>
    </row>
    <row r="11" spans="1:9" ht="18" customHeight="1" x14ac:dyDescent="0.3">
      <c r="A11" s="162"/>
      <c r="B11" s="162"/>
      <c r="C11" s="57">
        <f>B10-A10</f>
        <v>2021.4905691129679</v>
      </c>
      <c r="D11" s="28"/>
      <c r="E11" s="161"/>
      <c r="F11" s="161"/>
      <c r="G11" s="56">
        <f>F10-E10</f>
        <v>16298.010569112957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71.958904109589042</v>
      </c>
      <c r="B3" s="174">
        <f>E3/D3</f>
        <v>73.347031963470315</v>
      </c>
      <c r="C3" s="176">
        <v>76.05</v>
      </c>
      <c r="D3" s="178">
        <f>SUM(D6:D505)</f>
        <v>219</v>
      </c>
      <c r="E3" s="180">
        <f>SUM(E6:E505)</f>
        <v>16063</v>
      </c>
      <c r="F3" s="180">
        <f>SUM(F6:F505)</f>
        <v>304</v>
      </c>
      <c r="G3" s="1">
        <f>(C3-A3)/B3</f>
        <v>5.5777252069974421E-2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895.9500000000005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152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152</v>
      </c>
      <c r="G16" s="168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29.188176519567026</v>
      </c>
      <c r="B3" s="174">
        <f>E3/D3</f>
        <v>31.243130724396337</v>
      </c>
      <c r="C3" s="176">
        <v>32.15</v>
      </c>
      <c r="D3" s="178">
        <f>SUM(D6:D505)</f>
        <v>1201</v>
      </c>
      <c r="E3" s="180">
        <f>SUM(E6:E505)</f>
        <v>37523</v>
      </c>
      <c r="F3" s="180">
        <f>SUM(F6:F505)</f>
        <v>2468</v>
      </c>
      <c r="G3" s="1">
        <f>(C3-A3)/B3</f>
        <v>9.479918983023744E-2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3557.1499999999969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1234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1234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20.99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3.2462979752190882E-2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107.41999999999966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20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0.14998421218819061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9499.9999999999982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72">
        <f>(E3-F3)/D3</f>
        <v>2251.464520156359</v>
      </c>
      <c r="B3" s="174">
        <f>E3/D3</f>
        <v>2263.9152760021302</v>
      </c>
      <c r="C3" s="190">
        <f>H3*I3</f>
        <v>2289.4194000000002</v>
      </c>
      <c r="D3" s="178">
        <f>SUM(D7:D505)</f>
        <v>7.067844</v>
      </c>
      <c r="E3" s="180">
        <f>SUM(E7:E505)</f>
        <v>16001</v>
      </c>
      <c r="F3" s="180">
        <f>SUM(F7:G505)</f>
        <v>88</v>
      </c>
      <c r="G3" s="1">
        <f>(C3*D3+F3-E3)/E3</f>
        <v>1.6765150288957094E-2</v>
      </c>
      <c r="H3" s="191">
        <v>73.400000000000006</v>
      </c>
      <c r="I3" s="192">
        <f>投資!G2</f>
        <v>31.190999999999999</v>
      </c>
      <c r="J3" s="193"/>
    </row>
    <row r="4" spans="1:10" ht="18" x14ac:dyDescent="0.3">
      <c r="A4" s="173"/>
      <c r="B4" s="175"/>
      <c r="C4" s="190"/>
      <c r="D4" s="179"/>
      <c r="E4" s="181"/>
      <c r="F4" s="181"/>
      <c r="G4" s="14">
        <f>C3*D3+F3-E3</f>
        <v>268.25916977360248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88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82"/>
      <c r="G17" s="183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82">
        <v>29</v>
      </c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72">
        <f>(E3-F3)/D3</f>
        <v>1433.4116130286723</v>
      </c>
      <c r="B3" s="174">
        <f>E3/D3</f>
        <v>1436.7640625078573</v>
      </c>
      <c r="C3" s="176">
        <f>H3*I3</f>
        <v>1469.0961</v>
      </c>
      <c r="D3" s="178">
        <f>SUM(D7:D505)</f>
        <v>4.1760510000000002</v>
      </c>
      <c r="E3" s="180">
        <f>SUM(E7:E505)</f>
        <v>6000</v>
      </c>
      <c r="F3" s="180">
        <f>SUM(F7:G505)</f>
        <v>14</v>
      </c>
      <c r="G3" s="1">
        <f>(C3*D3+F3-E3)/E3</f>
        <v>2.4836706250183398E-2</v>
      </c>
      <c r="H3" s="191">
        <v>47.1</v>
      </c>
      <c r="I3" s="192">
        <f>投資!G2</f>
        <v>31.190999999999999</v>
      </c>
      <c r="J3" s="193"/>
    </row>
    <row r="4" spans="1:10" ht="18" x14ac:dyDescent="0.3">
      <c r="A4" s="173"/>
      <c r="B4" s="175"/>
      <c r="C4" s="177"/>
      <c r="D4" s="179"/>
      <c r="E4" s="181"/>
      <c r="F4" s="181"/>
      <c r="G4" s="14">
        <f>C3*D3+F3-E3</f>
        <v>149.02023750110038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82"/>
      <c r="G13" s="183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72">
        <f>(E3-F3)/D3</f>
        <v>3099.2257542566217</v>
      </c>
      <c r="B3" s="174">
        <f>E3/D3</f>
        <v>3107.7375125075555</v>
      </c>
      <c r="C3" s="176">
        <f>H3*I3</f>
        <v>3175.5557100000001</v>
      </c>
      <c r="D3" s="178">
        <f>SUM(D7:D505)</f>
        <v>14.803052000000003</v>
      </c>
      <c r="E3" s="180">
        <f>SUM(E7:E505)</f>
        <v>46004</v>
      </c>
      <c r="F3" s="180">
        <f>SUM(F7:G505)</f>
        <v>126</v>
      </c>
      <c r="G3" s="1">
        <f>(C3*D3+F3-E3)/E3</f>
        <v>2.4561262151702609E-2</v>
      </c>
      <c r="H3" s="191">
        <v>101.81</v>
      </c>
      <c r="I3" s="192">
        <f>投資!G2</f>
        <v>31.190999999999999</v>
      </c>
      <c r="J3" s="193"/>
    </row>
    <row r="4" spans="1:10" ht="18" x14ac:dyDescent="0.3">
      <c r="A4" s="173"/>
      <c r="B4" s="175"/>
      <c r="C4" s="177"/>
      <c r="D4" s="179"/>
      <c r="E4" s="181"/>
      <c r="F4" s="181"/>
      <c r="G4" s="14">
        <f>C3*D3+F3-E3</f>
        <v>1129.9163040269268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82"/>
      <c r="G14" s="183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52" customWidth="1"/>
    <col min="3" max="3" width="15" style="51" customWidth="1"/>
    <col min="4" max="4" width="12.88671875" style="52" customWidth="1"/>
    <col min="5" max="5" width="17" style="52" customWidth="1"/>
    <col min="6" max="6" width="12.77734375" style="52" customWidth="1"/>
    <col min="7" max="7" width="12.88671875" style="52" customWidth="1"/>
    <col min="8" max="16384" width="8.88671875" style="41"/>
  </cols>
  <sheetData>
    <row r="1" spans="1:10" ht="30.6" customHeight="1" x14ac:dyDescent="0.3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" x14ac:dyDescent="0.3">
      <c r="A3" s="172">
        <f>(E3-F3)/D3</f>
        <v>7001.3385942657715</v>
      </c>
      <c r="B3" s="174">
        <f>E3/D3</f>
        <v>7008.346941206978</v>
      </c>
      <c r="C3" s="176">
        <f>H3*I3</f>
        <v>7339.5542100000002</v>
      </c>
      <c r="D3" s="178">
        <f>SUM(D7:D505)</f>
        <v>0.71343499999999993</v>
      </c>
      <c r="E3" s="180">
        <f>SUM(E7:E505)</f>
        <v>5000</v>
      </c>
      <c r="F3" s="180">
        <f>SUM(F7:G505)</f>
        <v>5</v>
      </c>
      <c r="G3" s="1">
        <f>(C3*D3+F3-E3)/E3</f>
        <v>4.825897156227002E-2</v>
      </c>
      <c r="H3" s="191">
        <v>235.31</v>
      </c>
      <c r="I3" s="191">
        <f>投資!G2</f>
        <v>31.190999999999999</v>
      </c>
      <c r="J3" s="193"/>
    </row>
    <row r="4" spans="1:10" ht="18" x14ac:dyDescent="0.3">
      <c r="A4" s="173"/>
      <c r="B4" s="175"/>
      <c r="C4" s="177"/>
      <c r="D4" s="179"/>
      <c r="E4" s="181"/>
      <c r="F4" s="181"/>
      <c r="G4" s="14">
        <f>C3*D3+F3-E3</f>
        <v>241.29485781135008</v>
      </c>
      <c r="H4" s="191"/>
      <c r="I4" s="191"/>
      <c r="J4" s="193"/>
    </row>
    <row r="5" spans="1:10" x14ac:dyDescent="0.3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3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3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3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3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3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3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3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4"/>
      <c r="G12" s="195"/>
      <c r="H12" s="48">
        <v>227.89</v>
      </c>
      <c r="I12" s="48">
        <v>31.552</v>
      </c>
      <c r="J12" s="48">
        <v>31.69</v>
      </c>
    </row>
    <row r="13" spans="1:10" x14ac:dyDescent="0.3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3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3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3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3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3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3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3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3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3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3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3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3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3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3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3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3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3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3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3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3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3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3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3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3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3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3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3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3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3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3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3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3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3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3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3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3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3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3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3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3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3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3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3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3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3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3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3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3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3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3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3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3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3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3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3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3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3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3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3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3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3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3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3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3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3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3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3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3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3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3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3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3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3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3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3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3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3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3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3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3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3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3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3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3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3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3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3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3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3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3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3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3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3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3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3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3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3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3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3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3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3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3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3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3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3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3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3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3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3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3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3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3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3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3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3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3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3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3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3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3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3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3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3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3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3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3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3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3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3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3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3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3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3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3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3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3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3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3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3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3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3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3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3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3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3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3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3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3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3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3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3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3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3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3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3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3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3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3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3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3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3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3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3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3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3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3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3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3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3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3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3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3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3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3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3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3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3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3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3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3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3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3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3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3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3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3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3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3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3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3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3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3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3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3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3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3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3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3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3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3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3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3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3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3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3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3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3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3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3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3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3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3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3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3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3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3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3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3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3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3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3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3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3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3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3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3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3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3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3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3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3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3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3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3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3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3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3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3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3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3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3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3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3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3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3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3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3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3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3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3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3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3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3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3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3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3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3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3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3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3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3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3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3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3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3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3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3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3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3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3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3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3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3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3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3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3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3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3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3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3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3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3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3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3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3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3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3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3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3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3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3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3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3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3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3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3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3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3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3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3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3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3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3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3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3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3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3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3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3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3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3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3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3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3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3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3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3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3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3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3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3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3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3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3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3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3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3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3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3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3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3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3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3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3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3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3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3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3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3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3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3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3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3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3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3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3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3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3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3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3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3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3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3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3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3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3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3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3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3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3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3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3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3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3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3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3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3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3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3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3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3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3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3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3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3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3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3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3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3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3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3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3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3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3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3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3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3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3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3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3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3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3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3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3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3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3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3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3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3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3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3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3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3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3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3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3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3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3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3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3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3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3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3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3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3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3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3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3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3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3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3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3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3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3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3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3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3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3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3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3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3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3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3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3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3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3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3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3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3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3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3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3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3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3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3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3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3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3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3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3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3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3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3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3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3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3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3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3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3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3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3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3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3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3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3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3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3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3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3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3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3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3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3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3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3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3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3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3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3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3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3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3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3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3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3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3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3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3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3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3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3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3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3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2023-12-16T09:14:37Z</dcterms:modified>
</cp:coreProperties>
</file>