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55" documentId="13_ncr:1_{AFE626F0-DB9F-430C-8856-F05A99335ED4}" xr6:coauthVersionLast="47" xr6:coauthVersionMax="47" xr10:uidLastSave="{47389ACF-3D5C-486E-87AB-FA790E8A9776}"/>
  <bookViews>
    <workbookView xWindow="-120" yWindow="-120" windowWidth="29040" windowHeight="17520" activeTab="1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F3" i="17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<sst xmlns="http://schemas.openxmlformats.org/spreadsheetml/2006/main" count="271" uniqueCount="80">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</sst>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89731.753760000007</c:v>
                </c:pt>
                <c:pt idx="1">
                  <c:v>42554.456779999993</c:v>
                </c:pt>
                <c:pt idx="2">
                  <c:v>125487.91</c:v>
                </c:pt>
                <c:pt idx="3">
                  <c:v>73407.957238866598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331182.07777886663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workbookViewId="0">
      <selection activeCell="W20" sqref="W20"/>
    </sheetView>
  </sheetViews>
  <sheetFormatPr defaultRowHeight="16.5" x14ac:dyDescent="0.25"/>
  <sheetData>
    <row r="1" spans="1:26" ht="31.5" thickBot="1" x14ac:dyDescent="0.3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25">
      <c r="A2" s="73" t="s">
        <v>48</v>
      </c>
      <c r="B2" s="74"/>
      <c r="C2" s="75">
        <v>51776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14765.800000000001</v>
      </c>
      <c r="L2" s="82"/>
      <c r="M2" s="89" t="s">
        <v>20</v>
      </c>
      <c r="N2" s="90"/>
      <c r="O2" s="140">
        <f>(BND!H3 * BND!D3)</f>
        <v>510.08630148000003</v>
      </c>
      <c r="P2" s="141"/>
      <c r="Q2" s="142">
        <f>SUM(C10,G10,K10,O10)</f>
        <v>331182.07777886663</v>
      </c>
      <c r="R2" s="143"/>
      <c r="S2" s="148">
        <v>6457</v>
      </c>
      <c r="T2" s="149"/>
    </row>
    <row r="3" spans="1:26" ht="17.25" thickBot="1" x14ac:dyDescent="0.3">
      <c r="A3" s="59" t="s">
        <v>49</v>
      </c>
      <c r="B3" s="60"/>
      <c r="C3" s="64">
        <v>31510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37747.43</v>
      </c>
      <c r="L3" s="84"/>
      <c r="M3" s="91" t="s">
        <v>22</v>
      </c>
      <c r="N3" s="92"/>
      <c r="O3" s="117">
        <f>(VEA!D3*VEA!H3)</f>
        <v>192.85003518000002</v>
      </c>
      <c r="P3" s="118"/>
      <c r="Q3" s="144"/>
      <c r="R3" s="145"/>
      <c r="S3" s="150"/>
      <c r="T3" s="151"/>
    </row>
    <row r="4" spans="1:26" ht="16.149999999999999" customHeight="1" x14ac:dyDescent="0.25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3240.5800000000004</v>
      </c>
      <c r="L4" s="84"/>
      <c r="M4" s="91" t="s">
        <v>19</v>
      </c>
      <c r="N4" s="92"/>
      <c r="O4" s="117">
        <f>(VT!D3*VT!H3)</f>
        <v>1467.1304837200003</v>
      </c>
      <c r="P4" s="118"/>
      <c r="Q4" s="152" t="s">
        <v>60</v>
      </c>
      <c r="R4" s="153"/>
      <c r="S4" s="156" t="s">
        <v>61</v>
      </c>
      <c r="T4" s="157"/>
    </row>
    <row r="5" spans="1:26" ht="16.899999999999999" customHeight="1" thickBot="1" x14ac:dyDescent="0.3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67094.100000000006</v>
      </c>
      <c r="L5" s="84"/>
      <c r="M5" s="91" t="s">
        <v>21</v>
      </c>
      <c r="N5" s="92"/>
      <c r="O5" s="117">
        <f>(VTI!D3*VTI!H3)</f>
        <v>162.49195559999998</v>
      </c>
      <c r="P5" s="118"/>
      <c r="Q5" s="154"/>
      <c r="R5" s="155"/>
      <c r="S5" s="158"/>
      <c r="T5" s="159"/>
    </row>
    <row r="6" spans="1:26" x14ac:dyDescent="0.25">
      <c r="A6" s="59" t="s">
        <v>62</v>
      </c>
      <c r="B6" s="60"/>
      <c r="C6" s="64">
        <f xml:space="preserve"> 投資!G2 * 30.56</f>
        <v>961.75375999999994</v>
      </c>
      <c r="D6" s="65"/>
      <c r="E6" s="66"/>
      <c r="F6" s="67"/>
      <c r="G6" s="71"/>
      <c r="H6" s="72"/>
      <c r="I6" s="111" t="s">
        <v>78</v>
      </c>
      <c r="J6" s="112"/>
      <c r="K6" s="87">
        <v>2640</v>
      </c>
      <c r="L6" s="88"/>
      <c r="M6" s="85"/>
      <c r="N6" s="86"/>
      <c r="O6" s="119"/>
      <c r="P6" s="120"/>
      <c r="Q6" s="123">
        <f>Q2-S2</f>
        <v>324725.07777886663</v>
      </c>
      <c r="R6" s="124"/>
      <c r="S6" s="127">
        <f>S2/Q2</f>
        <v>1.9496827978449364E-2</v>
      </c>
      <c r="T6" s="128"/>
    </row>
    <row r="7" spans="1:26" ht="17.25" thickBot="1" x14ac:dyDescent="0.3">
      <c r="A7" s="59" t="s">
        <v>67</v>
      </c>
      <c r="B7" s="60"/>
      <c r="C7" s="64">
        <v>2255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25">
      <c r="A8" s="59" t="s">
        <v>68</v>
      </c>
      <c r="B8" s="60"/>
      <c r="C8" s="64">
        <v>200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7.25" thickBot="1" x14ac:dyDescent="0.3">
      <c r="A9" s="103" t="s">
        <v>74</v>
      </c>
      <c r="B9" s="104"/>
      <c r="C9" s="107">
        <v>3029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7.25" thickBot="1" x14ac:dyDescent="0.3">
      <c r="A10" s="133" t="s">
        <v>57</v>
      </c>
      <c r="B10" s="134"/>
      <c r="C10" s="135">
        <f>SUM(C2:D9)</f>
        <v>89731.753760000007</v>
      </c>
      <c r="D10" s="136"/>
      <c r="E10" s="133" t="s">
        <v>57</v>
      </c>
      <c r="F10" s="134"/>
      <c r="G10" s="135">
        <f>SUM(G2:H9) * 投資!G2</f>
        <v>42554.456779999993</v>
      </c>
      <c r="H10" s="137"/>
      <c r="I10" s="133" t="s">
        <v>57</v>
      </c>
      <c r="J10" s="134"/>
      <c r="K10" s="135">
        <f>SUM(K2:L9)</f>
        <v>125487.91</v>
      </c>
      <c r="L10" s="136"/>
      <c r="M10" s="133" t="s">
        <v>57</v>
      </c>
      <c r="N10" s="134"/>
      <c r="O10" s="135">
        <f>SUM(O2:P9) * 投資!G2</f>
        <v>73407.957238866598</v>
      </c>
      <c r="P10" s="136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tabSelected="1"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31.471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113260</v>
      </c>
      <c r="B3" s="162" cm="1">
        <f t="array" ref="B3">SUM('006208'!C3:C4*'006208'!D3:D4, '00692'!C3:C4*'00692'!D3:D4, '00878'!C3:C4*'00878'!D3:D4, 永豐金!C3*永豐金!D3)</f>
        <v>122847.91</v>
      </c>
      <c r="C3" s="1">
        <f>(B3-A3)/A3</f>
        <v>8.4653981988345436E-2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9587.9100000000035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72801</v>
      </c>
      <c r="B10" s="162">
        <f>SUM(VT!E3,VT!G4,BND!E3,BND!G4,VTI!E3,VTI!G4,VEA!E3,VEA!G4)</f>
        <v>73611.957238866584</v>
      </c>
      <c r="C10" s="1">
        <f>(B10-A10)/A10</f>
        <v>1.1139369498586335E-2</v>
      </c>
      <c r="D10" s="28"/>
      <c r="E10" s="161">
        <f>SUM(A3,A10)</f>
        <v>186061</v>
      </c>
      <c r="F10" s="161">
        <f>SUM(B3,B10)</f>
        <v>196459.86723886657</v>
      </c>
      <c r="G10" s="1">
        <f>(F10-E10)/E10</f>
        <v>5.5889559009499962E-2</v>
      </c>
    </row>
    <row r="11" spans="1:9" ht="18" customHeight="1" x14ac:dyDescent="0.3">
      <c r="A11" s="162"/>
      <c r="B11" s="162"/>
      <c r="C11" s="57">
        <f>B10-A10</f>
        <v>810.95723886658379</v>
      </c>
      <c r="D11" s="28"/>
      <c r="E11" s="161"/>
      <c r="F11" s="161"/>
      <c r="G11" s="56">
        <f>F10-E10</f>
        <v>10398.867238866573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71.708542713567837</v>
      </c>
      <c r="B3" s="166">
        <f>E3/D3</f>
        <v>73.155778894472363</v>
      </c>
      <c r="C3" s="168">
        <v>74.2</v>
      </c>
      <c r="D3" s="170">
        <f>SUM(D6:D505)</f>
        <v>199</v>
      </c>
      <c r="E3" s="172">
        <f>SUM(E6:E505)</f>
        <v>14558</v>
      </c>
      <c r="F3" s="172">
        <f>SUM(F6:F505)</f>
        <v>288</v>
      </c>
      <c r="G3" s="1">
        <f>(C3-A3)/B3</f>
        <v>3.4056875944497939E-2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495.80000000000041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144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144</v>
      </c>
      <c r="G16" s="163"/>
    </row>
    <row r="17" spans="1:7" x14ac:dyDescent="0.3">
      <c r="A17" s="7">
        <v>12</v>
      </c>
      <c r="B17" s="8"/>
      <c r="C17" s="15"/>
      <c r="D17" s="13"/>
      <c r="E17" s="13"/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29.189841798501249</v>
      </c>
      <c r="B3" s="166">
        <f>E3/D3</f>
        <v>31.243130724396337</v>
      </c>
      <c r="C3" s="168">
        <v>31.43</v>
      </c>
      <c r="D3" s="170">
        <f>SUM(D6:D505)</f>
        <v>1201</v>
      </c>
      <c r="E3" s="172">
        <f>SUM(E6:E505)</f>
        <v>37523</v>
      </c>
      <c r="F3" s="172">
        <f>SUM(F6:F505)</f>
        <v>2466</v>
      </c>
      <c r="G3" s="1">
        <f>(C3-A3)/B3</f>
        <v>7.1700823494923113E-2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2690.4299999999985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1233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1233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20.310126582278482</v>
      </c>
      <c r="B3" s="166">
        <f>E3/D3</f>
        <v>20.943037974683545</v>
      </c>
      <c r="C3" s="168">
        <v>20.51</v>
      </c>
      <c r="D3" s="170">
        <f>SUM(D6:D505)</f>
        <v>158</v>
      </c>
      <c r="E3" s="172">
        <f>SUM(E6:E505)</f>
        <v>3309</v>
      </c>
      <c r="F3" s="172">
        <f>SUM(F6:F505)</f>
        <v>100</v>
      </c>
      <c r="G3" s="1">
        <f>(C3-A3)/B3</f>
        <v>9.5436687821094362E-3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31.580000000000155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17.302668938103352</v>
      </c>
      <c r="B3" s="166">
        <f>E3/D3</f>
        <v>17.984099943214083</v>
      </c>
      <c r="C3" s="168">
        <v>19.05</v>
      </c>
      <c r="D3" s="170">
        <f>SUM(D6:D505)</f>
        <v>3522</v>
      </c>
      <c r="E3" s="172">
        <f>SUM(E6:E505)</f>
        <v>63340</v>
      </c>
      <c r="F3" s="172">
        <f>SUM(F6:F505)</f>
        <v>2400</v>
      </c>
      <c r="G3" s="1">
        <f>(C3-A3)/B3</f>
        <v>9.7159772655509888E-2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6154.1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3"/>
      <c r="G18" s="163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O18" sqref="O18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2255.567610150988</v>
      </c>
      <c r="B3" s="166">
        <f>E3/D3</f>
        <v>2263.9152760021302</v>
      </c>
      <c r="C3" s="182">
        <f>H3*I3</f>
        <v>2271.2620700000002</v>
      </c>
      <c r="D3" s="170">
        <f>SUM(D7:D505)</f>
        <v>7.067844</v>
      </c>
      <c r="E3" s="172">
        <f>SUM(E7:E505)</f>
        <v>16001</v>
      </c>
      <c r="F3" s="172">
        <f>SUM(F7:G505)</f>
        <v>59</v>
      </c>
      <c r="G3" s="1">
        <f>(C3*D3+F3-E3)/E3</f>
        <v>6.9324413397338323E-3</v>
      </c>
      <c r="H3" s="183">
        <v>72.17</v>
      </c>
      <c r="I3" s="184">
        <f>投資!G2</f>
        <v>31.471</v>
      </c>
      <c r="J3" s="185"/>
    </row>
    <row r="4" spans="1:10" ht="18.75" x14ac:dyDescent="0.3">
      <c r="A4" s="165"/>
      <c r="B4" s="167"/>
      <c r="C4" s="182"/>
      <c r="D4" s="171"/>
      <c r="E4" s="173"/>
      <c r="F4" s="173"/>
      <c r="G4" s="14">
        <f>C3*D3+F3-E3</f>
        <v>110.92599387708105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59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90"/>
      <c r="G17" s="191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J14" sqref="J14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1433.4116130286723</v>
      </c>
      <c r="B3" s="166">
        <f>E3/D3</f>
        <v>1436.7640625078573</v>
      </c>
      <c r="C3" s="168">
        <f>H3*I3</f>
        <v>1453.33078</v>
      </c>
      <c r="D3" s="170">
        <f>SUM(D7:D505)</f>
        <v>4.1760510000000002</v>
      </c>
      <c r="E3" s="172">
        <f>SUM(E7:E505)</f>
        <v>6000</v>
      </c>
      <c r="F3" s="172">
        <f>SUM(F7:G505)</f>
        <v>14</v>
      </c>
      <c r="G3" s="1">
        <f>(C3*D3+F3-E3)/E3</f>
        <v>1.386390952496337E-2</v>
      </c>
      <c r="H3" s="183">
        <v>46.18</v>
      </c>
      <c r="I3" s="184">
        <f>投資!G2</f>
        <v>31.471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83.183457149780224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90"/>
      <c r="G13" s="191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J15" sqref="J1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3099.2257542566217</v>
      </c>
      <c r="B3" s="166">
        <f>E3/D3</f>
        <v>3107.7375125075555</v>
      </c>
      <c r="C3" s="168">
        <f>H3*I3</f>
        <v>3119.0908100000001</v>
      </c>
      <c r="D3" s="170">
        <f>SUM(D7:D505)</f>
        <v>14.803052000000003</v>
      </c>
      <c r="E3" s="172">
        <f>SUM(E7:E505)</f>
        <v>46004</v>
      </c>
      <c r="F3" s="172">
        <f>SUM(F7:G505)</f>
        <v>126</v>
      </c>
      <c r="G3" s="1">
        <f>(C3*D3+F3-E3)/E3</f>
        <v>6.3921279269656597E-3</v>
      </c>
      <c r="H3" s="183">
        <v>99.11</v>
      </c>
      <c r="I3" s="184">
        <f>投資!G2</f>
        <v>31.471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294.0634531521282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90"/>
      <c r="G14" s="191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I13" sqref="I13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64">
        <f>(E3-F3)/D3</f>
        <v>7001.3385942657715</v>
      </c>
      <c r="B3" s="166">
        <f>E3/D3</f>
        <v>7008.346941206978</v>
      </c>
      <c r="C3" s="168">
        <f>H3*I3</f>
        <v>7167.8349600000001</v>
      </c>
      <c r="D3" s="170">
        <f>SUM(D7:D505)</f>
        <v>0.71343499999999993</v>
      </c>
      <c r="E3" s="172">
        <f>SUM(E7:E505)</f>
        <v>5000</v>
      </c>
      <c r="F3" s="172">
        <f>SUM(F7:G505)</f>
        <v>5</v>
      </c>
      <c r="G3" s="1">
        <f>(C3*D3+F3-E3)/E3</f>
        <v>2.3756866937519952E-2</v>
      </c>
      <c r="H3" s="183">
        <v>227.76</v>
      </c>
      <c r="I3" s="183">
        <f>投資!G2</f>
        <v>31.471</v>
      </c>
      <c r="J3" s="185"/>
    </row>
    <row r="4" spans="1:10" ht="18.75" x14ac:dyDescent="0.25">
      <c r="A4" s="165"/>
      <c r="B4" s="167"/>
      <c r="C4" s="169"/>
      <c r="D4" s="171"/>
      <c r="E4" s="173"/>
      <c r="F4" s="173"/>
      <c r="G4" s="14">
        <f>C3*D3+F3-E3</f>
        <v>118.78433468759977</v>
      </c>
      <c r="H4" s="183"/>
      <c r="I4" s="183"/>
      <c r="J4" s="185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6"/>
      <c r="G12" s="197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2023-12-08T00:59:15Z</dcterms:modified>
</cp:coreProperties>
</file>