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0BDB000-59E0-46C9-9B1A-769EBF05E0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<sst xmlns="http://schemas.openxmlformats.org/spreadsheetml/2006/main" count="258" uniqueCount="76">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</sst>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90808</c:v>
                </c:pt>
                <c:pt idx="1">
                  <c:v>42985.802199999991</c:v>
                </c:pt>
                <c:pt idx="2">
                  <c:v>117756.73999999999</c:v>
                </c:pt>
                <c:pt idx="3">
                  <c:v>68879.567117644809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320430.10931764479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13437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R14" sqref="R14"/>
    </sheetView>
  </sheetViews>
  <sheetFormatPr defaultRowHeight="16.2" x14ac:dyDescent="0.3"/>
  <sheetData>
    <row r="1" spans="1:26" ht="31.2" thickBot="1" x14ac:dyDescent="0.35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59</v>
      </c>
      <c r="R1" s="84"/>
      <c r="S1" s="61" t="s">
        <v>60</v>
      </c>
      <c r="T1" s="62"/>
    </row>
    <row r="2" spans="1:26" x14ac:dyDescent="0.3">
      <c r="A2" s="152" t="s">
        <v>49</v>
      </c>
      <c r="B2" s="153"/>
      <c r="C2" s="154">
        <v>53841</v>
      </c>
      <c r="D2" s="155"/>
      <c r="E2" s="156" t="s">
        <v>73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13380.25</v>
      </c>
      <c r="L2" s="139"/>
      <c r="M2" s="142" t="s">
        <v>20</v>
      </c>
      <c r="N2" s="143"/>
      <c r="O2" s="94">
        <f>(BND!H3 * BND!D3)</f>
        <v>468.24571679999997</v>
      </c>
      <c r="P2" s="95"/>
      <c r="Q2" s="57">
        <f>SUM(C10,G10,K10,O10)</f>
        <v>320430.10931764479</v>
      </c>
      <c r="R2" s="58"/>
      <c r="S2" s="63">
        <v>13437</v>
      </c>
      <c r="T2" s="64"/>
    </row>
    <row r="3" spans="1:26" ht="16.8" thickBot="1" x14ac:dyDescent="0.35">
      <c r="A3" s="116" t="s">
        <v>50</v>
      </c>
      <c r="B3" s="117"/>
      <c r="C3" s="106">
        <v>31202</v>
      </c>
      <c r="D3" s="107"/>
      <c r="E3" s="120" t="s">
        <v>72</v>
      </c>
      <c r="F3" s="121"/>
      <c r="G3" s="112">
        <v>770.66</v>
      </c>
      <c r="H3" s="113"/>
      <c r="I3" s="134" t="s">
        <v>16</v>
      </c>
      <c r="J3" s="135"/>
      <c r="K3" s="140">
        <f>('00692'!C3*'00692'!D3)</f>
        <v>36933.339999999997</v>
      </c>
      <c r="L3" s="141"/>
      <c r="M3" s="144" t="s">
        <v>22</v>
      </c>
      <c r="N3" s="145"/>
      <c r="O3" s="96">
        <f>(VEA!D3*VEA!H3)</f>
        <v>158.87462500000001</v>
      </c>
      <c r="P3" s="97"/>
      <c r="Q3" s="59"/>
      <c r="R3" s="60"/>
      <c r="S3" s="65"/>
      <c r="T3" s="66"/>
    </row>
    <row r="4" spans="1:26" ht="16.2" customHeight="1" x14ac:dyDescent="0.3">
      <c r="A4" s="116" t="s">
        <v>51</v>
      </c>
      <c r="B4" s="117"/>
      <c r="C4" s="106">
        <v>0</v>
      </c>
      <c r="D4" s="107"/>
      <c r="E4" s="120" t="s">
        <v>74</v>
      </c>
      <c r="F4" s="121"/>
      <c r="G4" s="112">
        <v>300</v>
      </c>
      <c r="H4" s="113"/>
      <c r="I4" s="134" t="s">
        <v>17</v>
      </c>
      <c r="J4" s="135"/>
      <c r="K4" s="140">
        <f>('00878'!C3 * '00878'!D3)</f>
        <v>2749.9500000000003</v>
      </c>
      <c r="L4" s="141"/>
      <c r="M4" s="144" t="s">
        <v>19</v>
      </c>
      <c r="N4" s="145"/>
      <c r="O4" s="96">
        <f>(VT!D3*VT!H3)</f>
        <v>1411.4358828500003</v>
      </c>
      <c r="P4" s="97"/>
      <c r="Q4" s="67" t="s">
        <v>61</v>
      </c>
      <c r="R4" s="68"/>
      <c r="S4" s="71" t="s">
        <v>62</v>
      </c>
      <c r="T4" s="72"/>
    </row>
    <row r="5" spans="1:26" ht="16.95" customHeight="1" thickBot="1" x14ac:dyDescent="0.35">
      <c r="A5" s="116" t="s">
        <v>52</v>
      </c>
      <c r="B5" s="117"/>
      <c r="C5" s="106">
        <v>0</v>
      </c>
      <c r="D5" s="107"/>
      <c r="E5" s="120"/>
      <c r="F5" s="121"/>
      <c r="G5" s="112"/>
      <c r="H5" s="113"/>
      <c r="I5" s="134" t="s">
        <v>57</v>
      </c>
      <c r="J5" s="135"/>
      <c r="K5" s="140">
        <f>(永豐金!C3 * 永豐金!D3)</f>
        <v>64693.200000000004</v>
      </c>
      <c r="L5" s="141"/>
      <c r="M5" s="144" t="s">
        <v>21</v>
      </c>
      <c r="N5" s="145"/>
      <c r="O5" s="96">
        <f>(VTI!D3*VTI!H3)</f>
        <v>128.14925246999999</v>
      </c>
      <c r="P5" s="97"/>
      <c r="Q5" s="69"/>
      <c r="R5" s="70"/>
      <c r="S5" s="73"/>
      <c r="T5" s="74"/>
    </row>
    <row r="6" spans="1:26" x14ac:dyDescent="0.3">
      <c r="A6" s="116" t="s">
        <v>63</v>
      </c>
      <c r="B6" s="117"/>
      <c r="C6" s="106">
        <f xml:space="preserve"> 投資!G2 * 0</f>
        <v>0</v>
      </c>
      <c r="D6" s="107"/>
      <c r="E6" s="120"/>
      <c r="F6" s="121"/>
      <c r="G6" s="112"/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306993.10931764479</v>
      </c>
      <c r="R6" s="76"/>
      <c r="S6" s="79">
        <f>S2/Q2</f>
        <v>4.1934261510611665E-2</v>
      </c>
      <c r="T6" s="80"/>
    </row>
    <row r="7" spans="1:26" ht="16.8" thickBot="1" x14ac:dyDescent="0.35">
      <c r="A7" s="116" t="s">
        <v>68</v>
      </c>
      <c r="B7" s="117"/>
      <c r="C7" s="106">
        <v>2500</v>
      </c>
      <c r="D7" s="107"/>
      <c r="E7" s="120"/>
      <c r="F7" s="121"/>
      <c r="G7" s="112"/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3">
      <c r="A8" s="116" t="s">
        <v>69</v>
      </c>
      <c r="B8" s="117"/>
      <c r="C8" s="106">
        <v>260</v>
      </c>
      <c r="D8" s="107"/>
      <c r="E8" s="120"/>
      <c r="F8" s="121"/>
      <c r="G8" s="112"/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6.8" thickBot="1" x14ac:dyDescent="0.35">
      <c r="A9" s="118" t="s">
        <v>75</v>
      </c>
      <c r="B9" s="119"/>
      <c r="C9" s="124">
        <v>3005</v>
      </c>
      <c r="D9" s="125"/>
      <c r="E9" s="122"/>
      <c r="F9" s="123"/>
      <c r="G9" s="114"/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6.8" thickBot="1" x14ac:dyDescent="0.35">
      <c r="A10" s="85" t="s">
        <v>58</v>
      </c>
      <c r="B10" s="86"/>
      <c r="C10" s="87">
        <f>SUM(C2:D9)</f>
        <v>90808</v>
      </c>
      <c r="D10" s="88"/>
      <c r="E10" s="85" t="s">
        <v>58</v>
      </c>
      <c r="F10" s="86"/>
      <c r="G10" s="87">
        <f>SUM(G2:H9) * 投資!G2</f>
        <v>42985.802199999991</v>
      </c>
      <c r="H10" s="89"/>
      <c r="I10" s="85" t="s">
        <v>58</v>
      </c>
      <c r="J10" s="86"/>
      <c r="K10" s="87">
        <f>SUM(K2:L9)</f>
        <v>117756.73999999999</v>
      </c>
      <c r="L10" s="88"/>
      <c r="M10" s="85" t="s">
        <v>58</v>
      </c>
      <c r="N10" s="86"/>
      <c r="O10" s="87">
        <f>SUM(O2:P9) * 投資!G2</f>
        <v>68879.567117644809</v>
      </c>
      <c r="P10" s="88"/>
      <c r="Q10" s="56"/>
      <c r="R10" s="56"/>
      <c r="S10" s="56"/>
      <c r="T10" s="56"/>
    </row>
    <row r="11" spans="1:26" x14ac:dyDescent="0.3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3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3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3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3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3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3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3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3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3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3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3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3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170">
        <f>(E3-F3)/D3</f>
        <v>6955.3620705564472</v>
      </c>
      <c r="B3" s="172">
        <f>E3/D3</f>
        <v>6964.0671544995721</v>
      </c>
      <c r="C3" s="174">
        <f>H3*I3</f>
        <v>7092.6669000000002</v>
      </c>
      <c r="D3" s="176">
        <f>SUM(D7:D505)</f>
        <v>0.57437699999999992</v>
      </c>
      <c r="E3" s="178">
        <f>SUM(E7:E505)</f>
        <v>4000</v>
      </c>
      <c r="F3" s="178">
        <f>SUM(F7:G505)</f>
        <v>5</v>
      </c>
      <c r="G3" s="1">
        <f>(C3*D3+F3-E3)/E3</f>
        <v>1.9716184005324863E-2</v>
      </c>
      <c r="H3" s="189">
        <v>223.11</v>
      </c>
      <c r="I3" s="189">
        <f>投資!G2</f>
        <v>31.79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78.86473602129945</v>
      </c>
      <c r="H4" s="189"/>
      <c r="I4" s="189"/>
      <c r="J4" s="191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3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 t="s">
        <v>70</v>
      </c>
      <c r="C11" s="48">
        <f t="shared" si="0"/>
        <v>6946.4885500000009</v>
      </c>
      <c r="D11" s="41">
        <v>0.143956</v>
      </c>
      <c r="E11" s="41">
        <v>1000</v>
      </c>
      <c r="F11" s="192"/>
      <c r="G11" s="193"/>
      <c r="H11" s="49">
        <v>215.83</v>
      </c>
      <c r="I11" s="49">
        <v>32.185000000000002</v>
      </c>
      <c r="J11" s="49">
        <v>31.07</v>
      </c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31.79</v>
      </c>
    </row>
    <row r="3" spans="1:9" ht="17.25" customHeight="1" x14ac:dyDescent="0.3">
      <c r="A3" s="160">
        <f>SUM('006208'!E3:E4,'00692'!E3:E4,'00878'!E3:E4,永豐金!E3,E2,F2)</f>
        <v>114077</v>
      </c>
      <c r="B3" s="160">
        <f>SUM('006208'!E3:E4,'006208'!G4,'00692'!E3:E4,'00692'!G4,'00878'!E3:E4,'00878'!G4,永豐金!E3,永豐金!G4)</f>
        <v>118969.74</v>
      </c>
      <c r="C3" s="1">
        <f>(B3-A3)/A3</f>
        <v>4.2889802501818994E-2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4892.7400000000052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69005</v>
      </c>
      <c r="B10" s="160">
        <f>SUM(VT!E3,VT!G4,BND!E3,BND!G4,VTI!E3,VTI!G4,VEA!E3,VEA!G4)</f>
        <v>69083.567117644809</v>
      </c>
      <c r="C10" s="1">
        <f>(B10-A10)/A10</f>
        <v>1.1385713737382596E-3</v>
      </c>
      <c r="D10" s="28"/>
      <c r="E10" s="159">
        <f>SUM(A3,A10)</f>
        <v>183082</v>
      </c>
      <c r="F10" s="159">
        <f>SUM(B3,B10)</f>
        <v>188053.30711764481</v>
      </c>
      <c r="G10" s="1">
        <f>(F10-E10)/E10</f>
        <v>2.7153445547048939E-2</v>
      </c>
    </row>
    <row r="11" spans="1:9" ht="18" customHeight="1" x14ac:dyDescent="0.3">
      <c r="A11" s="160"/>
      <c r="B11" s="160"/>
      <c r="C11" s="14">
        <f>B10-A10</f>
        <v>78.567117644808604</v>
      </c>
      <c r="D11" s="28"/>
      <c r="E11" s="159"/>
      <c r="F11" s="159"/>
      <c r="G11" s="36">
        <f>F10-E10</f>
        <v>4971.3071176448138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72.966480446927378</v>
      </c>
      <c r="B3" s="172">
        <f>E3/D3</f>
        <v>72.966480446927378</v>
      </c>
      <c r="C3" s="174">
        <v>74.75</v>
      </c>
      <c r="D3" s="176">
        <f>SUM(D6:D505)</f>
        <v>179</v>
      </c>
      <c r="E3" s="178">
        <f>SUM(E6:E505)</f>
        <v>13061</v>
      </c>
      <c r="F3" s="178">
        <f>SUM(F6:F505)</f>
        <v>0</v>
      </c>
      <c r="G3" s="1">
        <f>(C3-A3)/B3</f>
        <v>2.4442998239032187E-2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319.24999999999943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6"/>
      <c r="G13" s="166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31.23142613151153</v>
      </c>
      <c r="B3" s="172">
        <f>E3/D3</f>
        <v>31.23142613151153</v>
      </c>
      <c r="C3" s="174">
        <v>31.54</v>
      </c>
      <c r="D3" s="176">
        <f>SUM(D6:D505)</f>
        <v>1171</v>
      </c>
      <c r="E3" s="178">
        <f>SUM(E6:E505)</f>
        <v>36572</v>
      </c>
      <c r="F3" s="178">
        <f>SUM(F6:F505)</f>
        <v>0</v>
      </c>
      <c r="G3" s="1">
        <f>(C3-A3)/B3</f>
        <v>9.8802362463085922E-3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361.33999999999787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6"/>
      <c r="G11" s="166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20.903703703703705</v>
      </c>
      <c r="B3" s="172">
        <f>E3/D3</f>
        <v>21</v>
      </c>
      <c r="C3" s="174">
        <v>20.37</v>
      </c>
      <c r="D3" s="176">
        <f>SUM(D6:D505)</f>
        <v>135</v>
      </c>
      <c r="E3" s="178">
        <f>SUM(E6:E505)</f>
        <v>2835</v>
      </c>
      <c r="F3" s="178">
        <f>SUM(F6:F505)</f>
        <v>13</v>
      </c>
      <c r="G3" s="1">
        <f>(C3-A3)/B3</f>
        <v>-2.5414462081128773E-2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-72.049999999999869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17.601689976689975</v>
      </c>
      <c r="B3" s="172">
        <f>E3/D3</f>
        <v>17.951340326340326</v>
      </c>
      <c r="C3" s="174">
        <v>18.850000000000001</v>
      </c>
      <c r="D3" s="176">
        <f>SUM(D6:D505)</f>
        <v>3432</v>
      </c>
      <c r="E3" s="178">
        <f>SUM(E6:E505)</f>
        <v>61609</v>
      </c>
      <c r="F3" s="178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6"/>
      <c r="G15" s="166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6"/>
      <c r="G16" s="166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2254.1645168979367</v>
      </c>
      <c r="B3" s="172">
        <f>E3/D3</f>
        <v>2263.0653137455461</v>
      </c>
      <c r="C3" s="188">
        <f>H3*I3</f>
        <v>2245.6455999999998</v>
      </c>
      <c r="D3" s="176">
        <f>SUM(D7:D505)</f>
        <v>6.6286199999999997</v>
      </c>
      <c r="E3" s="178">
        <f>SUM(E7:E505)</f>
        <v>15001</v>
      </c>
      <c r="F3" s="178">
        <f>SUM(F7:G505)</f>
        <v>59</v>
      </c>
      <c r="G3" s="1">
        <f>(C3*D3+F3-E3)/E3</f>
        <v>-3.7643265734285869E-3</v>
      </c>
      <c r="H3" s="189">
        <v>70.64</v>
      </c>
      <c r="I3" s="190">
        <f>投資!G2</f>
        <v>31.79</v>
      </c>
      <c r="J3" s="191"/>
    </row>
    <row r="4" spans="1:10" ht="18" x14ac:dyDescent="0.3">
      <c r="A4" s="171"/>
      <c r="B4" s="173"/>
      <c r="C4" s="188"/>
      <c r="D4" s="177"/>
      <c r="E4" s="179"/>
      <c r="F4" s="179"/>
      <c r="G4" s="14">
        <f>C3*D3+F3-E3</f>
        <v>-56.468662928002232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0"/>
      <c r="G15" s="18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0">
        <v>28</v>
      </c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1427.9372807331567</v>
      </c>
      <c r="B3" s="172">
        <f>E3/D3</f>
        <v>1431.946731581585</v>
      </c>
      <c r="C3" s="174">
        <f>H3*I3</f>
        <v>1446.4449999999999</v>
      </c>
      <c r="D3" s="176">
        <f>SUM(D7:D505)</f>
        <v>3.4917500000000001</v>
      </c>
      <c r="E3" s="178">
        <f>SUM(E7:E505)</f>
        <v>5000</v>
      </c>
      <c r="F3" s="178">
        <f>SUM(F7:G505)</f>
        <v>14</v>
      </c>
      <c r="G3" s="1">
        <f>(C3*D3+F3-E3)/E3</f>
        <v>1.2924865750000026E-2</v>
      </c>
      <c r="H3" s="189">
        <v>45.5</v>
      </c>
      <c r="I3" s="190">
        <f>投資!G2</f>
        <v>31.79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64.624328750000132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0"/>
      <c r="G12" s="18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3098.5191414924352</v>
      </c>
      <c r="B3" s="172">
        <f>E3/D3</f>
        <v>3107.2185802336458</v>
      </c>
      <c r="C3" s="174">
        <f>H3*I3</f>
        <v>3097.9355</v>
      </c>
      <c r="D3" s="176">
        <f>SUM(D7:D505)</f>
        <v>14.483693000000002</v>
      </c>
      <c r="E3" s="178">
        <f>SUM(E7:E505)</f>
        <v>45004</v>
      </c>
      <c r="F3" s="178">
        <f>SUM(F7:G505)</f>
        <v>126</v>
      </c>
      <c r="G3" s="1">
        <f>(C3*D3+F3-E3)/E3</f>
        <v>-1.8783406360525773E-4</v>
      </c>
      <c r="H3" s="189">
        <v>97.45</v>
      </c>
      <c r="I3" s="190">
        <f>投資!G2</f>
        <v>31.79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-8.4532841984910192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0"/>
      <c r="G13" s="18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2023-11-18T00:28:54Z</dcterms:modified>
</cp:coreProperties>
</file>