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B13BB34-F7CD-4FFF-A565-CBE7F3DCE29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5" i="32"/>
  <c r="O4" i="32"/>
  <c r="O3" i="32"/>
  <c r="O2" i="32"/>
  <c r="G10" i="32"/>
  <c r="C10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K5" i="32" s="1"/>
  <c r="F3" i="18"/>
  <c r="E3" i="18"/>
  <c r="D3" i="18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<sst xmlns="http://schemas.openxmlformats.org/spreadsheetml/2006/main" count="253" uniqueCount="71">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</sst>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89746.337899999999</c:v>
                </c:pt>
                <c:pt idx="1">
                  <c:v>33974.892200000002</c:v>
                </c:pt>
                <c:pt idx="2">
                  <c:v>111667.91</c:v>
                </c:pt>
                <c:pt idx="3">
                  <c:v>64032.913597227096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workbookViewId="0">
      <selection activeCell="C4" sqref="C4:D4"/>
    </sheetView>
  </sheetViews>
  <sheetFormatPr defaultRowHeight="16.2" x14ac:dyDescent="0.3"/>
  <sheetData>
    <row r="1" spans="1:26" ht="31.2" thickBot="1" x14ac:dyDescent="0.35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60</v>
      </c>
      <c r="R1" s="84"/>
      <c r="S1" s="61" t="s">
        <v>61</v>
      </c>
      <c r="T1" s="62"/>
    </row>
    <row r="2" spans="1:26" x14ac:dyDescent="0.3">
      <c r="A2" s="152" t="s">
        <v>49</v>
      </c>
      <c r="B2" s="153"/>
      <c r="C2" s="154">
        <v>57473</v>
      </c>
      <c r="D2" s="155"/>
      <c r="E2" s="156" t="s">
        <v>57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11439.2</v>
      </c>
      <c r="L2" s="139"/>
      <c r="M2" s="142" t="s">
        <v>20</v>
      </c>
      <c r="N2" s="143"/>
      <c r="O2" s="94">
        <f>(BND!H3 * BND!D3)</f>
        <v>431.54080339999996</v>
      </c>
      <c r="P2" s="95"/>
      <c r="Q2" s="57">
        <f>SUM(C10,G10,K10,O10)</f>
        <v>299422.05369722709</v>
      </c>
      <c r="R2" s="58"/>
      <c r="S2" s="63">
        <v>10099</v>
      </c>
      <c r="T2" s="64"/>
    </row>
    <row r="3" spans="1:26" ht="16.8" thickBot="1" x14ac:dyDescent="0.35">
      <c r="A3" s="116" t="s">
        <v>50</v>
      </c>
      <c r="B3" s="117"/>
      <c r="C3" s="106">
        <v>31202</v>
      </c>
      <c r="D3" s="107"/>
      <c r="E3" s="120" t="s">
        <v>57</v>
      </c>
      <c r="F3" s="121"/>
      <c r="G3" s="112">
        <v>100</v>
      </c>
      <c r="H3" s="113"/>
      <c r="I3" s="134" t="s">
        <v>16</v>
      </c>
      <c r="J3" s="135"/>
      <c r="K3" s="140">
        <f>('00692'!C3*'00692'!D3)</f>
        <v>35724.71</v>
      </c>
      <c r="L3" s="141"/>
      <c r="M3" s="144" t="s">
        <v>22</v>
      </c>
      <c r="N3" s="145"/>
      <c r="O3" s="96">
        <f>(VEA!D3*VEA!H3)</f>
        <v>123.27958278</v>
      </c>
      <c r="P3" s="97"/>
      <c r="Q3" s="59"/>
      <c r="R3" s="60"/>
      <c r="S3" s="65"/>
      <c r="T3" s="66"/>
    </row>
    <row r="4" spans="1:26" ht="16.2" customHeight="1" x14ac:dyDescent="0.3">
      <c r="A4" s="116" t="s">
        <v>51</v>
      </c>
      <c r="B4" s="117"/>
      <c r="C4" s="106">
        <v>0</v>
      </c>
      <c r="D4" s="107"/>
      <c r="E4" s="120" t="s">
        <v>57</v>
      </c>
      <c r="F4" s="121"/>
      <c r="G4" s="112">
        <v>100</v>
      </c>
      <c r="H4" s="113"/>
      <c r="I4" s="134" t="s">
        <v>17</v>
      </c>
      <c r="J4" s="135"/>
      <c r="K4" s="140">
        <f>('00878'!C3 * '00878'!D3)</f>
        <v>2220</v>
      </c>
      <c r="L4" s="141"/>
      <c r="M4" s="144" t="s">
        <v>19</v>
      </c>
      <c r="N4" s="145"/>
      <c r="O4" s="96">
        <f>(VT!D3*VT!H3)</f>
        <v>1335.5197212</v>
      </c>
      <c r="P4" s="97"/>
      <c r="Q4" s="67" t="s">
        <v>62</v>
      </c>
      <c r="R4" s="68"/>
      <c r="S4" s="71" t="s">
        <v>63</v>
      </c>
      <c r="T4" s="72"/>
    </row>
    <row r="5" spans="1:26" ht="16.95" customHeight="1" thickBot="1" x14ac:dyDescent="0.35">
      <c r="A5" s="116" t="s">
        <v>52</v>
      </c>
      <c r="B5" s="117"/>
      <c r="C5" s="106">
        <v>0</v>
      </c>
      <c r="D5" s="107"/>
      <c r="E5" s="120" t="s">
        <v>57</v>
      </c>
      <c r="F5" s="121"/>
      <c r="G5" s="112">
        <v>100</v>
      </c>
      <c r="H5" s="113"/>
      <c r="I5" s="134" t="s">
        <v>58</v>
      </c>
      <c r="J5" s="135"/>
      <c r="K5" s="140">
        <f>(永豐金!C3 * 永豐金!D3)</f>
        <v>62283.999999999993</v>
      </c>
      <c r="L5" s="141"/>
      <c r="M5" s="144" t="s">
        <v>21</v>
      </c>
      <c r="N5" s="145"/>
      <c r="O5" s="96">
        <f>(VTI!D3*VTI!H3)</f>
        <v>92.71698760999999</v>
      </c>
      <c r="P5" s="97"/>
      <c r="Q5" s="69"/>
      <c r="R5" s="70"/>
      <c r="S5" s="73"/>
      <c r="T5" s="74"/>
    </row>
    <row r="6" spans="1:26" x14ac:dyDescent="0.3">
      <c r="A6" s="116" t="s">
        <v>64</v>
      </c>
      <c r="B6" s="117"/>
      <c r="C6" s="106">
        <f xml:space="preserve"> 投資!G2 * 3.51</f>
        <v>113.33789999999999</v>
      </c>
      <c r="D6" s="107"/>
      <c r="E6" s="120" t="s">
        <v>57</v>
      </c>
      <c r="F6" s="121"/>
      <c r="G6" s="112">
        <v>100</v>
      </c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289323.05369722709</v>
      </c>
      <c r="R6" s="76"/>
      <c r="S6" s="79">
        <f>S2/Q2</f>
        <v>3.372831050785597E-2</v>
      </c>
      <c r="T6" s="80"/>
    </row>
    <row r="7" spans="1:26" ht="16.8" thickBot="1" x14ac:dyDescent="0.35">
      <c r="A7" s="116" t="s">
        <v>69</v>
      </c>
      <c r="B7" s="117"/>
      <c r="C7" s="106">
        <v>758</v>
      </c>
      <c r="D7" s="107"/>
      <c r="E7" s="120" t="s">
        <v>57</v>
      </c>
      <c r="F7" s="121"/>
      <c r="G7" s="112">
        <v>100</v>
      </c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3">
      <c r="A8" s="116" t="s">
        <v>70</v>
      </c>
      <c r="B8" s="117"/>
      <c r="C8" s="106">
        <v>200</v>
      </c>
      <c r="D8" s="107"/>
      <c r="E8" s="120" t="s">
        <v>57</v>
      </c>
      <c r="F8" s="121"/>
      <c r="G8" s="112">
        <v>100</v>
      </c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6.8" thickBot="1" x14ac:dyDescent="0.35">
      <c r="A9" s="118"/>
      <c r="B9" s="119"/>
      <c r="C9" s="124"/>
      <c r="D9" s="125"/>
      <c r="E9" s="122" t="s">
        <v>57</v>
      </c>
      <c r="F9" s="123"/>
      <c r="G9" s="114">
        <v>170.66</v>
      </c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6.8" thickBot="1" x14ac:dyDescent="0.35">
      <c r="A10" s="85" t="s">
        <v>59</v>
      </c>
      <c r="B10" s="86"/>
      <c r="C10" s="87">
        <f>SUM(C2:D9)</f>
        <v>89746.337899999999</v>
      </c>
      <c r="D10" s="88"/>
      <c r="E10" s="85" t="s">
        <v>59</v>
      </c>
      <c r="F10" s="86"/>
      <c r="G10" s="87">
        <f>SUM(G2:H9) * 投資!G2</f>
        <v>33974.892200000002</v>
      </c>
      <c r="H10" s="89"/>
      <c r="I10" s="85" t="s">
        <v>59</v>
      </c>
      <c r="J10" s="86"/>
      <c r="K10" s="87">
        <f>SUM(K2:L9)</f>
        <v>111667.91</v>
      </c>
      <c r="L10" s="88"/>
      <c r="M10" s="85" t="s">
        <v>59</v>
      </c>
      <c r="N10" s="86"/>
      <c r="O10" s="87">
        <f>SUM(O2:P9) * 投資!G2</f>
        <v>64032.913597227096</v>
      </c>
      <c r="P10" s="88"/>
      <c r="Q10" s="56"/>
      <c r="R10" s="56"/>
      <c r="S10" s="56"/>
      <c r="T10" s="56"/>
    </row>
    <row r="11" spans="1:26" x14ac:dyDescent="0.3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3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3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3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3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3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3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3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3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3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3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3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3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53" customWidth="1"/>
    <col min="3" max="3" width="15" style="52" customWidth="1"/>
    <col min="4" max="4" width="12.88671875" style="53" customWidth="1"/>
    <col min="5" max="5" width="17" style="53" customWidth="1"/>
    <col min="6" max="6" width="12.77734375" style="53" customWidth="1"/>
    <col min="7" max="7" width="12.88671875" style="53" customWidth="1"/>
    <col min="8" max="16384" width="8.88671875" style="42"/>
  </cols>
  <sheetData>
    <row r="1" spans="1:10" ht="30.6" customHeight="1" x14ac:dyDescent="0.3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" x14ac:dyDescent="0.3">
      <c r="A3" s="170">
        <f>(E3-F3)/D3</f>
        <v>6958.3036143682593</v>
      </c>
      <c r="B3" s="172">
        <f>E3/D3</f>
        <v>6969.9201479481726</v>
      </c>
      <c r="C3" s="174">
        <f>H3*I3</f>
        <v>6955.5888999999997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-3.8949002436690231E-4</v>
      </c>
      <c r="H3" s="189">
        <v>215.41</v>
      </c>
      <c r="I3" s="189">
        <f>投資!G2</f>
        <v>32.29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-1.1684700731007069</v>
      </c>
      <c r="H4" s="189"/>
      <c r="I4" s="189"/>
      <c r="J4" s="191"/>
    </row>
    <row r="5" spans="1:10" x14ac:dyDescent="0.3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3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3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3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3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3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3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3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3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3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3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3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3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3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3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3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3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3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3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3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3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3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3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3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3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3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3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3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3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3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3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3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3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3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3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3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3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3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3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3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3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3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3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3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3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3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3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3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3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3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3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3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3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3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3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3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3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3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3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3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3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3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3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3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3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3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3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3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3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3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3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3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3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3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3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3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3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3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3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3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3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3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3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3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3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3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3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3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3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3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3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3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3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3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3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3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3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3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3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3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3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3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3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3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3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3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3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3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3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3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3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3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3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3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3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3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3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3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3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3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3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3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3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3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3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3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3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3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3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3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3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3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3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3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3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3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3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3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3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3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3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3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3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3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3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3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3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3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3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3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3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3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3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3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3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3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3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3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3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3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3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3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3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3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3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3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3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3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3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3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3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3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3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3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3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3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3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3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3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3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3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3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3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3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3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3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3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3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3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3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3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3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3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3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3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3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3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3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3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3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3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3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3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3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3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3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3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3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3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3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3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3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3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3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3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3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3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3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3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3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3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3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3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3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3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3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3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3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3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3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3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3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3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3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3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3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3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3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3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3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3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3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3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3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3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3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3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3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3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3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3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3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3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3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3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3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3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3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3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3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3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3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3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3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3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3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3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3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3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3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3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3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3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3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3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3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3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3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3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3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3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3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3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3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3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3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3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3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3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3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3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3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3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3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3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3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3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3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3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3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3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3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3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3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3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3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3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3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3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3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3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3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3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3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3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3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3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3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3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3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3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3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3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3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3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3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3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3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3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3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3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3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3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3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3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3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3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3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3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3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3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3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3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3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3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3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3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3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3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3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3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3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3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3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3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3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3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3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3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3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3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3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3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3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3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3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3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3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3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3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3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3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3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3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3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3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3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3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3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3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3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3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3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3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3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3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3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3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3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3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3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3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3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3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3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3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3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3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3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3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3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3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3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3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3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3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3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3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3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3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3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3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3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3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3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3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3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3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3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3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3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3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3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3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3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3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3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3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3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3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3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3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3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3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3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3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3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3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3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3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3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3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3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3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3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3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3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3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3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3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3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3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3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3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3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3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3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3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3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3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3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3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3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3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3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3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3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3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3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3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3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3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3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3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3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3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3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3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3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3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3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3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3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3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3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3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3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3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3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3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3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3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3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3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3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3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3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3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3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3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3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3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tabSelected="1" zoomScale="115" zoomScaleNormal="115" workbookViewId="0">
      <selection activeCell="G3" sqref="G3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32.29</v>
      </c>
    </row>
    <row r="3" spans="1:9" ht="17.25" customHeight="1" x14ac:dyDescent="0.3">
      <c r="A3" s="160">
        <f>SUM('006208'!E3:E4,'00692'!E3:E4,'00878'!E3:E4,永豐金!E3,E2,F2)</f>
        <v>110229</v>
      </c>
      <c r="B3" s="160">
        <f>SUM('006208'!E3:E4,'006208'!G4,'00692'!E3:E4,'00692'!G4,'00878'!E3:E4,'00878'!G4,永豐金!E3,永豐金!G4)</f>
        <v>112880.91</v>
      </c>
      <c r="C3" s="1">
        <f>(B3-A3)/A3</f>
        <v>2.4058187954168173E-2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2651.9100000000035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3.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64208.913597227103</v>
      </c>
      <c r="C10" s="1">
        <f>(B10-A10)/A10</f>
        <v>-1.2246541077961644E-2</v>
      </c>
      <c r="D10" s="28"/>
      <c r="E10" s="159">
        <f>SUM(A3,A10)</f>
        <v>175234</v>
      </c>
      <c r="F10" s="159">
        <f>SUM(B3,B10)</f>
        <v>177089.82359722711</v>
      </c>
      <c r="G10" s="1">
        <f>(F10-E10)/E10</f>
        <v>1.0590545198004422E-2</v>
      </c>
    </row>
    <row r="11" spans="1:9" ht="18" customHeight="1" x14ac:dyDescent="0.3">
      <c r="A11" s="160"/>
      <c r="B11" s="160"/>
      <c r="C11" s="14">
        <f>B10-A10</f>
        <v>-796.08640277289669</v>
      </c>
      <c r="D11" s="28"/>
      <c r="E11" s="159"/>
      <c r="F11" s="159"/>
      <c r="G11" s="36">
        <f>F10-E10</f>
        <v>1855.8235972271068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72.924050632911388</v>
      </c>
      <c r="B3" s="172">
        <f>E3/D3</f>
        <v>72.924050632911388</v>
      </c>
      <c r="C3" s="174">
        <v>72.400000000000006</v>
      </c>
      <c r="D3" s="176">
        <f>SUM(D6:D505)</f>
        <v>158</v>
      </c>
      <c r="E3" s="178">
        <f>SUM(E6:E505)</f>
        <v>11522</v>
      </c>
      <c r="F3" s="178">
        <f>SUM(F6:F505)</f>
        <v>0</v>
      </c>
      <c r="G3" s="1">
        <f>(C3-A3)/B3</f>
        <v>-7.1862523867382818E-3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-82.799999999998477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 t="s">
        <v>67</v>
      </c>
      <c r="C13" s="15">
        <v>70.75</v>
      </c>
      <c r="D13" s="13">
        <v>30</v>
      </c>
      <c r="E13" s="19">
        <v>2125</v>
      </c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31.219106047326907</v>
      </c>
      <c r="B3" s="172">
        <f>E3/D3</f>
        <v>31.219106047326907</v>
      </c>
      <c r="C3" s="174">
        <v>31.31</v>
      </c>
      <c r="D3" s="176">
        <f>SUM(D6:D505)</f>
        <v>1141</v>
      </c>
      <c r="E3" s="178">
        <f>SUM(E6:E505)</f>
        <v>35621</v>
      </c>
      <c r="F3" s="178">
        <f>SUM(F6:F505)</f>
        <v>0</v>
      </c>
      <c r="G3" s="1">
        <f>(C3-A3)/B3</f>
        <v>2.9114847982930803E-3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103.70999999999782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 t="s">
        <v>65</v>
      </c>
      <c r="C11" s="15">
        <v>30.79</v>
      </c>
      <c r="D11" s="18">
        <v>50</v>
      </c>
      <c r="E11" s="18">
        <v>1541</v>
      </c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20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-4.8977853492333967E-2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-114.99999999999987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9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17.58877400295421</v>
      </c>
      <c r="B3" s="172">
        <f>E3/D3</f>
        <v>17.943279172821271</v>
      </c>
      <c r="C3" s="174">
        <v>18.399999999999999</v>
      </c>
      <c r="D3" s="176">
        <f>SUM(D6:D505)</f>
        <v>3385</v>
      </c>
      <c r="E3" s="178">
        <f>SUM(E6:E505)</f>
        <v>60738</v>
      </c>
      <c r="F3" s="178">
        <f>SUM(F6:F505)</f>
        <v>1200</v>
      </c>
      <c r="G3" s="1">
        <f>(C3-A3)/B3</f>
        <v>4.5210576574796567E-2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2745.9999999999941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 t="s">
        <v>66</v>
      </c>
      <c r="C15" s="15">
        <v>18.100000000000001</v>
      </c>
      <c r="D15" s="18">
        <v>100</v>
      </c>
      <c r="E15" s="18">
        <v>1812</v>
      </c>
      <c r="F15" s="166"/>
      <c r="G15" s="166"/>
    </row>
    <row r="16" spans="1:10" x14ac:dyDescent="0.3">
      <c r="A16" s="7">
        <v>11</v>
      </c>
      <c r="B16" s="8" t="s">
        <v>68</v>
      </c>
      <c r="C16" s="15">
        <v>17.8</v>
      </c>
      <c r="D16" s="18">
        <v>30</v>
      </c>
      <c r="E16" s="18">
        <v>535</v>
      </c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2259.5916592762223</v>
      </c>
      <c r="B3" s="172">
        <f>E3/D3</f>
        <v>2264.6057853633779</v>
      </c>
      <c r="C3" s="188">
        <f>H3*I3</f>
        <v>2253.8419999999996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-2.538922806514049E-3</v>
      </c>
      <c r="H3" s="189">
        <v>69.8</v>
      </c>
      <c r="I3" s="190">
        <f>投資!G2</f>
        <v>32.29</v>
      </c>
      <c r="J3" s="191"/>
    </row>
    <row r="4" spans="1:10" ht="18" x14ac:dyDescent="0.3">
      <c r="A4" s="171"/>
      <c r="B4" s="173"/>
      <c r="C4" s="188"/>
      <c r="D4" s="177"/>
      <c r="E4" s="179"/>
      <c r="F4" s="179"/>
      <c r="G4" s="14">
        <f>C3*D3+F3-E3</f>
        <v>-35.5474582140032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1428.7957180576693</v>
      </c>
      <c r="B3" s="172">
        <f>E3/D3</f>
        <v>1433.8140672931956</v>
      </c>
      <c r="C3" s="174">
        <f>H3*I3</f>
        <v>1426.8951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-1.3255680084499773E-3</v>
      </c>
      <c r="H3" s="189">
        <v>44.19</v>
      </c>
      <c r="I3" s="190">
        <f>投資!G2</f>
        <v>32.29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-5.302272033799909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3099.8338955865052</v>
      </c>
      <c r="B3" s="172">
        <f>E3/D3</f>
        <v>3108.7353740231683</v>
      </c>
      <c r="C3" s="174">
        <f>H3*I3</f>
        <v>3046.5614999999998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-1.7136355841559842E-2</v>
      </c>
      <c r="H3" s="189">
        <v>94.35</v>
      </c>
      <c r="I3" s="190">
        <f>投資!G2</f>
        <v>32.29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-754.06820245199924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2023-11-05T01:30:43Z</dcterms:modified>
</cp:coreProperties>
</file>