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29" documentId="13_ncr:1_{60BDB000-59E0-46C9-9B1A-769EBF05E0D2}" xr6:coauthVersionLast="47" xr6:coauthVersionMax="47" xr10:uidLastSave="{1E12DD56-2FBE-45C6-8638-532F94CE6CE1}"/>
  <bookViews>
    <workbookView xWindow="-120" yWindow="-120" windowWidth="29040" windowHeight="17520" activeTab="1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<sst xmlns="http://schemas.openxmlformats.org/spreadsheetml/2006/main" count="258" uniqueCount="76">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</sst>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92813.428899999999</c:v>
                </c:pt>
                <c:pt idx="1">
                  <c:v>42417.886599999998</c:v>
                </c:pt>
                <c:pt idx="2">
                  <c:v>118646.65</c:v>
                </c:pt>
                <c:pt idx="3">
                  <c:v>68205.263294804507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322083.22879480448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13791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workbookViewId="0">
      <selection activeCell="S8" sqref="S8"/>
    </sheetView>
  </sheetViews>
  <sheetFormatPr defaultRowHeight="16.5" x14ac:dyDescent="0.25"/>
  <sheetData>
    <row r="1" spans="1:26" ht="31.5" thickBot="1" x14ac:dyDescent="0.3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59</v>
      </c>
      <c r="R1" s="84"/>
      <c r="S1" s="61" t="s">
        <v>60</v>
      </c>
      <c r="T1" s="62"/>
    </row>
    <row r="2" spans="1:26" x14ac:dyDescent="0.25">
      <c r="A2" s="152" t="s">
        <v>49</v>
      </c>
      <c r="B2" s="153"/>
      <c r="C2" s="154">
        <v>56415</v>
      </c>
      <c r="D2" s="155"/>
      <c r="E2" s="156" t="s">
        <v>73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13523.449999999999</v>
      </c>
      <c r="L2" s="139"/>
      <c r="M2" s="142" t="s">
        <v>20</v>
      </c>
      <c r="N2" s="143"/>
      <c r="O2" s="94">
        <f>(BND!H3 * BND!D3)</f>
        <v>469.5714408</v>
      </c>
      <c r="P2" s="95"/>
      <c r="Q2" s="57">
        <f>SUM(C10,G10,K10,O10)</f>
        <v>322083.22879480448</v>
      </c>
      <c r="R2" s="58"/>
      <c r="S2" s="63">
        <v>13791</v>
      </c>
      <c r="T2" s="64"/>
    </row>
    <row r="3" spans="1:26" ht="17.25" thickBot="1" x14ac:dyDescent="0.3">
      <c r="A3" s="116" t="s">
        <v>50</v>
      </c>
      <c r="B3" s="117"/>
      <c r="C3" s="106">
        <v>31263</v>
      </c>
      <c r="D3" s="107"/>
      <c r="E3" s="120" t="s">
        <v>72</v>
      </c>
      <c r="F3" s="121"/>
      <c r="G3" s="112">
        <v>770.66</v>
      </c>
      <c r="H3" s="113"/>
      <c r="I3" s="134" t="s">
        <v>16</v>
      </c>
      <c r="J3" s="135"/>
      <c r="K3" s="140">
        <f>('00692'!C3*'00692'!D3)</f>
        <v>37296.35</v>
      </c>
      <c r="L3" s="141"/>
      <c r="M3" s="144" t="s">
        <v>22</v>
      </c>
      <c r="N3" s="145"/>
      <c r="O3" s="96">
        <f>(VEA!D3*VEA!H3)</f>
        <v>158.94446000000002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74</v>
      </c>
      <c r="F4" s="121"/>
      <c r="G4" s="112">
        <v>300</v>
      </c>
      <c r="H4" s="113"/>
      <c r="I4" s="134" t="s">
        <v>17</v>
      </c>
      <c r="J4" s="135"/>
      <c r="K4" s="140">
        <f>('00878'!C3 * '00878'!D3)</f>
        <v>2790.4500000000003</v>
      </c>
      <c r="L4" s="141"/>
      <c r="M4" s="144" t="s">
        <v>19</v>
      </c>
      <c r="N4" s="145"/>
      <c r="O4" s="96">
        <f>(VT!D3*VT!H3)</f>
        <v>1416.9396861900002</v>
      </c>
      <c r="P4" s="97"/>
      <c r="Q4" s="67" t="s">
        <v>61</v>
      </c>
      <c r="R4" s="68"/>
      <c r="S4" s="71" t="s">
        <v>62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/>
      <c r="F5" s="121"/>
      <c r="G5" s="112"/>
      <c r="H5" s="113"/>
      <c r="I5" s="134" t="s">
        <v>57</v>
      </c>
      <c r="J5" s="135"/>
      <c r="K5" s="140">
        <f>(永豐金!C3 * 永豐金!D3)</f>
        <v>65036.399999999994</v>
      </c>
      <c r="L5" s="141"/>
      <c r="M5" s="144" t="s">
        <v>21</v>
      </c>
      <c r="N5" s="145"/>
      <c r="O5" s="96">
        <f>(VTI!D3*VTI!H3)</f>
        <v>128.76383585999997</v>
      </c>
      <c r="P5" s="97"/>
      <c r="Q5" s="69"/>
      <c r="R5" s="70"/>
      <c r="S5" s="73"/>
      <c r="T5" s="74"/>
    </row>
    <row r="6" spans="1:26" x14ac:dyDescent="0.25">
      <c r="A6" s="116" t="s">
        <v>63</v>
      </c>
      <c r="B6" s="117"/>
      <c r="C6" s="106">
        <f xml:space="preserve"> 投資!G2 * 0.97</f>
        <v>30.428899999999999</v>
      </c>
      <c r="D6" s="107"/>
      <c r="E6" s="120"/>
      <c r="F6" s="121"/>
      <c r="G6" s="112"/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308292.22879480448</v>
      </c>
      <c r="R6" s="76"/>
      <c r="S6" s="79">
        <f>S2/Q2</f>
        <v>4.2818125152322313E-2</v>
      </c>
      <c r="T6" s="80"/>
    </row>
    <row r="7" spans="1:26" ht="17.25" thickBot="1" x14ac:dyDescent="0.3">
      <c r="A7" s="116" t="s">
        <v>68</v>
      </c>
      <c r="B7" s="117"/>
      <c r="C7" s="106">
        <v>1835</v>
      </c>
      <c r="D7" s="107"/>
      <c r="E7" s="120"/>
      <c r="F7" s="121"/>
      <c r="G7" s="112"/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 t="s">
        <v>69</v>
      </c>
      <c r="B8" s="117"/>
      <c r="C8" s="106">
        <v>260</v>
      </c>
      <c r="D8" s="107"/>
      <c r="E8" s="120"/>
      <c r="F8" s="121"/>
      <c r="G8" s="112"/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 t="s">
        <v>75</v>
      </c>
      <c r="B9" s="119"/>
      <c r="C9" s="124">
        <v>3010</v>
      </c>
      <c r="D9" s="125"/>
      <c r="E9" s="122"/>
      <c r="F9" s="123"/>
      <c r="G9" s="114"/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58</v>
      </c>
      <c r="B10" s="86"/>
      <c r="C10" s="87">
        <f>SUM(C2:D9)</f>
        <v>92813.428899999999</v>
      </c>
      <c r="D10" s="88"/>
      <c r="E10" s="85" t="s">
        <v>58</v>
      </c>
      <c r="F10" s="86"/>
      <c r="G10" s="87">
        <f>SUM(G2:H9) * 投資!G2</f>
        <v>42417.886599999998</v>
      </c>
      <c r="H10" s="89"/>
      <c r="I10" s="85" t="s">
        <v>58</v>
      </c>
      <c r="J10" s="86"/>
      <c r="K10" s="87">
        <f>SUM(K2:L9)</f>
        <v>118646.65</v>
      </c>
      <c r="L10" s="88"/>
      <c r="M10" s="85" t="s">
        <v>58</v>
      </c>
      <c r="N10" s="86"/>
      <c r="O10" s="87">
        <f>SUM(O2:P9) * 投資!G2</f>
        <v>68205.263294804507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6955.3620705564472</v>
      </c>
      <c r="B3" s="172">
        <f>E3/D3</f>
        <v>6964.0671544995721</v>
      </c>
      <c r="C3" s="174">
        <f>H3*I3</f>
        <v>7032.5266000000001</v>
      </c>
      <c r="D3" s="176">
        <f>SUM(D7:D505)</f>
        <v>0.57437699999999992</v>
      </c>
      <c r="E3" s="178">
        <f>SUM(E7:E505)</f>
        <v>4000</v>
      </c>
      <c r="F3" s="178">
        <f>SUM(F7:G505)</f>
        <v>5</v>
      </c>
      <c r="G3" s="1">
        <f>(C3*D3+F3-E3)/E3</f>
        <v>1.1080382732049884E-2</v>
      </c>
      <c r="H3" s="189">
        <v>224.18</v>
      </c>
      <c r="I3" s="189">
        <f>投資!G2</f>
        <v>31.37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44.321530928199536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 t="s">
        <v>70</v>
      </c>
      <c r="C11" s="48">
        <f t="shared" si="0"/>
        <v>6946.4885500000009</v>
      </c>
      <c r="D11" s="41">
        <v>0.143956</v>
      </c>
      <c r="E11" s="41">
        <v>1000</v>
      </c>
      <c r="F11" s="192"/>
      <c r="G11" s="193"/>
      <c r="H11" s="49">
        <v>215.83</v>
      </c>
      <c r="I11" s="49">
        <v>32.185000000000002</v>
      </c>
      <c r="J11" s="49">
        <v>31.07</v>
      </c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tabSelected="1" zoomScale="115" zoomScaleNormal="115" workbookViewId="0">
      <selection activeCell="I20" sqref="I20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31.37</v>
      </c>
    </row>
    <row r="3" spans="1:9" ht="17.25" customHeight="1" x14ac:dyDescent="0.3">
      <c r="A3" s="160">
        <f>SUM('006208'!E3:E4,'00692'!E3:E4,'00878'!E3:E4,永豐金!E3,E2,F2)</f>
        <v>114077</v>
      </c>
      <c r="B3" s="160">
        <f>SUM('006208'!E3:E4,'006208'!G4,'00692'!E3:E4,'00692'!G4,'00878'!E3:E4,'00878'!G4,永豐金!E3,永豐金!G4)</f>
        <v>119859.65</v>
      </c>
      <c r="C3" s="1">
        <f>(B3-A3)/A3</f>
        <v>5.069076150319516E-2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5782.6499999999942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69005</v>
      </c>
      <c r="B10" s="160">
        <f>SUM(VT!E3,VT!G4,BND!E3,BND!G4,VTI!E3,VTI!G4,VEA!E3,VEA!G4)</f>
        <v>68409.263294804492</v>
      </c>
      <c r="C10" s="1">
        <f>(B10-A10)/A10</f>
        <v>-8.6332396956091285E-3</v>
      </c>
      <c r="D10" s="28"/>
      <c r="E10" s="159">
        <f>SUM(A3,A10)</f>
        <v>183082</v>
      </c>
      <c r="F10" s="159">
        <f>SUM(B3,B10)</f>
        <v>188268.91329480449</v>
      </c>
      <c r="G10" s="1">
        <f>(F10-E10)/E10</f>
        <v>2.8331093689191105E-2</v>
      </c>
    </row>
    <row r="11" spans="1:9" ht="18" customHeight="1" x14ac:dyDescent="0.3">
      <c r="A11" s="160"/>
      <c r="B11" s="160"/>
      <c r="C11" s="14">
        <f>B10-A10</f>
        <v>-595.73670519550797</v>
      </c>
      <c r="D11" s="28"/>
      <c r="E11" s="159"/>
      <c r="F11" s="159"/>
      <c r="G11" s="36">
        <f>F10-E10</f>
        <v>5186.9132948044862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72.966480446927378</v>
      </c>
      <c r="B3" s="172">
        <f>E3/D3</f>
        <v>72.966480446927378</v>
      </c>
      <c r="C3" s="174">
        <v>75.55</v>
      </c>
      <c r="D3" s="176">
        <f>SUM(D6:D505)</f>
        <v>179</v>
      </c>
      <c r="E3" s="178">
        <f>SUM(E6:E505)</f>
        <v>13061</v>
      </c>
      <c r="F3" s="178">
        <f>SUM(F6:F505)</f>
        <v>0</v>
      </c>
      <c r="G3" s="1">
        <f>(C3-A3)/B3</f>
        <v>3.5406936681724135E-2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462.44999999999891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6"/>
      <c r="G13" s="166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31.23142613151153</v>
      </c>
      <c r="B3" s="172">
        <f>E3/D3</f>
        <v>31.23142613151153</v>
      </c>
      <c r="C3" s="174">
        <v>31.85</v>
      </c>
      <c r="D3" s="176">
        <f>SUM(D6:D505)</f>
        <v>1171</v>
      </c>
      <c r="E3" s="178">
        <f>SUM(E6:E505)</f>
        <v>36572</v>
      </c>
      <c r="F3" s="178">
        <f>SUM(F6:F505)</f>
        <v>0</v>
      </c>
      <c r="G3" s="1">
        <f>(C3-A3)/B3</f>
        <v>1.9806135841627489E-2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724.35000000000048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6"/>
      <c r="G11" s="166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20.903703703703705</v>
      </c>
      <c r="B3" s="172">
        <f>E3/D3</f>
        <v>21</v>
      </c>
      <c r="C3" s="174">
        <v>20.67</v>
      </c>
      <c r="D3" s="176">
        <f>SUM(D6:D505)</f>
        <v>135</v>
      </c>
      <c r="E3" s="178">
        <f>SUM(E6:E505)</f>
        <v>2835</v>
      </c>
      <c r="F3" s="178">
        <f>SUM(F6:F505)</f>
        <v>13</v>
      </c>
      <c r="G3" s="1">
        <f>(C3-A3)/B3</f>
        <v>-1.1128747795414454E-2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-31.54999999999977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17.601689976689975</v>
      </c>
      <c r="B3" s="172">
        <f>E3/D3</f>
        <v>17.951340326340326</v>
      </c>
      <c r="C3" s="174">
        <v>18.95</v>
      </c>
      <c r="D3" s="176">
        <f>SUM(D6:D505)</f>
        <v>3432</v>
      </c>
      <c r="E3" s="178">
        <f>SUM(E6:E505)</f>
        <v>61609</v>
      </c>
      <c r="F3" s="178">
        <f>SUM(F6:F505)</f>
        <v>1200</v>
      </c>
      <c r="G3" s="1">
        <f>(C3-A3)/B3</f>
        <v>7.5109156129786261E-2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4627.4000000000005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6"/>
      <c r="G15" s="166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6"/>
      <c r="G16" s="166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2254.1645168979367</v>
      </c>
      <c r="B3" s="172">
        <f>E3/D3</f>
        <v>2263.0653137455461</v>
      </c>
      <c r="C3" s="188">
        <f>H3*I3</f>
        <v>2222.2508000000003</v>
      </c>
      <c r="D3" s="176">
        <f>SUM(D7:D505)</f>
        <v>6.6286199999999997</v>
      </c>
      <c r="E3" s="178">
        <f>SUM(E7:E505)</f>
        <v>15001</v>
      </c>
      <c r="F3" s="178">
        <f>SUM(F7:G505)</f>
        <v>59</v>
      </c>
      <c r="G3" s="1">
        <f>(C3*D3+F3-E3)/E3</f>
        <v>-1.4101986674488256E-2</v>
      </c>
      <c r="H3" s="189">
        <v>70.84</v>
      </c>
      <c r="I3" s="190">
        <f>投資!G2</f>
        <v>31.37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-211.54390210399833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0"/>
      <c r="G15" s="181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0">
        <v>28</v>
      </c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1427.9372807331567</v>
      </c>
      <c r="B3" s="172">
        <f>E3/D3</f>
        <v>1431.946731581585</v>
      </c>
      <c r="C3" s="174">
        <f>H3*I3</f>
        <v>1427.9624000000001</v>
      </c>
      <c r="D3" s="176">
        <f>SUM(D7:D505)</f>
        <v>3.4917500000000001</v>
      </c>
      <c r="E3" s="178">
        <f>SUM(E7:E505)</f>
        <v>5000</v>
      </c>
      <c r="F3" s="178">
        <f>SUM(F7:G505)</f>
        <v>14</v>
      </c>
      <c r="G3" s="1">
        <f>(C3*D3+F3-E3)/E3</f>
        <v>1.7542040000080304E-5</v>
      </c>
      <c r="H3" s="189">
        <v>45.52</v>
      </c>
      <c r="I3" s="190">
        <f>投資!G2</f>
        <v>31.37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8.7710200000401528E-2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0"/>
      <c r="G12" s="181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3098.5191414924352</v>
      </c>
      <c r="B3" s="172">
        <f>E3/D3</f>
        <v>3107.2185802336458</v>
      </c>
      <c r="C3" s="174">
        <f>H3*I3</f>
        <v>3068.9270999999999</v>
      </c>
      <c r="D3" s="176">
        <f>SUM(D7:D505)</f>
        <v>14.483693000000002</v>
      </c>
      <c r="E3" s="178">
        <f>SUM(E7:E505)</f>
        <v>45004</v>
      </c>
      <c r="F3" s="178">
        <f>SUM(F7:G505)</f>
        <v>126</v>
      </c>
      <c r="G3" s="1">
        <f>(C3*D3+F3-E3)/E3</f>
        <v>-9.5236433254754435E-3</v>
      </c>
      <c r="H3" s="189">
        <v>97.83</v>
      </c>
      <c r="I3" s="190">
        <f>投資!G2</f>
        <v>31.37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-428.60204421969684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0"/>
      <c r="G13" s="181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2023-11-22T00:20:46Z</dcterms:modified>
</cp:coreProperties>
</file>