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27" documentId="13_ncr:1_{AFE626F0-DB9F-430C-8856-F05A99335ED4}" xr6:coauthVersionLast="47" xr6:coauthVersionMax="47" xr10:uidLastSave="{5E669326-8302-4DA0-9B69-88E15D84545E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6" i="15"/>
  <c r="A10" i="31"/>
  <c r="F6" i="29"/>
  <c r="F6" i="27"/>
  <c r="F6" i="30"/>
  <c r="F6" i="28"/>
  <c r="C10" i="32"/>
  <c r="O2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F3" i="17"/>
  <c r="E3" i="17"/>
  <c r="D3" i="17"/>
  <c r="K3" i="32" s="1"/>
  <c r="F3" i="15"/>
  <c r="D3" i="15"/>
  <c r="K2" i="32" s="1"/>
  <c r="A3" i="31" l="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<sst xmlns="http://schemas.openxmlformats.org/spreadsheetml/2006/main" count="267" uniqueCount="80">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</sst>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89731.753760000007</c:v>
                </c:pt>
                <c:pt idx="1">
                  <c:v>42554.456779999993</c:v>
                </c:pt>
                <c:pt idx="2">
                  <c:v>125487.91</c:v>
                </c:pt>
                <c:pt idx="3">
                  <c:v>69069.4341261628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326843.55466616282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S8" sqref="S8"/>
    </sheetView>
  </sheetViews>
  <sheetFormatPr defaultRowHeight="16.5" x14ac:dyDescent="0.25"/>
  <sheetData>
    <row r="1" spans="1:26" ht="31.5" thickBot="1" x14ac:dyDescent="0.3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25">
      <c r="A2" s="73" t="s">
        <v>48</v>
      </c>
      <c r="B2" s="74"/>
      <c r="C2" s="75">
        <v>51776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14765.800000000001</v>
      </c>
      <c r="L2" s="82"/>
      <c r="M2" s="89" t="s">
        <v>20</v>
      </c>
      <c r="N2" s="90"/>
      <c r="O2" s="140">
        <f>(BND!H3 * BND!D3)</f>
        <v>478.52007779999997</v>
      </c>
      <c r="P2" s="141"/>
      <c r="Q2" s="142">
        <f>SUM(C10,G10,K10,O10)</f>
        <v>326843.55466616282</v>
      </c>
      <c r="R2" s="143"/>
      <c r="S2" s="148">
        <v>6457</v>
      </c>
      <c r="T2" s="149"/>
    </row>
    <row r="3" spans="1:26" ht="17.25" thickBot="1" x14ac:dyDescent="0.3">
      <c r="A3" s="59" t="s">
        <v>49</v>
      </c>
      <c r="B3" s="60"/>
      <c r="C3" s="64">
        <v>31510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37747.43</v>
      </c>
      <c r="L3" s="84"/>
      <c r="M3" s="91" t="s">
        <v>22</v>
      </c>
      <c r="N3" s="92"/>
      <c r="O3" s="117">
        <f>(VEA!D3*VEA!H3)</f>
        <v>160.48083</v>
      </c>
      <c r="P3" s="118"/>
      <c r="Q3" s="144"/>
      <c r="R3" s="145"/>
      <c r="S3" s="150"/>
      <c r="T3" s="151"/>
    </row>
    <row r="4" spans="1:26" ht="16.149999999999999" customHeight="1" x14ac:dyDescent="0.25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3240.5800000000004</v>
      </c>
      <c r="L4" s="84"/>
      <c r="M4" s="91" t="s">
        <v>19</v>
      </c>
      <c r="N4" s="92"/>
      <c r="O4" s="117">
        <f>(VT!D3*VT!H3)</f>
        <v>1425.9195758500002</v>
      </c>
      <c r="P4" s="118"/>
      <c r="Q4" s="152" t="s">
        <v>60</v>
      </c>
      <c r="R4" s="153"/>
      <c r="S4" s="156" t="s">
        <v>61</v>
      </c>
      <c r="T4" s="157"/>
    </row>
    <row r="5" spans="1:26" ht="16.899999999999999" customHeight="1" thickBot="1" x14ac:dyDescent="0.3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67094.100000000006</v>
      </c>
      <c r="L5" s="84"/>
      <c r="M5" s="91" t="s">
        <v>21</v>
      </c>
      <c r="N5" s="92"/>
      <c r="O5" s="117">
        <f>(VTI!D3*VTI!H3)</f>
        <v>129.78048314999998</v>
      </c>
      <c r="P5" s="118"/>
      <c r="Q5" s="154"/>
      <c r="R5" s="155"/>
      <c r="S5" s="158"/>
      <c r="T5" s="159"/>
    </row>
    <row r="6" spans="1:26" x14ac:dyDescent="0.25">
      <c r="A6" s="59" t="s">
        <v>62</v>
      </c>
      <c r="B6" s="60"/>
      <c r="C6" s="64">
        <f xml:space="preserve"> 投資!G2 * 30.56</f>
        <v>961.75375999999994</v>
      </c>
      <c r="D6" s="65"/>
      <c r="E6" s="66"/>
      <c r="F6" s="67"/>
      <c r="G6" s="71"/>
      <c r="H6" s="72"/>
      <c r="I6" s="111" t="s">
        <v>78</v>
      </c>
      <c r="J6" s="112"/>
      <c r="K6" s="87">
        <v>2640</v>
      </c>
      <c r="L6" s="88"/>
      <c r="M6" s="85"/>
      <c r="N6" s="86"/>
      <c r="O6" s="119"/>
      <c r="P6" s="120"/>
      <c r="Q6" s="123">
        <f>Q2-S2</f>
        <v>320386.55466616282</v>
      </c>
      <c r="R6" s="124"/>
      <c r="S6" s="127">
        <f>S2/Q2</f>
        <v>1.9755628978503685E-2</v>
      </c>
      <c r="T6" s="128"/>
    </row>
    <row r="7" spans="1:26" ht="17.25" thickBot="1" x14ac:dyDescent="0.3">
      <c r="A7" s="59" t="s">
        <v>67</v>
      </c>
      <c r="B7" s="60"/>
      <c r="C7" s="64">
        <v>2255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25">
      <c r="A8" s="59" t="s">
        <v>68</v>
      </c>
      <c r="B8" s="60"/>
      <c r="C8" s="64">
        <v>200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7.25" thickBot="1" x14ac:dyDescent="0.3">
      <c r="A9" s="103" t="s">
        <v>74</v>
      </c>
      <c r="B9" s="104"/>
      <c r="C9" s="107">
        <v>3029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7.25" thickBot="1" x14ac:dyDescent="0.3">
      <c r="A10" s="133" t="s">
        <v>57</v>
      </c>
      <c r="B10" s="134"/>
      <c r="C10" s="135">
        <f>SUM(C2:D9)</f>
        <v>89731.753760000007</v>
      </c>
      <c r="D10" s="136"/>
      <c r="E10" s="133" t="s">
        <v>57</v>
      </c>
      <c r="F10" s="134"/>
      <c r="G10" s="135">
        <f>SUM(G2:H9) * 投資!G2</f>
        <v>42554.456779999993</v>
      </c>
      <c r="H10" s="137"/>
      <c r="I10" s="133" t="s">
        <v>57</v>
      </c>
      <c r="J10" s="134"/>
      <c r="K10" s="135">
        <f>SUM(K2:L9)</f>
        <v>125487.91</v>
      </c>
      <c r="L10" s="136"/>
      <c r="M10" s="133" t="s">
        <v>57</v>
      </c>
      <c r="N10" s="134"/>
      <c r="O10" s="135">
        <f>SUM(O2:P9) * 投資!G2</f>
        <v>69069.4341261628</v>
      </c>
      <c r="P10" s="136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31.471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113260</v>
      </c>
      <c r="B3" s="162" cm="1">
        <f t="array" ref="B3">SUM('006208'!C3:C4*'006208'!D3:D4, '00692'!C3:C4*'00692'!D3:D4, '00878'!C3:C4*'00878'!D3:D4, 永豐金!C3*永豐金!D3)</f>
        <v>122847.91</v>
      </c>
      <c r="C3" s="1">
        <f>(B3-A3)/A3</f>
        <v>8.4653981988345436E-2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9587.9100000000035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68801</v>
      </c>
      <c r="B10" s="162">
        <f>SUM(VT!E3,VT!G4,BND!E3,BND!G4,VTI!E3,VTI!G4,VEA!E3,VEA!G4)</f>
        <v>69273.434126162814</v>
      </c>
      <c r="C10" s="1">
        <f>(B10-A10)/A10</f>
        <v>6.8666752832489963E-3</v>
      </c>
      <c r="D10" s="28"/>
      <c r="E10" s="161">
        <f>SUM(A3,A10)</f>
        <v>182061</v>
      </c>
      <c r="F10" s="161">
        <f>SUM(B3,B10)</f>
        <v>192121.34412616282</v>
      </c>
      <c r="G10" s="1">
        <f>(F10-E10)/E10</f>
        <v>5.5258095507345437E-2</v>
      </c>
    </row>
    <row r="11" spans="1:9" ht="18" customHeight="1" x14ac:dyDescent="0.3">
      <c r="A11" s="162"/>
      <c r="B11" s="162"/>
      <c r="C11" s="57">
        <f>B10-A10</f>
        <v>472.43412616281421</v>
      </c>
      <c r="D11" s="28"/>
      <c r="E11" s="161"/>
      <c r="F11" s="161"/>
      <c r="G11" s="56">
        <f>F10-E10</f>
        <v>10060.344126162818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71.708542713567837</v>
      </c>
      <c r="B3" s="166">
        <f>E3/D3</f>
        <v>73.155778894472363</v>
      </c>
      <c r="C3" s="168">
        <v>74.2</v>
      </c>
      <c r="D3" s="170">
        <f>SUM(D6:D505)</f>
        <v>199</v>
      </c>
      <c r="E3" s="172">
        <f>SUM(E6:E505)</f>
        <v>14558</v>
      </c>
      <c r="F3" s="172">
        <f>SUM(F6:F505)</f>
        <v>288</v>
      </c>
      <c r="G3" s="1">
        <f>(C3-A3)/B3</f>
        <v>3.4056875944497939E-2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495.80000000000041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144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144</v>
      </c>
      <c r="G16" s="163"/>
    </row>
    <row r="17" spans="1:7" x14ac:dyDescent="0.3">
      <c r="A17" s="7">
        <v>12</v>
      </c>
      <c r="B17" s="8"/>
      <c r="C17" s="15"/>
      <c r="D17" s="13"/>
      <c r="E17" s="13"/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29.189841798501249</v>
      </c>
      <c r="B3" s="166">
        <f>E3/D3</f>
        <v>31.243130724396337</v>
      </c>
      <c r="C3" s="168">
        <v>31.43</v>
      </c>
      <c r="D3" s="170">
        <f>SUM(D6:D505)</f>
        <v>1201</v>
      </c>
      <c r="E3" s="172">
        <f>SUM(E6:E505)</f>
        <v>37523</v>
      </c>
      <c r="F3" s="172">
        <f>SUM(F6:F505)</f>
        <v>2466</v>
      </c>
      <c r="G3" s="1">
        <f>(C3-A3)/B3</f>
        <v>7.1700823494923113E-2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2690.4299999999985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1233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1233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20.310126582278482</v>
      </c>
      <c r="B3" s="166">
        <f>E3/D3</f>
        <v>20.943037974683545</v>
      </c>
      <c r="C3" s="168">
        <v>20.51</v>
      </c>
      <c r="D3" s="170">
        <f>SUM(D6:D505)</f>
        <v>158</v>
      </c>
      <c r="E3" s="172">
        <f>SUM(E6:E505)</f>
        <v>3309</v>
      </c>
      <c r="F3" s="172">
        <f>SUM(F6:F505)</f>
        <v>100</v>
      </c>
      <c r="G3" s="1">
        <f>(C3-A3)/B3</f>
        <v>9.5436687821094362E-3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31.580000000000155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17.302668938103352</v>
      </c>
      <c r="B3" s="166">
        <f>E3/D3</f>
        <v>17.984099943214083</v>
      </c>
      <c r="C3" s="168">
        <v>19.05</v>
      </c>
      <c r="D3" s="170">
        <f>SUM(D6:D505)</f>
        <v>3522</v>
      </c>
      <c r="E3" s="172">
        <f>SUM(E6:E505)</f>
        <v>63340</v>
      </c>
      <c r="F3" s="172">
        <f>SUM(F6:F505)</f>
        <v>2400</v>
      </c>
      <c r="G3" s="1">
        <f>(C3-A3)/B3</f>
        <v>9.7159772655509888E-2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6154.1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3"/>
      <c r="G18" s="163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2254.1645168979367</v>
      </c>
      <c r="B3" s="166">
        <f>E3/D3</f>
        <v>2263.0653137455461</v>
      </c>
      <c r="C3" s="182">
        <f>H3*I3</f>
        <v>2271.89149</v>
      </c>
      <c r="D3" s="170">
        <f>SUM(D7:D505)</f>
        <v>6.6286199999999997</v>
      </c>
      <c r="E3" s="172">
        <f>SUM(E7:E505)</f>
        <v>15001</v>
      </c>
      <c r="F3" s="172">
        <f>SUM(F7:G505)</f>
        <v>59</v>
      </c>
      <c r="G3" s="1">
        <f>(C3*D3+F3-E3)/E3</f>
        <v>7.8331690183187086E-3</v>
      </c>
      <c r="H3" s="183">
        <v>72.19</v>
      </c>
      <c r="I3" s="184">
        <f>投資!G2</f>
        <v>31.471</v>
      </c>
      <c r="J3" s="185"/>
    </row>
    <row r="4" spans="1:10" ht="18.75" x14ac:dyDescent="0.3">
      <c r="A4" s="165"/>
      <c r="B4" s="167"/>
      <c r="C4" s="182"/>
      <c r="D4" s="171"/>
      <c r="E4" s="173"/>
      <c r="F4" s="173"/>
      <c r="G4" s="14">
        <f>C3*D3+F3-E3</f>
        <v>117.50536844379894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59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1427.9372807331567</v>
      </c>
      <c r="B3" s="166">
        <f>E3/D3</f>
        <v>1431.946731581585</v>
      </c>
      <c r="C3" s="168">
        <f>H3*I3</f>
        <v>1446.40716</v>
      </c>
      <c r="D3" s="170">
        <f>SUM(D7:D505)</f>
        <v>3.4917500000000001</v>
      </c>
      <c r="E3" s="172">
        <f>SUM(E7:E505)</f>
        <v>5000</v>
      </c>
      <c r="F3" s="172">
        <f>SUM(F7:G505)</f>
        <v>14</v>
      </c>
      <c r="G3" s="1">
        <f>(C3*D3+F3-E3)/E3</f>
        <v>1.2898440185999971E-2</v>
      </c>
      <c r="H3" s="183">
        <v>45.96</v>
      </c>
      <c r="I3" s="184">
        <f>投資!G2</f>
        <v>31.471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64.492200929999854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/>
      <c r="C13" s="23">
        <f t="shared" si="0"/>
        <v>0</v>
      </c>
      <c r="D13" s="18"/>
      <c r="E13" s="18"/>
      <c r="F13" s="190"/>
      <c r="G13" s="191"/>
      <c r="H13" s="22"/>
      <c r="I13" s="22"/>
      <c r="J13" s="22"/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3098.5191414924352</v>
      </c>
      <c r="B3" s="166">
        <f>E3/D3</f>
        <v>3107.2185802336458</v>
      </c>
      <c r="C3" s="168">
        <f>H3*I3</f>
        <v>3098.3199500000001</v>
      </c>
      <c r="D3" s="170">
        <f>SUM(D7:D505)</f>
        <v>14.483693000000002</v>
      </c>
      <c r="E3" s="172">
        <f>SUM(E7:E505)</f>
        <v>45004</v>
      </c>
      <c r="F3" s="172">
        <f>SUM(F7:G505)</f>
        <v>126</v>
      </c>
      <c r="G3" s="1">
        <f>(C3*D3+F3-E3)/E3</f>
        <v>-6.4106044454796871E-5</v>
      </c>
      <c r="H3" s="183">
        <v>98.45</v>
      </c>
      <c r="I3" s="184">
        <f>投資!G2</f>
        <v>31.471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-2.8850284246436786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64">
        <f>(E3-F3)/D3</f>
        <v>6955.3620705564472</v>
      </c>
      <c r="B3" s="166">
        <f>E3/D3</f>
        <v>6964.0671544995721</v>
      </c>
      <c r="C3" s="168">
        <f>H3*I3</f>
        <v>7110.8724499999998</v>
      </c>
      <c r="D3" s="170">
        <f>SUM(D7:D505)</f>
        <v>0.57437699999999992</v>
      </c>
      <c r="E3" s="172">
        <f>SUM(E7:E505)</f>
        <v>4000</v>
      </c>
      <c r="F3" s="172">
        <f>SUM(F7:G505)</f>
        <v>5</v>
      </c>
      <c r="G3" s="1">
        <f>(C3*D3+F3-E3)/E3</f>
        <v>2.2330396303412273E-2</v>
      </c>
      <c r="H3" s="183">
        <v>225.95</v>
      </c>
      <c r="I3" s="183">
        <f>投資!G2</f>
        <v>31.471</v>
      </c>
      <c r="J3" s="185"/>
    </row>
    <row r="4" spans="1:10" ht="18.75" x14ac:dyDescent="0.25">
      <c r="A4" s="165"/>
      <c r="B4" s="167"/>
      <c r="C4" s="169"/>
      <c r="D4" s="171"/>
      <c r="E4" s="173"/>
      <c r="F4" s="173"/>
      <c r="G4" s="14">
        <f>C3*D3+F3-E3</f>
        <v>89.321585213649087</v>
      </c>
      <c r="H4" s="183"/>
      <c r="I4" s="183"/>
      <c r="J4" s="185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/>
      <c r="C12" s="47">
        <f t="shared" si="0"/>
        <v>0</v>
      </c>
      <c r="D12" s="40"/>
      <c r="E12" s="40"/>
      <c r="F12" s="196"/>
      <c r="G12" s="197"/>
      <c r="H12" s="48"/>
      <c r="I12" s="48"/>
      <c r="J12" s="48"/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2023-12-07T11:03:40Z</dcterms:modified>
</cp:coreProperties>
</file>