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94" documentId="13_ncr:1_{8B13BB34-F7CD-4FFF-A565-CBE7F3DCE29A}" xr6:coauthVersionLast="47" xr6:coauthVersionMax="47" xr10:uidLastSave="{5671D72C-90E5-4E0F-B9A5-930856F23BA4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<sst xmlns="http://schemas.openxmlformats.org/spreadsheetml/2006/main" count="258" uniqueCount="76">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</sst>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90985</c:v>
                </c:pt>
                <c:pt idx="1">
                  <c:v>43337.368999999992</c:v>
                </c:pt>
                <c:pt idx="2">
                  <c:v>118566.29999999999</c:v>
                </c:pt>
                <c:pt idx="3">
                  <c:v>69270.744990452513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8</xdr:col>
      <xdr:colOff>586080</xdr:colOff>
      <xdr:row>27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59</v>
      </c>
      <c r="R1" s="84"/>
      <c r="S1" s="61" t="s">
        <v>60</v>
      </c>
      <c r="T1" s="62"/>
    </row>
    <row r="2" spans="1:26" x14ac:dyDescent="0.25">
      <c r="A2" s="152" t="s">
        <v>49</v>
      </c>
      <c r="B2" s="153"/>
      <c r="C2" s="154">
        <v>53915</v>
      </c>
      <c r="D2" s="155"/>
      <c r="E2" s="156" t="s">
        <v>73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13478.699999999999</v>
      </c>
      <c r="L2" s="139"/>
      <c r="M2" s="142" t="s">
        <v>20</v>
      </c>
      <c r="N2" s="143"/>
      <c r="O2" s="94">
        <f>(BND!H3 * BND!D3)</f>
        <v>464.79883440000003</v>
      </c>
      <c r="P2" s="95"/>
      <c r="Q2" s="57">
        <f>SUM(C10,G10,K10,O10)</f>
        <v>322159.41399045254</v>
      </c>
      <c r="R2" s="58"/>
      <c r="S2" s="63">
        <v>11909</v>
      </c>
      <c r="T2" s="64"/>
    </row>
    <row r="3" spans="1:26" ht="17.25" thickBot="1" x14ac:dyDescent="0.3">
      <c r="A3" s="116" t="s">
        <v>50</v>
      </c>
      <c r="B3" s="117"/>
      <c r="C3" s="106">
        <v>31202</v>
      </c>
      <c r="D3" s="107"/>
      <c r="E3" s="120" t="s">
        <v>72</v>
      </c>
      <c r="F3" s="121"/>
      <c r="G3" s="112">
        <v>770.66</v>
      </c>
      <c r="H3" s="113"/>
      <c r="I3" s="134" t="s">
        <v>16</v>
      </c>
      <c r="J3" s="135"/>
      <c r="K3" s="140">
        <f>('00692'!C3*'00692'!D3)</f>
        <v>38116.049999999996</v>
      </c>
      <c r="L3" s="141"/>
      <c r="M3" s="144" t="s">
        <v>22</v>
      </c>
      <c r="N3" s="145"/>
      <c r="O3" s="96">
        <f>(VEA!D3*VEA!H3)</f>
        <v>157.72234750000001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74</v>
      </c>
      <c r="F4" s="121"/>
      <c r="G4" s="112">
        <v>300</v>
      </c>
      <c r="H4" s="113"/>
      <c r="I4" s="134" t="s">
        <v>17</v>
      </c>
      <c r="J4" s="135"/>
      <c r="K4" s="140">
        <f>('00878'!C3 * '00878'!D3)</f>
        <v>2793.15</v>
      </c>
      <c r="L4" s="141"/>
      <c r="M4" s="144" t="s">
        <v>19</v>
      </c>
      <c r="N4" s="145"/>
      <c r="O4" s="96">
        <f>(VT!D3*VT!H3)</f>
        <v>1410.4220243400002</v>
      </c>
      <c r="P4" s="97"/>
      <c r="Q4" s="67" t="s">
        <v>61</v>
      </c>
      <c r="R4" s="68"/>
      <c r="S4" s="71" t="s">
        <v>62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/>
      <c r="F5" s="121"/>
      <c r="G5" s="112"/>
      <c r="H5" s="113"/>
      <c r="I5" s="134" t="s">
        <v>57</v>
      </c>
      <c r="J5" s="135"/>
      <c r="K5" s="140">
        <f>(永豐金!C3 * 永豐金!D3)</f>
        <v>64178.399999999994</v>
      </c>
      <c r="L5" s="141"/>
      <c r="M5" s="144" t="s">
        <v>21</v>
      </c>
      <c r="N5" s="145"/>
      <c r="O5" s="96">
        <f>(VTI!D3*VTI!H3)</f>
        <v>128.39049080999999</v>
      </c>
      <c r="P5" s="97"/>
      <c r="Q5" s="69"/>
      <c r="R5" s="70"/>
      <c r="S5" s="73"/>
      <c r="T5" s="74"/>
    </row>
    <row r="6" spans="1:26" x14ac:dyDescent="0.25">
      <c r="A6" s="116" t="s">
        <v>63</v>
      </c>
      <c r="B6" s="117"/>
      <c r="C6" s="106">
        <f xml:space="preserve"> 投資!G2 * 0</f>
        <v>0</v>
      </c>
      <c r="D6" s="107"/>
      <c r="E6" s="120"/>
      <c r="F6" s="121"/>
      <c r="G6" s="112"/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310250.41399045254</v>
      </c>
      <c r="R6" s="76"/>
      <c r="S6" s="79">
        <f>S2/Q2</f>
        <v>3.696617104087771E-2</v>
      </c>
      <c r="T6" s="80"/>
    </row>
    <row r="7" spans="1:26" ht="17.25" thickBot="1" x14ac:dyDescent="0.3">
      <c r="A7" s="116" t="s">
        <v>68</v>
      </c>
      <c r="B7" s="117"/>
      <c r="C7" s="106">
        <v>2585</v>
      </c>
      <c r="D7" s="107"/>
      <c r="E7" s="120"/>
      <c r="F7" s="121"/>
      <c r="G7" s="112"/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 t="s">
        <v>69</v>
      </c>
      <c r="B8" s="117"/>
      <c r="C8" s="106">
        <v>280</v>
      </c>
      <c r="D8" s="107"/>
      <c r="E8" s="120"/>
      <c r="F8" s="121"/>
      <c r="G8" s="112"/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 t="s">
        <v>75</v>
      </c>
      <c r="B9" s="119"/>
      <c r="C9" s="124">
        <v>3003</v>
      </c>
      <c r="D9" s="125"/>
      <c r="E9" s="122"/>
      <c r="F9" s="123"/>
      <c r="G9" s="114"/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58</v>
      </c>
      <c r="B10" s="86"/>
      <c r="C10" s="87">
        <f>SUM(C2:D9)</f>
        <v>90985</v>
      </c>
      <c r="D10" s="88"/>
      <c r="E10" s="85" t="s">
        <v>58</v>
      </c>
      <c r="F10" s="86"/>
      <c r="G10" s="87">
        <f>SUM(G2:H9) * 投資!G2</f>
        <v>43337.368999999992</v>
      </c>
      <c r="H10" s="89"/>
      <c r="I10" s="85" t="s">
        <v>58</v>
      </c>
      <c r="J10" s="86"/>
      <c r="K10" s="87">
        <f>SUM(K2:L9)</f>
        <v>118566.29999999999</v>
      </c>
      <c r="L10" s="88"/>
      <c r="M10" s="85" t="s">
        <v>58</v>
      </c>
      <c r="N10" s="86"/>
      <c r="O10" s="87">
        <f>SUM(O2:P9) * 投資!G2</f>
        <v>69270.744990452513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6955.3620705564472</v>
      </c>
      <c r="B3" s="172">
        <f>E3/D3</f>
        <v>6964.0671544995721</v>
      </c>
      <c r="C3" s="174">
        <f>H3*I3</f>
        <v>7164.1364999999996</v>
      </c>
      <c r="D3" s="176">
        <f>SUM(D7:D505)</f>
        <v>0.57437699999999992</v>
      </c>
      <c r="E3" s="178">
        <f>SUM(E7:E505)</f>
        <v>4000</v>
      </c>
      <c r="F3" s="178">
        <f>SUM(F7:G505)</f>
        <v>5</v>
      </c>
      <c r="G3" s="1">
        <f>(C3*D3+F3-E3)/E3</f>
        <v>2.9978807615124878E-2</v>
      </c>
      <c r="H3" s="189">
        <v>223.53</v>
      </c>
      <c r="I3" s="189">
        <f>投資!G2</f>
        <v>32.049999999999997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119.91523046049952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2"/>
      <c r="G11" s="193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32.049999999999997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119779.29999999999</v>
      </c>
      <c r="C3" s="1">
        <f>(B3-A3)/A3</f>
        <v>4.9986412686168012E-2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5702.2999999999884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69474.744990452513</v>
      </c>
      <c r="C10" s="1">
        <f>(B10-A10)/A10</f>
        <v>6.8074051221290177E-3</v>
      </c>
      <c r="D10" s="28"/>
      <c r="E10" s="159">
        <f>SUM(A3,A10)</f>
        <v>183082</v>
      </c>
      <c r="F10" s="159">
        <f>SUM(B3,B10)</f>
        <v>189254.0449904525</v>
      </c>
      <c r="G10" s="1">
        <f>(F10-E10)/E10</f>
        <v>3.3711915919929329E-2</v>
      </c>
    </row>
    <row r="11" spans="1:9" ht="18" customHeight="1" x14ac:dyDescent="0.3">
      <c r="A11" s="160"/>
      <c r="B11" s="160"/>
      <c r="C11" s="14">
        <f>B10-A10</f>
        <v>469.74499045251287</v>
      </c>
      <c r="D11" s="28"/>
      <c r="E11" s="159"/>
      <c r="F11" s="159"/>
      <c r="G11" s="36">
        <f>F10-E10</f>
        <v>6172.0449904525012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72.966480446927378</v>
      </c>
      <c r="B3" s="172">
        <f>E3/D3</f>
        <v>72.966480446927378</v>
      </c>
      <c r="C3" s="174">
        <v>75.3</v>
      </c>
      <c r="D3" s="176">
        <f>SUM(D6:D505)</f>
        <v>179</v>
      </c>
      <c r="E3" s="178">
        <f>SUM(E6:E505)</f>
        <v>13061</v>
      </c>
      <c r="F3" s="178">
        <f>SUM(F6:F505)</f>
        <v>0</v>
      </c>
      <c r="G3" s="1">
        <f>(C3-A3)/B3</f>
        <v>3.1980705918382889E-2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417.69999999999891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31.23142613151153</v>
      </c>
      <c r="B3" s="172">
        <f>E3/D3</f>
        <v>31.23142613151153</v>
      </c>
      <c r="C3" s="174">
        <v>32.549999999999997</v>
      </c>
      <c r="D3" s="176">
        <f>SUM(D6:D505)</f>
        <v>1171</v>
      </c>
      <c r="E3" s="178">
        <f>SUM(E6:E505)</f>
        <v>36572</v>
      </c>
      <c r="F3" s="178">
        <f>SUM(F6:F505)</f>
        <v>0</v>
      </c>
      <c r="G3" s="1">
        <f>(C3-A3)/B3</f>
        <v>4.2219457508476305E-2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1544.0499999999956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20.903703703703705</v>
      </c>
      <c r="B3" s="172">
        <f>E3/D3</f>
        <v>21</v>
      </c>
      <c r="C3" s="174">
        <v>20.69</v>
      </c>
      <c r="D3" s="176">
        <f>SUM(D6:D505)</f>
        <v>135</v>
      </c>
      <c r="E3" s="178">
        <f>SUM(E6:E505)</f>
        <v>2835</v>
      </c>
      <c r="F3" s="178">
        <f>SUM(F6:F505)</f>
        <v>13</v>
      </c>
      <c r="G3" s="1">
        <f>(C3-A3)/B3</f>
        <v>-1.0176366843033521E-2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-28.849999999999824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17.601689976689975</v>
      </c>
      <c r="B3" s="172">
        <f>E3/D3</f>
        <v>17.951340326340326</v>
      </c>
      <c r="C3" s="174">
        <v>18.7</v>
      </c>
      <c r="D3" s="176">
        <f>SUM(D6:D505)</f>
        <v>3432</v>
      </c>
      <c r="E3" s="178">
        <f>SUM(E6:E505)</f>
        <v>61609</v>
      </c>
      <c r="F3" s="178">
        <f>SUM(F6:F505)</f>
        <v>1200</v>
      </c>
      <c r="G3" s="1">
        <f>(C3-A3)/B3</f>
        <v>6.1182619422487004E-2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3769.4000000000005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6"/>
      <c r="G16" s="166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2254.1645168979367</v>
      </c>
      <c r="B3" s="172">
        <f>E3/D3</f>
        <v>2263.0653137455461</v>
      </c>
      <c r="C3" s="188">
        <f>H3*I3</f>
        <v>2247.346</v>
      </c>
      <c r="D3" s="176">
        <f>SUM(D7:D505)</f>
        <v>6.6286199999999997</v>
      </c>
      <c r="E3" s="178">
        <f>SUM(E7:E505)</f>
        <v>15001</v>
      </c>
      <c r="F3" s="178">
        <f>SUM(F7:G505)</f>
        <v>59</v>
      </c>
      <c r="G3" s="1">
        <f>(C3*D3+F3-E3)/E3</f>
        <v>-3.0129563015799813E-3</v>
      </c>
      <c r="H3" s="189">
        <v>70.12</v>
      </c>
      <c r="I3" s="190">
        <f>投資!G2</f>
        <v>32.049999999999997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-45.197357480001301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0"/>
      <c r="G15" s="18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0">
        <v>28</v>
      </c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1427.9372807331567</v>
      </c>
      <c r="B3" s="172">
        <f>E3/D3</f>
        <v>1431.946731581585</v>
      </c>
      <c r="C3" s="174">
        <f>H3*I3</f>
        <v>1447.6985</v>
      </c>
      <c r="D3" s="176">
        <f>SUM(D7:D505)</f>
        <v>3.4917500000000001</v>
      </c>
      <c r="E3" s="178">
        <f>SUM(E7:E505)</f>
        <v>5000</v>
      </c>
      <c r="F3" s="178">
        <f>SUM(F7:G505)</f>
        <v>14</v>
      </c>
      <c r="G3" s="1">
        <f>(C3*D3+F3-E3)/E3</f>
        <v>1.3800247475000105E-2</v>
      </c>
      <c r="H3" s="189">
        <v>45.17</v>
      </c>
      <c r="I3" s="190">
        <f>投資!G2</f>
        <v>32.049999999999997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69.001237375000528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0"/>
      <c r="G12" s="18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3098.5191414924352</v>
      </c>
      <c r="B3" s="172">
        <f>E3/D3</f>
        <v>3107.2185802336458</v>
      </c>
      <c r="C3" s="174">
        <f>H3*I3</f>
        <v>3121.0289999999995</v>
      </c>
      <c r="D3" s="176">
        <f>SUM(D7:D505)</f>
        <v>14.483693000000002</v>
      </c>
      <c r="E3" s="178">
        <f>SUM(E7:E505)</f>
        <v>45004</v>
      </c>
      <c r="F3" s="178">
        <f>SUM(F7:G505)</f>
        <v>126</v>
      </c>
      <c r="G3" s="1">
        <f>(C3*D3+F3-E3)/E3</f>
        <v>7.24437561321225E-3</v>
      </c>
      <c r="H3" s="189">
        <v>97.38</v>
      </c>
      <c r="I3" s="190">
        <f>投資!G2</f>
        <v>32.049999999999997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326.02588009700412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0"/>
      <c r="G13" s="18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2023-11-15T15:55:41Z</dcterms:modified>
</cp:coreProperties>
</file>