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F29061FB-C0CA-471C-BB44-92394E191412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G4" i="8" s="1"/>
  <c r="G3" i="8" s="1"/>
  <c r="E3" i="8"/>
  <c r="B3" i="8" s="1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10" i="2" s="1"/>
  <c r="E3" i="7"/>
  <c r="B3" i="7" s="1"/>
  <c r="D3" i="7"/>
  <c r="C3" i="7"/>
  <c r="F3" i="6"/>
  <c r="E3" i="6"/>
  <c r="D3" i="6"/>
  <c r="F3" i="5"/>
  <c r="E3" i="5"/>
  <c r="D3" i="5"/>
  <c r="G4" i="5" s="1"/>
  <c r="G3" i="5" s="1"/>
  <c r="F3" i="4"/>
  <c r="E3" i="4"/>
  <c r="D3" i="4"/>
  <c r="K3" i="1" s="1"/>
  <c r="F3" i="3"/>
  <c r="E3" i="3"/>
  <c r="D3" i="3"/>
  <c r="K2" i="1" s="1"/>
  <c r="O10" i="1"/>
  <c r="B10" i="2" s="1"/>
  <c r="G10" i="1"/>
  <c r="C10" i="1"/>
  <c r="K5" i="1"/>
  <c r="O3" i="1"/>
  <c r="O2" i="1"/>
  <c r="G4" i="6" l="1"/>
  <c r="G3" i="6" s="1"/>
  <c r="B3" i="6"/>
  <c r="A3" i="6"/>
  <c r="B3" i="5"/>
  <c r="K4" i="1"/>
  <c r="A3" i="4"/>
  <c r="B3" i="3"/>
  <c r="A3" i="3"/>
  <c r="C11" i="2"/>
  <c r="C10" i="2" s="1"/>
  <c r="K10" i="1"/>
  <c r="B3" i="2" s="1"/>
  <c r="G4" i="3"/>
  <c r="G3" i="3" s="1"/>
  <c r="A3" i="7"/>
  <c r="G4" i="7"/>
  <c r="G3" i="7" s="1"/>
  <c r="A3" i="2"/>
  <c r="E10" i="2" s="1"/>
  <c r="B3" i="4"/>
  <c r="A3" i="5"/>
  <c r="G4" i="4"/>
  <c r="G3" i="4" s="1"/>
  <c r="A3" i="8"/>
  <c r="F10" i="2" l="1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<sst xmlns="http://schemas.openxmlformats.org/spreadsheetml/2006/main" count="317" uniqueCount="120">
  <si>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</si>
  <si>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</si>
  <si>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</si>
  <si>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</si>
  <si>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</si>
  <si>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</si>
  <si>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</si>
  <si>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</si>
  <si>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</si>
  <si>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</si>
  <si>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</si>
  <si>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</si>
  <si>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</si>
  <si>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</si>
  <si>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</si>
  <si>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</si>
  <si>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</si>
  <si>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</si>
  <si>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</si>
  <si>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</si>
  <si>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</si>
  <si>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</si>
  <si>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</si>
  <si>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</si>
  <si>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</si>
  <si>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</si>
  <si>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</si>
  <si>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</si>
  <si>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</si>
  <si>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</si>
  <si>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</si>
  <si>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</si>
  <si>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</si>
  <si>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</si>
  <si>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</si>
  <si>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</si>
  <si>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</si>
  <si>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</si>
  <si>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</si>
  <si>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</si>
  <si>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</si>
  <si>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</si>
  <si>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</si>
  <si>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</si>
  <si>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</si>
  <si>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</si>
  <si>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</si>
  <si>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</si>
  <si>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</si>
  <si>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</si>
  <si>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</si>
  <si>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</si>
  <si>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</si>
  <si>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</si>
  <si>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</si>
  <si>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</si>
  <si>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</si>
  <si>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</si>
  <si>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</si>
  <si>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</si>
  <si>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</si>
  <si>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</si>
  <si>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</si>
  <si>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</si>
  <si>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</si>
  <si>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</si>
  <si>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</si>
  <si>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</si>
  <si>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</si>
  <si>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</si>
  <si>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</si>
  <si>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00692.TW</t>
  </si>
  <si>
    <t>44.94</t>
  </si>
  <si>
    <t>2023.08.18</t>
  </si>
  <si>
    <t>2023.10.24</t>
  </si>
  <si>
    <t>2024.01.17</t>
  </si>
  <si>
    <t>00878.TW</t>
  </si>
  <si>
    <t>22.35</t>
  </si>
  <si>
    <t>2024.03.25</t>
  </si>
  <si>
    <t>2024.06.13</t>
  </si>
  <si>
    <t>2024.09.16</t>
  </si>
  <si>
    <t>2890.TW</t>
  </si>
  <si>
    <t>24.45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</si>
  <si>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</si>
  <si>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</si>
  <si>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</si>
  <si>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</si>
  <si>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</si>
  <si>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</si>
  <si>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</si>
  <si>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</si>
  <si>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</si>
  <si>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73.71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</si>
  <si>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</si>
  <si>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</si>
  <si>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</si>
  <si>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</si>
  <si>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</si>
  <si>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</si>
  <si>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</si>
  <si>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</si>
  <si>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</si>
  <si>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</si>
  <si>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</si>
  <si>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</si>
  <si>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</si>
  <si>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</si>
  <si>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</si>
  <si>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</si>
  <si>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</si>
  <si>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</si>
  <si>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</si>
  <si>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123.07</t>
  </si>
  <si>
    <t>2023.09.16</t>
  </si>
  <si>
    <t>2023.09.27</t>
  </si>
  <si>
    <t>2023.12.28</t>
  </si>
  <si>
    <t>2024.03.26</t>
  </si>
  <si>
    <t>2024.06.28</t>
  </si>
  <si>
    <t>2024.12.06</t>
    <phoneticPr fontId="10" type="noConversion"/>
  </si>
  <si>
    <t>2024.12.12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</si>
</sst>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9" borderId="2" xfId="0" applyNumberFormat="1" applyFont="1" applyFill="1" applyBorder="1" applyAlignment="1">
      <alignment horizontal="right" vertical="center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H13" sqref="H13"/>
    </sheetView>
  </sheetViews>
  <sheetFormatPr defaultColWidth="8.453125" defaultRowHeight="17"/>
  <sheetData>
    <row r="1" spans="1:26" ht="31.5" customHeight="1" thickBot="1">
      <c r="A1" s="90" t="s">
        <v>0</v>
      </c>
      <c r="B1" s="84"/>
      <c r="C1" s="84"/>
      <c r="D1" s="63"/>
      <c r="E1" s="83" t="s">
        <v>1</v>
      </c>
      <c r="F1" s="84"/>
      <c r="G1" s="84"/>
      <c r="H1" s="63"/>
      <c r="I1" s="92" t="s">
        <v>2</v>
      </c>
      <c r="J1" s="84"/>
      <c r="K1" s="84"/>
      <c r="L1" s="63"/>
      <c r="M1" s="91" t="s">
        <v>3</v>
      </c>
      <c r="N1" s="84"/>
      <c r="O1" s="84"/>
      <c r="P1" s="63"/>
    </row>
    <row r="2" spans="1:26" ht="17.25" customHeight="1">
      <c r="A2" s="39" t="s">
        <v>4</v>
      </c>
      <c r="B2" s="40"/>
      <c r="C2" s="41">
        <v>60302</v>
      </c>
      <c r="D2" s="42"/>
      <c r="E2" s="45"/>
      <c r="F2" s="40"/>
      <c r="G2" s="86"/>
      <c r="H2" s="42"/>
      <c r="I2" s="87" t="s">
        <v>5</v>
      </c>
      <c r="J2" s="88"/>
      <c r="K2" s="82">
        <f>'006208.TW'!D3*'006208.TW'!C3*0.997</f>
        <v>48545.425499999998</v>
      </c>
      <c r="L2" s="42"/>
      <c r="M2" s="89" t="s">
        <v>6</v>
      </c>
      <c r="N2" s="88"/>
      <c r="O2" s="93">
        <f>BND!H3*BND!D3</f>
        <v>868.33881225000016</v>
      </c>
      <c r="P2" s="42"/>
    </row>
    <row r="3" spans="1:26" ht="17.25" customHeight="1">
      <c r="A3" s="55" t="s">
        <v>7</v>
      </c>
      <c r="B3" s="44"/>
      <c r="C3" s="68">
        <v>0</v>
      </c>
      <c r="D3" s="49"/>
      <c r="E3" s="69"/>
      <c r="F3" s="44"/>
      <c r="G3" s="48"/>
      <c r="H3" s="49"/>
      <c r="I3" s="50" t="s">
        <v>8</v>
      </c>
      <c r="J3" s="51"/>
      <c r="K3" s="53">
        <f>'00692.TW'!D3*'00692.TW'!C3*0.997</f>
        <v>69627.249719999993</v>
      </c>
      <c r="L3" s="49"/>
      <c r="M3" s="52" t="s">
        <v>9</v>
      </c>
      <c r="N3" s="51"/>
      <c r="O3" s="74">
        <f>VT!H3*VT!D3</f>
        <v>3391.0240133999996</v>
      </c>
      <c r="P3" s="49"/>
    </row>
    <row r="4" spans="1:26" ht="15.75" customHeight="1">
      <c r="A4" s="55" t="s">
        <v>10</v>
      </c>
      <c r="B4" s="44"/>
      <c r="C4" s="68">
        <v>108229</v>
      </c>
      <c r="D4" s="49"/>
      <c r="E4" s="69"/>
      <c r="F4" s="44"/>
      <c r="G4" s="48"/>
      <c r="H4" s="49"/>
      <c r="I4" s="50" t="s">
        <v>11</v>
      </c>
      <c r="J4" s="51"/>
      <c r="K4" s="53">
        <f>'00878.TW'!D3*'00878.TW'!C3*0.997</f>
        <v>9358.8389999999999</v>
      </c>
      <c r="L4" s="49"/>
      <c r="M4" s="52"/>
      <c r="N4" s="51"/>
      <c r="O4" s="74"/>
      <c r="P4" s="49"/>
    </row>
    <row r="5" spans="1:26" ht="16.5" customHeight="1">
      <c r="A5" s="55" t="s">
        <v>12</v>
      </c>
      <c r="B5" s="44"/>
      <c r="C5" s="68">
        <v>0</v>
      </c>
      <c r="D5" s="49"/>
      <c r="E5" s="69"/>
      <c r="F5" s="44"/>
      <c r="G5" s="48"/>
      <c r="H5" s="49"/>
      <c r="I5" s="50" t="s">
        <v>13</v>
      </c>
      <c r="J5" s="51"/>
      <c r="K5" s="53">
        <f>'2890.TW'!D3*'2890.TW'!C3*0.997</f>
        <v>102601.31985</v>
      </c>
      <c r="L5" s="49"/>
      <c r="M5" s="52"/>
      <c r="N5" s="51"/>
      <c r="O5" s="74"/>
      <c r="P5" s="49"/>
    </row>
    <row r="6" spans="1:26" ht="17.25" customHeight="1">
      <c r="A6" s="55" t="s">
        <v>14</v>
      </c>
      <c r="B6" s="44"/>
      <c r="C6" s="68">
        <v>0</v>
      </c>
      <c r="D6" s="49"/>
      <c r="E6" s="69"/>
      <c r="F6" s="44"/>
      <c r="G6" s="48"/>
      <c r="H6" s="49"/>
      <c r="I6" s="70" t="s">
        <v>15</v>
      </c>
      <c r="J6" s="44"/>
      <c r="K6" s="53">
        <v>14280</v>
      </c>
      <c r="L6" s="49"/>
      <c r="M6" s="43"/>
      <c r="N6" s="44"/>
      <c r="O6" s="74"/>
      <c r="P6" s="49"/>
    </row>
    <row r="7" spans="1:26" ht="17.25" customHeight="1">
      <c r="A7" s="55" t="s">
        <v>16</v>
      </c>
      <c r="B7" s="44"/>
      <c r="C7" s="68">
        <f>投資!G2 * 0.02</f>
        <v>0.64670000000000005</v>
      </c>
      <c r="D7" s="49"/>
      <c r="E7" s="69"/>
      <c r="F7" s="44"/>
      <c r="G7" s="48"/>
      <c r="H7" s="49"/>
      <c r="I7" s="70"/>
      <c r="J7" s="44"/>
      <c r="K7" s="53"/>
      <c r="L7" s="49"/>
      <c r="M7" s="43"/>
      <c r="N7" s="44"/>
      <c r="O7" s="74"/>
      <c r="P7" s="49"/>
    </row>
    <row r="8" spans="1:26" ht="17.25" customHeight="1">
      <c r="A8" s="55" t="s">
        <v>17</v>
      </c>
      <c r="B8" s="44"/>
      <c r="C8" s="68">
        <v>600</v>
      </c>
      <c r="D8" s="49"/>
      <c r="E8" s="69"/>
      <c r="F8" s="44"/>
      <c r="G8" s="48"/>
      <c r="H8" s="49"/>
      <c r="I8" s="70"/>
      <c r="J8" s="44"/>
      <c r="K8" s="53"/>
      <c r="L8" s="49"/>
      <c r="M8" s="43"/>
      <c r="N8" s="44"/>
      <c r="O8" s="74"/>
      <c r="P8" s="49"/>
      <c r="Q8" s="1"/>
      <c r="R8" s="1"/>
      <c r="S8" s="1"/>
      <c r="T8" s="1"/>
    </row>
    <row r="9" spans="1:26" ht="17.25" customHeight="1" thickBot="1">
      <c r="A9" s="85"/>
      <c r="B9" s="61"/>
      <c r="C9" s="58"/>
      <c r="D9" s="59"/>
      <c r="E9" s="60"/>
      <c r="F9" s="61"/>
      <c r="G9" s="71"/>
      <c r="H9" s="59"/>
      <c r="I9" s="72"/>
      <c r="J9" s="61"/>
      <c r="K9" s="79"/>
      <c r="L9" s="59"/>
      <c r="M9" s="80"/>
      <c r="N9" s="61"/>
      <c r="O9" s="81"/>
      <c r="P9" s="59"/>
      <c r="Q9" s="1"/>
      <c r="R9" s="1"/>
      <c r="S9" s="1"/>
      <c r="T9" s="1"/>
    </row>
    <row r="10" spans="1:26" ht="17.25" customHeight="1" thickBot="1">
      <c r="A10" s="56" t="s">
        <v>18</v>
      </c>
      <c r="B10" s="57"/>
      <c r="C10" s="54">
        <f>SUM(C2:D9)</f>
        <v>169131.64670000001</v>
      </c>
      <c r="D10" s="47"/>
      <c r="E10" s="56" t="s">
        <v>18</v>
      </c>
      <c r="F10" s="57"/>
      <c r="G10" s="54">
        <f>SUM(G2:H9)*投資!G2</f>
        <v>0</v>
      </c>
      <c r="H10" s="47"/>
      <c r="I10" s="56" t="s">
        <v>18</v>
      </c>
      <c r="J10" s="57"/>
      <c r="K10" s="54">
        <f>SUM(K2:L9)</f>
        <v>244412.83406999998</v>
      </c>
      <c r="L10" s="47"/>
      <c r="M10" s="56" t="s">
        <v>18</v>
      </c>
      <c r="N10" s="57"/>
      <c r="O10" s="54">
        <f>SUM(O2:P9)*投資!G2</f>
        <v>137726.49696739274</v>
      </c>
      <c r="P10" s="47"/>
      <c r="Q10" s="1"/>
      <c r="R10" s="1"/>
      <c r="S10" s="1"/>
      <c r="T10" s="1"/>
    </row>
    <row r="11" spans="1:26" ht="31.5" customHeight="1" thickBot="1">
      <c r="A11" s="67" t="s">
        <v>19</v>
      </c>
      <c r="B11" s="47"/>
      <c r="C11" s="46" t="s">
        <v>20</v>
      </c>
      <c r="D11" s="4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73">
        <f>C10+G10+K10+O10</f>
        <v>551270.97773739276</v>
      </c>
      <c r="B12" s="63"/>
      <c r="C12" s="75">
        <v>5208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64"/>
      <c r="B13" s="65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7" t="s">
        <v>21</v>
      </c>
      <c r="B14" s="63"/>
      <c r="C14" s="46" t="s">
        <v>22</v>
      </c>
      <c r="D14" s="6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64"/>
      <c r="B15" s="65"/>
      <c r="C15" s="64"/>
      <c r="D15" s="6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2">
        <f>A12-C12</f>
        <v>546062.97773739276</v>
      </c>
      <c r="B16" s="63"/>
      <c r="C16" s="66">
        <f>C12/A12</f>
        <v>9.4472595335517891E-3</v>
      </c>
      <c r="D16" s="6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64"/>
      <c r="B17" s="65"/>
      <c r="C17" s="64"/>
      <c r="D17" s="6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4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32.335000000000001</v>
      </c>
    </row>
    <row r="3" spans="1:10" ht="17.25" customHeight="1">
      <c r="A3" s="96">
        <f>('006208.TW'!E3+'00692.TW'!E3+'00878.TW'!E3+'2890.TW'!E3)-('006208.TW'!F3+'00692.TW'!F3+'00878.TW'!F3+'2890.TW'!F3)-E2+7345</f>
        <v>172160</v>
      </c>
      <c r="B3" s="96">
        <f>總資產!K10</f>
        <v>244412.83406999998</v>
      </c>
      <c r="C3" s="8">
        <f>C4/A3</f>
        <v>0.4196842127671932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72252.834069999983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4"/>
      <c r="D8" s="6"/>
      <c r="E8" s="94" t="s">
        <v>31</v>
      </c>
      <c r="F8" s="95"/>
      <c r="G8" s="44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118444</v>
      </c>
      <c r="B10" s="96">
        <f>總資產!O10</f>
        <v>137726.49696739274</v>
      </c>
      <c r="C10" s="8">
        <f>C11/A10</f>
        <v>0.16279842767377614</v>
      </c>
      <c r="D10" s="6"/>
      <c r="E10" s="96">
        <f>A3+A10</f>
        <v>290604</v>
      </c>
      <c r="F10" s="96">
        <f>B3+B10</f>
        <v>382139.33103739272</v>
      </c>
      <c r="G10" s="8">
        <f>G11/E10</f>
        <v>0.3149830389030871</v>
      </c>
    </row>
    <row r="11" spans="1:10" ht="18" customHeight="1">
      <c r="A11" s="97"/>
      <c r="B11" s="97"/>
      <c r="C11" s="31">
        <f>B10-A10</f>
        <v>19282.496967392741</v>
      </c>
      <c r="D11" s="6"/>
      <c r="E11" s="97"/>
      <c r="F11" s="97"/>
      <c r="G11" s="33">
        <f>F10-E10</f>
        <v>91535.331037392723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32</v>
      </c>
      <c r="D1" s="107"/>
      <c r="E1" s="107"/>
      <c r="F1" s="103" t="s">
        <v>33</v>
      </c>
      <c r="G1" s="44"/>
      <c r="H1" s="104"/>
      <c r="I1" s="95"/>
      <c r="J1" s="44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14">
        <f>(E3-F3)/D3</f>
        <v>82.333333333333329</v>
      </c>
      <c r="B3" s="112">
        <f>E3/D3</f>
        <v>84.209790209790214</v>
      </c>
      <c r="C3" s="99" t="s">
        <v>39</v>
      </c>
      <c r="D3" s="105">
        <f>SUM(D7:D505)</f>
        <v>429</v>
      </c>
      <c r="E3" s="101">
        <f>SUM(E7:E505)</f>
        <v>36126</v>
      </c>
      <c r="F3" s="101">
        <f>SUM(F6:G505)</f>
        <v>805</v>
      </c>
      <c r="G3" s="8">
        <f>G4/E3</f>
        <v>0.37010740187122848</v>
      </c>
      <c r="H3" s="111"/>
      <c r="I3" s="110"/>
      <c r="J3" s="108"/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13370.5</v>
      </c>
      <c r="H4" s="100"/>
      <c r="I4" s="100"/>
      <c r="J4" s="100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02" t="s">
        <v>45</v>
      </c>
      <c r="G5" s="44"/>
      <c r="H5" s="109"/>
      <c r="I5" s="109"/>
      <c r="J5" s="109"/>
    </row>
    <row r="6" spans="1:10">
      <c r="A6" s="18">
        <v>1</v>
      </c>
      <c r="B6" s="115" t="s">
        <v>46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4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4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4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4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4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4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4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4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 t="s">
        <v>118</v>
      </c>
      <c r="C32" s="35">
        <v>113.64</v>
      </c>
      <c r="D32" s="27">
        <v>14</v>
      </c>
      <c r="E32" s="27">
        <v>1592</v>
      </c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119</v>
      </c>
      <c r="C33" s="35"/>
      <c r="D33" s="27"/>
      <c r="E33" s="27"/>
      <c r="F33" s="98">
        <v>374</v>
      </c>
      <c r="G33" s="44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408:G408"/>
    <mergeCell ref="F237:G237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18" sqref="F18:G1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32</v>
      </c>
      <c r="D1" s="107"/>
      <c r="E1" s="107"/>
      <c r="F1" s="103" t="s">
        <v>71</v>
      </c>
      <c r="G1" s="44"/>
      <c r="H1" s="104"/>
      <c r="I1" s="95"/>
      <c r="J1" s="44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14">
        <f>(E3-F3)/D3</f>
        <v>31.096525096525095</v>
      </c>
      <c r="B3" s="112">
        <f>E3/D3</f>
        <v>32.863577863577866</v>
      </c>
      <c r="C3" s="99" t="s">
        <v>72</v>
      </c>
      <c r="D3" s="105">
        <f>SUM(D7:D505)</f>
        <v>1554</v>
      </c>
      <c r="E3" s="101">
        <f>SUM(E7:E505)</f>
        <v>51070</v>
      </c>
      <c r="F3" s="101">
        <f>SUM(F6:G505)</f>
        <v>2746</v>
      </c>
      <c r="G3" s="8">
        <f>G4/E3</f>
        <v>0.42124065008811423</v>
      </c>
      <c r="H3" s="111"/>
      <c r="I3" s="110"/>
      <c r="J3" s="108"/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21512.759999999995</v>
      </c>
      <c r="H4" s="100"/>
      <c r="I4" s="100"/>
      <c r="J4" s="100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02" t="s">
        <v>45</v>
      </c>
      <c r="G5" s="44"/>
      <c r="H5" s="109"/>
      <c r="I5" s="109"/>
      <c r="J5" s="109"/>
    </row>
    <row r="6" spans="1:10">
      <c r="A6" s="18">
        <v>1</v>
      </c>
      <c r="B6" s="115" t="s">
        <v>46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4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4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4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4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4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4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4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118</v>
      </c>
      <c r="C29" s="27">
        <v>44.95</v>
      </c>
      <c r="D29" s="27">
        <v>22</v>
      </c>
      <c r="E29" s="27">
        <v>990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119</v>
      </c>
      <c r="C30" s="27"/>
      <c r="D30" s="27"/>
      <c r="E30" s="27"/>
      <c r="F30" s="98">
        <v>919</v>
      </c>
      <c r="G30" s="44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4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408:G408"/>
    <mergeCell ref="F237:G237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I27" sqref="I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32</v>
      </c>
      <c r="D1" s="107"/>
      <c r="E1" s="107"/>
      <c r="F1" s="103" t="s">
        <v>76</v>
      </c>
      <c r="G1" s="44"/>
      <c r="H1" s="104"/>
      <c r="I1" s="95"/>
      <c r="J1" s="44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14">
        <f>(E3-F3)/D3</f>
        <v>20.861904761904761</v>
      </c>
      <c r="B3" s="112">
        <f>E3/D3</f>
        <v>21.942857142857143</v>
      </c>
      <c r="C3" s="99" t="s">
        <v>77</v>
      </c>
      <c r="D3" s="105">
        <f>SUM(D7:D505)</f>
        <v>420</v>
      </c>
      <c r="E3" s="101">
        <f>SUM(E7:E505)</f>
        <v>9216</v>
      </c>
      <c r="F3" s="101">
        <f>SUM(F6:G505)</f>
        <v>454</v>
      </c>
      <c r="G3" s="8">
        <f>G4/E3</f>
        <v>6.7816840277777776E-2</v>
      </c>
      <c r="H3" s="111"/>
      <c r="I3" s="110"/>
      <c r="J3" s="108"/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625</v>
      </c>
      <c r="H4" s="100"/>
      <c r="I4" s="100"/>
      <c r="J4" s="100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02" t="s">
        <v>45</v>
      </c>
      <c r="G5" s="44"/>
      <c r="H5" s="109"/>
      <c r="I5" s="109"/>
      <c r="J5" s="109"/>
    </row>
    <row r="6" spans="1:10">
      <c r="A6" s="18">
        <v>1</v>
      </c>
      <c r="B6" s="115" t="s">
        <v>46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4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4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4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4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4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4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4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118</v>
      </c>
      <c r="C30" s="36">
        <v>22.32</v>
      </c>
      <c r="D30" s="27">
        <v>22</v>
      </c>
      <c r="E30" s="27">
        <v>492</v>
      </c>
      <c r="F30" s="98"/>
      <c r="G30" s="44"/>
      <c r="H30" s="21"/>
      <c r="I30" s="21"/>
      <c r="J30" s="21"/>
    </row>
    <row r="31" spans="1:10" s="13" customFormat="1" ht="16.5" customHeight="1">
      <c r="A31" s="18">
        <v>26</v>
      </c>
      <c r="B31" s="26" t="s">
        <v>119</v>
      </c>
      <c r="C31" s="36"/>
      <c r="D31" s="27"/>
      <c r="E31" s="27"/>
      <c r="F31" s="98">
        <v>209</v>
      </c>
      <c r="G31" s="44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4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408:G408"/>
    <mergeCell ref="F237:G237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6" t="s">
        <v>32</v>
      </c>
      <c r="D1" s="107"/>
      <c r="E1" s="107"/>
      <c r="F1" s="103" t="s">
        <v>81</v>
      </c>
      <c r="G1" s="44"/>
      <c r="H1" s="104"/>
      <c r="I1" s="95"/>
      <c r="J1" s="44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14">
        <f>(E3-F3)/D3</f>
        <v>17.275362318840578</v>
      </c>
      <c r="B3" s="112">
        <f>E3/D3</f>
        <v>18.244713708719409</v>
      </c>
      <c r="C3" s="116" t="s">
        <v>82</v>
      </c>
      <c r="D3" s="105">
        <f>SUM(D7:D505)</f>
        <v>4209</v>
      </c>
      <c r="E3" s="101">
        <f>SUM(E7:E505)</f>
        <v>76792</v>
      </c>
      <c r="F3" s="101">
        <f>SUM(F6:G505)</f>
        <v>4080</v>
      </c>
      <c r="G3" s="8">
        <f>G4/E3</f>
        <v>0.3932447390353162</v>
      </c>
      <c r="H3" s="111"/>
      <c r="I3" s="110"/>
      <c r="J3" s="108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30198.050000000003</v>
      </c>
      <c r="H4" s="100"/>
      <c r="I4" s="100"/>
      <c r="J4" s="100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02" t="s">
        <v>45</v>
      </c>
      <c r="G5" s="44"/>
      <c r="H5" s="109"/>
      <c r="I5" s="109"/>
      <c r="J5" s="109"/>
    </row>
    <row r="6" spans="1:10">
      <c r="A6" s="18">
        <v>1</v>
      </c>
      <c r="B6" s="115" t="s">
        <v>46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4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4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4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4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4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4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4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4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4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4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4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4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4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4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4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4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118</v>
      </c>
      <c r="C33" s="36">
        <v>24.42</v>
      </c>
      <c r="D33" s="27">
        <v>36</v>
      </c>
      <c r="E33" s="27">
        <v>880</v>
      </c>
      <c r="F33" s="98"/>
      <c r="G33" s="44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408:G408"/>
    <mergeCell ref="F237:G237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40" sqref="J4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6" t="s">
        <v>32</v>
      </c>
      <c r="D1" s="107"/>
      <c r="E1" s="107"/>
      <c r="F1" s="103" t="s">
        <v>6</v>
      </c>
      <c r="G1" s="44"/>
      <c r="H1" s="104" t="s">
        <v>90</v>
      </c>
      <c r="I1" s="95"/>
      <c r="J1" s="44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91</v>
      </c>
      <c r="J2" s="28" t="s">
        <v>27</v>
      </c>
    </row>
    <row r="3" spans="1:10" ht="18.75" customHeight="1">
      <c r="A3" s="114">
        <f>(E3-F3)/D3</f>
        <v>2242.6939490979771</v>
      </c>
      <c r="B3" s="112">
        <f>E3/D3</f>
        <v>2292.2675019470771</v>
      </c>
      <c r="C3" s="116">
        <f>H3*I3</f>
        <v>2383.4128499999997</v>
      </c>
      <c r="D3" s="105">
        <f>SUM(D7:D505)</f>
        <v>11.780475000000003</v>
      </c>
      <c r="E3" s="101">
        <f>SUM(E7:E505)</f>
        <v>27004</v>
      </c>
      <c r="F3" s="101">
        <f>SUM(F6:G505)</f>
        <v>584</v>
      </c>
      <c r="G3" s="8">
        <f>G4/E3</f>
        <v>6.1388516297724488E-2</v>
      </c>
      <c r="H3" s="111" t="s">
        <v>92</v>
      </c>
      <c r="I3" s="110">
        <f>投資!G2</f>
        <v>32.335000000000001</v>
      </c>
      <c r="J3" s="108">
        <f>SUM(J7:J505)</f>
        <v>843.93000000000006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1657.735494103752</v>
      </c>
      <c r="H4" s="100"/>
      <c r="I4" s="100"/>
      <c r="J4" s="100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02" t="s">
        <v>45</v>
      </c>
      <c r="G5" s="44"/>
      <c r="H5" s="109" t="s">
        <v>42</v>
      </c>
      <c r="I5" s="109" t="s">
        <v>93</v>
      </c>
      <c r="J5" s="109" t="s">
        <v>94</v>
      </c>
    </row>
    <row r="6" spans="1:10">
      <c r="A6" s="18">
        <v>1</v>
      </c>
      <c r="B6" s="115" t="s">
        <v>46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4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4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4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4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4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4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4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4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4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4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4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4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4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4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4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4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4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4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4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4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4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4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4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4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4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4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4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4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4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4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4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4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opLeftCell="A20" zoomScale="115" zoomScaleNormal="115" workbookViewId="0">
      <selection activeCell="B30" sqref="B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6" t="s">
        <v>32</v>
      </c>
      <c r="D1" s="107"/>
      <c r="E1" s="107"/>
      <c r="F1" s="103" t="s">
        <v>9</v>
      </c>
      <c r="G1" s="44"/>
      <c r="H1" s="104" t="s">
        <v>90</v>
      </c>
      <c r="I1" s="95"/>
      <c r="J1" s="44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91</v>
      </c>
      <c r="J2" s="28" t="s">
        <v>27</v>
      </c>
    </row>
    <row r="3" spans="1:10" ht="18.75" customHeight="1">
      <c r="A3" s="114">
        <f>(E3-F3)/D3</f>
        <v>3339.8152402479241</v>
      </c>
      <c r="B3" s="112">
        <f>E3/D3</f>
        <v>3375.6000119040623</v>
      </c>
      <c r="C3" s="99">
        <f>H3*I3</f>
        <v>3979.4684499999998</v>
      </c>
      <c r="D3" s="105">
        <f>SUM(D7:D505)</f>
        <v>27.553619999999999</v>
      </c>
      <c r="E3" s="101">
        <f>SUM(E7:E505)</f>
        <v>93010</v>
      </c>
      <c r="F3" s="101">
        <f>SUM(F6:G505)</f>
        <v>986</v>
      </c>
      <c r="G3" s="8">
        <f>G4/E3</f>
        <v>0.18949318861723463</v>
      </c>
      <c r="H3" s="111" t="s">
        <v>112</v>
      </c>
      <c r="I3" s="118">
        <f>投資!G2</f>
        <v>32.335000000000001</v>
      </c>
      <c r="J3" s="108">
        <f>SUM(J7:J505)</f>
        <v>2891.1099999999997</v>
      </c>
    </row>
    <row r="4" spans="1:10" ht="18.75" customHeight="1">
      <c r="A4" s="97"/>
      <c r="B4" s="97"/>
      <c r="C4" s="100"/>
      <c r="D4" s="97"/>
      <c r="E4" s="97"/>
      <c r="F4" s="97"/>
      <c r="G4" s="34">
        <f>D3*C3-E3+F3</f>
        <v>17624.761473288992</v>
      </c>
      <c r="H4" s="100"/>
      <c r="I4" s="100"/>
      <c r="J4" s="100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02" t="s">
        <v>45</v>
      </c>
      <c r="G5" s="44"/>
      <c r="H5" s="109" t="s">
        <v>42</v>
      </c>
      <c r="I5" s="109" t="s">
        <v>93</v>
      </c>
      <c r="J5" s="109" t="s">
        <v>94</v>
      </c>
    </row>
    <row r="6" spans="1:10">
      <c r="A6" s="18">
        <v>1</v>
      </c>
      <c r="B6" s="115" t="s">
        <v>46</v>
      </c>
      <c r="C6" s="95"/>
      <c r="D6" s="95"/>
      <c r="E6" s="44"/>
      <c r="F6" s="113"/>
      <c r="G6" s="44"/>
      <c r="H6" s="100"/>
      <c r="I6" s="100"/>
      <c r="J6" s="100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4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4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113</v>
      </c>
      <c r="C9" s="38">
        <f t="shared" si="0"/>
        <v>3114.2246399999999</v>
      </c>
      <c r="D9" s="27">
        <v>0.321135</v>
      </c>
      <c r="E9" s="27">
        <v>1000</v>
      </c>
      <c r="F9" s="98"/>
      <c r="G9" s="44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113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4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114</v>
      </c>
      <c r="C11" s="38">
        <f t="shared" si="0"/>
        <v>0</v>
      </c>
      <c r="D11" s="27"/>
      <c r="E11" s="27"/>
      <c r="F11" s="98">
        <v>126</v>
      </c>
      <c r="G11" s="44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4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4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4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115</v>
      </c>
      <c r="C15" s="38">
        <f t="shared" si="0"/>
        <v>0</v>
      </c>
      <c r="D15" s="27"/>
      <c r="E15" s="27"/>
      <c r="F15" s="98">
        <v>254</v>
      </c>
      <c r="G15" s="44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4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4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4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116</v>
      </c>
      <c r="C19" s="38">
        <f t="shared" si="0"/>
        <v>0</v>
      </c>
      <c r="D19" s="27"/>
      <c r="E19" s="27"/>
      <c r="F19" s="98">
        <v>148</v>
      </c>
      <c r="G19" s="44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4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4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4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117</v>
      </c>
      <c r="C23" s="38">
        <f t="shared" si="0"/>
        <v>0</v>
      </c>
      <c r="D23" s="27"/>
      <c r="E23" s="27"/>
      <c r="F23" s="98">
        <v>217</v>
      </c>
      <c r="G23" s="44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4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4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4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4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4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4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4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4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4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4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4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4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4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4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4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4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4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4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4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4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4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4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4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4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4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4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4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4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4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4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4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4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4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4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4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4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4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4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4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4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4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4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4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4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4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4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4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4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4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4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4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4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4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4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4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4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4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4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4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4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4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4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4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4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4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4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4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4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4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4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4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4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4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4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4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4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4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4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4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4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4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4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4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4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4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4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4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4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4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4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4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4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4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4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4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4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4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4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4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4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4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4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4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4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4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4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4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4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4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4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4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4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4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4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4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4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4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4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4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4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4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4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4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4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4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4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4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4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4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4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4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4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4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4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4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4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4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4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4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4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4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4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4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4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4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4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4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4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4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4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4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4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4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4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4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4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4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4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4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4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4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4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4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4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4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4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4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4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4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4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4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4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4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4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4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4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4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4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4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4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4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4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4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4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4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4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4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4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4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4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4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4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4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4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4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4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4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4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4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4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4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4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4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4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4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4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4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4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4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4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4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4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4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4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4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4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4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4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4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4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4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4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4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4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4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4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4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4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4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4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4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4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4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4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4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4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4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4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4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4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4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4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4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4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4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4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4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4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4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4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4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4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4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4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4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4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4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4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4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4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4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4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4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4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4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4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4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4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4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4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4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4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4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4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4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4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4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4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4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4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4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4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4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4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4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4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4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4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4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4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4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4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4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4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4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4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4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4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4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4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4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4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4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4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4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4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4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4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4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4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4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4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4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4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4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4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4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4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4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4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4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4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4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4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4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4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4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4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4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4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4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4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4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4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4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4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4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4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4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4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4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4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4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4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4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4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4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4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4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4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4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4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4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4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4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4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4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4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4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4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4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4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4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4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4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4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4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4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4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4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4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4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4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4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4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4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4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4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4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4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4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4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4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4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4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4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4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4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4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4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4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4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4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4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4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4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4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4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4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4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4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4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4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4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4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4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4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4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4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4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4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4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4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4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4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4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4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4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4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4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4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4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4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4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4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4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4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4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4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4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4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4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4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4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4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4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4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4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4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4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4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4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4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4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4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4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4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4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4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4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4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4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4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4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4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4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4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4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4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4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4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4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4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4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4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4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4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4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4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4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4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4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4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4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4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4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4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4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4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4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4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4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2024-12-07T13:44:16Z</dcterms:modified>
  <dc:language>en-US</dc:language>
</cp:coreProperties>
</file>