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69" documentId="13_ncr:1_{AFE626F0-DB9F-430C-8856-F05A99335ED4}" xr6:coauthVersionLast="47" xr6:coauthVersionMax="47" xr10:uidLastSave="{3736E87F-72D3-401B-8B35-B599EAF41770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<sst xmlns="http://schemas.openxmlformats.org/spreadsheetml/2006/main" count="271" uniqueCount="80">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</sst>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88338.727039999998</c:v>
                </c:pt>
                <c:pt idx="1">
                  <c:v>42344.868879999995</c:v>
                </c:pt>
                <c:pt idx="2">
                  <c:v>126541.28</c:v>
                </c:pt>
                <c:pt idx="3">
                  <c:v>73358.817883392403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330583.69380339241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7" sqref="C7:D7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51776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14855.35</v>
      </c>
      <c r="L2" s="141"/>
      <c r="M2" s="144" t="s">
        <v>20</v>
      </c>
      <c r="N2" s="145"/>
      <c r="O2" s="96">
        <f>(BND!H3 * BND!D3)</f>
        <v>514.68040007999991</v>
      </c>
      <c r="P2" s="97"/>
      <c r="Q2" s="59">
        <f>SUM(C10,G10,K10,O10)</f>
        <v>330583.69380339241</v>
      </c>
      <c r="R2" s="60"/>
      <c r="S2" s="65">
        <v>6457</v>
      </c>
      <c r="T2" s="66"/>
    </row>
    <row r="3" spans="1:26" ht="17.25" thickBot="1" x14ac:dyDescent="0.3">
      <c r="A3" s="118" t="s">
        <v>49</v>
      </c>
      <c r="B3" s="119"/>
      <c r="C3" s="108">
        <v>31510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37987.629999999997</v>
      </c>
      <c r="L3" s="143"/>
      <c r="M3" s="146" t="s">
        <v>22</v>
      </c>
      <c r="N3" s="147"/>
      <c r="O3" s="98">
        <f>(VEA!D3*VEA!H3)</f>
        <v>193.30940079000001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3254.8</v>
      </c>
      <c r="L4" s="143"/>
      <c r="M4" s="146" t="s">
        <v>19</v>
      </c>
      <c r="N4" s="147"/>
      <c r="O4" s="98">
        <f>(VT!D3*VT!H3)</f>
        <v>1471.2753382800004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67798.5</v>
      </c>
      <c r="L5" s="143"/>
      <c r="M5" s="146" t="s">
        <v>21</v>
      </c>
      <c r="N5" s="147"/>
      <c r="O5" s="98">
        <f>(VTI!D3*VTI!H3)</f>
        <v>163.26959974999997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3.44</f>
        <v>107.72703999999999</v>
      </c>
      <c r="D6" s="109"/>
      <c r="E6" s="122"/>
      <c r="F6" s="123"/>
      <c r="G6" s="114"/>
      <c r="H6" s="115"/>
      <c r="I6" s="110" t="s">
        <v>78</v>
      </c>
      <c r="J6" s="111"/>
      <c r="K6" s="104">
        <v>2645</v>
      </c>
      <c r="L6" s="105"/>
      <c r="M6" s="92"/>
      <c r="N6" s="93"/>
      <c r="O6" s="100"/>
      <c r="P6" s="101"/>
      <c r="Q6" s="77">
        <f>Q2-S2</f>
        <v>324126.69380339241</v>
      </c>
      <c r="R6" s="78"/>
      <c r="S6" s="81">
        <f>S2/Q2</f>
        <v>1.9532118858349264E-2</v>
      </c>
      <c r="T6" s="82"/>
    </row>
    <row r="7" spans="1:26" ht="17.25" thickBot="1" x14ac:dyDescent="0.3">
      <c r="A7" s="118" t="s">
        <v>67</v>
      </c>
      <c r="B7" s="119"/>
      <c r="C7" s="108">
        <v>1674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240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3031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88338.727039999998</v>
      </c>
      <c r="D10" s="90"/>
      <c r="E10" s="87" t="s">
        <v>57</v>
      </c>
      <c r="F10" s="88"/>
      <c r="G10" s="89">
        <f>SUM(G2:H9) * 投資!G2</f>
        <v>42344.868879999995</v>
      </c>
      <c r="H10" s="91"/>
      <c r="I10" s="87" t="s">
        <v>57</v>
      </c>
      <c r="J10" s="88"/>
      <c r="K10" s="89">
        <f>SUM(K2:L9)</f>
        <v>126541.28</v>
      </c>
      <c r="L10" s="90"/>
      <c r="M10" s="87" t="s">
        <v>57</v>
      </c>
      <c r="N10" s="88"/>
      <c r="O10" s="89">
        <f>SUM(O2:P9) * 投資!G2</f>
        <v>73358.817883392403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31.315999999999999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113260</v>
      </c>
      <c r="B3" s="162" cm="1">
        <f t="array" ref="B3">SUM('006208'!C3:C4*'006208'!D3:D4, '00692'!C3:C4*'00692'!D3:D4, '00878'!C3:C4*'00878'!D3:D4, 永豐金!C3*永豐金!D3)</f>
        <v>123896.28</v>
      </c>
      <c r="C3" s="1">
        <f>(B3-A3)/A3</f>
        <v>9.3910294896697846E-2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10636.279999999999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72801</v>
      </c>
      <c r="B10" s="162">
        <f>SUM(VT!E3,VT!G4,BND!E3,BND!G4,VTI!E3,VTI!G4,VEA!E3,VEA!G4)</f>
        <v>73562.817883392403</v>
      </c>
      <c r="C10" s="1">
        <f>(B10-A10)/A10</f>
        <v>1.0464387623692024E-2</v>
      </c>
      <c r="D10" s="28"/>
      <c r="E10" s="161">
        <f>SUM(A3,A10)</f>
        <v>186061</v>
      </c>
      <c r="F10" s="161">
        <f>SUM(B3,B10)</f>
        <v>197459.09788339242</v>
      </c>
      <c r="G10" s="1">
        <f>(F10-E10)/E10</f>
        <v>6.12600055003059E-2</v>
      </c>
    </row>
    <row r="11" spans="1:9" ht="18" customHeight="1" x14ac:dyDescent="0.3">
      <c r="A11" s="162"/>
      <c r="B11" s="162"/>
      <c r="C11" s="57">
        <f>B10-A10</f>
        <v>761.81788339240302</v>
      </c>
      <c r="D11" s="28"/>
      <c r="E11" s="161"/>
      <c r="F11" s="161"/>
      <c r="G11" s="56">
        <f>F10-E10</f>
        <v>11398.097883392416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71.708542713567837</v>
      </c>
      <c r="B3" s="174">
        <f>E3/D3</f>
        <v>73.155778894472363</v>
      </c>
      <c r="C3" s="176">
        <v>74.650000000000006</v>
      </c>
      <c r="D3" s="178">
        <f>SUM(D6:D505)</f>
        <v>199</v>
      </c>
      <c r="E3" s="180">
        <f>SUM(E6:E505)</f>
        <v>14558</v>
      </c>
      <c r="F3" s="180">
        <f>SUM(F6:F505)</f>
        <v>288</v>
      </c>
      <c r="G3" s="1">
        <f>(C3-A3)/B3</f>
        <v>4.0208132985300279E-2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585.35000000000105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144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144</v>
      </c>
      <c r="G16" s="168"/>
    </row>
    <row r="17" spans="1:7" x14ac:dyDescent="0.3">
      <c r="A17" s="7">
        <v>12</v>
      </c>
      <c r="B17" s="8"/>
      <c r="C17" s="15"/>
      <c r="D17" s="13"/>
      <c r="E17" s="13"/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29.189841798501249</v>
      </c>
      <c r="B3" s="174">
        <f>E3/D3</f>
        <v>31.243130724396337</v>
      </c>
      <c r="C3" s="176">
        <v>31.63</v>
      </c>
      <c r="D3" s="178">
        <f>SUM(D6:D505)</f>
        <v>1201</v>
      </c>
      <c r="E3" s="180">
        <f>SUM(E6:E505)</f>
        <v>37523</v>
      </c>
      <c r="F3" s="180">
        <f>SUM(F6:F505)</f>
        <v>2466</v>
      </c>
      <c r="G3" s="1">
        <f>(C3-A3)/B3</f>
        <v>7.8102230631879085E-2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2930.6299999999974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1233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1233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20.6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1.3841039588999729E-2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45.800000000000132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19.25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0.10828070729396896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6858.4999999999982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2255.567610150988</v>
      </c>
      <c r="B3" s="174">
        <f>E3/D3</f>
        <v>2263.9152760021302</v>
      </c>
      <c r="C3" s="190">
        <f>H3*I3</f>
        <v>2280.4311199999997</v>
      </c>
      <c r="D3" s="178">
        <f>SUM(D7:D505)</f>
        <v>7.067844</v>
      </c>
      <c r="E3" s="180">
        <f>SUM(E7:E505)</f>
        <v>16001</v>
      </c>
      <c r="F3" s="180">
        <f>SUM(F7:G505)</f>
        <v>59</v>
      </c>
      <c r="G3" s="1">
        <f>(C3*D3+F3-E3)/E3</f>
        <v>1.098252664866433E-2</v>
      </c>
      <c r="H3" s="191">
        <v>72.819999999999993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175.73140890527793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59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1433.4116130286723</v>
      </c>
      <c r="B3" s="174">
        <f>E3/D3</f>
        <v>1436.7640625078573</v>
      </c>
      <c r="C3" s="176">
        <f>H3*I3</f>
        <v>1449.6176399999999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1.1279532523273399E-2</v>
      </c>
      <c r="H3" s="191">
        <v>46.29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67.677195139640389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3099.2257542566217</v>
      </c>
      <c r="B3" s="174">
        <f>E3/D3</f>
        <v>3107.7375125075555</v>
      </c>
      <c r="C3" s="176">
        <f>H3*I3</f>
        <v>3112.4972399999997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4.2704654720564939E-3</v>
      </c>
      <c r="H3" s="191">
        <v>99.39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196.45849357648694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7001.3385942657715</v>
      </c>
      <c r="B3" s="174">
        <f>E3/D3</f>
        <v>7008.346941206978</v>
      </c>
      <c r="C3" s="176">
        <f>H3*I3</f>
        <v>7166.6665999999996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2.3590157154199914E-2</v>
      </c>
      <c r="H3" s="191">
        <v>228.85</v>
      </c>
      <c r="I3" s="191">
        <f>投資!G2</f>
        <v>31.315999999999999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117.95078577099957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2023-12-09T01:35:18Z</dcterms:modified>
</cp:coreProperties>
</file>