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C8D5D26A-6DBD-4934-AEEF-3D1B859373CD}" xr6:coauthVersionLast="47" xr6:coauthVersionMax="47" xr10:uidLastSave="{00000000-0000-0000-0000-000000000000}"/>
  <bookViews>
    <workbookView xWindow="-110" yWindow="-110" windowWidth="19420" windowHeight="11500" tabRatio="679" activeTab="6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BND" sheetId="6" r:id="rId6"/>
    <sheet name="VT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7" l="1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E3" i="7"/>
  <c r="D3" i="7"/>
  <c r="O3" i="1" s="1"/>
  <c r="C3" i="7"/>
  <c r="B3" i="7"/>
  <c r="A3" i="7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J3" i="6"/>
  <c r="I3" i="6"/>
  <c r="F3" i="6"/>
  <c r="E3" i="6"/>
  <c r="A10" i="2" s="1"/>
  <c r="D3" i="6"/>
  <c r="O2" i="1" s="1"/>
  <c r="O10" i="1" s="1"/>
  <c r="B10" i="2" s="1"/>
  <c r="C11" i="2" s="1"/>
  <c r="C10" i="2" s="1"/>
  <c r="C3" i="6"/>
  <c r="B3" i="6"/>
  <c r="G4" i="5"/>
  <c r="G3" i="5"/>
  <c r="F3" i="5"/>
  <c r="E3" i="5"/>
  <c r="D3" i="5"/>
  <c r="B3" i="5"/>
  <c r="A3" i="5"/>
  <c r="F3" i="4"/>
  <c r="E3" i="4"/>
  <c r="D3" i="4"/>
  <c r="K3" i="1" s="1"/>
  <c r="B3" i="4"/>
  <c r="A3" i="4"/>
  <c r="F3" i="3"/>
  <c r="E3" i="3"/>
  <c r="B3" i="3" s="1"/>
  <c r="D3" i="3"/>
  <c r="G4" i="3" s="1"/>
  <c r="G3" i="3" s="1"/>
  <c r="G10" i="1"/>
  <c r="C7" i="1"/>
  <c r="C10" i="1" s="1"/>
  <c r="K4" i="1"/>
  <c r="A3" i="2" l="1"/>
  <c r="E10" i="2" s="1"/>
  <c r="G4" i="7"/>
  <c r="G3" i="7" s="1"/>
  <c r="A3" i="3"/>
  <c r="A3" i="6"/>
  <c r="G4" i="6"/>
  <c r="G3" i="6" s="1"/>
  <c r="G4" i="4"/>
  <c r="G3" i="4" s="1"/>
  <c r="K2" i="1"/>
  <c r="K10" i="1" s="1"/>
  <c r="B3" i="2" s="1"/>
  <c r="F10" i="2" l="1"/>
  <c r="G11" i="2" s="1"/>
  <c r="G10" i="2" s="1"/>
  <c r="C4" i="2"/>
  <c r="C3" i="2" s="1"/>
  <c r="A12" i="1"/>
  <c r="C16" i="1" l="1"/>
  <c r="A16" i="1"/>
</calcChain>
</file>

<file path=xl/sharedStrings.xml><?xml version="1.0" encoding="utf-8"?>
<sst xmlns="http://schemas.openxmlformats.org/spreadsheetml/2006/main" count="300" uniqueCount="124">
  <si>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</si>
  <si>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</si>
  <si>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</si>
  <si>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</si>
  <si>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</si>
  <si>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</si>
  <si>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</si>
  <si>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</si>
  <si>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</si>
  <si>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</si>
  <si>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</si>
  <si>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</si>
  <si>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</si>
  <si>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</si>
  <si>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</si>
  <si>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</si>
  <si>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</si>
  <si>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</si>
  <si>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</si>
  <si>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</si>
  <si>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</si>
  <si>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</si>
  <si>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</si>
  <si>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</si>
  <si>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</si>
  <si>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</si>
  <si>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</si>
  <si>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</si>
  <si>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</si>
  <si>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</si>
  <si>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</si>
  <si>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</si>
  <si>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</si>
  <si>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</si>
  <si>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</si>
  <si>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</si>
  <si>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</si>
  <si>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</si>
  <si>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105.15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</si>
  <si>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</si>
  <si>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</si>
  <si>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</si>
  <si>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</si>
  <si>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</si>
  <si>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</si>
  <si>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</si>
  <si>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</si>
  <si>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</si>
  <si>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</si>
  <si>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</si>
  <si>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</si>
  <si>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</si>
  <si>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</si>
  <si>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</si>
  <si>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</si>
  <si>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</si>
  <si>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</si>
  <si>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</si>
  <si>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</si>
  <si>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</si>
  <si>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</si>
  <si>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</si>
  <si>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</si>
  <si>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</si>
  <si>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</si>
  <si>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</si>
  <si>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</si>
  <si>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</si>
  <si>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</si>
  <si>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</si>
  <si>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</si>
  <si>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</si>
  <si>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</si>
  <si>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</si>
  <si>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</si>
  <si>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</si>
  <si>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00692.TW</t>
  </si>
  <si>
    <t>41.78</t>
  </si>
  <si>
    <t>2023.08.18</t>
  </si>
  <si>
    <t>2023.10.24</t>
  </si>
  <si>
    <t>2024.01.17</t>
  </si>
  <si>
    <t>2890.TW</t>
  </si>
  <si>
    <t>22.35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</si>
  <si>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</si>
  <si>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</si>
  <si>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</si>
  <si>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</si>
  <si>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</si>
  <si>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</si>
  <si>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</si>
  <si>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</si>
  <si>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</si>
  <si>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72.9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</si>
  <si>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</si>
  <si>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</si>
  <si>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</si>
  <si>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</si>
  <si>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</si>
  <si>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</si>
  <si>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</si>
  <si>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</si>
  <si>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</si>
  <si>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</si>
  <si>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</si>
  <si>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</si>
  <si>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</si>
  <si>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</si>
  <si>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</si>
  <si>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</si>
  <si>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</si>
  <si>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</si>
  <si>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</si>
  <si>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</si>
  <si>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</si>
  <si>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</si>
  <si>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</si>
  <si>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117.89</t>
  </si>
  <si>
    <t>2023.09.16</t>
  </si>
  <si>
    <t>2023.09.27</t>
  </si>
  <si>
    <t>2023.12.28</t>
  </si>
  <si>
    <t>2024.03.26</t>
  </si>
  <si>
    <t>2024.06.28</t>
  </si>
  <si>
    <t>2024.12.30</t>
  </si>
  <si>
    <t>2025.03.28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</si>
</sst>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C12" sqref="C12:D13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95147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60279.866249999999</v>
      </c>
      <c r="L2" s="51"/>
      <c r="M2" s="83" t="s">
        <v>6</v>
      </c>
      <c r="N2" s="77"/>
      <c r="O2" s="54">
        <f>BND!H3*BND!D3</f>
        <v>980.88736050000034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68230.333079999997</v>
      </c>
      <c r="L3" s="40"/>
      <c r="M3" s="80" t="s">
        <v>9</v>
      </c>
      <c r="N3" s="81"/>
      <c r="O3" s="39">
        <f>VT!H3*VT!D3</f>
        <v>3604.5303693000001</v>
      </c>
      <c r="P3" s="40"/>
    </row>
    <row r="4" spans="1:26" ht="15.75" customHeight="1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96373.758749999994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v>16300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>
      <c r="A7" s="47" t="s">
        <v>15</v>
      </c>
      <c r="B7" s="46"/>
      <c r="C7" s="41">
        <f>投資!G2 * 0.02</f>
        <v>0.66254000000000002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17</v>
      </c>
      <c r="B10" s="49"/>
      <c r="C10" s="70">
        <f>SUM(C2:D9)</f>
        <v>215747.66253999999</v>
      </c>
      <c r="D10" s="66"/>
      <c r="E10" s="48" t="s">
        <v>17</v>
      </c>
      <c r="F10" s="49"/>
      <c r="G10" s="70">
        <f>SUM(G2:H9)*投資!G2</f>
        <v>0</v>
      </c>
      <c r="H10" s="66"/>
      <c r="I10" s="48" t="s">
        <v>17</v>
      </c>
      <c r="J10" s="49"/>
      <c r="K10" s="70">
        <f>SUM(K2:L9)</f>
        <v>241183.95808000001</v>
      </c>
      <c r="L10" s="66"/>
      <c r="M10" s="48" t="s">
        <v>17</v>
      </c>
      <c r="N10" s="49"/>
      <c r="O10" s="70">
        <f>SUM(O2:P9)*投資!G2</f>
        <v>151901.13313508462</v>
      </c>
      <c r="P10" s="66"/>
      <c r="Q10" s="1"/>
      <c r="R10" s="1"/>
      <c r="S10" s="1"/>
      <c r="T10" s="1"/>
    </row>
    <row r="11" spans="1:26" ht="31.5" customHeight="1" thickBot="1">
      <c r="A11" s="65" t="s">
        <v>18</v>
      </c>
      <c r="B11" s="66"/>
      <c r="C11" s="93" t="s">
        <v>19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608832.75375508459</v>
      </c>
      <c r="B12" s="44"/>
      <c r="C12" s="60">
        <v>5387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20</v>
      </c>
      <c r="B14" s="44"/>
      <c r="C14" s="93" t="s">
        <v>21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603445.75375508459</v>
      </c>
      <c r="B16" s="44"/>
      <c r="C16" s="69">
        <f>C12/A12</f>
        <v>8.848078502305793E-3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22</v>
      </c>
      <c r="B1" s="95"/>
      <c r="C1" s="46"/>
      <c r="D1" s="3"/>
      <c r="E1" s="29" t="s">
        <v>23</v>
      </c>
      <c r="F1" s="29" t="s">
        <v>24</v>
      </c>
      <c r="G1" s="4" t="s">
        <v>25</v>
      </c>
    </row>
    <row r="2" spans="1:10" ht="21.75" customHeight="1">
      <c r="A2" s="5" t="s">
        <v>26</v>
      </c>
      <c r="B2" s="5" t="s">
        <v>27</v>
      </c>
      <c r="C2" s="5" t="s">
        <v>28</v>
      </c>
      <c r="D2" s="6"/>
      <c r="E2" s="7">
        <v>304</v>
      </c>
      <c r="F2" s="7">
        <v>0</v>
      </c>
      <c r="G2" s="30">
        <v>33.127000000000002</v>
      </c>
    </row>
    <row r="3" spans="1:10" ht="17.25" customHeight="1">
      <c r="A3" s="96">
        <f>('006208.TW'!E3+'00692.TW'!E3+'2890.TW'!E3)-('006208.TW'!F3+'00692.TW'!F3+'2890.TW'!F3)-E2+7345</f>
        <v>185881</v>
      </c>
      <c r="B3" s="96">
        <f>總資產!K10</f>
        <v>241183.95808000001</v>
      </c>
      <c r="C3" s="8">
        <f>C4/A3</f>
        <v>0.29751807920120943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55302.958080000011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29</v>
      </c>
      <c r="B8" s="95"/>
      <c r="C8" s="46"/>
      <c r="D8" s="6"/>
      <c r="E8" s="94" t="s">
        <v>30</v>
      </c>
      <c r="F8" s="95"/>
      <c r="G8" s="46"/>
    </row>
    <row r="9" spans="1:10" ht="15" customHeight="1">
      <c r="A9" s="5" t="s">
        <v>26</v>
      </c>
      <c r="B9" s="5" t="s">
        <v>27</v>
      </c>
      <c r="C9" s="5" t="s">
        <v>28</v>
      </c>
      <c r="D9" s="6"/>
      <c r="E9" s="5" t="s">
        <v>26</v>
      </c>
      <c r="F9" s="5" t="s">
        <v>27</v>
      </c>
      <c r="G9" s="5" t="s">
        <v>28</v>
      </c>
    </row>
    <row r="10" spans="1:10" ht="18" customHeight="1">
      <c r="A10" s="96">
        <f>(BND!E3+VT!E3)-(BND!F3+VT!F3)</f>
        <v>133344</v>
      </c>
      <c r="B10" s="96">
        <f>總資產!O10</f>
        <v>151901.13313508462</v>
      </c>
      <c r="C10" s="8">
        <f>C11/A10</f>
        <v>0.13916736512392469</v>
      </c>
      <c r="D10" s="6"/>
      <c r="E10" s="96">
        <f>A3+A10</f>
        <v>319225</v>
      </c>
      <c r="F10" s="96">
        <f>B3+B10</f>
        <v>393085.09121508466</v>
      </c>
      <c r="G10" s="8">
        <f>G11/E10</f>
        <v>0.23137314187511834</v>
      </c>
    </row>
    <row r="11" spans="1:10" ht="18" customHeight="1">
      <c r="A11" s="97"/>
      <c r="B11" s="97"/>
      <c r="C11" s="31">
        <f>B10-A10</f>
        <v>18557.133135084616</v>
      </c>
      <c r="D11" s="6"/>
      <c r="E11" s="97"/>
      <c r="F11" s="97"/>
      <c r="G11" s="33">
        <f>F10-E10</f>
        <v>73860.091215084656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5" priority="8" operator="lessThan">
      <formula>0</formula>
    </cfRule>
    <cfRule type="cellIs" dxfId="14" priority="9" operator="greaterThanOrEqual">
      <formula>0</formula>
    </cfRule>
  </conditionalFormatting>
  <conditionalFormatting sqref="C10:C11">
    <cfRule type="cellIs" dxfId="13" priority="10" operator="lessThan">
      <formula>0</formula>
    </cfRule>
    <cfRule type="cellIs" dxfId="12" priority="11" operator="greaterThanOrEqual">
      <formula>0</formula>
    </cfRule>
  </conditionalFormatting>
  <conditionalFormatting sqref="G10:G11">
    <cfRule type="cellIs" dxfId="11" priority="12" operator="lessThan">
      <formula>0</formula>
    </cfRule>
    <cfRule type="cellIs" dxfId="10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E38" sqref="E38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32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89.349565217391302</v>
      </c>
      <c r="B3" s="103">
        <f>E3/D3</f>
        <v>90.749565217391307</v>
      </c>
      <c r="C3" s="115" t="s">
        <v>38</v>
      </c>
      <c r="D3" s="110">
        <f>SUM(D7:D505)</f>
        <v>575</v>
      </c>
      <c r="E3" s="113">
        <f>SUM(E7:E505)</f>
        <v>52181</v>
      </c>
      <c r="F3" s="113">
        <f>SUM(F6:G505)</f>
        <v>805</v>
      </c>
      <c r="G3" s="8">
        <f>G4/E3</f>
        <v>0.1741103083497825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9085.25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47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48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49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53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54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55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56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57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63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65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66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67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68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69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70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71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72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73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74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74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 t="s">
        <v>75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Normal="100" workbookViewId="0">
      <selection activeCell="E34" sqref="E34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76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31.810134310134309</v>
      </c>
      <c r="B3" s="103">
        <f>E3/D3</f>
        <v>33.486568986568983</v>
      </c>
      <c r="C3" s="115" t="s">
        <v>77</v>
      </c>
      <c r="D3" s="110">
        <f>SUM(D7:D505)</f>
        <v>1638</v>
      </c>
      <c r="E3" s="113">
        <f>SUM(E7:E505)</f>
        <v>54851</v>
      </c>
      <c r="F3" s="113">
        <f>SUM(F6:G505)</f>
        <v>2746</v>
      </c>
      <c r="G3" s="8">
        <f>G4/E3</f>
        <v>0.29772729758801114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16330.64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78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79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80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58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59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60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71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72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74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75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Normal="100" workbookViewId="0">
      <selection activeCell="E36" sqref="E36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81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17.424046242774565</v>
      </c>
      <c r="B3" s="103">
        <f>E3/D3</f>
        <v>18.367398843930637</v>
      </c>
      <c r="C3" s="116" t="s">
        <v>82</v>
      </c>
      <c r="D3" s="110">
        <f>SUM(D7:D505)</f>
        <v>4325</v>
      </c>
      <c r="E3" s="113">
        <f>SUM(E7:E505)</f>
        <v>79439</v>
      </c>
      <c r="F3" s="113">
        <f>SUM(F6:G505)</f>
        <v>4080</v>
      </c>
      <c r="G3" s="8">
        <f>G4/E3</f>
        <v>0.26819005778018351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21304.75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49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78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83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84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85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53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86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56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63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67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87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68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88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89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69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70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73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74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75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opLeftCell="A33" zoomScaleNormal="100" workbookViewId="0">
      <selection activeCell="M45" sqref="M45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6</v>
      </c>
      <c r="G1" s="46"/>
      <c r="H1" s="111" t="s">
        <v>90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91</v>
      </c>
      <c r="J2" s="28" t="s">
        <v>26</v>
      </c>
    </row>
    <row r="3" spans="1:10" ht="18.75" customHeight="1">
      <c r="A3" s="100">
        <f>(E3-F3)/D3</f>
        <v>2241.579398963006</v>
      </c>
      <c r="B3" s="103">
        <f>E3/D3</f>
        <v>2304.2315468800452</v>
      </c>
      <c r="C3" s="116">
        <f>H3*I3</f>
        <v>2414.9583000000002</v>
      </c>
      <c r="D3" s="110">
        <f>SUM(D7:D505)</f>
        <v>13.455245000000003</v>
      </c>
      <c r="E3" s="113">
        <f>SUM(E7:E505)</f>
        <v>31004</v>
      </c>
      <c r="F3" s="113">
        <f>SUM(F6:G505)</f>
        <v>843</v>
      </c>
      <c r="G3" s="8">
        <f>G4/E3</f>
        <v>7.5243697306267288E-2</v>
      </c>
      <c r="H3" s="105" t="s">
        <v>92</v>
      </c>
      <c r="I3" s="109">
        <f>投資!G2</f>
        <v>33.127000000000002</v>
      </c>
      <c r="J3" s="106">
        <f>SUM(J7:J505)</f>
        <v>965.88000000000011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2332.8555912835109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93</v>
      </c>
      <c r="J5" s="101" t="s">
        <v>94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95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96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97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97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83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98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53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99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55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100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56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101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102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59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103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60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104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61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105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62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106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63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107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64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108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67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109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68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110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69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111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70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>
      <c r="A42" s="18">
        <v>37</v>
      </c>
      <c r="B42" s="26" t="s">
        <v>112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>
      <c r="A43" s="18">
        <v>38</v>
      </c>
      <c r="B43" s="26" t="s">
        <v>113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>
      <c r="A44" s="18">
        <v>39</v>
      </c>
      <c r="B44" s="26" t="s">
        <v>73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>
      <c r="A45" s="18">
        <v>40</v>
      </c>
      <c r="B45" s="26" t="s">
        <v>74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>
      <c r="A46" s="18">
        <v>41</v>
      </c>
      <c r="B46" s="26" t="s">
        <v>114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>
      <c r="A47" s="18">
        <v>42</v>
      </c>
      <c r="B47" s="26" t="s">
        <v>75</v>
      </c>
      <c r="C47" s="38">
        <f t="shared" si="0"/>
        <v>2406.5254399999999</v>
      </c>
      <c r="D47" s="27">
        <v>0.41561999999999999</v>
      </c>
      <c r="E47" s="27">
        <v>1000</v>
      </c>
      <c r="F47" s="98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>
      <c r="A48" s="18">
        <v>43</v>
      </c>
      <c r="B48" s="26" t="s">
        <v>115</v>
      </c>
      <c r="C48" s="38">
        <f t="shared" si="0"/>
        <v>0</v>
      </c>
      <c r="D48" s="27"/>
      <c r="E48" s="27"/>
      <c r="F48" s="98">
        <v>66</v>
      </c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abSelected="1" zoomScaleNormal="100" workbookViewId="0">
      <selection activeCell="F35" sqref="F35:G35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9</v>
      </c>
      <c r="G1" s="46"/>
      <c r="H1" s="111" t="s">
        <v>90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91</v>
      </c>
      <c r="J2" s="28" t="s">
        <v>26</v>
      </c>
    </row>
    <row r="3" spans="1:10" ht="18.75" customHeight="1">
      <c r="A3" s="100">
        <f>(E3-F3)/D3</f>
        <v>3374.7097745669143</v>
      </c>
      <c r="B3" s="103">
        <f>E3/D3</f>
        <v>3434.4637530142727</v>
      </c>
      <c r="C3" s="115">
        <f>H3*I3</f>
        <v>3905.3420300000002</v>
      </c>
      <c r="D3" s="110">
        <f>SUM(D7:D505)</f>
        <v>30.575369999999999</v>
      </c>
      <c r="E3" s="113">
        <f>SUM(E7:E505)</f>
        <v>105010</v>
      </c>
      <c r="F3" s="113">
        <f>SUM(F6:G505)</f>
        <v>1827</v>
      </c>
      <c r="G3" s="8">
        <f>G4/E3</f>
        <v>0.15450221449196364</v>
      </c>
      <c r="H3" s="105" t="s">
        <v>116</v>
      </c>
      <c r="I3" s="118">
        <f>投資!G2</f>
        <v>33.127000000000002</v>
      </c>
      <c r="J3" s="106">
        <f>SUM(J7:J505)</f>
        <v>3256.9299999999994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16224.277543801101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93</v>
      </c>
      <c r="J5" s="101" t="s">
        <v>94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96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117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117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118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53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54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119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101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59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120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60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61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62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121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64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67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87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68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69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 t="s">
        <v>70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>
      <c r="A31" s="18">
        <v>26</v>
      </c>
      <c r="B31" s="26" t="s">
        <v>122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>
      <c r="A33" s="18">
        <v>28</v>
      </c>
      <c r="B33" s="26" t="s">
        <v>74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>
      <c r="A34" s="18">
        <v>29</v>
      </c>
      <c r="B34" s="26" t="s">
        <v>75</v>
      </c>
      <c r="C34" s="38">
        <f t="shared" si="0"/>
        <v>3929.3636799999999</v>
      </c>
      <c r="D34" s="27">
        <v>0.76346999999999998</v>
      </c>
      <c r="E34" s="27">
        <v>3000</v>
      </c>
      <c r="F34" s="98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>
      <c r="A35" s="18">
        <v>30</v>
      </c>
      <c r="B35" s="26" t="s">
        <v>123</v>
      </c>
      <c r="C35" s="38">
        <f t="shared" si="0"/>
        <v>0</v>
      </c>
      <c r="D35" s="27"/>
      <c r="E35" s="27"/>
      <c r="F35" s="98">
        <v>273</v>
      </c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總資產</vt:lpstr>
      <vt:lpstr>投資</vt:lpstr>
      <vt:lpstr>006208.TW</vt:lpstr>
      <vt:lpstr>00692.TW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2025-03-28T17:38:18Z</dcterms:modified>
  <dc:language>en-US</dc:language>
</cp:coreProperties>
</file>