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111" documentId="13_ncr:1_{735FC1BD-A765-4ACA-96A1-5B5551E3A8C9}" xr6:coauthVersionLast="47" xr6:coauthVersionMax="47" xr10:uidLastSave="{03A7FEE3-8D14-41C4-9C5E-66F65624549F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5" i="32"/>
  <c r="O4" i="32"/>
  <c r="O3" i="32"/>
  <c r="O2" i="32"/>
  <c r="G10" i="32"/>
  <c r="C10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K5" i="32" s="1"/>
  <c r="F3" i="18"/>
  <c r="E3" i="18"/>
  <c r="D3" i="18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<sst xmlns="http://schemas.openxmlformats.org/spreadsheetml/2006/main" count="250" uniqueCount="68">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</sst>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89056.998399999997</c:v>
                </c:pt>
                <c:pt idx="1">
                  <c:v>33974.892200000002</c:v>
                </c:pt>
                <c:pt idx="2">
                  <c:v>107945.73000000001</c:v>
                </c:pt>
                <c:pt idx="3">
                  <c:v>61470.842837389806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S8" sqref="S8"/>
    </sheetView>
  </sheetViews>
  <sheetFormatPr defaultRowHeight="16.5" x14ac:dyDescent="0.25"/>
  <sheetData>
    <row r="1" spans="1:26" ht="31.5" thickBot="1" x14ac:dyDescent="0.3">
      <c r="A1" s="146" t="s">
        <v>53</v>
      </c>
      <c r="B1" s="147"/>
      <c r="C1" s="147"/>
      <c r="D1" s="148"/>
      <c r="E1" s="149" t="s">
        <v>54</v>
      </c>
      <c r="F1" s="150"/>
      <c r="G1" s="150"/>
      <c r="H1" s="151"/>
      <c r="I1" s="126" t="s">
        <v>55</v>
      </c>
      <c r="J1" s="127"/>
      <c r="K1" s="127"/>
      <c r="L1" s="128"/>
      <c r="M1" s="129" t="s">
        <v>56</v>
      </c>
      <c r="N1" s="130"/>
      <c r="O1" s="130"/>
      <c r="P1" s="131"/>
      <c r="Q1" s="83" t="s">
        <v>60</v>
      </c>
      <c r="R1" s="84"/>
      <c r="S1" s="61" t="s">
        <v>61</v>
      </c>
      <c r="T1" s="62"/>
    </row>
    <row r="2" spans="1:26" x14ac:dyDescent="0.25">
      <c r="A2" s="152" t="s">
        <v>49</v>
      </c>
      <c r="B2" s="153"/>
      <c r="C2" s="154">
        <v>57937</v>
      </c>
      <c r="D2" s="155"/>
      <c r="E2" s="156" t="s">
        <v>57</v>
      </c>
      <c r="F2" s="157"/>
      <c r="G2" s="136">
        <v>281.52</v>
      </c>
      <c r="H2" s="137"/>
      <c r="I2" s="132" t="s">
        <v>15</v>
      </c>
      <c r="J2" s="133"/>
      <c r="K2" s="138">
        <f>('006208'!C3*'006208'!D3)</f>
        <v>11146.9</v>
      </c>
      <c r="L2" s="139"/>
      <c r="M2" s="142" t="s">
        <v>20</v>
      </c>
      <c r="N2" s="143"/>
      <c r="O2" s="94">
        <f>(BND!H3 * BND!D3)</f>
        <v>422.01970258</v>
      </c>
      <c r="P2" s="95"/>
      <c r="Q2" s="57">
        <f>SUM(C10,G10,K10,O10)</f>
        <v>292448.46343738982</v>
      </c>
      <c r="R2" s="58"/>
      <c r="S2" s="63">
        <v>8591</v>
      </c>
      <c r="T2" s="64"/>
    </row>
    <row r="3" spans="1:26" ht="17.25" thickBot="1" x14ac:dyDescent="0.3">
      <c r="A3" s="116" t="s">
        <v>50</v>
      </c>
      <c r="B3" s="117"/>
      <c r="C3" s="106">
        <v>31089</v>
      </c>
      <c r="D3" s="107"/>
      <c r="E3" s="120" t="s">
        <v>57</v>
      </c>
      <c r="F3" s="121"/>
      <c r="G3" s="112">
        <v>100</v>
      </c>
      <c r="H3" s="113"/>
      <c r="I3" s="134" t="s">
        <v>16</v>
      </c>
      <c r="J3" s="135"/>
      <c r="K3" s="140">
        <f>('00692'!C3*'00692'!D3)</f>
        <v>34732.04</v>
      </c>
      <c r="L3" s="141"/>
      <c r="M3" s="144" t="s">
        <v>22</v>
      </c>
      <c r="N3" s="145"/>
      <c r="O3" s="96">
        <f>(VEA!D3*VEA!H3)</f>
        <v>117.22579924000001</v>
      </c>
      <c r="P3" s="97"/>
      <c r="Q3" s="59"/>
      <c r="R3" s="60"/>
      <c r="S3" s="65"/>
      <c r="T3" s="66"/>
    </row>
    <row r="4" spans="1:26" ht="16.149999999999999" customHeight="1" x14ac:dyDescent="0.25">
      <c r="A4" s="116" t="s">
        <v>51</v>
      </c>
      <c r="B4" s="117"/>
      <c r="C4" s="106">
        <v>0</v>
      </c>
      <c r="D4" s="107"/>
      <c r="E4" s="120" t="s">
        <v>57</v>
      </c>
      <c r="F4" s="121"/>
      <c r="G4" s="112">
        <v>100</v>
      </c>
      <c r="H4" s="113"/>
      <c r="I4" s="134" t="s">
        <v>17</v>
      </c>
      <c r="J4" s="135"/>
      <c r="K4" s="140">
        <f>('00878'!C3 * '00878'!D3)</f>
        <v>2180.04</v>
      </c>
      <c r="L4" s="141"/>
      <c r="M4" s="144" t="s">
        <v>19</v>
      </c>
      <c r="N4" s="145"/>
      <c r="O4" s="96">
        <f>(VT!D3*VT!H3)</f>
        <v>1275.6442742400002</v>
      </c>
      <c r="P4" s="97"/>
      <c r="Q4" s="67" t="s">
        <v>62</v>
      </c>
      <c r="R4" s="68"/>
      <c r="S4" s="71" t="s">
        <v>63</v>
      </c>
      <c r="T4" s="72"/>
    </row>
    <row r="5" spans="1:26" ht="16.899999999999999" customHeight="1" thickBot="1" x14ac:dyDescent="0.3">
      <c r="A5" s="116" t="s">
        <v>52</v>
      </c>
      <c r="B5" s="117"/>
      <c r="C5" s="106">
        <v>0</v>
      </c>
      <c r="D5" s="107"/>
      <c r="E5" s="120" t="s">
        <v>57</v>
      </c>
      <c r="F5" s="121"/>
      <c r="G5" s="112">
        <v>100</v>
      </c>
      <c r="H5" s="113"/>
      <c r="I5" s="134" t="s">
        <v>58</v>
      </c>
      <c r="J5" s="135"/>
      <c r="K5" s="140">
        <f>(永豐金!C3 * 永豐金!D3)</f>
        <v>59886.750000000007</v>
      </c>
      <c r="L5" s="141"/>
      <c r="M5" s="144" t="s">
        <v>21</v>
      </c>
      <c r="N5" s="145"/>
      <c r="O5" s="96">
        <f>(VTI!D3*VTI!H3)</f>
        <v>88.821677559999998</v>
      </c>
      <c r="P5" s="97"/>
      <c r="Q5" s="69"/>
      <c r="R5" s="70"/>
      <c r="S5" s="73"/>
      <c r="T5" s="74"/>
    </row>
    <row r="6" spans="1:26" x14ac:dyDescent="0.25">
      <c r="A6" s="116" t="s">
        <v>64</v>
      </c>
      <c r="B6" s="117"/>
      <c r="C6" s="106">
        <f xml:space="preserve"> 投資!G2 * 0.96</f>
        <v>30.998399999999997</v>
      </c>
      <c r="D6" s="107"/>
      <c r="E6" s="120" t="s">
        <v>57</v>
      </c>
      <c r="F6" s="121"/>
      <c r="G6" s="112">
        <v>100</v>
      </c>
      <c r="H6" s="113"/>
      <c r="I6" s="108"/>
      <c r="J6" s="109"/>
      <c r="K6" s="102"/>
      <c r="L6" s="103"/>
      <c r="M6" s="90"/>
      <c r="N6" s="91"/>
      <c r="O6" s="98"/>
      <c r="P6" s="99"/>
      <c r="Q6" s="75">
        <f>Q2-S2</f>
        <v>283857.46343738982</v>
      </c>
      <c r="R6" s="76"/>
      <c r="S6" s="79">
        <f>S2/Q2</f>
        <v>2.9376116048013514E-2</v>
      </c>
      <c r="T6" s="80"/>
    </row>
    <row r="7" spans="1:26" ht="17.25" thickBot="1" x14ac:dyDescent="0.3">
      <c r="A7" s="116"/>
      <c r="B7" s="117"/>
      <c r="C7" s="106"/>
      <c r="D7" s="107"/>
      <c r="E7" s="120" t="s">
        <v>57</v>
      </c>
      <c r="F7" s="121"/>
      <c r="G7" s="112">
        <v>100</v>
      </c>
      <c r="H7" s="113"/>
      <c r="I7" s="108"/>
      <c r="J7" s="109"/>
      <c r="K7" s="102"/>
      <c r="L7" s="103"/>
      <c r="M7" s="90"/>
      <c r="N7" s="91"/>
      <c r="O7" s="98"/>
      <c r="P7" s="99"/>
      <c r="Q7" s="77"/>
      <c r="R7" s="78"/>
      <c r="S7" s="81"/>
      <c r="T7" s="82"/>
    </row>
    <row r="8" spans="1:26" x14ac:dyDescent="0.25">
      <c r="A8" s="116"/>
      <c r="B8" s="117"/>
      <c r="C8" s="106"/>
      <c r="D8" s="107"/>
      <c r="E8" s="120" t="s">
        <v>57</v>
      </c>
      <c r="F8" s="121"/>
      <c r="G8" s="112">
        <v>100</v>
      </c>
      <c r="H8" s="113"/>
      <c r="I8" s="108"/>
      <c r="J8" s="109"/>
      <c r="K8" s="102"/>
      <c r="L8" s="103"/>
      <c r="M8" s="90"/>
      <c r="N8" s="91"/>
      <c r="O8" s="98"/>
      <c r="P8" s="99"/>
      <c r="Q8" s="56"/>
      <c r="R8" s="56"/>
      <c r="S8" s="56"/>
      <c r="T8" s="56"/>
    </row>
    <row r="9" spans="1:26" ht="17.25" thickBot="1" x14ac:dyDescent="0.3">
      <c r="A9" s="118"/>
      <c r="B9" s="119"/>
      <c r="C9" s="124"/>
      <c r="D9" s="125"/>
      <c r="E9" s="122" t="s">
        <v>57</v>
      </c>
      <c r="F9" s="123"/>
      <c r="G9" s="114">
        <v>170.66</v>
      </c>
      <c r="H9" s="115"/>
      <c r="I9" s="110"/>
      <c r="J9" s="111"/>
      <c r="K9" s="104"/>
      <c r="L9" s="105"/>
      <c r="M9" s="92"/>
      <c r="N9" s="93"/>
      <c r="O9" s="100"/>
      <c r="P9" s="101"/>
      <c r="Q9" s="56"/>
      <c r="R9" s="56"/>
      <c r="S9" s="56"/>
      <c r="T9" s="56"/>
    </row>
    <row r="10" spans="1:26" ht="17.25" thickBot="1" x14ac:dyDescent="0.3">
      <c r="A10" s="85" t="s">
        <v>59</v>
      </c>
      <c r="B10" s="86"/>
      <c r="C10" s="87">
        <f>SUM(C2:D9)</f>
        <v>89056.998399999997</v>
      </c>
      <c r="D10" s="88"/>
      <c r="E10" s="85" t="s">
        <v>59</v>
      </c>
      <c r="F10" s="86"/>
      <c r="G10" s="87">
        <f>SUM(G2:H9) * 投資!G2</f>
        <v>33974.892200000002</v>
      </c>
      <c r="H10" s="89"/>
      <c r="I10" s="85" t="s">
        <v>59</v>
      </c>
      <c r="J10" s="86"/>
      <c r="K10" s="87">
        <f>SUM(K2:L9)</f>
        <v>107945.73000000001</v>
      </c>
      <c r="L10" s="88"/>
      <c r="M10" s="85" t="s">
        <v>59</v>
      </c>
      <c r="N10" s="86"/>
      <c r="O10" s="87">
        <f>SUM(O2:P9) * 投資!G2</f>
        <v>61470.842837389806</v>
      </c>
      <c r="P10" s="88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70">
        <f>(E3-F3)/D3</f>
        <v>6958.3036143682593</v>
      </c>
      <c r="B3" s="172">
        <f>E3/D3</f>
        <v>6969.9201479481726</v>
      </c>
      <c r="C3" s="174">
        <f>H3*I3</f>
        <v>6663.3644000000004</v>
      </c>
      <c r="D3" s="176">
        <f>SUM(D7:D505)</f>
        <v>0.43042099999999994</v>
      </c>
      <c r="E3" s="178">
        <f>SUM(E7:E505)</f>
        <v>3000</v>
      </c>
      <c r="F3" s="178">
        <f>SUM(F7:G505)</f>
        <v>5</v>
      </c>
      <c r="G3" s="1">
        <f>(C3*D3+F3-E3)/E3</f>
        <v>-4.2316010529200108E-2</v>
      </c>
      <c r="H3" s="189">
        <v>206.36</v>
      </c>
      <c r="I3" s="189">
        <f>投資!G2</f>
        <v>32.29</v>
      </c>
      <c r="J3" s="191"/>
    </row>
    <row r="4" spans="1:10" ht="18.75" x14ac:dyDescent="0.25">
      <c r="A4" s="171"/>
      <c r="B4" s="173"/>
      <c r="C4" s="175"/>
      <c r="D4" s="177"/>
      <c r="E4" s="179"/>
      <c r="F4" s="179"/>
      <c r="G4" s="14">
        <f>C3*D3+F3-E3</f>
        <v>-126.94803158760033</v>
      </c>
      <c r="H4" s="189"/>
      <c r="I4" s="189"/>
      <c r="J4" s="191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2"/>
      <c r="G11" s="193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H22" sqref="H22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32.29</v>
      </c>
    </row>
    <row r="3" spans="1:9" ht="17.25" customHeight="1" x14ac:dyDescent="0.3">
      <c r="A3" s="160">
        <f>SUM('006208'!E3:E4,'00692'!E3:E4,'00878'!E3:E4,永豐金!E3,E2,F2)</f>
        <v>109694</v>
      </c>
      <c r="B3" s="160">
        <f>SUM('006208'!E3:E4,'006208'!G4,'00692'!E3:E4,'00692'!G4,'00878'!E3:E4,'00878'!G4,永豐金!E3,永豐金!G4)</f>
        <v>109158.73000000003</v>
      </c>
      <c r="C3" s="1">
        <f>(B3-A3)/A3</f>
        <v>-4.8796652506060039E-3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-535.26999999997497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61646.842837389806</v>
      </c>
      <c r="C10" s="1">
        <f>(B10-A10)/A10</f>
        <v>-5.1659982503041213E-2</v>
      </c>
      <c r="D10" s="28"/>
      <c r="E10" s="159">
        <f>SUM(A3,A10)</f>
        <v>174699</v>
      </c>
      <c r="F10" s="159">
        <f>SUM(B3,B10)</f>
        <v>170805.57283738983</v>
      </c>
      <c r="G10" s="1">
        <f>(F10-E10)/E10</f>
        <v>-2.2286487974230929E-2</v>
      </c>
    </row>
    <row r="11" spans="1:9" ht="18" customHeight="1" x14ac:dyDescent="0.3">
      <c r="A11" s="160"/>
      <c r="B11" s="160"/>
      <c r="C11" s="14">
        <f>B10-A10</f>
        <v>-3358.1571626101941</v>
      </c>
      <c r="D11" s="28"/>
      <c r="E11" s="159"/>
      <c r="F11" s="159"/>
      <c r="G11" s="36">
        <f>F10-E10</f>
        <v>-3893.427162610169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72.924050632911388</v>
      </c>
      <c r="B3" s="172">
        <f>E3/D3</f>
        <v>72.924050632911388</v>
      </c>
      <c r="C3" s="174">
        <v>70.55</v>
      </c>
      <c r="D3" s="176">
        <f>SUM(D6:D505)</f>
        <v>158</v>
      </c>
      <c r="E3" s="178">
        <f>SUM(E6:E505)</f>
        <v>11522</v>
      </c>
      <c r="F3" s="178">
        <f>SUM(F6:F505)</f>
        <v>0</v>
      </c>
      <c r="G3" s="1">
        <f>(C3-A3)/B3</f>
        <v>-3.2555111959729204E-2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-375.0999999999998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 t="s">
        <v>67</v>
      </c>
      <c r="C13" s="15">
        <v>70.75</v>
      </c>
      <c r="D13" s="13">
        <v>30</v>
      </c>
      <c r="E13" s="19">
        <v>2125</v>
      </c>
      <c r="F13" s="166"/>
      <c r="G13" s="166"/>
    </row>
    <row r="14" spans="1:10" x14ac:dyDescent="0.3">
      <c r="A14" s="7">
        <v>9</v>
      </c>
      <c r="B14" s="8"/>
      <c r="C14" s="15"/>
      <c r="D14" s="13"/>
      <c r="E14" s="9"/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31.219106047326907</v>
      </c>
      <c r="B3" s="172">
        <f>E3/D3</f>
        <v>31.219106047326907</v>
      </c>
      <c r="C3" s="174">
        <v>30.44</v>
      </c>
      <c r="D3" s="176">
        <f>SUM(D6:D505)</f>
        <v>1141</v>
      </c>
      <c r="E3" s="178">
        <f>SUM(E6:E505)</f>
        <v>35621</v>
      </c>
      <c r="F3" s="178">
        <f>SUM(F6:F505)</f>
        <v>0</v>
      </c>
      <c r="G3" s="1">
        <f>(C3-A3)/B3</f>
        <v>-2.4956065242413162E-2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-888.95999999999924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 t="s">
        <v>65</v>
      </c>
      <c r="C11" s="15">
        <v>30.79</v>
      </c>
      <c r="D11" s="18">
        <v>50</v>
      </c>
      <c r="E11" s="18">
        <v>1541</v>
      </c>
      <c r="F11" s="166"/>
      <c r="G11" s="166"/>
    </row>
    <row r="12" spans="1:10" x14ac:dyDescent="0.3">
      <c r="A12" s="7">
        <v>7</v>
      </c>
      <c r="B12" s="8"/>
      <c r="C12" s="15"/>
      <c r="D12" s="18"/>
      <c r="E12" s="18"/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21.036036036036037</v>
      </c>
      <c r="B3" s="172">
        <f>E3/D3</f>
        <v>21.153153153153152</v>
      </c>
      <c r="C3" s="174">
        <v>19.64</v>
      </c>
      <c r="D3" s="176">
        <f>SUM(D6:D505)</f>
        <v>111</v>
      </c>
      <c r="E3" s="178">
        <f>SUM(E6:E505)</f>
        <v>2348</v>
      </c>
      <c r="F3" s="178">
        <f>SUM(F6:F505)</f>
        <v>13</v>
      </c>
      <c r="G3" s="1">
        <f>(C3-A3)/B3</f>
        <v>-6.5996592844974486E-2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-154.95999999999981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9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17.586587183308495</v>
      </c>
      <c r="B3" s="172">
        <f>E3/D3</f>
        <v>17.944262295081966</v>
      </c>
      <c r="C3" s="174">
        <v>17.850000000000001</v>
      </c>
      <c r="D3" s="176">
        <f>SUM(D6:D505)</f>
        <v>3355</v>
      </c>
      <c r="E3" s="178">
        <f>SUM(E6:E505)</f>
        <v>60203</v>
      </c>
      <c r="F3" s="178">
        <f>SUM(F6:F505)</f>
        <v>1200</v>
      </c>
      <c r="G3" s="1">
        <f>(C3-A3)/B3</f>
        <v>1.4679501021543832E-2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883.75000000000841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 t="s">
        <v>66</v>
      </c>
      <c r="C15" s="15">
        <v>18.100000000000001</v>
      </c>
      <c r="D15" s="18">
        <v>100</v>
      </c>
      <c r="E15" s="18">
        <v>1812</v>
      </c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2259.5916592762223</v>
      </c>
      <c r="B3" s="172">
        <f>E3/D3</f>
        <v>2264.6057853633779</v>
      </c>
      <c r="C3" s="188">
        <f>H3*I3</f>
        <v>2204.1154000000001</v>
      </c>
      <c r="D3" s="176">
        <f>SUM(D7:D505)</f>
        <v>6.1825329999999994</v>
      </c>
      <c r="E3" s="178">
        <f>SUM(E7:E505)</f>
        <v>14001</v>
      </c>
      <c r="F3" s="178">
        <f>SUM(F7:G505)</f>
        <v>31</v>
      </c>
      <c r="G3" s="1">
        <f>(C3*D3+F3-E3)/E3</f>
        <v>-2.4497093328462314E-2</v>
      </c>
      <c r="H3" s="189">
        <v>68.260000000000005</v>
      </c>
      <c r="I3" s="190">
        <f>投資!G2</f>
        <v>32.29</v>
      </c>
      <c r="J3" s="191"/>
    </row>
    <row r="4" spans="1:10" ht="18.75" x14ac:dyDescent="0.3">
      <c r="A4" s="171"/>
      <c r="B4" s="173"/>
      <c r="C4" s="188"/>
      <c r="D4" s="177"/>
      <c r="E4" s="179"/>
      <c r="F4" s="179"/>
      <c r="G4" s="14">
        <f>C3*D3+F3-E3</f>
        <v>-342.98380369180086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1428.7957180576693</v>
      </c>
      <c r="B3" s="172">
        <f>E3/D3</f>
        <v>1433.8140672931956</v>
      </c>
      <c r="C3" s="174">
        <f>H3*I3</f>
        <v>1356.8258000000001</v>
      </c>
      <c r="D3" s="176">
        <f>SUM(D7:D505)</f>
        <v>2.7897620000000001</v>
      </c>
      <c r="E3" s="178">
        <f>SUM(E7:E505)</f>
        <v>4000</v>
      </c>
      <c r="F3" s="178">
        <f>SUM(F7:G505)</f>
        <v>14</v>
      </c>
      <c r="G3" s="1">
        <f>(C3*D3+F3-E3)/E3</f>
        <v>-5.0194735635099963E-2</v>
      </c>
      <c r="H3" s="189">
        <v>42.02</v>
      </c>
      <c r="I3" s="190">
        <f>投資!G2</f>
        <v>32.29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-200.77894254039984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0"/>
      <c r="G12" s="181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3099.8338955865052</v>
      </c>
      <c r="B3" s="172">
        <f>E3/D3</f>
        <v>3108.7353740231683</v>
      </c>
      <c r="C3" s="174">
        <f>H3*I3</f>
        <v>2909.9748</v>
      </c>
      <c r="D3" s="176">
        <f>SUM(D7:D505)</f>
        <v>14.154952000000002</v>
      </c>
      <c r="E3" s="178">
        <f>SUM(E7:E505)</f>
        <v>44004</v>
      </c>
      <c r="F3" s="178">
        <f>SUM(F7:G505)</f>
        <v>126</v>
      </c>
      <c r="G3" s="1">
        <f>(C3*D3+F3-E3)/E3</f>
        <v>-6.1072774856612971E-2</v>
      </c>
      <c r="H3" s="189">
        <v>90.12</v>
      </c>
      <c r="I3" s="190">
        <f>投資!G2</f>
        <v>32.29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-2687.4463847903971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2023-10-26T06:10:46Z</dcterms:modified>
</cp:coreProperties>
</file>