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8140346-7AD2-4743-8C4B-1B85720EC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<sst xmlns="http://schemas.openxmlformats.org/spreadsheetml/2006/main" count="273" uniqueCount="80">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</sst>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87788</c:v>
                </c:pt>
                <c:pt idx="1">
                  <c:v>42208.298699999992</c:v>
                </c:pt>
                <c:pt idx="2">
                  <c:v>131579.07</c:v>
                </c:pt>
                <c:pt idx="3">
                  <c:v>74359.522275754513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335934.89097575448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S8" sqref="S8"/>
    </sheetView>
  </sheetViews>
  <sheetFormatPr defaultRowHeight="16.2" x14ac:dyDescent="0.3"/>
  <sheetData>
    <row r="1" spans="1:26" ht="31.2" thickBot="1" x14ac:dyDescent="0.35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3">
      <c r="A2" s="73" t="s">
        <v>48</v>
      </c>
      <c r="B2" s="74"/>
      <c r="C2" s="75">
        <v>51572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16600.2</v>
      </c>
      <c r="L2" s="82"/>
      <c r="M2" s="89" t="s">
        <v>20</v>
      </c>
      <c r="N2" s="90"/>
      <c r="O2" s="140">
        <f>(BND!H3 * BND!D3)</f>
        <v>515.66989823999995</v>
      </c>
      <c r="P2" s="141"/>
      <c r="Q2" s="142">
        <f>SUM(C10,G10,K10,O10)</f>
        <v>335934.89097575448</v>
      </c>
      <c r="R2" s="143"/>
      <c r="S2" s="148">
        <v>7914</v>
      </c>
      <c r="T2" s="149"/>
    </row>
    <row r="3" spans="1:26" ht="16.8" thickBot="1" x14ac:dyDescent="0.35">
      <c r="A3" s="59" t="s">
        <v>49</v>
      </c>
      <c r="B3" s="60"/>
      <c r="C3" s="64">
        <v>31649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38516.07</v>
      </c>
      <c r="L3" s="84"/>
      <c r="M3" s="91" t="s">
        <v>22</v>
      </c>
      <c r="N3" s="92"/>
      <c r="O3" s="117">
        <f>(VEA!D3*VEA!H3)</f>
        <v>197.02608618000002</v>
      </c>
      <c r="P3" s="118"/>
      <c r="Q3" s="144"/>
      <c r="R3" s="145"/>
      <c r="S3" s="150"/>
      <c r="T3" s="151"/>
    </row>
    <row r="4" spans="1:26" ht="16.2" customHeight="1" x14ac:dyDescent="0.3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3333.8</v>
      </c>
      <c r="L4" s="84"/>
      <c r="M4" s="91" t="s">
        <v>19</v>
      </c>
      <c r="N4" s="92"/>
      <c r="O4" s="117">
        <f>(VT!D3*VT!H3)</f>
        <v>1502.3617474800003</v>
      </c>
      <c r="P4" s="118"/>
      <c r="Q4" s="152" t="s">
        <v>60</v>
      </c>
      <c r="R4" s="153"/>
      <c r="S4" s="156" t="s">
        <v>61</v>
      </c>
      <c r="T4" s="157"/>
    </row>
    <row r="5" spans="1:26" ht="16.95" customHeight="1" thickBot="1" x14ac:dyDescent="0.35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70440</v>
      </c>
      <c r="L5" s="84"/>
      <c r="M5" s="91" t="s">
        <v>21</v>
      </c>
      <c r="N5" s="92"/>
      <c r="O5" s="117">
        <f>(VTI!D3*VTI!H3)</f>
        <v>167.11501439999998</v>
      </c>
      <c r="P5" s="118"/>
      <c r="Q5" s="154"/>
      <c r="R5" s="155"/>
      <c r="S5" s="158"/>
      <c r="T5" s="159"/>
    </row>
    <row r="6" spans="1:26" x14ac:dyDescent="0.3">
      <c r="A6" s="59" t="s">
        <v>62</v>
      </c>
      <c r="B6" s="60"/>
      <c r="C6" s="64">
        <f xml:space="preserve"> 投資!G2 * 0</f>
        <v>0</v>
      </c>
      <c r="D6" s="65"/>
      <c r="E6" s="66"/>
      <c r="F6" s="67"/>
      <c r="G6" s="71"/>
      <c r="H6" s="72"/>
      <c r="I6" s="111" t="s">
        <v>78</v>
      </c>
      <c r="J6" s="112"/>
      <c r="K6" s="87">
        <v>2689</v>
      </c>
      <c r="L6" s="88"/>
      <c r="M6" s="85"/>
      <c r="N6" s="86"/>
      <c r="O6" s="119"/>
      <c r="P6" s="120"/>
      <c r="Q6" s="123">
        <f>Q2-S2</f>
        <v>328020.89097575448</v>
      </c>
      <c r="R6" s="124"/>
      <c r="S6" s="127">
        <f>S2/Q2</f>
        <v>2.355813645023011E-2</v>
      </c>
      <c r="T6" s="128"/>
    </row>
    <row r="7" spans="1:26" ht="16.8" thickBot="1" x14ac:dyDescent="0.35">
      <c r="A7" s="59" t="s">
        <v>67</v>
      </c>
      <c r="B7" s="60"/>
      <c r="C7" s="64">
        <v>1309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3">
      <c r="A8" s="59" t="s">
        <v>68</v>
      </c>
      <c r="B8" s="60"/>
      <c r="C8" s="64">
        <v>220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6.8" thickBot="1" x14ac:dyDescent="0.35">
      <c r="A9" s="103" t="s">
        <v>74</v>
      </c>
      <c r="B9" s="104"/>
      <c r="C9" s="107">
        <v>3038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6.8" thickBot="1" x14ac:dyDescent="0.35">
      <c r="A10" s="133" t="s">
        <v>57</v>
      </c>
      <c r="B10" s="134"/>
      <c r="C10" s="135">
        <f>SUM(C2:D9)</f>
        <v>87788</v>
      </c>
      <c r="D10" s="136"/>
      <c r="E10" s="133" t="s">
        <v>57</v>
      </c>
      <c r="F10" s="134"/>
      <c r="G10" s="135">
        <f>SUM(G2:H9) * 投資!G2</f>
        <v>42208.298699999992</v>
      </c>
      <c r="H10" s="137"/>
      <c r="I10" s="133" t="s">
        <v>57</v>
      </c>
      <c r="J10" s="134"/>
      <c r="K10" s="135">
        <f>SUM(K2:L9)</f>
        <v>131579.07</v>
      </c>
      <c r="L10" s="136"/>
      <c r="M10" s="133" t="s">
        <v>57</v>
      </c>
      <c r="N10" s="134"/>
      <c r="O10" s="135">
        <f>SUM(O2:P9) * 投資!G2</f>
        <v>74359.522275754513</v>
      </c>
      <c r="P10" s="136"/>
      <c r="Q10" s="55"/>
      <c r="R10" s="55"/>
      <c r="S10" s="55"/>
      <c r="T10" s="55"/>
    </row>
    <row r="11" spans="1:26" x14ac:dyDescent="0.3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3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3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3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3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3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3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3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3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3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3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3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3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8671875" defaultRowHeight="15.6" x14ac:dyDescent="0.3"/>
  <cols>
    <col min="1" max="2" width="15.109375" style="35" customWidth="1"/>
    <col min="3" max="3" width="15" style="34" customWidth="1"/>
    <col min="4" max="4" width="12.88671875" style="35" customWidth="1"/>
    <col min="5" max="6" width="15.109375" style="35" customWidth="1"/>
    <col min="7" max="7" width="15" style="35" customWidth="1"/>
    <col min="8" max="8" width="8.88671875" style="27"/>
    <col min="9" max="10" width="15.109375" style="27" customWidth="1"/>
    <col min="11" max="11" width="15" style="26" customWidth="1"/>
    <col min="12" max="16384" width="8.88671875" style="26"/>
  </cols>
  <sheetData>
    <row r="1" spans="1:9" ht="30.6" customHeight="1" x14ac:dyDescent="0.45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2" customHeight="1" x14ac:dyDescent="0.35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31.215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128890.07</v>
      </c>
      <c r="C3" s="1">
        <f>(B3-A3)/A3</f>
        <v>0.12325437702075005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14143.070000000007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3.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74592.522275754513</v>
      </c>
      <c r="C10" s="1">
        <f>(B10-A10)/A10</f>
        <v>2.501679596210785E-2</v>
      </c>
      <c r="D10" s="28"/>
      <c r="E10" s="161">
        <f>SUM(A3,A10)</f>
        <v>187519</v>
      </c>
      <c r="F10" s="161">
        <f>SUM(B3,B10)</f>
        <v>203482.59227575452</v>
      </c>
      <c r="G10" s="1">
        <f>(F10-E10)/E10</f>
        <v>8.5130532243423443E-2</v>
      </c>
    </row>
    <row r="11" spans="1:9" ht="18" customHeight="1" x14ac:dyDescent="0.3">
      <c r="A11" s="162"/>
      <c r="B11" s="162"/>
      <c r="C11" s="57">
        <f>B10-A10</f>
        <v>1820.5222757545125</v>
      </c>
      <c r="D11" s="28"/>
      <c r="E11" s="161"/>
      <c r="F11" s="161"/>
      <c r="G11" s="56">
        <f>F10-E10</f>
        <v>15963.59227575452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71.958904109589042</v>
      </c>
      <c r="B3" s="166">
        <f>E3/D3</f>
        <v>73.347031963470315</v>
      </c>
      <c r="C3" s="168">
        <v>75.8</v>
      </c>
      <c r="D3" s="170">
        <f>SUM(D6:D505)</f>
        <v>219</v>
      </c>
      <c r="E3" s="172">
        <f>SUM(E6:E505)</f>
        <v>16063</v>
      </c>
      <c r="F3" s="172">
        <f>SUM(F6:F505)</f>
        <v>304</v>
      </c>
      <c r="G3" s="1">
        <f>(C3-A3)/B3</f>
        <v>5.2368797858432369E-2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841.2000000000005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152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152</v>
      </c>
      <c r="G16" s="163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E3" sqref="E3:E4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29.188176519567026</v>
      </c>
      <c r="B3" s="166">
        <f>E3/D3</f>
        <v>31.243130724396337</v>
      </c>
      <c r="C3" s="168">
        <v>32.07</v>
      </c>
      <c r="D3" s="170">
        <f>SUM(D6:D505)</f>
        <v>1201</v>
      </c>
      <c r="E3" s="172">
        <f>SUM(E6:E505)</f>
        <v>37523</v>
      </c>
      <c r="F3" s="172">
        <f>SUM(F6:F505)</f>
        <v>2468</v>
      </c>
      <c r="G3" s="1">
        <f>(C3-A3)/B3</f>
        <v>9.2238626975455096E-2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3461.0699999999993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1234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1234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21" sqref="C21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21.1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3.7715321849501389E-2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124.80000000000013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20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0.14998421218819061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9499.9999999999982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64">
        <f>(E3-F3)/D3</f>
        <v>2251.464520156359</v>
      </c>
      <c r="B3" s="166">
        <f>E3/D3</f>
        <v>2263.9152760021302</v>
      </c>
      <c r="C3" s="182">
        <f>H3*I3</f>
        <v>2277.4463999999998</v>
      </c>
      <c r="D3" s="170">
        <f>SUM(D7:D505)</f>
        <v>7.067844</v>
      </c>
      <c r="E3" s="172">
        <f>SUM(E7:E505)</f>
        <v>16001</v>
      </c>
      <c r="F3" s="172">
        <f>SUM(F7:G505)</f>
        <v>88</v>
      </c>
      <c r="G3" s="1">
        <f>(C3*D3+F3-E3)/E3</f>
        <v>1.1476524814799044E-2</v>
      </c>
      <c r="H3" s="183">
        <v>72.959999999999994</v>
      </c>
      <c r="I3" s="184">
        <f>投資!G2</f>
        <v>31.215</v>
      </c>
      <c r="J3" s="185"/>
    </row>
    <row r="4" spans="1:10" ht="18" x14ac:dyDescent="0.3">
      <c r="A4" s="165"/>
      <c r="B4" s="167"/>
      <c r="C4" s="182"/>
      <c r="D4" s="171"/>
      <c r="E4" s="173"/>
      <c r="F4" s="173"/>
      <c r="G4" s="14">
        <f>C3*D3+F3-E3</f>
        <v>183.63587356159951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88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90">
        <v>29</v>
      </c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64">
        <f>(E3-F3)/D3</f>
        <v>1433.4116130286723</v>
      </c>
      <c r="B3" s="166">
        <f>E3/D3</f>
        <v>1436.7640625078573</v>
      </c>
      <c r="C3" s="168">
        <f>H3*I3</f>
        <v>1472.7237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2.7361546684783359E-2</v>
      </c>
      <c r="H3" s="183">
        <v>47.18</v>
      </c>
      <c r="I3" s="184">
        <f>投資!G2</f>
        <v>31.215</v>
      </c>
      <c r="J3" s="185"/>
    </row>
    <row r="4" spans="1:10" ht="18" x14ac:dyDescent="0.3">
      <c r="A4" s="165"/>
      <c r="B4" s="167"/>
      <c r="C4" s="169"/>
      <c r="D4" s="171"/>
      <c r="E4" s="173"/>
      <c r="F4" s="173"/>
      <c r="G4" s="14">
        <f>C3*D3+F3-E3</f>
        <v>164.16928010870015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64">
        <f>(E3-F3)/D3</f>
        <v>3099.2257542566217</v>
      </c>
      <c r="B3" s="166">
        <f>E3/D3</f>
        <v>3107.7375125075555</v>
      </c>
      <c r="C3" s="168">
        <f>H3*I3</f>
        <v>3168.01035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2.2133335092344327E-2</v>
      </c>
      <c r="H3" s="183">
        <v>101.49</v>
      </c>
      <c r="I3" s="184">
        <f>投資!G2</f>
        <v>31.215</v>
      </c>
      <c r="J3" s="185"/>
    </row>
    <row r="4" spans="1:10" ht="18" x14ac:dyDescent="0.3">
      <c r="A4" s="165"/>
      <c r="B4" s="167"/>
      <c r="C4" s="169"/>
      <c r="D4" s="171"/>
      <c r="E4" s="173"/>
      <c r="F4" s="173"/>
      <c r="G4" s="14">
        <f>C3*D3+F3-E3</f>
        <v>1018.2219475882084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52" customWidth="1"/>
    <col min="3" max="3" width="15" style="51" customWidth="1"/>
    <col min="4" max="4" width="12.88671875" style="52" customWidth="1"/>
    <col min="5" max="5" width="17" style="52" customWidth="1"/>
    <col min="6" max="6" width="12.77734375" style="52" customWidth="1"/>
    <col min="7" max="7" width="12.88671875" style="52" customWidth="1"/>
    <col min="8" max="16384" width="8.88671875" style="41"/>
  </cols>
  <sheetData>
    <row r="1" spans="1:10" ht="30.6" customHeight="1" x14ac:dyDescent="0.3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" x14ac:dyDescent="0.3">
      <c r="A3" s="164">
        <f>(E3-F3)/D3</f>
        <v>7001.3385942657715</v>
      </c>
      <c r="B3" s="166">
        <f>E3/D3</f>
        <v>7008.346941206978</v>
      </c>
      <c r="C3" s="168">
        <f>H3*I3</f>
        <v>7311.8016000000007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4.4299034899199979E-2</v>
      </c>
      <c r="H3" s="183">
        <v>234.24</v>
      </c>
      <c r="I3" s="183">
        <f>投資!G2</f>
        <v>31.215</v>
      </c>
      <c r="J3" s="185"/>
    </row>
    <row r="4" spans="1:10" ht="18" x14ac:dyDescent="0.3">
      <c r="A4" s="165"/>
      <c r="B4" s="167"/>
      <c r="C4" s="169"/>
      <c r="D4" s="171"/>
      <c r="E4" s="173"/>
      <c r="F4" s="173"/>
      <c r="G4" s="14">
        <f>C3*D3+F3-E3</f>
        <v>221.49517449599989</v>
      </c>
      <c r="H4" s="183"/>
      <c r="I4" s="183"/>
      <c r="J4" s="185"/>
    </row>
    <row r="5" spans="1:10" x14ac:dyDescent="0.3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3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3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3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3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3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3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3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3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3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3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3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3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3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3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3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3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3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3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3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3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3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3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3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3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3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3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3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3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3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3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3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3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3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3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3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3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3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3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3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3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3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3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3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3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3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3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3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3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3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3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3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3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3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3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3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3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3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3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3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3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3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3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3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3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3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3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3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3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3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3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3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3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3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3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3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3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3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3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3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3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3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3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3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3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3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3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3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3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3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3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3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3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3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3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3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3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3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3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3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3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3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3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3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3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3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3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3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3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3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3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3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3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3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3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3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3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3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3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3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3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3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3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3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3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3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3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3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3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3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3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3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3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3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3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3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3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3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3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3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3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3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3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3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3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3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3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3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3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3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3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3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3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3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3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3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3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3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3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3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3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3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3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3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3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3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3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3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3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3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3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3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3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3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3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3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3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3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3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3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3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3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3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3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3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3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3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3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3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3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3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3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3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3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3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3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3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3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3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3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3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3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3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3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3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3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3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3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3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3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3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3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3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3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3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3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3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3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3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3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3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3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3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3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3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3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3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3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3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3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3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3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3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3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3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3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3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3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3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3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3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3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3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3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3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3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3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3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3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3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3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3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3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3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3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3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3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3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3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3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3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3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3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3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3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3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3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3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3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3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3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3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3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3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3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3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3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3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3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3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3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3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3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3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3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3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3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3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3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3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3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3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3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3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3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3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3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3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3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3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3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3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3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3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3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3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3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3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3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3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3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3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3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3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3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3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3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3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3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3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3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3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3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3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3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3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3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3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3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3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3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3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3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3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3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3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3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3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3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3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3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3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3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3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3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3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3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3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3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3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3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3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3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3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3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3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3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3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3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3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3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3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3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3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3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3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3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3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3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3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3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3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3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3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3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3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3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3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3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3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3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3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3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3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3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3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3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3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3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3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3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3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3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3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3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3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3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3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3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3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3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3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3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3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3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3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3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3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3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3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3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3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3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3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3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3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3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3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3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3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3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3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3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3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3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3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3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3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3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3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3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3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3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3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3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3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3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3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3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3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3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3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3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3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3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3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3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3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3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3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3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3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3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3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3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3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3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3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3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3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3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3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3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3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3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3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3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3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3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3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3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3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3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3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3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3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3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3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3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3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3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3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3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3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3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3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3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3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3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3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3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3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3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3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3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3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3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3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3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3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3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3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2023-12-14T05:53:43Z</dcterms:modified>
</cp:coreProperties>
</file>