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6"/>
  <workbookPr codeName="ThisWorkbook"/>
  <mc:AlternateContent xmlns:mc="http://schemas.openxmlformats.org/markup-compatibility/2006">
    <mc:Choice Requires="x15">
      <x15ac:absPath xmlns:x15ac="http://schemas.microsoft.com/office/spreadsheetml/2010/11/ac" url="D:\NT\202502\06\Report\"/>
    </mc:Choice>
  </mc:AlternateContent>
  <xr:revisionPtr revIDLastSave="0" documentId="13_ncr:1_{C14D2FE8-03E2-4460-A232-8B454F71AE6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06.02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8" l="1"/>
  <c r="T111" i="8"/>
  <c r="S111" i="8"/>
  <c r="R111" i="8"/>
  <c r="P111" i="8"/>
  <c r="O111" i="8"/>
  <c r="N111" i="8"/>
  <c r="K111" i="8"/>
  <c r="J111" i="8"/>
  <c r="I111" i="8"/>
  <c r="H111" i="8"/>
  <c r="G111" i="8"/>
  <c r="F111" i="8"/>
  <c r="E111" i="8"/>
  <c r="D111" i="8"/>
  <c r="B101" i="8"/>
  <c r="Z94" i="8"/>
  <c r="Y94" i="8"/>
  <c r="X94" i="8"/>
  <c r="V94" i="8"/>
  <c r="U94" i="8"/>
  <c r="T94" i="8"/>
  <c r="S94" i="8"/>
  <c r="R94" i="8"/>
  <c r="Q94" i="8"/>
  <c r="O94" i="8"/>
  <c r="N94" i="8"/>
  <c r="M94" i="8"/>
  <c r="L94" i="8"/>
  <c r="K94" i="8"/>
  <c r="J94" i="8"/>
  <c r="I94" i="8"/>
  <c r="H94" i="8"/>
  <c r="G94" i="8"/>
  <c r="F94" i="8"/>
  <c r="E94" i="8"/>
  <c r="D94" i="8"/>
  <c r="B94" i="8"/>
  <c r="Z93" i="8"/>
  <c r="Y93" i="8"/>
  <c r="X93" i="8"/>
  <c r="V93" i="8"/>
  <c r="U93" i="8"/>
  <c r="T93" i="8"/>
  <c r="S93" i="8"/>
  <c r="R93" i="8"/>
  <c r="Q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Z92" i="8"/>
  <c r="Y92" i="8"/>
  <c r="X92" i="8"/>
  <c r="V92" i="8"/>
  <c r="U92" i="8"/>
  <c r="T92" i="8"/>
  <c r="S92" i="8"/>
  <c r="R92" i="8"/>
  <c r="Q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Z91" i="8"/>
  <c r="Y91" i="8"/>
  <c r="X91" i="8"/>
  <c r="V91" i="8"/>
  <c r="U91" i="8"/>
  <c r="T91" i="8"/>
  <c r="S91" i="8"/>
  <c r="R91" i="8"/>
  <c r="Q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Z90" i="8"/>
  <c r="Y90" i="8"/>
  <c r="X90" i="8"/>
  <c r="V90" i="8"/>
  <c r="U90" i="8"/>
  <c r="T90" i="8"/>
  <c r="S90" i="8"/>
  <c r="R90" i="8"/>
  <c r="Q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Z89" i="8"/>
  <c r="Y89" i="8"/>
  <c r="X89" i="8"/>
  <c r="V89" i="8"/>
  <c r="U89" i="8"/>
  <c r="T89" i="8"/>
  <c r="S89" i="8"/>
  <c r="R89" i="8"/>
  <c r="Q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Z88" i="8"/>
  <c r="Y88" i="8"/>
  <c r="X88" i="8"/>
  <c r="V88" i="8"/>
  <c r="U88" i="8"/>
  <c r="T88" i="8"/>
  <c r="S88" i="8"/>
  <c r="R88" i="8"/>
  <c r="Q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Z87" i="8"/>
  <c r="Y87" i="8"/>
  <c r="X87" i="8"/>
  <c r="V87" i="8"/>
  <c r="U87" i="8"/>
  <c r="T87" i="8"/>
  <c r="S87" i="8"/>
  <c r="R87" i="8"/>
  <c r="Q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Z86" i="8"/>
  <c r="Y86" i="8"/>
  <c r="X86" i="8"/>
  <c r="V86" i="8"/>
  <c r="U86" i="8"/>
  <c r="T86" i="8"/>
  <c r="S86" i="8"/>
  <c r="R86" i="8"/>
  <c r="Q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A85" i="8"/>
  <c r="Z85" i="8"/>
  <c r="Y85" i="8"/>
  <c r="X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Z84" i="8"/>
  <c r="Y84" i="8"/>
  <c r="X84" i="8"/>
  <c r="V84" i="8"/>
  <c r="U84" i="8"/>
  <c r="T84" i="8"/>
  <c r="S84" i="8"/>
  <c r="R84" i="8"/>
  <c r="Q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Z83" i="8"/>
  <c r="Y83" i="8"/>
  <c r="X83" i="8"/>
  <c r="V83" i="8"/>
  <c r="U83" i="8"/>
  <c r="T83" i="8"/>
  <c r="S83" i="8"/>
  <c r="R83" i="8"/>
  <c r="Q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Z82" i="8"/>
  <c r="Y82" i="8"/>
  <c r="X82" i="8"/>
  <c r="V82" i="8"/>
  <c r="U82" i="8"/>
  <c r="T82" i="8"/>
  <c r="S82" i="8"/>
  <c r="R82" i="8"/>
  <c r="Q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Z81" i="8"/>
  <c r="Y81" i="8"/>
  <c r="X81" i="8"/>
  <c r="V81" i="8"/>
  <c r="U81" i="8"/>
  <c r="T81" i="8"/>
  <c r="S81" i="8"/>
  <c r="R81" i="8"/>
  <c r="Q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Z80" i="8"/>
  <c r="Y80" i="8"/>
  <c r="X80" i="8"/>
  <c r="V80" i="8"/>
  <c r="U80" i="8"/>
  <c r="T80" i="8"/>
  <c r="S80" i="8"/>
  <c r="R80" i="8"/>
  <c r="Q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Z79" i="8"/>
  <c r="Y79" i="8"/>
  <c r="X79" i="8"/>
  <c r="V79" i="8"/>
  <c r="U79" i="8"/>
  <c r="T79" i="8"/>
  <c r="S79" i="8"/>
  <c r="R79" i="8"/>
  <c r="Q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Z78" i="8"/>
  <c r="Y78" i="8"/>
  <c r="X78" i="8"/>
  <c r="V78" i="8"/>
  <c r="U78" i="8"/>
  <c r="T78" i="8"/>
  <c r="S78" i="8"/>
  <c r="R78" i="8"/>
  <c r="Q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Z77" i="8"/>
  <c r="Y77" i="8"/>
  <c r="X77" i="8"/>
  <c r="V77" i="8"/>
  <c r="U77" i="8"/>
  <c r="T77" i="8"/>
  <c r="S77" i="8"/>
  <c r="R77" i="8"/>
  <c r="Q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Z76" i="8"/>
  <c r="Y76" i="8"/>
  <c r="X76" i="8"/>
  <c r="V76" i="8"/>
  <c r="U76" i="8"/>
  <c r="T76" i="8"/>
  <c r="S76" i="8"/>
  <c r="R76" i="8"/>
  <c r="Q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Z75" i="8"/>
  <c r="Y75" i="8"/>
  <c r="X75" i="8"/>
  <c r="V75" i="8"/>
  <c r="U75" i="8"/>
  <c r="T75" i="8"/>
  <c r="S75" i="8"/>
  <c r="R75" i="8"/>
  <c r="Q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Z74" i="8"/>
  <c r="Y74" i="8"/>
  <c r="X74" i="8"/>
  <c r="V74" i="8"/>
  <c r="U74" i="8"/>
  <c r="T74" i="8"/>
  <c r="S74" i="8"/>
  <c r="R74" i="8"/>
  <c r="Q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Z73" i="8"/>
  <c r="Y73" i="8"/>
  <c r="X73" i="8"/>
  <c r="V73" i="8"/>
  <c r="U73" i="8"/>
  <c r="T73" i="8"/>
  <c r="S73" i="8"/>
  <c r="R73" i="8"/>
  <c r="Q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Z72" i="8"/>
  <c r="Y72" i="8"/>
  <c r="X72" i="8"/>
  <c r="V72" i="8"/>
  <c r="U72" i="8"/>
  <c r="T72" i="8"/>
  <c r="S72" i="8"/>
  <c r="R72" i="8"/>
  <c r="Q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Z71" i="8"/>
  <c r="Y71" i="8"/>
  <c r="X71" i="8"/>
  <c r="V71" i="8"/>
  <c r="U71" i="8"/>
  <c r="T71" i="8"/>
  <c r="S71" i="8"/>
  <c r="R71" i="8"/>
  <c r="Q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Z70" i="8"/>
  <c r="Y70" i="8"/>
  <c r="X70" i="8"/>
  <c r="V70" i="8"/>
  <c r="U70" i="8"/>
  <c r="T70" i="8"/>
  <c r="S70" i="8"/>
  <c r="R70" i="8"/>
  <c r="Q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Z69" i="8"/>
  <c r="Y69" i="8"/>
  <c r="X69" i="8"/>
  <c r="V69" i="8"/>
  <c r="U69" i="8"/>
  <c r="T69" i="8"/>
  <c r="S69" i="8"/>
  <c r="R69" i="8"/>
  <c r="Q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Z68" i="8"/>
  <c r="Y68" i="8"/>
  <c r="X68" i="8"/>
  <c r="V68" i="8"/>
  <c r="U68" i="8"/>
  <c r="T68" i="8"/>
  <c r="S68" i="8"/>
  <c r="R68" i="8"/>
  <c r="Q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Z67" i="8"/>
  <c r="Y67" i="8"/>
  <c r="X67" i="8"/>
  <c r="V67" i="8"/>
  <c r="U67" i="8"/>
  <c r="T67" i="8"/>
  <c r="S67" i="8"/>
  <c r="R67" i="8"/>
  <c r="Q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Z66" i="8"/>
  <c r="Y66" i="8"/>
  <c r="X66" i="8"/>
  <c r="V66" i="8"/>
  <c r="U66" i="8"/>
  <c r="T66" i="8"/>
  <c r="S66" i="8"/>
  <c r="R66" i="8"/>
  <c r="Q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Z65" i="8"/>
  <c r="Y65" i="8"/>
  <c r="X65" i="8"/>
  <c r="V65" i="8"/>
  <c r="U65" i="8"/>
  <c r="T65" i="8"/>
  <c r="S65" i="8"/>
  <c r="R65" i="8"/>
  <c r="Q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Z64" i="8"/>
  <c r="Y64" i="8"/>
  <c r="X64" i="8"/>
  <c r="V64" i="8"/>
  <c r="U64" i="8"/>
  <c r="T64" i="8"/>
  <c r="S64" i="8"/>
  <c r="R64" i="8"/>
  <c r="Q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Z63" i="8"/>
  <c r="Y63" i="8"/>
  <c r="X63" i="8"/>
  <c r="V63" i="8"/>
  <c r="U63" i="8"/>
  <c r="T63" i="8"/>
  <c r="S63" i="8"/>
  <c r="R63" i="8"/>
  <c r="Q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Z62" i="8"/>
  <c r="Y62" i="8"/>
  <c r="X62" i="8"/>
  <c r="V62" i="8"/>
  <c r="U62" i="8"/>
  <c r="T62" i="8"/>
  <c r="S62" i="8"/>
  <c r="R62" i="8"/>
  <c r="Q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Z61" i="8"/>
  <c r="Y61" i="8"/>
  <c r="X61" i="8"/>
  <c r="V61" i="8"/>
  <c r="U61" i="8"/>
  <c r="T61" i="8"/>
  <c r="S61" i="8"/>
  <c r="R61" i="8"/>
  <c r="Q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Z60" i="8"/>
  <c r="Y60" i="8"/>
  <c r="X60" i="8"/>
  <c r="V60" i="8"/>
  <c r="U60" i="8"/>
  <c r="T60" i="8"/>
  <c r="S60" i="8"/>
  <c r="R60" i="8"/>
  <c r="Q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Z59" i="8"/>
  <c r="Y59" i="8"/>
  <c r="X59" i="8"/>
  <c r="V59" i="8"/>
  <c r="U59" i="8"/>
  <c r="T59" i="8"/>
  <c r="S59" i="8"/>
  <c r="R59" i="8"/>
  <c r="Q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Z58" i="8"/>
  <c r="Y58" i="8"/>
  <c r="X58" i="8"/>
  <c r="V58" i="8"/>
  <c r="U58" i="8"/>
  <c r="T58" i="8"/>
  <c r="S58" i="8"/>
  <c r="R58" i="8"/>
  <c r="Q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Z57" i="8"/>
  <c r="Y57" i="8"/>
  <c r="X57" i="8"/>
  <c r="V57" i="8"/>
  <c r="U57" i="8"/>
  <c r="T57" i="8"/>
  <c r="S57" i="8"/>
  <c r="R57" i="8"/>
  <c r="Q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Z56" i="8"/>
  <c r="Y56" i="8"/>
  <c r="X56" i="8"/>
  <c r="V56" i="8"/>
  <c r="U56" i="8"/>
  <c r="T56" i="8"/>
  <c r="S56" i="8"/>
  <c r="R56" i="8"/>
  <c r="Q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Z55" i="8"/>
  <c r="Y55" i="8"/>
  <c r="X55" i="8"/>
  <c r="V55" i="8"/>
  <c r="U55" i="8"/>
  <c r="T55" i="8"/>
  <c r="S55" i="8"/>
  <c r="R55" i="8"/>
  <c r="Q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Z54" i="8"/>
  <c r="Y54" i="8"/>
  <c r="X54" i="8"/>
  <c r="V54" i="8"/>
  <c r="U54" i="8"/>
  <c r="T54" i="8"/>
  <c r="S54" i="8"/>
  <c r="R54" i="8"/>
  <c r="Q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Z53" i="8"/>
  <c r="Y53" i="8"/>
  <c r="X53" i="8"/>
  <c r="V53" i="8"/>
  <c r="U53" i="8"/>
  <c r="T53" i="8"/>
  <c r="S53" i="8"/>
  <c r="R53" i="8"/>
  <c r="Q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Z52" i="8"/>
  <c r="Y52" i="8"/>
  <c r="X52" i="8"/>
  <c r="V52" i="8"/>
  <c r="U52" i="8"/>
  <c r="T52" i="8"/>
  <c r="S52" i="8"/>
  <c r="R52" i="8"/>
  <c r="Q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Z51" i="8"/>
  <c r="Y51" i="8"/>
  <c r="X51" i="8"/>
  <c r="V51" i="8"/>
  <c r="U51" i="8"/>
  <c r="T51" i="8"/>
  <c r="S51" i="8"/>
  <c r="R51" i="8"/>
  <c r="Q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Z50" i="8"/>
  <c r="Y50" i="8"/>
  <c r="X50" i="8"/>
  <c r="V50" i="8"/>
  <c r="U50" i="8"/>
  <c r="T50" i="8"/>
  <c r="S50" i="8"/>
  <c r="R50" i="8"/>
  <c r="Q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Z49" i="8"/>
  <c r="Y49" i="8"/>
  <c r="X49" i="8"/>
  <c r="V49" i="8"/>
  <c r="U49" i="8"/>
  <c r="T49" i="8"/>
  <c r="S49" i="8"/>
  <c r="R49" i="8"/>
  <c r="Q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Z48" i="8"/>
  <c r="Y48" i="8"/>
  <c r="X48" i="8"/>
  <c r="V48" i="8"/>
  <c r="U48" i="8"/>
  <c r="T48" i="8"/>
  <c r="S48" i="8"/>
  <c r="R48" i="8"/>
  <c r="Q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Z47" i="8"/>
  <c r="Y47" i="8"/>
  <c r="X47" i="8"/>
  <c r="V47" i="8"/>
  <c r="U47" i="8"/>
  <c r="T47" i="8"/>
  <c r="S47" i="8"/>
  <c r="R47" i="8"/>
  <c r="Q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Z46" i="8"/>
  <c r="Y46" i="8"/>
  <c r="X46" i="8"/>
  <c r="V46" i="8"/>
  <c r="U46" i="8"/>
  <c r="T46" i="8"/>
  <c r="S46" i="8"/>
  <c r="R46" i="8"/>
  <c r="Q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Z45" i="8"/>
  <c r="Y45" i="8"/>
  <c r="X45" i="8"/>
  <c r="V45" i="8"/>
  <c r="U45" i="8"/>
  <c r="T45" i="8"/>
  <c r="S45" i="8"/>
  <c r="R45" i="8"/>
  <c r="Q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Z44" i="8"/>
  <c r="Y44" i="8"/>
  <c r="X44" i="8"/>
  <c r="V44" i="8"/>
  <c r="U44" i="8"/>
  <c r="T44" i="8"/>
  <c r="S44" i="8"/>
  <c r="R44" i="8"/>
  <c r="Q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Z43" i="8"/>
  <c r="Y43" i="8"/>
  <c r="X43" i="8"/>
  <c r="V43" i="8"/>
  <c r="U43" i="8"/>
  <c r="T43" i="8"/>
  <c r="S43" i="8"/>
  <c r="R43" i="8"/>
  <c r="Q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Z42" i="8"/>
  <c r="Y42" i="8"/>
  <c r="X42" i="8"/>
  <c r="V42" i="8"/>
  <c r="U42" i="8"/>
  <c r="T42" i="8"/>
  <c r="S42" i="8"/>
  <c r="R42" i="8"/>
  <c r="Q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Z41" i="8"/>
  <c r="Y41" i="8"/>
  <c r="X41" i="8"/>
  <c r="V41" i="8"/>
  <c r="U41" i="8"/>
  <c r="T41" i="8"/>
  <c r="S41" i="8"/>
  <c r="R41" i="8"/>
  <c r="Q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Z40" i="8"/>
  <c r="Y40" i="8"/>
  <c r="X40" i="8"/>
  <c r="V40" i="8"/>
  <c r="U40" i="8"/>
  <c r="T40" i="8"/>
  <c r="S40" i="8"/>
  <c r="R40" i="8"/>
  <c r="Q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39" i="8"/>
  <c r="Y39" i="8"/>
  <c r="X39" i="8"/>
  <c r="V39" i="8"/>
  <c r="U39" i="8"/>
  <c r="T39" i="8"/>
  <c r="S39" i="8"/>
  <c r="R39" i="8"/>
  <c r="Q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8" i="8"/>
  <c r="Y38" i="8"/>
  <c r="X38" i="8"/>
  <c r="V38" i="8"/>
  <c r="U38" i="8"/>
  <c r="T38" i="8"/>
  <c r="S38" i="8"/>
  <c r="R38" i="8"/>
  <c r="Q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7" i="8"/>
  <c r="Y37" i="8"/>
  <c r="X37" i="8"/>
  <c r="V37" i="8"/>
  <c r="U37" i="8"/>
  <c r="T37" i="8"/>
  <c r="S37" i="8"/>
  <c r="R37" i="8"/>
  <c r="Q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Z36" i="8"/>
  <c r="Y36" i="8"/>
  <c r="X36" i="8"/>
  <c r="V36" i="8"/>
  <c r="U36" i="8"/>
  <c r="T36" i="8"/>
  <c r="S36" i="8"/>
  <c r="R36" i="8"/>
  <c r="Q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5" i="8"/>
  <c r="Y35" i="8"/>
  <c r="X35" i="8"/>
  <c r="V35" i="8"/>
  <c r="U35" i="8"/>
  <c r="T35" i="8"/>
  <c r="S35" i="8"/>
  <c r="R35" i="8"/>
  <c r="Q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Z34" i="8"/>
  <c r="Y34" i="8"/>
  <c r="X34" i="8"/>
  <c r="V34" i="8"/>
  <c r="U34" i="8"/>
  <c r="T34" i="8"/>
  <c r="S34" i="8"/>
  <c r="R34" i="8"/>
  <c r="Q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Z33" i="8"/>
  <c r="Y33" i="8"/>
  <c r="X33" i="8"/>
  <c r="V33" i="8"/>
  <c r="U33" i="8"/>
  <c r="T33" i="8"/>
  <c r="S33" i="8"/>
  <c r="R33" i="8"/>
  <c r="Q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Z32" i="8"/>
  <c r="Y32" i="8"/>
  <c r="X32" i="8"/>
  <c r="V32" i="8"/>
  <c r="U32" i="8"/>
  <c r="T32" i="8"/>
  <c r="S32" i="8"/>
  <c r="R32" i="8"/>
  <c r="Q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Z31" i="8"/>
  <c r="Y31" i="8"/>
  <c r="X31" i="8"/>
  <c r="V31" i="8"/>
  <c r="U31" i="8"/>
  <c r="T31" i="8"/>
  <c r="S31" i="8"/>
  <c r="R31" i="8"/>
  <c r="Q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Z30" i="8"/>
  <c r="Y30" i="8"/>
  <c r="X30" i="8"/>
  <c r="V30" i="8"/>
  <c r="U30" i="8"/>
  <c r="T30" i="8"/>
  <c r="S30" i="8"/>
  <c r="R30" i="8"/>
  <c r="Q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Z29" i="8"/>
  <c r="Y29" i="8"/>
  <c r="X29" i="8"/>
  <c r="V29" i="8"/>
  <c r="U29" i="8"/>
  <c r="T29" i="8"/>
  <c r="S29" i="8"/>
  <c r="R29" i="8"/>
  <c r="Q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8" i="8"/>
  <c r="Y28" i="8"/>
  <c r="X28" i="8"/>
  <c r="V28" i="8"/>
  <c r="U28" i="8"/>
  <c r="T28" i="8"/>
  <c r="S28" i="8"/>
  <c r="R28" i="8"/>
  <c r="Q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Z27" i="8"/>
  <c r="Y27" i="8"/>
  <c r="X27" i="8"/>
  <c r="V27" i="8"/>
  <c r="U27" i="8"/>
  <c r="T27" i="8"/>
  <c r="S27" i="8"/>
  <c r="R27" i="8"/>
  <c r="Q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Z26" i="8"/>
  <c r="Y26" i="8"/>
  <c r="X26" i="8"/>
  <c r="V26" i="8"/>
  <c r="U26" i="8"/>
  <c r="T26" i="8"/>
  <c r="S26" i="8"/>
  <c r="R26" i="8"/>
  <c r="Q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Z25" i="8"/>
  <c r="Y25" i="8"/>
  <c r="X25" i="8"/>
  <c r="V25" i="8"/>
  <c r="U25" i="8"/>
  <c r="T25" i="8"/>
  <c r="S25" i="8"/>
  <c r="R25" i="8"/>
  <c r="Q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Z24" i="8"/>
  <c r="Y24" i="8"/>
  <c r="X24" i="8"/>
  <c r="V24" i="8"/>
  <c r="U24" i="8"/>
  <c r="T24" i="8"/>
  <c r="S24" i="8"/>
  <c r="R24" i="8"/>
  <c r="Q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Z23" i="8"/>
  <c r="Y23" i="8"/>
  <c r="X23" i="8"/>
  <c r="V23" i="8"/>
  <c r="U23" i="8"/>
  <c r="T23" i="8"/>
  <c r="S23" i="8"/>
  <c r="R23" i="8"/>
  <c r="Q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Z22" i="8"/>
  <c r="Y22" i="8"/>
  <c r="X22" i="8"/>
  <c r="V22" i="8"/>
  <c r="U22" i="8"/>
  <c r="T22" i="8"/>
  <c r="S22" i="8"/>
  <c r="R22" i="8"/>
  <c r="Q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Z21" i="8"/>
  <c r="Y21" i="8"/>
  <c r="X21" i="8"/>
  <c r="V21" i="8"/>
  <c r="U21" i="8"/>
  <c r="T21" i="8"/>
  <c r="S21" i="8"/>
  <c r="R21" i="8"/>
  <c r="Q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Z20" i="8"/>
  <c r="Y20" i="8"/>
  <c r="X20" i="8"/>
  <c r="V20" i="8"/>
  <c r="U20" i="8"/>
  <c r="T20" i="8"/>
  <c r="S20" i="8"/>
  <c r="R20" i="8"/>
  <c r="Q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Z19" i="8"/>
  <c r="Y19" i="8"/>
  <c r="X19" i="8"/>
  <c r="V19" i="8"/>
  <c r="U19" i="8"/>
  <c r="T19" i="8"/>
  <c r="S19" i="8"/>
  <c r="R19" i="8"/>
  <c r="Q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Z18" i="8"/>
  <c r="Y18" i="8"/>
  <c r="X18" i="8"/>
  <c r="V18" i="8"/>
  <c r="U18" i="8"/>
  <c r="T18" i="8"/>
  <c r="S18" i="8"/>
  <c r="R18" i="8"/>
  <c r="Q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Z17" i="8"/>
  <c r="Y17" i="8"/>
  <c r="X17" i="8"/>
  <c r="V17" i="8"/>
  <c r="U17" i="8"/>
  <c r="T17" i="8"/>
  <c r="S17" i="8"/>
  <c r="R17" i="8"/>
  <c r="Q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Z16" i="8"/>
  <c r="Y16" i="8"/>
  <c r="X16" i="8"/>
  <c r="V16" i="8"/>
  <c r="U16" i="8"/>
  <c r="T16" i="8"/>
  <c r="S16" i="8"/>
  <c r="R16" i="8"/>
  <c r="Q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Z15" i="8"/>
  <c r="Y15" i="8"/>
  <c r="X15" i="8"/>
  <c r="V15" i="8"/>
  <c r="U15" i="8"/>
  <c r="T15" i="8"/>
  <c r="S15" i="8"/>
  <c r="R15" i="8"/>
  <c r="Q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Z14" i="8"/>
  <c r="Y14" i="8"/>
  <c r="X14" i="8"/>
  <c r="V14" i="8"/>
  <c r="U14" i="8"/>
  <c r="T14" i="8"/>
  <c r="S14" i="8"/>
  <c r="R14" i="8"/>
  <c r="Q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Z13" i="8"/>
  <c r="Y13" i="8"/>
  <c r="X13" i="8"/>
  <c r="V13" i="8"/>
  <c r="U13" i="8"/>
  <c r="T13" i="8"/>
  <c r="S13" i="8"/>
  <c r="R13" i="8"/>
  <c r="Q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Z12" i="8"/>
  <c r="Y12" i="8"/>
  <c r="X12" i="8"/>
  <c r="V12" i="8"/>
  <c r="U12" i="8"/>
  <c r="T12" i="8"/>
  <c r="S12" i="8"/>
  <c r="R12" i="8"/>
  <c r="Q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Z11" i="8"/>
  <c r="Y11" i="8"/>
  <c r="X11" i="8"/>
  <c r="V11" i="8"/>
  <c r="U11" i="8"/>
  <c r="T11" i="8"/>
  <c r="S11" i="8"/>
  <c r="R11" i="8"/>
  <c r="Q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Z10" i="8"/>
  <c r="Y10" i="8"/>
  <c r="X10" i="8"/>
  <c r="V10" i="8"/>
  <c r="U10" i="8"/>
  <c r="T10" i="8"/>
  <c r="S10" i="8"/>
  <c r="R10" i="8"/>
  <c r="Q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Z9" i="8"/>
  <c r="Y9" i="8"/>
  <c r="X9" i="8"/>
  <c r="V9" i="8"/>
  <c r="U9" i="8"/>
  <c r="T9" i="8"/>
  <c r="S9" i="8"/>
  <c r="R9" i="8"/>
  <c r="Q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Z8" i="8"/>
  <c r="Y8" i="8"/>
  <c r="X8" i="8"/>
  <c r="V8" i="8"/>
  <c r="U8" i="8"/>
  <c r="T8" i="8"/>
  <c r="S8" i="8"/>
  <c r="R8" i="8"/>
  <c r="Q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A7" i="8"/>
  <c r="Z7" i="8"/>
  <c r="Y7" i="8"/>
  <c r="X7" i="8"/>
  <c r="W7" i="8"/>
  <c r="W95" i="8" s="1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2" i="8"/>
  <c r="P95" i="8" l="1"/>
  <c r="F95" i="8"/>
  <c r="J95" i="8"/>
  <c r="N95" i="8"/>
  <c r="Z95" i="8"/>
  <c r="D95" i="8"/>
  <c r="H95" i="8"/>
  <c r="L95" i="8"/>
  <c r="U95" i="8"/>
  <c r="X95" i="8"/>
  <c r="T95" i="8"/>
  <c r="R95" i="8"/>
  <c r="V95" i="8"/>
  <c r="G95" i="8"/>
  <c r="K95" i="8"/>
  <c r="O95" i="8"/>
  <c r="S95" i="8"/>
  <c r="E95" i="8"/>
  <c r="D96" i="8" s="1"/>
  <c r="I95" i="8"/>
  <c r="M95" i="8"/>
  <c r="Y95" i="8"/>
  <c r="Q95" i="8"/>
  <c r="D112" i="8"/>
</calcChain>
</file>

<file path=xl/sharedStrings.xml><?xml version="1.0" encoding="utf-8"?>
<sst xmlns="http://schemas.openxmlformats.org/spreadsheetml/2006/main" count="66" uniqueCount="50">
  <si>
    <t xml:space="preserve">CÔNG TY CỔ PHẦN NAM THẮNG BẠC LIÊU                                        </t>
  </si>
  <si>
    <t xml:space="preserve">1. BÁO CÁO TỔNG DOANH THU XE CÔNG TY                </t>
  </si>
  <si>
    <t>STT</t>
  </si>
  <si>
    <t>Số tài</t>
  </si>
  <si>
    <t>Họ tên - MNV</t>
  </si>
  <si>
    <t>Số tiền phải thu</t>
  </si>
  <si>
    <t>Doanh thu</t>
  </si>
  <si>
    <t>Tổng số cuốc</t>
  </si>
  <si>
    <t>KM Rỗng</t>
  </si>
  <si>
    <t>Số km vd</t>
  </si>
  <si>
    <t>Số km có khách</t>
  </si>
  <si>
    <t>Các khoảnTrừ</t>
  </si>
  <si>
    <t>Các khoản truy thu</t>
  </si>
  <si>
    <t>Về Ví GSM</t>
  </si>
  <si>
    <t>Trừ 10% GSM</t>
  </si>
  <si>
    <t>Ghi chú</t>
  </si>
  <si>
    <t>Hợp Đồng</t>
  </si>
  <si>
    <t>Cụp cò</t>
  </si>
  <si>
    <t>Trừ app KH</t>
  </si>
  <si>
    <t>Trừ cuốc xe quá 5h</t>
  </si>
  <si>
    <t>Trừ KM GSM</t>
  </si>
  <si>
    <t>Trừ KM App KH</t>
  </si>
  <si>
    <t>Trừ khác</t>
  </si>
  <si>
    <t>Tổng Trừ</t>
  </si>
  <si>
    <t>Truy thu km</t>
  </si>
  <si>
    <t>Truy thu hợp đồng (nhập thực thu)</t>
  </si>
  <si>
    <t>Truy thu giờ chờ</t>
  </si>
  <si>
    <t>Truy thu GSM</t>
  </si>
  <si>
    <t>Truy thu App KH</t>
  </si>
  <si>
    <t>Truy thu khác</t>
  </si>
  <si>
    <t>Tổng truy thu</t>
  </si>
  <si>
    <t>TỔNG</t>
  </si>
  <si>
    <t>TRUNG BÌNH</t>
  </si>
  <si>
    <t>2. BÁO CÁO TỔNG DOANH THU XE THƯƠNG QUYỀN</t>
  </si>
  <si>
    <t>KM Taplo</t>
  </si>
  <si>
    <t>Các khoản Truy thu</t>
  </si>
  <si>
    <t>Trừ thực thu</t>
  </si>
  <si>
    <t>Trừ doanh thu</t>
  </si>
  <si>
    <t>Cụp cò, quá 5h</t>
  </si>
  <si>
    <t>App KH</t>
  </si>
  <si>
    <t>Vượt km, giờ</t>
  </si>
  <si>
    <t>Cuốc GSM</t>
  </si>
  <si>
    <t>Đổ về GSM</t>
  </si>
  <si>
    <t>10% GSM</t>
  </si>
  <si>
    <t>DANH SÁCH XE XUỐNG CA - TAI NẠN - NẰM BÃI - BẢO DƯỠNG...</t>
  </si>
  <si>
    <t>Số Tài</t>
  </si>
  <si>
    <t>Lý Do Ngưng KD</t>
  </si>
  <si>
    <t>Số Tiền</t>
  </si>
  <si>
    <t>BL3014</t>
  </si>
  <si>
    <t>CHƯA THAM GIA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</si>
</sst>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63"/>
      <scheme val="minor"/>
    </font>
    <font>
      <sz val="12"/>
      <color theme="1"/>
      <name val="Times New Roman"/>
    </font>
    <font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5" fillId="0" borderId="6" xfId="5" applyNumberFormat="1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>
      <alignment horizontal="center" vertical="center"/>
    </xf>
    <xf numFmtId="49" fontId="6" fillId="3" borderId="6" xfId="2" applyNumberFormat="1" applyFont="1" applyFill="1" applyBorder="1" applyAlignment="1">
      <alignment horizontal="center" vertical="center"/>
    </xf>
    <xf numFmtId="49" fontId="6" fillId="4" borderId="2" xfId="2" applyNumberFormat="1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49" fontId="6" fillId="4" borderId="6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3" fontId="5" fillId="0" borderId="6" xfId="2" applyNumberFormat="1" applyFont="1" applyBorder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3" fontId="5" fillId="0" borderId="0" xfId="2" applyNumberFormat="1" applyFont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1" fillId="0" borderId="0" xfId="2"/>
    <xf numFmtId="49" fontId="5" fillId="2" borderId="0" xfId="2" applyNumberFormat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1" fillId="0" borderId="0" xfId="2"/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49" fontId="5" fillId="0" borderId="6" xfId="2" applyNumberFormat="1" applyFont="1" applyBorder="1" applyAlignment="1">
      <alignment horizontal="center" vertical="center"/>
    </xf>
    <xf numFmtId="3" fontId="5" fillId="0" borderId="2" xfId="2" applyNumberFormat="1" applyFont="1" applyBorder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</cellXfs>
  <cellStyles count="6">
    <cellStyle name="Normal" xfId="0" builtinId="0"/>
    <cellStyle name="Normal 2" xfId="2" xr:uid="{28D776DB-00AC-482A-B5A7-92F509DC75D4}"/>
    <cellStyle name="Normal 2 2" xfId="4" xr:uid="{6AE91572-2901-4056-AA10-F0A61FC07982}"/>
    <cellStyle name="Normal 2 3" xfId="5" xr:uid="{6905578B-9E6B-4648-A128-367235EEC468}"/>
    <cellStyle name="Normal 3" xfId="3" xr:uid="{939EABE5-4D2A-496C-8577-C6799F984B1F}"/>
    <cellStyle name="Normal 4" xfId="1" xr:uid="{003B1604-BBFE-41A2-957D-ADB1679B4E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E290-E4DA-4307-9743-2F0AD84656CE}">
  <sheetPr>
    <outlinePr summaryBelow="0" summaryRight="0"/>
  </sheetPr>
  <dimension ref="A1:AI1044"/>
  <sheetViews>
    <sheetView tabSelected="1" workbookViewId="0">
      <pane ySplit="1" topLeftCell="A80" activePane="bottomLeft" state="frozen"/>
      <selection activeCell="B131" sqref="B131"/>
      <selection pane="bottomLeft" activeCell="E127" sqref="E127"/>
    </sheetView>
  </sheetViews>
  <sheetFormatPr defaultColWidth="12.5703125" defaultRowHeight="15.75" customHeight="1" x14ac:dyDescent="0.2"/>
  <cols>
    <col min="1" max="1" width="12.5703125" style="25"/>
    <col min="2" max="2" width="19.140625" style="25" customWidth="1"/>
    <col min="3" max="3" width="43.42578125" style="25" customWidth="1"/>
    <col min="4" max="4" width="25.140625" style="25" customWidth="1"/>
    <col min="5" max="5" width="21.5703125" style="25" customWidth="1"/>
    <col min="6" max="8" width="12.5703125" style="25"/>
    <col min="9" max="9" width="18.7109375" style="25" customWidth="1"/>
    <col min="10" max="10" width="19" style="25" customWidth="1"/>
    <col min="11" max="13" width="24.42578125" style="25" customWidth="1"/>
    <col min="14" max="14" width="19" style="25" customWidth="1"/>
    <col min="15" max="15" width="18" style="25" customWidth="1"/>
    <col min="16" max="18" width="14.42578125" style="25" customWidth="1"/>
    <col min="19" max="19" width="35.85546875" style="25" customWidth="1"/>
    <col min="20" max="20" width="22.5703125" style="25" customWidth="1"/>
    <col min="21" max="21" width="33.7109375" style="25" customWidth="1"/>
    <col min="22" max="22" width="18.5703125" style="25" customWidth="1"/>
    <col min="23" max="23" width="18.42578125" style="25" customWidth="1"/>
    <col min="24" max="25" width="17.7109375" style="25" customWidth="1"/>
    <col min="26" max="26" width="19.140625" style="25" customWidth="1"/>
    <col min="27" max="27" width="20.5703125" style="25" customWidth="1"/>
    <col min="28" max="16384" width="12.5703125" style="25"/>
  </cols>
  <sheetData>
    <row r="1" spans="1:35" x14ac:dyDescent="0.2">
      <c r="A1" s="21" t="s">
        <v>0</v>
      </c>
      <c r="B1" s="22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7" t="str">
        <f ca="1">IFERROR(__xludf.DUMMYFUNCTION("""DOANH THU CHECKER XE ĐIỆN BẠC LIÊU NGÀY: ""&amp;text(QUERY(BO_LOC_LUONG_XE_DIEN!B2:C1064,""select Col2""),""dd/MM/yyyy"")"),"DOANH THU CHECKER XE ĐIỆN BẠC LIÊU NGÀY: 06/02/2025")</f>
        <v>DOANH THU CHECKER XE ĐIỆN BẠC LIÊU NGÀY: 06/02/2025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">
      <c r="A4" s="21" t="s">
        <v>1</v>
      </c>
      <c r="B4" s="22"/>
      <c r="C4" s="22"/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8" t="s">
        <v>2</v>
      </c>
      <c r="B5" s="8" t="s">
        <v>3</v>
      </c>
      <c r="C5" s="8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11" t="s">
        <v>11</v>
      </c>
      <c r="K5" s="26"/>
      <c r="L5" s="26"/>
      <c r="M5" s="26"/>
      <c r="N5" s="26"/>
      <c r="O5" s="26"/>
      <c r="P5" s="26"/>
      <c r="Q5" s="27"/>
      <c r="R5" s="12" t="s">
        <v>12</v>
      </c>
      <c r="S5" s="26"/>
      <c r="T5" s="26"/>
      <c r="U5" s="26"/>
      <c r="V5" s="26"/>
      <c r="W5" s="26"/>
      <c r="X5" s="27"/>
      <c r="Y5" s="13" t="s">
        <v>13</v>
      </c>
      <c r="Z5" s="13" t="s">
        <v>14</v>
      </c>
      <c r="AA5" s="13" t="s">
        <v>15</v>
      </c>
      <c r="AB5" s="14"/>
      <c r="AC5" s="14"/>
      <c r="AD5" s="14"/>
      <c r="AE5" s="14"/>
      <c r="AF5" s="14"/>
      <c r="AG5" s="14"/>
      <c r="AH5" s="14"/>
      <c r="AI5" s="14"/>
    </row>
    <row r="6" spans="1:35" x14ac:dyDescent="0.2">
      <c r="A6" s="28"/>
      <c r="B6" s="28"/>
      <c r="C6" s="28"/>
      <c r="D6" s="28"/>
      <c r="E6" s="28"/>
      <c r="F6" s="28"/>
      <c r="G6" s="28"/>
      <c r="H6" s="28"/>
      <c r="I6" s="28"/>
      <c r="J6" s="15" t="s">
        <v>16</v>
      </c>
      <c r="K6" s="15" t="s">
        <v>17</v>
      </c>
      <c r="L6" s="15" t="s">
        <v>18</v>
      </c>
      <c r="M6" s="15" t="s">
        <v>19</v>
      </c>
      <c r="N6" s="15" t="s">
        <v>20</v>
      </c>
      <c r="O6" s="15" t="s">
        <v>21</v>
      </c>
      <c r="P6" s="15" t="s">
        <v>22</v>
      </c>
      <c r="Q6" s="15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28"/>
      <c r="Z6" s="28"/>
      <c r="AA6" s="28"/>
      <c r="AB6" s="14"/>
      <c r="AC6" s="14"/>
      <c r="AD6" s="14"/>
      <c r="AE6" s="14"/>
      <c r="AF6" s="14"/>
      <c r="AG6" s="14"/>
      <c r="AH6" s="14"/>
      <c r="AI6" s="14"/>
    </row>
    <row r="7" spans="1:35" hidden="1" x14ac:dyDescent="0.2">
      <c r="A7" s="16">
        <v>1</v>
      </c>
      <c r="B7" s="16" t="str">
        <f ca="1">IFERROR(__xludf.DUMMYFUNCTION("QUERY(DOANH_THU_LX_NGAY_DIEN!A:AL,""Select Col19,Col8,Col18,Col9,Col10,Col17,Col11,Col12,Col24,Col25,Col26,Col32,Col33,Col34,Col35,Col13,Col27,Col36,Col37,Col28,Col29,Col38,Col14,Col30,Col31,Col16 where Col23='Xe Công ty' and Col3 = date'""&amp;text(BO_LOC_LU"&amp;"ONG_XE_DIEN!C2,""yyyy-mm-dd"")&amp;""' "")"),"so_tai")</f>
        <v>so_tai</v>
      </c>
      <c r="C7" s="16" t="str">
        <f ca="1">IFERROR(__xludf.DUMMYFUNCTION("""COMPUTED_VALUE"""),"hoten_msnv")</f>
        <v>hoten_msnv</v>
      </c>
      <c r="D7" s="16" t="str">
        <f ca="1">IFERROR(__xludf.DUMMYFUNCTION("""COMPUTED_VALUE"""),"tien_phai_thu")</f>
        <v>tien_phai_thu</v>
      </c>
      <c r="E7" s="16" t="str">
        <f ca="1">IFERROR(__xludf.DUMMYFUNCTION("""COMPUTED_VALUE"""),"doanh_thu")</f>
        <v>doanh_thu</v>
      </c>
      <c r="F7" s="16" t="str">
        <f ca="1">IFERROR(__xludf.DUMMYFUNCTION("""COMPUTED_VALUE"""),"so_cuoc")</f>
        <v>so_cuoc</v>
      </c>
      <c r="G7" s="16" t="str">
        <f ca="1">IFERROR(__xludf.DUMMYFUNCTION("""COMPUTED_VALUE"""),"km_taplo")</f>
        <v>km_taplo</v>
      </c>
      <c r="H7" s="16" t="str">
        <f ca="1">IFERROR(__xludf.DUMMYFUNCTION("""COMPUTED_VALUE"""),"sokm_vandoanh")</f>
        <v>sokm_vandoanh</v>
      </c>
      <c r="I7" s="16" t="str">
        <f ca="1">IFERROR(__xludf.DUMMYFUNCTION("""COMPUTED_VALUE"""),"sokm_cokhach")</f>
        <v>sokm_cokhach</v>
      </c>
      <c r="J7" s="16" t="str">
        <f ca="1">IFERROR(__xludf.DUMMYFUNCTION("""COMPUTED_VALUE"""),"tru_tour")</f>
        <v>tru_tour</v>
      </c>
      <c r="K7" s="16" t="str">
        <f ca="1">IFERROR(__xludf.DUMMYFUNCTION("""COMPUTED_VALUE"""),"tru_cupco")</f>
        <v>tru_cupco</v>
      </c>
      <c r="L7" s="16" t="str">
        <f ca="1">IFERROR(__xludf.DUMMYFUNCTION("""COMPUTED_VALUE"""),"tru_appkh")</f>
        <v>tru_appkh</v>
      </c>
      <c r="M7" s="16" t="str">
        <f ca="1">IFERROR(__xludf.DUMMYFUNCTION("""COMPUTED_VALUE"""),"tru_cuocxe_qua5h")</f>
        <v>tru_cuocxe_qua5h</v>
      </c>
      <c r="N7" s="16" t="str">
        <f ca="1">IFERROR(__xludf.DUMMYFUNCTION("""COMPUTED_VALUE"""),"tru_km_gsm")</f>
        <v>tru_km_gsm</v>
      </c>
      <c r="O7" s="16" t="str">
        <f ca="1">IFERROR(__xludf.DUMMYFUNCTION("""COMPUTED_VALUE"""),"tru_km_appkh")</f>
        <v>tru_km_appkh</v>
      </c>
      <c r="P7" s="16" t="str">
        <f ca="1">IFERROR(__xludf.DUMMYFUNCTION("""COMPUTED_VALUE"""),"tru_khac")</f>
        <v>tru_khac</v>
      </c>
      <c r="Q7" s="16" t="str">
        <f ca="1">IFERROR(__xludf.DUMMYFUNCTION("""COMPUTED_VALUE"""),"tru_tien")</f>
        <v>tru_tien</v>
      </c>
      <c r="R7" s="16" t="str">
        <f ca="1">IFERROR(__xludf.DUMMYFUNCTION("""COMPUTED_VALUE"""),"truythu_km")</f>
        <v>truythu_km</v>
      </c>
      <c r="S7" s="16" t="str">
        <f ca="1">IFERROR(__xludf.DUMMYFUNCTION("""COMPUTED_VALUE"""),"truy_thu_thuc_thu")</f>
        <v>truy_thu_thuc_thu</v>
      </c>
      <c r="T7" s="16" t="str">
        <f ca="1">IFERROR(__xludf.DUMMYFUNCTION("""COMPUTED_VALUE"""),"truy_thu_gio_cho")</f>
        <v>truy_thu_gio_cho</v>
      </c>
      <c r="U7" s="16" t="str">
        <f ca="1">IFERROR(__xludf.DUMMYFUNCTION("""COMPUTED_VALUE"""),"truythu_gsm")</f>
        <v>truythu_gsm</v>
      </c>
      <c r="V7" s="16" t="str">
        <f ca="1">IFERROR(__xludf.DUMMYFUNCTION("""COMPUTED_VALUE"""),"truythu_appkh")</f>
        <v>truythu_appkh</v>
      </c>
      <c r="W7" s="16" t="str">
        <f ca="1">IFERROR(__xludf.DUMMYFUNCTION("""COMPUTED_VALUE"""),"truy_thu_khac")</f>
        <v>truy_thu_khac</v>
      </c>
      <c r="X7" s="16" t="str">
        <f ca="1">IFERROR(__xludf.DUMMYFUNCTION("""COMPUTED_VALUE"""),"phu_thu")</f>
        <v>phu_thu</v>
      </c>
      <c r="Y7" s="16" t="str">
        <f ca="1">IFERROR(__xludf.DUMMYFUNCTION("""COMPUTED_VALUE"""),"ve_vi_gsm")</f>
        <v>ve_vi_gsm</v>
      </c>
      <c r="Z7" s="16" t="str">
        <f ca="1">IFERROR(__xludf.DUMMYFUNCTION("""COMPUTED_VALUE"""),"10%_gsm")</f>
        <v>10%_gsm</v>
      </c>
      <c r="AA7" s="16" t="str">
        <f ca="1">IFERROR(__xludf.DUMMYFUNCTION("""COMPUTED_VALUE"""),"ghi_chu")</f>
        <v>ghi_chu</v>
      </c>
      <c r="AB7" s="14"/>
      <c r="AC7" s="14"/>
      <c r="AD7" s="14"/>
      <c r="AE7" s="14"/>
      <c r="AF7" s="14"/>
      <c r="AG7" s="14"/>
      <c r="AH7" s="14"/>
      <c r="AI7" s="14"/>
    </row>
    <row r="8" spans="1:35" x14ac:dyDescent="0.2">
      <c r="A8" s="16">
        <v>1</v>
      </c>
      <c r="B8" s="16" t="str">
        <f ca="1">IFERROR(__xludf.DUMMYFUNCTION("""COMPUTED_VALUE"""),"BL3012")</f>
        <v>BL3012</v>
      </c>
      <c r="C8" s="16" t="str">
        <f ca="1">IFERROR(__xludf.DUMMYFUNCTION("""COMPUTED_VALUE"""),"NGÔ BẢO CHUNG - 0042")</f>
        <v>NGÔ BẢO CHUNG - 0042</v>
      </c>
      <c r="D8" s="17">
        <f ca="1">IFERROR(__xludf.DUMMYFUNCTION("""COMPUTED_VALUE"""),610000)</f>
        <v>610000</v>
      </c>
      <c r="E8" s="17">
        <f ca="1">IFERROR(__xludf.DUMMYFUNCTION("""COMPUTED_VALUE"""),610000)</f>
        <v>610000</v>
      </c>
      <c r="F8" s="17">
        <f ca="1">IFERROR(__xludf.DUMMYFUNCTION("""COMPUTED_VALUE"""),9)</f>
        <v>9</v>
      </c>
      <c r="G8" s="17">
        <f ca="1">IFERROR(__xludf.DUMMYFUNCTION("""COMPUTED_VALUE"""),52)</f>
        <v>52</v>
      </c>
      <c r="H8" s="17">
        <f ca="1">IFERROR(__xludf.DUMMYFUNCTION("""COMPUTED_VALUE"""),108)</f>
        <v>108</v>
      </c>
      <c r="I8" s="17">
        <f ca="1">IFERROR(__xludf.DUMMYFUNCTION("""COMPUTED_VALUE"""),56)</f>
        <v>56</v>
      </c>
      <c r="J8" s="16">
        <f ca="1">IFERROR(__xludf.DUMMYFUNCTION("""COMPUTED_VALUE"""),0)</f>
        <v>0</v>
      </c>
      <c r="K8" s="17">
        <f ca="1">IFERROR(__xludf.DUMMYFUNCTION("""COMPUTED_VALUE"""),0)</f>
        <v>0</v>
      </c>
      <c r="L8" s="17">
        <f ca="1">IFERROR(__xludf.DUMMYFUNCTION("""COMPUTED_VALUE"""),2000)</f>
        <v>2000</v>
      </c>
      <c r="M8" s="17">
        <f ca="1">IFERROR(__xludf.DUMMYFUNCTION("""COMPUTED_VALUE"""),0)</f>
        <v>0</v>
      </c>
      <c r="N8" s="17">
        <f ca="1">IFERROR(__xludf.DUMMYFUNCTION("""COMPUTED_VALUE"""),0)</f>
        <v>0</v>
      </c>
      <c r="O8" s="17">
        <f ca="1">IFERROR(__xludf.DUMMYFUNCTION("""COMPUTED_VALUE"""),0)</f>
        <v>0</v>
      </c>
      <c r="P8" s="17"/>
      <c r="Q8" s="17">
        <f ca="1">IFERROR(__xludf.DUMMYFUNCTION("""COMPUTED_VALUE"""),2000)</f>
        <v>2000</v>
      </c>
      <c r="R8" s="17">
        <f ca="1">IFERROR(__xludf.DUMMYFUNCTION("""COMPUTED_VALUE"""),0)</f>
        <v>0</v>
      </c>
      <c r="S8" s="17">
        <f ca="1">IFERROR(__xludf.DUMMYFUNCTION("""COMPUTED_VALUE"""),0)</f>
        <v>0</v>
      </c>
      <c r="T8" s="17">
        <f ca="1">IFERROR(__xludf.DUMMYFUNCTION("""COMPUTED_VALUE"""),0)</f>
        <v>0</v>
      </c>
      <c r="U8" s="17">
        <f ca="1">IFERROR(__xludf.DUMMYFUNCTION("""COMPUTED_VALUE"""),0)</f>
        <v>0</v>
      </c>
      <c r="V8" s="17">
        <f ca="1">IFERROR(__xludf.DUMMYFUNCTION("""COMPUTED_VALUE"""),0)</f>
        <v>0</v>
      </c>
      <c r="W8" s="17"/>
      <c r="X8" s="17">
        <f ca="1">IFERROR(__xludf.DUMMYFUNCTION("""COMPUTED_VALUE"""),0)</f>
        <v>0</v>
      </c>
      <c r="Y8" s="17">
        <f ca="1">IFERROR(__xludf.DUMMYFUNCTION("""COMPUTED_VALUE"""),0)</f>
        <v>0</v>
      </c>
      <c r="Z8" s="17">
        <f ca="1">IFERROR(__xludf.DUMMYFUNCTION("""COMPUTED_VALUE"""),0)</f>
        <v>0</v>
      </c>
      <c r="AA8" s="16"/>
      <c r="AB8" s="14"/>
      <c r="AC8" s="14"/>
      <c r="AD8" s="14"/>
      <c r="AE8" s="14"/>
      <c r="AF8" s="14"/>
      <c r="AG8" s="14"/>
      <c r="AH8" s="14"/>
      <c r="AI8" s="14"/>
    </row>
    <row r="9" spans="1:35" x14ac:dyDescent="0.2">
      <c r="A9" s="16">
        <v>2</v>
      </c>
      <c r="B9" s="16" t="str">
        <f ca="1">IFERROR(__xludf.DUMMYFUNCTION("""COMPUTED_VALUE"""),"BL3017")</f>
        <v>BL3017</v>
      </c>
      <c r="C9" s="16" t="str">
        <f ca="1">IFERROR(__xludf.DUMMYFUNCTION("""COMPUTED_VALUE"""),"NGUYỄN HỮU CƯỜNG - 0008")</f>
        <v>NGUYỄN HỮU CƯỜNG - 0008</v>
      </c>
      <c r="D9" s="17">
        <f ca="1">IFERROR(__xludf.DUMMYFUNCTION("""COMPUTED_VALUE"""),1170000)</f>
        <v>1170000</v>
      </c>
      <c r="E9" s="17">
        <f ca="1">IFERROR(__xludf.DUMMYFUNCTION("""COMPUTED_VALUE"""),1170000)</f>
        <v>1170000</v>
      </c>
      <c r="F9" s="17">
        <f ca="1">IFERROR(__xludf.DUMMYFUNCTION("""COMPUTED_VALUE"""),6)</f>
        <v>6</v>
      </c>
      <c r="G9" s="17">
        <f ca="1">IFERROR(__xludf.DUMMYFUNCTION("""COMPUTED_VALUE"""),112)</f>
        <v>112</v>
      </c>
      <c r="H9" s="17">
        <f ca="1">IFERROR(__xludf.DUMMYFUNCTION("""COMPUTED_VALUE"""),242)</f>
        <v>242</v>
      </c>
      <c r="I9" s="17">
        <f ca="1">IFERROR(__xludf.DUMMYFUNCTION("""COMPUTED_VALUE"""),130)</f>
        <v>130</v>
      </c>
      <c r="J9" s="16">
        <f ca="1">IFERROR(__xludf.DUMMYFUNCTION("""COMPUTED_VALUE"""),479500)</f>
        <v>479500</v>
      </c>
      <c r="K9" s="17">
        <f ca="1">IFERROR(__xludf.DUMMYFUNCTION("""COMPUTED_VALUE"""),0)</f>
        <v>0</v>
      </c>
      <c r="L9" s="17">
        <f ca="1">IFERROR(__xludf.DUMMYFUNCTION("""COMPUTED_VALUE"""),0)</f>
        <v>0</v>
      </c>
      <c r="M9" s="17">
        <f ca="1">IFERROR(__xludf.DUMMYFUNCTION("""COMPUTED_VALUE"""),0)</f>
        <v>0</v>
      </c>
      <c r="N9" s="17">
        <f ca="1">IFERROR(__xludf.DUMMYFUNCTION("""COMPUTED_VALUE"""),0)</f>
        <v>0</v>
      </c>
      <c r="O9" s="17">
        <f ca="1">IFERROR(__xludf.DUMMYFUNCTION("""COMPUTED_VALUE"""),0)</f>
        <v>0</v>
      </c>
      <c r="P9" s="17"/>
      <c r="Q9" s="17">
        <f ca="1">IFERROR(__xludf.DUMMYFUNCTION("""COMPUTED_VALUE"""),479500)</f>
        <v>479500</v>
      </c>
      <c r="R9" s="17">
        <f ca="1">IFERROR(__xludf.DUMMYFUNCTION("""COMPUTED_VALUE"""),214000)</f>
        <v>214000</v>
      </c>
      <c r="S9" s="17">
        <f ca="1">IFERROR(__xludf.DUMMYFUNCTION("""COMPUTED_VALUE"""),0)</f>
        <v>0</v>
      </c>
      <c r="T9" s="17">
        <f ca="1">IFERROR(__xludf.DUMMYFUNCTION("""COMPUTED_VALUE"""),0)</f>
        <v>0</v>
      </c>
      <c r="U9" s="17">
        <f ca="1">IFERROR(__xludf.DUMMYFUNCTION("""COMPUTED_VALUE"""),0)</f>
        <v>0</v>
      </c>
      <c r="V9" s="17">
        <f ca="1">IFERROR(__xludf.DUMMYFUNCTION("""COMPUTED_VALUE"""),0)</f>
        <v>0</v>
      </c>
      <c r="W9" s="17"/>
      <c r="X9" s="17">
        <f ca="1">IFERROR(__xludf.DUMMYFUNCTION("""COMPUTED_VALUE"""),214000)</f>
        <v>214000</v>
      </c>
      <c r="Y9" s="17">
        <f ca="1">IFERROR(__xludf.DUMMYFUNCTION("""COMPUTED_VALUE"""),0)</f>
        <v>0</v>
      </c>
      <c r="Z9" s="17">
        <f ca="1">IFERROR(__xludf.DUMMYFUNCTION("""COMPUTED_VALUE"""),0)</f>
        <v>0</v>
      </c>
      <c r="AA9" s="16"/>
      <c r="AB9" s="14"/>
      <c r="AC9" s="14"/>
      <c r="AD9" s="14"/>
      <c r="AE9" s="14"/>
      <c r="AF9" s="14"/>
      <c r="AG9" s="14"/>
      <c r="AH9" s="14"/>
      <c r="AI9" s="14"/>
    </row>
    <row r="10" spans="1:35" x14ac:dyDescent="0.2">
      <c r="A10" s="16">
        <v>3</v>
      </c>
      <c r="B10" s="17" t="str">
        <f ca="1">IFERROR(__xludf.DUMMYFUNCTION("""COMPUTED_VALUE"""),"BL3021")</f>
        <v>BL3021</v>
      </c>
      <c r="C10" s="18" t="str">
        <f ca="1">IFERROR(__xludf.DUMMYFUNCTION("""COMPUTED_VALUE"""),"TRẦN QUỐC CÁNH - 0118")</f>
        <v>TRẦN QUỐC CÁNH - 0118</v>
      </c>
      <c r="D10" s="29">
        <f ca="1">IFERROR(__xludf.DUMMYFUNCTION("""COMPUTED_VALUE"""),1141000)</f>
        <v>1141000</v>
      </c>
      <c r="E10" s="17">
        <f ca="1">IFERROR(__xludf.DUMMYFUNCTION("""COMPUTED_VALUE"""),1141000)</f>
        <v>1141000</v>
      </c>
      <c r="F10" s="17">
        <f ca="1">IFERROR(__xludf.DUMMYFUNCTION("""COMPUTED_VALUE"""),25)</f>
        <v>25</v>
      </c>
      <c r="G10" s="17">
        <f ca="1">IFERROR(__xludf.DUMMYFUNCTION("""COMPUTED_VALUE"""),132)</f>
        <v>132</v>
      </c>
      <c r="H10" s="17">
        <f ca="1">IFERROR(__xludf.DUMMYFUNCTION("""COMPUTED_VALUE"""),235)</f>
        <v>235</v>
      </c>
      <c r="I10" s="17">
        <f ca="1">IFERROR(__xludf.DUMMYFUNCTION("""COMPUTED_VALUE"""),103)</f>
        <v>103</v>
      </c>
      <c r="J10" s="17">
        <f ca="1">IFERROR(__xludf.DUMMYFUNCTION("""COMPUTED_VALUE"""),134500)</f>
        <v>134500</v>
      </c>
      <c r="K10" s="17">
        <f ca="1">IFERROR(__xludf.DUMMYFUNCTION("""COMPUTED_VALUE"""),0)</f>
        <v>0</v>
      </c>
      <c r="L10" s="17">
        <f ca="1">IFERROR(__xludf.DUMMYFUNCTION("""COMPUTED_VALUE"""),0)</f>
        <v>0</v>
      </c>
      <c r="M10" s="17">
        <f ca="1">IFERROR(__xludf.DUMMYFUNCTION("""COMPUTED_VALUE"""),0)</f>
        <v>0</v>
      </c>
      <c r="N10" s="17">
        <f ca="1">IFERROR(__xludf.DUMMYFUNCTION("""COMPUTED_VALUE"""),0)</f>
        <v>0</v>
      </c>
      <c r="O10" s="17">
        <f ca="1">IFERROR(__xludf.DUMMYFUNCTION("""COMPUTED_VALUE"""),0)</f>
        <v>0</v>
      </c>
      <c r="P10" s="17"/>
      <c r="Q10" s="17">
        <f ca="1">IFERROR(__xludf.DUMMYFUNCTION("""COMPUTED_VALUE"""),134500)</f>
        <v>134500</v>
      </c>
      <c r="R10" s="17">
        <f ca="1">IFERROR(__xludf.DUMMYFUNCTION("""COMPUTED_VALUE"""),50000)</f>
        <v>50000</v>
      </c>
      <c r="S10" s="17">
        <f ca="1">IFERROR(__xludf.DUMMYFUNCTION("""COMPUTED_VALUE"""),0)</f>
        <v>0</v>
      </c>
      <c r="T10" s="17">
        <f ca="1">IFERROR(__xludf.DUMMYFUNCTION("""COMPUTED_VALUE"""),25000)</f>
        <v>25000</v>
      </c>
      <c r="U10" s="17">
        <f ca="1">IFERROR(__xludf.DUMMYFUNCTION("""COMPUTED_VALUE"""),0)</f>
        <v>0</v>
      </c>
      <c r="V10" s="17">
        <f ca="1">IFERROR(__xludf.DUMMYFUNCTION("""COMPUTED_VALUE"""),1000)</f>
        <v>1000</v>
      </c>
      <c r="W10" s="17"/>
      <c r="X10" s="17">
        <f ca="1">IFERROR(__xludf.DUMMYFUNCTION("""COMPUTED_VALUE"""),76000)</f>
        <v>76000</v>
      </c>
      <c r="Y10" s="17">
        <f ca="1">IFERROR(__xludf.DUMMYFUNCTION("""COMPUTED_VALUE"""),0)</f>
        <v>0</v>
      </c>
      <c r="Z10" s="17">
        <f ca="1">IFERROR(__xludf.DUMMYFUNCTION("""COMPUTED_VALUE"""),0)</f>
        <v>0</v>
      </c>
      <c r="AA10" s="17"/>
      <c r="AB10" s="14"/>
      <c r="AC10" s="19"/>
      <c r="AD10" s="19"/>
      <c r="AE10" s="19"/>
      <c r="AF10" s="19"/>
      <c r="AG10" s="19"/>
      <c r="AH10" s="19"/>
      <c r="AI10" s="19"/>
    </row>
    <row r="11" spans="1:35" x14ac:dyDescent="0.2">
      <c r="A11" s="16">
        <v>4</v>
      </c>
      <c r="B11" s="16" t="str">
        <f ca="1">IFERROR(__xludf.DUMMYFUNCTION("""COMPUTED_VALUE"""),"BL3022")</f>
        <v>BL3022</v>
      </c>
      <c r="C11" s="16" t="str">
        <f ca="1">IFERROR(__xludf.DUMMYFUNCTION("""COMPUTED_VALUE"""),"NGÔ MINH HOÀNG - 0022")</f>
        <v>NGÔ MINH HOÀNG - 0022</v>
      </c>
      <c r="D11" s="17">
        <f ca="1">IFERROR(__xludf.DUMMYFUNCTION("""COMPUTED_VALUE"""),1240000)</f>
        <v>1240000</v>
      </c>
      <c r="E11" s="17">
        <f ca="1">IFERROR(__xludf.DUMMYFUNCTION("""COMPUTED_VALUE"""),1240000)</f>
        <v>1240000</v>
      </c>
      <c r="F11" s="17">
        <f ca="1">IFERROR(__xludf.DUMMYFUNCTION("""COMPUTED_VALUE"""),5)</f>
        <v>5</v>
      </c>
      <c r="G11" s="17">
        <f ca="1">IFERROR(__xludf.DUMMYFUNCTION("""COMPUTED_VALUE"""),150)</f>
        <v>150</v>
      </c>
      <c r="H11" s="17">
        <f ca="1">IFERROR(__xludf.DUMMYFUNCTION("""COMPUTED_VALUE"""),320)</f>
        <v>320</v>
      </c>
      <c r="I11" s="17">
        <f ca="1">IFERROR(__xludf.DUMMYFUNCTION("""COMPUTED_VALUE"""),170)</f>
        <v>170</v>
      </c>
      <c r="J11" s="16">
        <f ca="1">IFERROR(__xludf.DUMMYFUNCTION("""COMPUTED_VALUE"""),645000)</f>
        <v>645000</v>
      </c>
      <c r="K11" s="17">
        <f ca="1">IFERROR(__xludf.DUMMYFUNCTION("""COMPUTED_VALUE"""),0)</f>
        <v>0</v>
      </c>
      <c r="L11" s="17">
        <f ca="1">IFERROR(__xludf.DUMMYFUNCTION("""COMPUTED_VALUE"""),0)</f>
        <v>0</v>
      </c>
      <c r="M11" s="17">
        <f ca="1">IFERROR(__xludf.DUMMYFUNCTION("""COMPUTED_VALUE"""),0)</f>
        <v>0</v>
      </c>
      <c r="N11" s="17">
        <f ca="1">IFERROR(__xludf.DUMMYFUNCTION("""COMPUTED_VALUE"""),0)</f>
        <v>0</v>
      </c>
      <c r="O11" s="17">
        <f ca="1">IFERROR(__xludf.DUMMYFUNCTION("""COMPUTED_VALUE"""),0)</f>
        <v>0</v>
      </c>
      <c r="P11" s="17"/>
      <c r="Q11" s="17">
        <f ca="1">IFERROR(__xludf.DUMMYFUNCTION("""COMPUTED_VALUE"""),645000)</f>
        <v>645000</v>
      </c>
      <c r="R11" s="17">
        <f ca="1">IFERROR(__xludf.DUMMYFUNCTION("""COMPUTED_VALUE"""),140000)</f>
        <v>140000</v>
      </c>
      <c r="S11" s="17">
        <f ca="1">IFERROR(__xludf.DUMMYFUNCTION("""COMPUTED_VALUE"""),0)</f>
        <v>0</v>
      </c>
      <c r="T11" s="17">
        <f ca="1">IFERROR(__xludf.DUMMYFUNCTION("""COMPUTED_VALUE"""),0)</f>
        <v>0</v>
      </c>
      <c r="U11" s="17">
        <f ca="1">IFERROR(__xludf.DUMMYFUNCTION("""COMPUTED_VALUE"""),0)</f>
        <v>0</v>
      </c>
      <c r="V11" s="17">
        <f ca="1">IFERROR(__xludf.DUMMYFUNCTION("""COMPUTED_VALUE"""),0)</f>
        <v>0</v>
      </c>
      <c r="W11" s="17"/>
      <c r="X11" s="17">
        <f ca="1">IFERROR(__xludf.DUMMYFUNCTION("""COMPUTED_VALUE"""),140000)</f>
        <v>140000</v>
      </c>
      <c r="Y11" s="17">
        <f ca="1">IFERROR(__xludf.DUMMYFUNCTION("""COMPUTED_VALUE"""),0)</f>
        <v>0</v>
      </c>
      <c r="Z11" s="17">
        <f ca="1">IFERROR(__xludf.DUMMYFUNCTION("""COMPUTED_VALUE"""),0)</f>
        <v>0</v>
      </c>
      <c r="AA11" s="16"/>
      <c r="AB11" s="14"/>
      <c r="AC11" s="14"/>
      <c r="AD11" s="14"/>
      <c r="AE11" s="14"/>
      <c r="AF11" s="14"/>
      <c r="AG11" s="14"/>
      <c r="AH11" s="14"/>
      <c r="AI11" s="14"/>
    </row>
    <row r="12" spans="1:35" x14ac:dyDescent="0.2">
      <c r="A12" s="16">
        <v>5</v>
      </c>
      <c r="B12" s="16" t="str">
        <f ca="1">IFERROR(__xludf.DUMMYFUNCTION("""COMPUTED_VALUE"""),"BL3023")</f>
        <v>BL3023</v>
      </c>
      <c r="C12" s="16" t="str">
        <f ca="1">IFERROR(__xludf.DUMMYFUNCTION("""COMPUTED_VALUE"""),"TÔ TOÀN MỸ - 0001")</f>
        <v>TÔ TOÀN MỸ - 0001</v>
      </c>
      <c r="D12" s="17">
        <f ca="1">IFERROR(__xludf.DUMMYFUNCTION("""COMPUTED_VALUE"""),1246000)</f>
        <v>1246000</v>
      </c>
      <c r="E12" s="17">
        <f ca="1">IFERROR(__xludf.DUMMYFUNCTION("""COMPUTED_VALUE"""),1222000)</f>
        <v>1222000</v>
      </c>
      <c r="F12" s="17">
        <f ca="1">IFERROR(__xludf.DUMMYFUNCTION("""COMPUTED_VALUE"""),8)</f>
        <v>8</v>
      </c>
      <c r="G12" s="17">
        <f ca="1">IFERROR(__xludf.DUMMYFUNCTION("""COMPUTED_VALUE"""),114)</f>
        <v>114</v>
      </c>
      <c r="H12" s="17">
        <f ca="1">IFERROR(__xludf.DUMMYFUNCTION("""COMPUTED_VALUE"""),216)</f>
        <v>216</v>
      </c>
      <c r="I12" s="17">
        <f ca="1">IFERROR(__xludf.DUMMYFUNCTION("""COMPUTED_VALUE"""),102)</f>
        <v>102</v>
      </c>
      <c r="J12" s="16">
        <f ca="1">IFERROR(__xludf.DUMMYFUNCTION("""COMPUTED_VALUE"""),0)</f>
        <v>0</v>
      </c>
      <c r="K12" s="17">
        <f ca="1">IFERROR(__xludf.DUMMYFUNCTION("""COMPUTED_VALUE"""),0)</f>
        <v>0</v>
      </c>
      <c r="L12" s="17">
        <f ca="1">IFERROR(__xludf.DUMMYFUNCTION("""COMPUTED_VALUE"""),0)</f>
        <v>0</v>
      </c>
      <c r="M12" s="17">
        <f ca="1">IFERROR(__xludf.DUMMYFUNCTION("""COMPUTED_VALUE"""),0)</f>
        <v>0</v>
      </c>
      <c r="N12" s="17">
        <f ca="1">IFERROR(__xludf.DUMMYFUNCTION("""COMPUTED_VALUE"""),0)</f>
        <v>0</v>
      </c>
      <c r="O12" s="17">
        <f ca="1">IFERROR(__xludf.DUMMYFUNCTION("""COMPUTED_VALUE"""),0)</f>
        <v>0</v>
      </c>
      <c r="P12" s="17"/>
      <c r="Q12" s="17">
        <f ca="1">IFERROR(__xludf.DUMMYFUNCTION("""COMPUTED_VALUE"""),0)</f>
        <v>0</v>
      </c>
      <c r="R12" s="17">
        <f ca="1">IFERROR(__xludf.DUMMYFUNCTION("""COMPUTED_VALUE"""),0)</f>
        <v>0</v>
      </c>
      <c r="S12" s="17">
        <f ca="1">IFERROR(__xludf.DUMMYFUNCTION("""COMPUTED_VALUE"""),0)</f>
        <v>0</v>
      </c>
      <c r="T12" s="17">
        <f ca="1">IFERROR(__xludf.DUMMYFUNCTION("""COMPUTED_VALUE"""),0)</f>
        <v>0</v>
      </c>
      <c r="U12" s="17">
        <f ca="1">IFERROR(__xludf.DUMMYFUNCTION("""COMPUTED_VALUE"""),71000)</f>
        <v>71000</v>
      </c>
      <c r="V12" s="17">
        <f ca="1">IFERROR(__xludf.DUMMYFUNCTION("""COMPUTED_VALUE"""),0)</f>
        <v>0</v>
      </c>
      <c r="W12" s="17"/>
      <c r="X12" s="17">
        <f ca="1">IFERROR(__xludf.DUMMYFUNCTION("""COMPUTED_VALUE"""),71000)</f>
        <v>71000</v>
      </c>
      <c r="Y12" s="17">
        <f ca="1">IFERROR(__xludf.DUMMYFUNCTION("""COMPUTED_VALUE"""),0)</f>
        <v>0</v>
      </c>
      <c r="Z12" s="17">
        <f ca="1">IFERROR(__xludf.DUMMYFUNCTION("""COMPUTED_VALUE"""),24000)</f>
        <v>24000</v>
      </c>
      <c r="AA12" s="16"/>
      <c r="AB12" s="14"/>
      <c r="AC12" s="14"/>
      <c r="AD12" s="14"/>
      <c r="AE12" s="14"/>
      <c r="AF12" s="14"/>
      <c r="AG12" s="14"/>
      <c r="AH12" s="14"/>
      <c r="AI12" s="14"/>
    </row>
    <row r="13" spans="1:35" x14ac:dyDescent="0.2">
      <c r="A13" s="16">
        <v>6</v>
      </c>
      <c r="B13" s="16" t="str">
        <f ca="1">IFERROR(__xludf.DUMMYFUNCTION("""COMPUTED_VALUE"""),"BL3025")</f>
        <v>BL3025</v>
      </c>
      <c r="C13" s="16" t="str">
        <f ca="1">IFERROR(__xludf.DUMMYFUNCTION("""COMPUTED_VALUE"""),"MAI VĂN ÚT - 0105")</f>
        <v>MAI VĂN ÚT - 0105</v>
      </c>
      <c r="D13" s="17">
        <f ca="1">IFERROR(__xludf.DUMMYFUNCTION("""COMPUTED_VALUE"""),690000)</f>
        <v>690000</v>
      </c>
      <c r="E13" s="17">
        <f ca="1">IFERROR(__xludf.DUMMYFUNCTION("""COMPUTED_VALUE"""),690000)</f>
        <v>690000</v>
      </c>
      <c r="F13" s="17">
        <f ca="1">IFERROR(__xludf.DUMMYFUNCTION("""COMPUTED_VALUE"""),13)</f>
        <v>13</v>
      </c>
      <c r="G13" s="17">
        <f ca="1">IFERROR(__xludf.DUMMYFUNCTION("""COMPUTED_VALUE"""),58)</f>
        <v>58</v>
      </c>
      <c r="H13" s="17">
        <f ca="1">IFERROR(__xludf.DUMMYFUNCTION("""COMPUTED_VALUE"""),133)</f>
        <v>133</v>
      </c>
      <c r="I13" s="17">
        <f ca="1">IFERROR(__xludf.DUMMYFUNCTION("""COMPUTED_VALUE"""),75)</f>
        <v>75</v>
      </c>
      <c r="J13" s="16">
        <f ca="1">IFERROR(__xludf.DUMMYFUNCTION("""COMPUTED_VALUE"""),102000)</f>
        <v>102000</v>
      </c>
      <c r="K13" s="17">
        <f ca="1">IFERROR(__xludf.DUMMYFUNCTION("""COMPUTED_VALUE"""),0)</f>
        <v>0</v>
      </c>
      <c r="L13" s="17">
        <f ca="1">IFERROR(__xludf.DUMMYFUNCTION("""COMPUTED_VALUE"""),16500)</f>
        <v>16500</v>
      </c>
      <c r="M13" s="17">
        <f ca="1">IFERROR(__xludf.DUMMYFUNCTION("""COMPUTED_VALUE"""),0)</f>
        <v>0</v>
      </c>
      <c r="N13" s="17">
        <f ca="1">IFERROR(__xludf.DUMMYFUNCTION("""COMPUTED_VALUE"""),0)</f>
        <v>0</v>
      </c>
      <c r="O13" s="17">
        <f ca="1">IFERROR(__xludf.DUMMYFUNCTION("""COMPUTED_VALUE"""),0)</f>
        <v>0</v>
      </c>
      <c r="P13" s="17"/>
      <c r="Q13" s="17">
        <f ca="1">IFERROR(__xludf.DUMMYFUNCTION("""COMPUTED_VALUE"""),118500)</f>
        <v>118500</v>
      </c>
      <c r="R13" s="17">
        <f ca="1">IFERROR(__xludf.DUMMYFUNCTION("""COMPUTED_VALUE"""),0)</f>
        <v>0</v>
      </c>
      <c r="S13" s="17">
        <f ca="1">IFERROR(__xludf.DUMMYFUNCTION("""COMPUTED_VALUE"""),0)</f>
        <v>0</v>
      </c>
      <c r="T13" s="17">
        <f ca="1">IFERROR(__xludf.DUMMYFUNCTION("""COMPUTED_VALUE"""),0)</f>
        <v>0</v>
      </c>
      <c r="U13" s="17">
        <f ca="1">IFERROR(__xludf.DUMMYFUNCTION("""COMPUTED_VALUE"""),0)</f>
        <v>0</v>
      </c>
      <c r="V13" s="17">
        <f ca="1">IFERROR(__xludf.DUMMYFUNCTION("""COMPUTED_VALUE"""),0)</f>
        <v>0</v>
      </c>
      <c r="W13" s="17"/>
      <c r="X13" s="17">
        <f ca="1">IFERROR(__xludf.DUMMYFUNCTION("""COMPUTED_VALUE"""),0)</f>
        <v>0</v>
      </c>
      <c r="Y13" s="17">
        <f ca="1">IFERROR(__xludf.DUMMYFUNCTION("""COMPUTED_VALUE"""),0)</f>
        <v>0</v>
      </c>
      <c r="Z13" s="17">
        <f ca="1">IFERROR(__xludf.DUMMYFUNCTION("""COMPUTED_VALUE"""),0)</f>
        <v>0</v>
      </c>
      <c r="AA13" s="16"/>
      <c r="AB13" s="14"/>
      <c r="AC13" s="14"/>
      <c r="AD13" s="14"/>
      <c r="AE13" s="14"/>
      <c r="AF13" s="14"/>
      <c r="AG13" s="14"/>
      <c r="AH13" s="14"/>
      <c r="AI13" s="14"/>
    </row>
    <row r="14" spans="1:35" x14ac:dyDescent="0.2">
      <c r="A14" s="16">
        <v>7</v>
      </c>
      <c r="B14" s="16" t="str">
        <f ca="1">IFERROR(__xludf.DUMMYFUNCTION("""COMPUTED_VALUE"""),"BL3026")</f>
        <v>BL3026</v>
      </c>
      <c r="C14" s="16" t="str">
        <f ca="1">IFERROR(__xludf.DUMMYFUNCTION("""COMPUTED_VALUE"""),"NGUYỄN TẤN PHÁT - 0091")</f>
        <v>NGUYỄN TẤN PHÁT - 0091</v>
      </c>
      <c r="D14" s="17">
        <f ca="1">IFERROR(__xludf.DUMMYFUNCTION("""COMPUTED_VALUE"""),601000)</f>
        <v>601000</v>
      </c>
      <c r="E14" s="17">
        <f ca="1">IFERROR(__xludf.DUMMYFUNCTION("""COMPUTED_VALUE"""),593000)</f>
        <v>593000</v>
      </c>
      <c r="F14" s="17">
        <f ca="1">IFERROR(__xludf.DUMMYFUNCTION("""COMPUTED_VALUE"""),11)</f>
        <v>11</v>
      </c>
      <c r="G14" s="17">
        <f ca="1">IFERROR(__xludf.DUMMYFUNCTION("""COMPUTED_VALUE"""),52)</f>
        <v>52</v>
      </c>
      <c r="H14" s="17">
        <f ca="1">IFERROR(__xludf.DUMMYFUNCTION("""COMPUTED_VALUE"""),102)</f>
        <v>102</v>
      </c>
      <c r="I14" s="17">
        <f ca="1">IFERROR(__xludf.DUMMYFUNCTION("""COMPUTED_VALUE"""),50)</f>
        <v>50</v>
      </c>
      <c r="J14" s="16">
        <f ca="1">IFERROR(__xludf.DUMMYFUNCTION("""COMPUTED_VALUE"""),0)</f>
        <v>0</v>
      </c>
      <c r="K14" s="17">
        <f ca="1">IFERROR(__xludf.DUMMYFUNCTION("""COMPUTED_VALUE"""),0)</f>
        <v>0</v>
      </c>
      <c r="L14" s="17">
        <f ca="1">IFERROR(__xludf.DUMMYFUNCTION("""COMPUTED_VALUE"""),0)</f>
        <v>0</v>
      </c>
      <c r="M14" s="17">
        <f ca="1">IFERROR(__xludf.DUMMYFUNCTION("""COMPUTED_VALUE"""),0)</f>
        <v>0</v>
      </c>
      <c r="N14" s="17">
        <f ca="1">IFERROR(__xludf.DUMMYFUNCTION("""COMPUTED_VALUE"""),0)</f>
        <v>0</v>
      </c>
      <c r="O14" s="17">
        <f ca="1">IFERROR(__xludf.DUMMYFUNCTION("""COMPUTED_VALUE"""),0)</f>
        <v>0</v>
      </c>
      <c r="P14" s="17"/>
      <c r="Q14" s="17">
        <f ca="1">IFERROR(__xludf.DUMMYFUNCTION("""COMPUTED_VALUE"""),0)</f>
        <v>0</v>
      </c>
      <c r="R14" s="17">
        <f ca="1">IFERROR(__xludf.DUMMYFUNCTION("""COMPUTED_VALUE"""),0)</f>
        <v>0</v>
      </c>
      <c r="S14" s="17">
        <f ca="1">IFERROR(__xludf.DUMMYFUNCTION("""COMPUTED_VALUE"""),0)</f>
        <v>0</v>
      </c>
      <c r="T14" s="17">
        <f ca="1">IFERROR(__xludf.DUMMYFUNCTION("""COMPUTED_VALUE"""),0)</f>
        <v>0</v>
      </c>
      <c r="U14" s="17">
        <f ca="1">IFERROR(__xludf.DUMMYFUNCTION("""COMPUTED_VALUE"""),13000)</f>
        <v>13000</v>
      </c>
      <c r="V14" s="17">
        <f ca="1">IFERROR(__xludf.DUMMYFUNCTION("""COMPUTED_VALUE"""),0)</f>
        <v>0</v>
      </c>
      <c r="W14" s="17"/>
      <c r="X14" s="17">
        <f ca="1">IFERROR(__xludf.DUMMYFUNCTION("""COMPUTED_VALUE"""),13000)</f>
        <v>13000</v>
      </c>
      <c r="Y14" s="17">
        <f ca="1">IFERROR(__xludf.DUMMYFUNCTION("""COMPUTED_VALUE"""),0)</f>
        <v>0</v>
      </c>
      <c r="Z14" s="17">
        <f ca="1">IFERROR(__xludf.DUMMYFUNCTION("""COMPUTED_VALUE"""),8000)</f>
        <v>8000</v>
      </c>
      <c r="AA14" s="16"/>
      <c r="AB14" s="14"/>
      <c r="AC14" s="14"/>
      <c r="AD14" s="14"/>
      <c r="AE14" s="14"/>
      <c r="AF14" s="14"/>
      <c r="AG14" s="14"/>
      <c r="AH14" s="14"/>
      <c r="AI14" s="14"/>
    </row>
    <row r="15" spans="1:35" x14ac:dyDescent="0.2">
      <c r="A15" s="16">
        <v>8</v>
      </c>
      <c r="B15" s="16" t="str">
        <f ca="1">IFERROR(__xludf.DUMMYFUNCTION("""COMPUTED_VALUE"""),"BL3027")</f>
        <v>BL3027</v>
      </c>
      <c r="C15" s="16" t="str">
        <f ca="1">IFERROR(__xludf.DUMMYFUNCTION("""COMPUTED_VALUE"""),"CHÂU ĐỨC QUANG - 0089")</f>
        <v>CHÂU ĐỨC QUANG - 0089</v>
      </c>
      <c r="D15" s="17">
        <f ca="1">IFERROR(__xludf.DUMMYFUNCTION("""COMPUTED_VALUE"""),423000)</f>
        <v>423000</v>
      </c>
      <c r="E15" s="17">
        <f ca="1">IFERROR(__xludf.DUMMYFUNCTION("""COMPUTED_VALUE"""),423000)</f>
        <v>423000</v>
      </c>
      <c r="F15" s="17">
        <f ca="1">IFERROR(__xludf.DUMMYFUNCTION("""COMPUTED_VALUE"""),8)</f>
        <v>8</v>
      </c>
      <c r="G15" s="17">
        <f ca="1">IFERROR(__xludf.DUMMYFUNCTION("""COMPUTED_VALUE"""),42)</f>
        <v>42</v>
      </c>
      <c r="H15" s="17">
        <f ca="1">IFERROR(__xludf.DUMMYFUNCTION("""COMPUTED_VALUE"""),149)</f>
        <v>149</v>
      </c>
      <c r="I15" s="17">
        <f ca="1">IFERROR(__xludf.DUMMYFUNCTION("""COMPUTED_VALUE"""),107)</f>
        <v>107</v>
      </c>
      <c r="J15" s="16">
        <f ca="1">IFERROR(__xludf.DUMMYFUNCTION("""COMPUTED_VALUE"""),0)</f>
        <v>0</v>
      </c>
      <c r="K15" s="17">
        <f ca="1">IFERROR(__xludf.DUMMYFUNCTION("""COMPUTED_VALUE"""),0)</f>
        <v>0</v>
      </c>
      <c r="L15" s="17">
        <f ca="1">IFERROR(__xludf.DUMMYFUNCTION("""COMPUTED_VALUE"""),0)</f>
        <v>0</v>
      </c>
      <c r="M15" s="17">
        <f ca="1">IFERROR(__xludf.DUMMYFUNCTION("""COMPUTED_VALUE"""),707500)</f>
        <v>707500</v>
      </c>
      <c r="N15" s="17">
        <f ca="1">IFERROR(__xludf.DUMMYFUNCTION("""COMPUTED_VALUE"""),0)</f>
        <v>0</v>
      </c>
      <c r="O15" s="17">
        <f ca="1">IFERROR(__xludf.DUMMYFUNCTION("""COMPUTED_VALUE"""),0)</f>
        <v>0</v>
      </c>
      <c r="P15" s="17"/>
      <c r="Q15" s="17">
        <f ca="1">IFERROR(__xludf.DUMMYFUNCTION("""COMPUTED_VALUE"""),707500)</f>
        <v>707500</v>
      </c>
      <c r="R15" s="17">
        <f ca="1">IFERROR(__xludf.DUMMYFUNCTION("""COMPUTED_VALUE"""),0)</f>
        <v>0</v>
      </c>
      <c r="S15" s="17">
        <f ca="1">IFERROR(__xludf.DUMMYFUNCTION("""COMPUTED_VALUE"""),0)</f>
        <v>0</v>
      </c>
      <c r="T15" s="17">
        <f ca="1">IFERROR(__xludf.DUMMYFUNCTION("""COMPUTED_VALUE"""),0)</f>
        <v>0</v>
      </c>
      <c r="U15" s="17">
        <f ca="1">IFERROR(__xludf.DUMMYFUNCTION("""COMPUTED_VALUE"""),0)</f>
        <v>0</v>
      </c>
      <c r="V15" s="17">
        <f ca="1">IFERROR(__xludf.DUMMYFUNCTION("""COMPUTED_VALUE"""),0)</f>
        <v>0</v>
      </c>
      <c r="W15" s="17"/>
      <c r="X15" s="17">
        <f ca="1">IFERROR(__xludf.DUMMYFUNCTION("""COMPUTED_VALUE"""),0)</f>
        <v>0</v>
      </c>
      <c r="Y15" s="17">
        <f ca="1">IFERROR(__xludf.DUMMYFUNCTION("""COMPUTED_VALUE"""),0)</f>
        <v>0</v>
      </c>
      <c r="Z15" s="17">
        <f ca="1">IFERROR(__xludf.DUMMYFUNCTION("""COMPUTED_VALUE"""),0)</f>
        <v>0</v>
      </c>
      <c r="AA15" s="16"/>
      <c r="AB15" s="14"/>
      <c r="AC15" s="14"/>
      <c r="AD15" s="14"/>
      <c r="AE15" s="14"/>
      <c r="AF15" s="14"/>
      <c r="AG15" s="14"/>
      <c r="AH15" s="14"/>
      <c r="AI15" s="14"/>
    </row>
    <row r="16" spans="1:35" x14ac:dyDescent="0.2">
      <c r="A16" s="16">
        <v>9</v>
      </c>
      <c r="B16" s="16" t="str">
        <f ca="1">IFERROR(__xludf.DUMMYFUNCTION("""COMPUTED_VALUE"""),"BL3028")</f>
        <v>BL3028</v>
      </c>
      <c r="C16" s="16" t="str">
        <f ca="1">IFERROR(__xludf.DUMMYFUNCTION("""COMPUTED_VALUE"""),"NGUYỄN TẤN NGUYÊN - 0012")</f>
        <v>NGUYỄN TẤN NGUYÊN - 0012</v>
      </c>
      <c r="D16" s="17">
        <f ca="1">IFERROR(__xludf.DUMMYFUNCTION("""COMPUTED_VALUE"""),1056000)</f>
        <v>1056000</v>
      </c>
      <c r="E16" s="17">
        <f ca="1">IFERROR(__xludf.DUMMYFUNCTION("""COMPUTED_VALUE"""),1056000)</f>
        <v>1056000</v>
      </c>
      <c r="F16" s="17">
        <f ca="1">IFERROR(__xludf.DUMMYFUNCTION("""COMPUTED_VALUE"""),5)</f>
        <v>5</v>
      </c>
      <c r="G16" s="17">
        <f ca="1">IFERROR(__xludf.DUMMYFUNCTION("""COMPUTED_VALUE"""),86)</f>
        <v>86</v>
      </c>
      <c r="H16" s="17">
        <f ca="1">IFERROR(__xludf.DUMMYFUNCTION("""COMPUTED_VALUE"""),229)</f>
        <v>229</v>
      </c>
      <c r="I16" s="17">
        <f ca="1">IFERROR(__xludf.DUMMYFUNCTION("""COMPUTED_VALUE"""),143)</f>
        <v>143</v>
      </c>
      <c r="J16" s="16">
        <f ca="1">IFERROR(__xludf.DUMMYFUNCTION("""COMPUTED_VALUE"""),552000)</f>
        <v>552000</v>
      </c>
      <c r="K16" s="17">
        <f ca="1">IFERROR(__xludf.DUMMYFUNCTION("""COMPUTED_VALUE"""),0)</f>
        <v>0</v>
      </c>
      <c r="L16" s="17">
        <f ca="1">IFERROR(__xludf.DUMMYFUNCTION("""COMPUTED_VALUE"""),0)</f>
        <v>0</v>
      </c>
      <c r="M16" s="17">
        <f ca="1">IFERROR(__xludf.DUMMYFUNCTION("""COMPUTED_VALUE"""),0)</f>
        <v>0</v>
      </c>
      <c r="N16" s="17">
        <f ca="1">IFERROR(__xludf.DUMMYFUNCTION("""COMPUTED_VALUE"""),0)</f>
        <v>0</v>
      </c>
      <c r="O16" s="17">
        <f ca="1">IFERROR(__xludf.DUMMYFUNCTION("""COMPUTED_VALUE"""),0)</f>
        <v>0</v>
      </c>
      <c r="P16" s="17"/>
      <c r="Q16" s="17">
        <f ca="1">IFERROR(__xludf.DUMMYFUNCTION("""COMPUTED_VALUE"""),552000)</f>
        <v>552000</v>
      </c>
      <c r="R16" s="17">
        <f ca="1">IFERROR(__xludf.DUMMYFUNCTION("""COMPUTED_VALUE"""),9000)</f>
        <v>9000</v>
      </c>
      <c r="S16" s="17">
        <f ca="1">IFERROR(__xludf.DUMMYFUNCTION("""COMPUTED_VALUE"""),0)</f>
        <v>0</v>
      </c>
      <c r="T16" s="17">
        <f ca="1">IFERROR(__xludf.DUMMYFUNCTION("""COMPUTED_VALUE"""),25000)</f>
        <v>25000</v>
      </c>
      <c r="U16" s="17">
        <f ca="1">IFERROR(__xludf.DUMMYFUNCTION("""COMPUTED_VALUE"""),0)</f>
        <v>0</v>
      </c>
      <c r="V16" s="17">
        <f ca="1">IFERROR(__xludf.DUMMYFUNCTION("""COMPUTED_VALUE"""),0)</f>
        <v>0</v>
      </c>
      <c r="W16" s="17"/>
      <c r="X16" s="17">
        <f ca="1">IFERROR(__xludf.DUMMYFUNCTION("""COMPUTED_VALUE"""),34000)</f>
        <v>34000</v>
      </c>
      <c r="Y16" s="17">
        <f ca="1">IFERROR(__xludf.DUMMYFUNCTION("""COMPUTED_VALUE"""),0)</f>
        <v>0</v>
      </c>
      <c r="Z16" s="17">
        <f ca="1">IFERROR(__xludf.DUMMYFUNCTION("""COMPUTED_VALUE"""),0)</f>
        <v>0</v>
      </c>
      <c r="AA16" s="16"/>
      <c r="AB16" s="14"/>
      <c r="AC16" s="14"/>
      <c r="AD16" s="14"/>
      <c r="AE16" s="14"/>
      <c r="AF16" s="14"/>
      <c r="AG16" s="14"/>
      <c r="AH16" s="14"/>
      <c r="AI16" s="14"/>
    </row>
    <row r="17" spans="1:35" x14ac:dyDescent="0.2">
      <c r="A17" s="16">
        <v>10</v>
      </c>
      <c r="B17" s="16" t="str">
        <f ca="1">IFERROR(__xludf.DUMMYFUNCTION("""COMPUTED_VALUE"""),"BL3029")</f>
        <v>BL3029</v>
      </c>
      <c r="C17" s="16" t="str">
        <f ca="1">IFERROR(__xludf.DUMMYFUNCTION("""COMPUTED_VALUE"""),"LỮ HOÀNG HƯNG - 0045")</f>
        <v>LỮ HOÀNG HƯNG - 0045</v>
      </c>
      <c r="D17" s="17">
        <f ca="1">IFERROR(__xludf.DUMMYFUNCTION("""COMPUTED_VALUE"""),369000)</f>
        <v>369000</v>
      </c>
      <c r="E17" s="17">
        <f ca="1">IFERROR(__xludf.DUMMYFUNCTION("""COMPUTED_VALUE"""),369000)</f>
        <v>369000</v>
      </c>
      <c r="F17" s="17">
        <f ca="1">IFERROR(__xludf.DUMMYFUNCTION("""COMPUTED_VALUE"""),4)</f>
        <v>4</v>
      </c>
      <c r="G17" s="17">
        <f ca="1">IFERROR(__xludf.DUMMYFUNCTION("""COMPUTED_VALUE"""),46)</f>
        <v>46</v>
      </c>
      <c r="H17" s="17">
        <f ca="1">IFERROR(__xludf.DUMMYFUNCTION("""COMPUTED_VALUE"""),84)</f>
        <v>84</v>
      </c>
      <c r="I17" s="17">
        <f ca="1">IFERROR(__xludf.DUMMYFUNCTION("""COMPUTED_VALUE"""),38)</f>
        <v>38</v>
      </c>
      <c r="J17" s="16">
        <f ca="1">IFERROR(__xludf.DUMMYFUNCTION("""COMPUTED_VALUE"""),68500)</f>
        <v>68500</v>
      </c>
      <c r="K17" s="17">
        <f ca="1">IFERROR(__xludf.DUMMYFUNCTION("""COMPUTED_VALUE"""),0)</f>
        <v>0</v>
      </c>
      <c r="L17" s="17">
        <f ca="1">IFERROR(__xludf.DUMMYFUNCTION("""COMPUTED_VALUE"""),0)</f>
        <v>0</v>
      </c>
      <c r="M17" s="17">
        <f ca="1">IFERROR(__xludf.DUMMYFUNCTION("""COMPUTED_VALUE"""),0)</f>
        <v>0</v>
      </c>
      <c r="N17" s="17">
        <f ca="1">IFERROR(__xludf.DUMMYFUNCTION("""COMPUTED_VALUE"""),0)</f>
        <v>0</v>
      </c>
      <c r="O17" s="17">
        <f ca="1">IFERROR(__xludf.DUMMYFUNCTION("""COMPUTED_VALUE"""),0)</f>
        <v>0</v>
      </c>
      <c r="P17" s="17"/>
      <c r="Q17" s="17">
        <f ca="1">IFERROR(__xludf.DUMMYFUNCTION("""COMPUTED_VALUE"""),68500)</f>
        <v>68500</v>
      </c>
      <c r="R17" s="17">
        <f ca="1">IFERROR(__xludf.DUMMYFUNCTION("""COMPUTED_VALUE"""),0)</f>
        <v>0</v>
      </c>
      <c r="S17" s="17">
        <f ca="1">IFERROR(__xludf.DUMMYFUNCTION("""COMPUTED_VALUE"""),0)</f>
        <v>0</v>
      </c>
      <c r="T17" s="17">
        <f ca="1">IFERROR(__xludf.DUMMYFUNCTION("""COMPUTED_VALUE"""),0)</f>
        <v>0</v>
      </c>
      <c r="U17" s="17">
        <f ca="1">IFERROR(__xludf.DUMMYFUNCTION("""COMPUTED_VALUE"""),0)</f>
        <v>0</v>
      </c>
      <c r="V17" s="17">
        <f ca="1">IFERROR(__xludf.DUMMYFUNCTION("""COMPUTED_VALUE"""),0)</f>
        <v>0</v>
      </c>
      <c r="W17" s="17"/>
      <c r="X17" s="17">
        <f ca="1">IFERROR(__xludf.DUMMYFUNCTION("""COMPUTED_VALUE"""),0)</f>
        <v>0</v>
      </c>
      <c r="Y17" s="17">
        <f ca="1">IFERROR(__xludf.DUMMYFUNCTION("""COMPUTED_VALUE"""),0)</f>
        <v>0</v>
      </c>
      <c r="Z17" s="17">
        <f ca="1">IFERROR(__xludf.DUMMYFUNCTION("""COMPUTED_VALUE"""),0)</f>
        <v>0</v>
      </c>
      <c r="AA17" s="16"/>
      <c r="AB17" s="14"/>
      <c r="AC17" s="14"/>
      <c r="AD17" s="14"/>
      <c r="AE17" s="14"/>
      <c r="AF17" s="14"/>
      <c r="AG17" s="14"/>
      <c r="AH17" s="14"/>
      <c r="AI17" s="14"/>
    </row>
    <row r="18" spans="1:35" x14ac:dyDescent="0.2">
      <c r="A18" s="16">
        <v>11</v>
      </c>
      <c r="B18" s="16" t="str">
        <f ca="1">IFERROR(__xludf.DUMMYFUNCTION("""COMPUTED_VALUE"""),"BL3032")</f>
        <v>BL3032</v>
      </c>
      <c r="C18" s="16" t="str">
        <f ca="1">IFERROR(__xludf.DUMMYFUNCTION("""COMPUTED_VALUE"""),"HỒNG QUỐC NHẢ - 0092")</f>
        <v>HỒNG QUỐC NHẢ - 0092</v>
      </c>
      <c r="D18" s="17">
        <f ca="1">IFERROR(__xludf.DUMMYFUNCTION("""COMPUTED_VALUE"""),688000)</f>
        <v>688000</v>
      </c>
      <c r="E18" s="17">
        <f ca="1">IFERROR(__xludf.DUMMYFUNCTION("""COMPUTED_VALUE"""),688000)</f>
        <v>688000</v>
      </c>
      <c r="F18" s="17">
        <f ca="1">IFERROR(__xludf.DUMMYFUNCTION("""COMPUTED_VALUE"""),5)</f>
        <v>5</v>
      </c>
      <c r="G18" s="17">
        <f ca="1">IFERROR(__xludf.DUMMYFUNCTION("""COMPUTED_VALUE"""),42)</f>
        <v>42</v>
      </c>
      <c r="H18" s="17">
        <f ca="1">IFERROR(__xludf.DUMMYFUNCTION("""COMPUTED_VALUE"""),115)</f>
        <v>115</v>
      </c>
      <c r="I18" s="17">
        <f ca="1">IFERROR(__xludf.DUMMYFUNCTION("""COMPUTED_VALUE"""),73)</f>
        <v>73</v>
      </c>
      <c r="J18" s="16">
        <f ca="1">IFERROR(__xludf.DUMMYFUNCTION("""COMPUTED_VALUE"""),215000)</f>
        <v>215000</v>
      </c>
      <c r="K18" s="17">
        <f ca="1">IFERROR(__xludf.DUMMYFUNCTION("""COMPUTED_VALUE"""),0)</f>
        <v>0</v>
      </c>
      <c r="L18" s="17">
        <f ca="1">IFERROR(__xludf.DUMMYFUNCTION("""COMPUTED_VALUE"""),0)</f>
        <v>0</v>
      </c>
      <c r="M18" s="17">
        <f ca="1">IFERROR(__xludf.DUMMYFUNCTION("""COMPUTED_VALUE"""),0)</f>
        <v>0</v>
      </c>
      <c r="N18" s="17">
        <f ca="1">IFERROR(__xludf.DUMMYFUNCTION("""COMPUTED_VALUE"""),0)</f>
        <v>0</v>
      </c>
      <c r="O18" s="17">
        <f ca="1">IFERROR(__xludf.DUMMYFUNCTION("""COMPUTED_VALUE"""),0)</f>
        <v>0</v>
      </c>
      <c r="P18" s="17"/>
      <c r="Q18" s="17">
        <f ca="1">IFERROR(__xludf.DUMMYFUNCTION("""COMPUTED_VALUE"""),215000)</f>
        <v>215000</v>
      </c>
      <c r="R18" s="17">
        <f ca="1">IFERROR(__xludf.DUMMYFUNCTION("""COMPUTED_VALUE"""),115000)</f>
        <v>115000</v>
      </c>
      <c r="S18" s="17">
        <f ca="1">IFERROR(__xludf.DUMMYFUNCTION("""COMPUTED_VALUE"""),0)</f>
        <v>0</v>
      </c>
      <c r="T18" s="17">
        <f ca="1">IFERROR(__xludf.DUMMYFUNCTION("""COMPUTED_VALUE"""),0)</f>
        <v>0</v>
      </c>
      <c r="U18" s="17">
        <f ca="1">IFERROR(__xludf.DUMMYFUNCTION("""COMPUTED_VALUE"""),0)</f>
        <v>0</v>
      </c>
      <c r="V18" s="17">
        <f ca="1">IFERROR(__xludf.DUMMYFUNCTION("""COMPUTED_VALUE"""),0)</f>
        <v>0</v>
      </c>
      <c r="W18" s="17"/>
      <c r="X18" s="17">
        <f ca="1">IFERROR(__xludf.DUMMYFUNCTION("""COMPUTED_VALUE"""),115000)</f>
        <v>115000</v>
      </c>
      <c r="Y18" s="17">
        <f ca="1">IFERROR(__xludf.DUMMYFUNCTION("""COMPUTED_VALUE"""),0)</f>
        <v>0</v>
      </c>
      <c r="Z18" s="17">
        <f ca="1">IFERROR(__xludf.DUMMYFUNCTION("""COMPUTED_VALUE"""),0)</f>
        <v>0</v>
      </c>
      <c r="AA18" s="16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">
      <c r="A19" s="16">
        <v>12</v>
      </c>
      <c r="B19" s="16" t="str">
        <f ca="1">IFERROR(__xludf.DUMMYFUNCTION("""COMPUTED_VALUE"""),"BL3033")</f>
        <v>BL3033</v>
      </c>
      <c r="C19" s="16" t="str">
        <f ca="1">IFERROR(__xludf.DUMMYFUNCTION("""COMPUTED_VALUE"""),"THẠCH THÔNG - 0029")</f>
        <v>THẠCH THÔNG - 0029</v>
      </c>
      <c r="D19" s="17">
        <f ca="1">IFERROR(__xludf.DUMMYFUNCTION("""COMPUTED_VALUE"""),965000)</f>
        <v>965000</v>
      </c>
      <c r="E19" s="17">
        <f ca="1">IFERROR(__xludf.DUMMYFUNCTION("""COMPUTED_VALUE"""),965000)</f>
        <v>965000</v>
      </c>
      <c r="F19" s="17">
        <f ca="1">IFERROR(__xludf.DUMMYFUNCTION("""COMPUTED_VALUE"""),7)</f>
        <v>7</v>
      </c>
      <c r="G19" s="17">
        <f ca="1">IFERROR(__xludf.DUMMYFUNCTION("""COMPUTED_VALUE"""),144)</f>
        <v>144</v>
      </c>
      <c r="H19" s="17">
        <f ca="1">IFERROR(__xludf.DUMMYFUNCTION("""COMPUTED_VALUE"""),246)</f>
        <v>246</v>
      </c>
      <c r="I19" s="17">
        <f ca="1">IFERROR(__xludf.DUMMYFUNCTION("""COMPUTED_VALUE"""),102)</f>
        <v>102</v>
      </c>
      <c r="J19" s="16">
        <f ca="1">IFERROR(__xludf.DUMMYFUNCTION("""COMPUTED_VALUE"""),216000)</f>
        <v>216000</v>
      </c>
      <c r="K19" s="17">
        <f ca="1">IFERROR(__xludf.DUMMYFUNCTION("""COMPUTED_VALUE"""),0)</f>
        <v>0</v>
      </c>
      <c r="L19" s="17">
        <f ca="1">IFERROR(__xludf.DUMMYFUNCTION("""COMPUTED_VALUE"""),0)</f>
        <v>0</v>
      </c>
      <c r="M19" s="17">
        <f ca="1">IFERROR(__xludf.DUMMYFUNCTION("""COMPUTED_VALUE"""),0)</f>
        <v>0</v>
      </c>
      <c r="N19" s="17">
        <f ca="1">IFERROR(__xludf.DUMMYFUNCTION("""COMPUTED_VALUE"""),0)</f>
        <v>0</v>
      </c>
      <c r="O19" s="17">
        <f ca="1">IFERROR(__xludf.DUMMYFUNCTION("""COMPUTED_VALUE"""),0)</f>
        <v>0</v>
      </c>
      <c r="P19" s="17"/>
      <c r="Q19" s="17">
        <f ca="1">IFERROR(__xludf.DUMMYFUNCTION("""COMPUTED_VALUE"""),216000)</f>
        <v>216000</v>
      </c>
      <c r="R19" s="17">
        <f ca="1">IFERROR(__xludf.DUMMYFUNCTION("""COMPUTED_VALUE"""),91000)</f>
        <v>91000</v>
      </c>
      <c r="S19" s="17">
        <f ca="1">IFERROR(__xludf.DUMMYFUNCTION("""COMPUTED_VALUE"""),0)</f>
        <v>0</v>
      </c>
      <c r="T19" s="17">
        <f ca="1">IFERROR(__xludf.DUMMYFUNCTION("""COMPUTED_VALUE"""),0)</f>
        <v>0</v>
      </c>
      <c r="U19" s="17">
        <f ca="1">IFERROR(__xludf.DUMMYFUNCTION("""COMPUTED_VALUE"""),0)</f>
        <v>0</v>
      </c>
      <c r="V19" s="17">
        <f ca="1">IFERROR(__xludf.DUMMYFUNCTION("""COMPUTED_VALUE"""),0)</f>
        <v>0</v>
      </c>
      <c r="W19" s="17"/>
      <c r="X19" s="17">
        <f ca="1">IFERROR(__xludf.DUMMYFUNCTION("""COMPUTED_VALUE"""),91000)</f>
        <v>91000</v>
      </c>
      <c r="Y19" s="17">
        <f ca="1">IFERROR(__xludf.DUMMYFUNCTION("""COMPUTED_VALUE"""),0)</f>
        <v>0</v>
      </c>
      <c r="Z19" s="17">
        <f ca="1">IFERROR(__xludf.DUMMYFUNCTION("""COMPUTED_VALUE"""),0)</f>
        <v>0</v>
      </c>
      <c r="AA19" s="16"/>
      <c r="AB19" s="14"/>
      <c r="AC19" s="14"/>
      <c r="AD19" s="14"/>
      <c r="AE19" s="14"/>
      <c r="AF19" s="14"/>
      <c r="AG19" s="14"/>
      <c r="AH19" s="14"/>
      <c r="AI19" s="14"/>
    </row>
    <row r="20" spans="1:35" x14ac:dyDescent="0.2">
      <c r="A20" s="16">
        <v>13</v>
      </c>
      <c r="B20" s="16" t="str">
        <f ca="1">IFERROR(__xludf.DUMMYFUNCTION("""COMPUTED_VALUE"""),"BL3034")</f>
        <v>BL3034</v>
      </c>
      <c r="C20" s="16" t="str">
        <f ca="1">IFERROR(__xludf.DUMMYFUNCTION("""COMPUTED_VALUE"""),"MÃ VĂN PHONG - 0007")</f>
        <v>MÃ VĂN PHONG - 0007</v>
      </c>
      <c r="D20" s="17">
        <f ca="1">IFERROR(__xludf.DUMMYFUNCTION("""COMPUTED_VALUE"""),900000)</f>
        <v>900000</v>
      </c>
      <c r="E20" s="17">
        <f ca="1">IFERROR(__xludf.DUMMYFUNCTION("""COMPUTED_VALUE"""),900000)</f>
        <v>900000</v>
      </c>
      <c r="F20" s="17">
        <f ca="1">IFERROR(__xludf.DUMMYFUNCTION("""COMPUTED_VALUE"""),7)</f>
        <v>7</v>
      </c>
      <c r="G20" s="17">
        <f ca="1">IFERROR(__xludf.DUMMYFUNCTION("""COMPUTED_VALUE"""),106)</f>
        <v>106</v>
      </c>
      <c r="H20" s="17">
        <f ca="1">IFERROR(__xludf.DUMMYFUNCTION("""COMPUTED_VALUE"""),190)</f>
        <v>190</v>
      </c>
      <c r="I20" s="17">
        <f ca="1">IFERROR(__xludf.DUMMYFUNCTION("""COMPUTED_VALUE"""),84)</f>
        <v>84</v>
      </c>
      <c r="J20" s="16">
        <f ca="1">IFERROR(__xludf.DUMMYFUNCTION("""COMPUTED_VALUE"""),311500)</f>
        <v>311500</v>
      </c>
      <c r="K20" s="17">
        <f ca="1">IFERROR(__xludf.DUMMYFUNCTION("""COMPUTED_VALUE"""),0)</f>
        <v>0</v>
      </c>
      <c r="L20" s="17">
        <f ca="1">IFERROR(__xludf.DUMMYFUNCTION("""COMPUTED_VALUE"""),0)</f>
        <v>0</v>
      </c>
      <c r="M20" s="17">
        <f ca="1">IFERROR(__xludf.DUMMYFUNCTION("""COMPUTED_VALUE"""),0)</f>
        <v>0</v>
      </c>
      <c r="N20" s="17">
        <f ca="1">IFERROR(__xludf.DUMMYFUNCTION("""COMPUTED_VALUE"""),0)</f>
        <v>0</v>
      </c>
      <c r="O20" s="17">
        <f ca="1">IFERROR(__xludf.DUMMYFUNCTION("""COMPUTED_VALUE"""),0)</f>
        <v>0</v>
      </c>
      <c r="P20" s="17"/>
      <c r="Q20" s="17">
        <f ca="1">IFERROR(__xludf.DUMMYFUNCTION("""COMPUTED_VALUE"""),311500)</f>
        <v>311500</v>
      </c>
      <c r="R20" s="17">
        <f ca="1">IFERROR(__xludf.DUMMYFUNCTION("""COMPUTED_VALUE"""),83000)</f>
        <v>83000</v>
      </c>
      <c r="S20" s="17">
        <f ca="1">IFERROR(__xludf.DUMMYFUNCTION("""COMPUTED_VALUE"""),0)</f>
        <v>0</v>
      </c>
      <c r="T20" s="17">
        <f ca="1">IFERROR(__xludf.DUMMYFUNCTION("""COMPUTED_VALUE"""),125000)</f>
        <v>125000</v>
      </c>
      <c r="U20" s="17">
        <f ca="1">IFERROR(__xludf.DUMMYFUNCTION("""COMPUTED_VALUE"""),0)</f>
        <v>0</v>
      </c>
      <c r="V20" s="17">
        <f ca="1">IFERROR(__xludf.DUMMYFUNCTION("""COMPUTED_VALUE"""),0)</f>
        <v>0</v>
      </c>
      <c r="W20" s="17"/>
      <c r="X20" s="17">
        <f ca="1">IFERROR(__xludf.DUMMYFUNCTION("""COMPUTED_VALUE"""),208000)</f>
        <v>208000</v>
      </c>
      <c r="Y20" s="17">
        <f ca="1">IFERROR(__xludf.DUMMYFUNCTION("""COMPUTED_VALUE"""),0)</f>
        <v>0</v>
      </c>
      <c r="Z20" s="17">
        <f ca="1">IFERROR(__xludf.DUMMYFUNCTION("""COMPUTED_VALUE"""),0)</f>
        <v>0</v>
      </c>
      <c r="AA20" s="16"/>
      <c r="AB20" s="14"/>
      <c r="AC20" s="14"/>
      <c r="AD20" s="14"/>
      <c r="AE20" s="14"/>
      <c r="AF20" s="14"/>
      <c r="AG20" s="14"/>
      <c r="AH20" s="14"/>
      <c r="AI20" s="14"/>
    </row>
    <row r="21" spans="1:35" x14ac:dyDescent="0.2">
      <c r="A21" s="16">
        <v>14</v>
      </c>
      <c r="B21" s="16" t="str">
        <f ca="1">IFERROR(__xludf.DUMMYFUNCTION("""COMPUTED_VALUE"""),"BL3035")</f>
        <v>BL3035</v>
      </c>
      <c r="C21" s="16" t="str">
        <f ca="1">IFERROR(__xludf.DUMMYFUNCTION("""COMPUTED_VALUE"""),"TRẦN VĂN TÂM - 0004")</f>
        <v>TRẦN VĂN TÂM - 0004</v>
      </c>
      <c r="D21" s="17">
        <f ca="1">IFERROR(__xludf.DUMMYFUNCTION("""COMPUTED_VALUE"""),466000)</f>
        <v>466000</v>
      </c>
      <c r="E21" s="17">
        <f ca="1">IFERROR(__xludf.DUMMYFUNCTION("""COMPUTED_VALUE"""),466000)</f>
        <v>466000</v>
      </c>
      <c r="F21" s="17">
        <f ca="1">IFERROR(__xludf.DUMMYFUNCTION("""COMPUTED_VALUE"""),4)</f>
        <v>4</v>
      </c>
      <c r="G21" s="17">
        <f ca="1">IFERROR(__xludf.DUMMYFUNCTION("""COMPUTED_VALUE"""),25)</f>
        <v>25</v>
      </c>
      <c r="H21" s="17">
        <f ca="1">IFERROR(__xludf.DUMMYFUNCTION("""COMPUTED_VALUE"""),65)</f>
        <v>65</v>
      </c>
      <c r="I21" s="17">
        <f ca="1">IFERROR(__xludf.DUMMYFUNCTION("""COMPUTED_VALUE"""),40)</f>
        <v>40</v>
      </c>
      <c r="J21" s="16">
        <f ca="1">IFERROR(__xludf.DUMMYFUNCTION("""COMPUTED_VALUE"""),0)</f>
        <v>0</v>
      </c>
      <c r="K21" s="17">
        <f ca="1">IFERROR(__xludf.DUMMYFUNCTION("""COMPUTED_VALUE"""),0)</f>
        <v>0</v>
      </c>
      <c r="L21" s="17">
        <f ca="1">IFERROR(__xludf.DUMMYFUNCTION("""COMPUTED_VALUE"""),0)</f>
        <v>0</v>
      </c>
      <c r="M21" s="17">
        <f ca="1">IFERROR(__xludf.DUMMYFUNCTION("""COMPUTED_VALUE"""),0)</f>
        <v>0</v>
      </c>
      <c r="N21" s="17">
        <f ca="1">IFERROR(__xludf.DUMMYFUNCTION("""COMPUTED_VALUE"""),0)</f>
        <v>0</v>
      </c>
      <c r="O21" s="17">
        <f ca="1">IFERROR(__xludf.DUMMYFUNCTION("""COMPUTED_VALUE"""),0)</f>
        <v>0</v>
      </c>
      <c r="P21" s="17"/>
      <c r="Q21" s="17">
        <f ca="1">IFERROR(__xludf.DUMMYFUNCTION("""COMPUTED_VALUE"""),0)</f>
        <v>0</v>
      </c>
      <c r="R21" s="17">
        <f ca="1">IFERROR(__xludf.DUMMYFUNCTION("""COMPUTED_VALUE"""),0)</f>
        <v>0</v>
      </c>
      <c r="S21" s="17">
        <f ca="1">IFERROR(__xludf.DUMMYFUNCTION("""COMPUTED_VALUE"""),0)</f>
        <v>0</v>
      </c>
      <c r="T21" s="17">
        <f ca="1">IFERROR(__xludf.DUMMYFUNCTION("""COMPUTED_VALUE"""),0)</f>
        <v>0</v>
      </c>
      <c r="U21" s="17">
        <f ca="1">IFERROR(__xludf.DUMMYFUNCTION("""COMPUTED_VALUE"""),0)</f>
        <v>0</v>
      </c>
      <c r="V21" s="17">
        <f ca="1">IFERROR(__xludf.DUMMYFUNCTION("""COMPUTED_VALUE"""),0)</f>
        <v>0</v>
      </c>
      <c r="W21" s="17"/>
      <c r="X21" s="17">
        <f ca="1">IFERROR(__xludf.DUMMYFUNCTION("""COMPUTED_VALUE"""),0)</f>
        <v>0</v>
      </c>
      <c r="Y21" s="17">
        <f ca="1">IFERROR(__xludf.DUMMYFUNCTION("""COMPUTED_VALUE"""),0)</f>
        <v>0</v>
      </c>
      <c r="Z21" s="17">
        <f ca="1">IFERROR(__xludf.DUMMYFUNCTION("""COMPUTED_VALUE"""),0)</f>
        <v>0</v>
      </c>
      <c r="AA21" s="16"/>
      <c r="AB21" s="14"/>
      <c r="AC21" s="14"/>
      <c r="AD21" s="14"/>
      <c r="AE21" s="14"/>
      <c r="AF21" s="14"/>
      <c r="AG21" s="14"/>
      <c r="AH21" s="14"/>
      <c r="AI21" s="14"/>
    </row>
    <row r="22" spans="1:35" x14ac:dyDescent="0.2">
      <c r="A22" s="16">
        <v>15</v>
      </c>
      <c r="B22" s="16" t="str">
        <f ca="1">IFERROR(__xludf.DUMMYFUNCTION("""COMPUTED_VALUE"""),"BL3036")</f>
        <v>BL3036</v>
      </c>
      <c r="C22" s="16" t="str">
        <f ca="1">IFERROR(__xludf.DUMMYFUNCTION("""COMPUTED_VALUE"""),"ONG HÒA LƯỢNG - 0046")</f>
        <v>ONG HÒA LƯỢNG - 0046</v>
      </c>
      <c r="D22" s="17">
        <f ca="1">IFERROR(__xludf.DUMMYFUNCTION("""COMPUTED_VALUE"""),221000)</f>
        <v>221000</v>
      </c>
      <c r="E22" s="17">
        <f ca="1">IFERROR(__xludf.DUMMYFUNCTION("""COMPUTED_VALUE"""),221000)</f>
        <v>221000</v>
      </c>
      <c r="F22" s="17">
        <f ca="1">IFERROR(__xludf.DUMMYFUNCTION("""COMPUTED_VALUE"""),2)</f>
        <v>2</v>
      </c>
      <c r="G22" s="17">
        <f ca="1">IFERROR(__xludf.DUMMYFUNCTION("""COMPUTED_VALUE"""),5)</f>
        <v>5</v>
      </c>
      <c r="H22" s="17">
        <f ca="1">IFERROR(__xludf.DUMMYFUNCTION("""COMPUTED_VALUE"""),24)</f>
        <v>24</v>
      </c>
      <c r="I22" s="17">
        <f ca="1">IFERROR(__xludf.DUMMYFUNCTION("""COMPUTED_VALUE"""),19)</f>
        <v>19</v>
      </c>
      <c r="J22" s="16">
        <f ca="1">IFERROR(__xludf.DUMMYFUNCTION("""COMPUTED_VALUE"""),0)</f>
        <v>0</v>
      </c>
      <c r="K22" s="17">
        <f ca="1">IFERROR(__xludf.DUMMYFUNCTION("""COMPUTED_VALUE"""),0)</f>
        <v>0</v>
      </c>
      <c r="L22" s="17">
        <f ca="1">IFERROR(__xludf.DUMMYFUNCTION("""COMPUTED_VALUE"""),0)</f>
        <v>0</v>
      </c>
      <c r="M22" s="17">
        <f ca="1">IFERROR(__xludf.DUMMYFUNCTION("""COMPUTED_VALUE"""),0)</f>
        <v>0</v>
      </c>
      <c r="N22" s="17">
        <f ca="1">IFERROR(__xludf.DUMMYFUNCTION("""COMPUTED_VALUE"""),0)</f>
        <v>0</v>
      </c>
      <c r="O22" s="17">
        <f ca="1">IFERROR(__xludf.DUMMYFUNCTION("""COMPUTED_VALUE"""),0)</f>
        <v>0</v>
      </c>
      <c r="P22" s="17"/>
      <c r="Q22" s="17">
        <f ca="1">IFERROR(__xludf.DUMMYFUNCTION("""COMPUTED_VALUE"""),0)</f>
        <v>0</v>
      </c>
      <c r="R22" s="17">
        <f ca="1">IFERROR(__xludf.DUMMYFUNCTION("""COMPUTED_VALUE"""),0)</f>
        <v>0</v>
      </c>
      <c r="S22" s="17">
        <f ca="1">IFERROR(__xludf.DUMMYFUNCTION("""COMPUTED_VALUE"""),0)</f>
        <v>0</v>
      </c>
      <c r="T22" s="17">
        <f ca="1">IFERROR(__xludf.DUMMYFUNCTION("""COMPUTED_VALUE"""),0)</f>
        <v>0</v>
      </c>
      <c r="U22" s="17">
        <f ca="1">IFERROR(__xludf.DUMMYFUNCTION("""COMPUTED_VALUE"""),0)</f>
        <v>0</v>
      </c>
      <c r="V22" s="17">
        <f ca="1">IFERROR(__xludf.DUMMYFUNCTION("""COMPUTED_VALUE"""),0)</f>
        <v>0</v>
      </c>
      <c r="W22" s="17"/>
      <c r="X22" s="17">
        <f ca="1">IFERROR(__xludf.DUMMYFUNCTION("""COMPUTED_VALUE"""),0)</f>
        <v>0</v>
      </c>
      <c r="Y22" s="17">
        <f ca="1">IFERROR(__xludf.DUMMYFUNCTION("""COMPUTED_VALUE"""),0)</f>
        <v>0</v>
      </c>
      <c r="Z22" s="17">
        <f ca="1">IFERROR(__xludf.DUMMYFUNCTION("""COMPUTED_VALUE"""),0)</f>
        <v>0</v>
      </c>
      <c r="AA22" s="16"/>
      <c r="AB22" s="14"/>
      <c r="AC22" s="14"/>
      <c r="AD22" s="14"/>
      <c r="AE22" s="14"/>
      <c r="AF22" s="14"/>
      <c r="AG22" s="14"/>
      <c r="AH22" s="14"/>
      <c r="AI22" s="14"/>
    </row>
    <row r="23" spans="1:35" x14ac:dyDescent="0.2">
      <c r="A23" s="16">
        <v>16</v>
      </c>
      <c r="B23" s="16" t="str">
        <f ca="1">IFERROR(__xludf.DUMMYFUNCTION("""COMPUTED_VALUE"""),"BL3037")</f>
        <v>BL3037</v>
      </c>
      <c r="C23" s="16" t="str">
        <f ca="1">IFERROR(__xludf.DUMMYFUNCTION("""COMPUTED_VALUE"""),"NGUYỄN QUỐC GIANG - 0100")</f>
        <v>NGUYỄN QUỐC GIANG - 0100</v>
      </c>
      <c r="D23" s="17">
        <f ca="1">IFERROR(__xludf.DUMMYFUNCTION("""COMPUTED_VALUE"""),1545000)</f>
        <v>1545000</v>
      </c>
      <c r="E23" s="17">
        <f ca="1">IFERROR(__xludf.DUMMYFUNCTION("""COMPUTED_VALUE"""),1545000)</f>
        <v>1545000</v>
      </c>
      <c r="F23" s="17">
        <f ca="1">IFERROR(__xludf.DUMMYFUNCTION("""COMPUTED_VALUE"""),11)</f>
        <v>11</v>
      </c>
      <c r="G23" s="17">
        <f ca="1">IFERROR(__xludf.DUMMYFUNCTION("""COMPUTED_VALUE"""),180)</f>
        <v>180</v>
      </c>
      <c r="H23" s="17">
        <f ca="1">IFERROR(__xludf.DUMMYFUNCTION("""COMPUTED_VALUE"""),360)</f>
        <v>360</v>
      </c>
      <c r="I23" s="17">
        <f ca="1">IFERROR(__xludf.DUMMYFUNCTION("""COMPUTED_VALUE"""),180)</f>
        <v>180</v>
      </c>
      <c r="J23" s="16">
        <f ca="1">IFERROR(__xludf.DUMMYFUNCTION("""COMPUTED_VALUE"""),498500)</f>
        <v>498500</v>
      </c>
      <c r="K23" s="17">
        <f ca="1">IFERROR(__xludf.DUMMYFUNCTION("""COMPUTED_VALUE"""),0)</f>
        <v>0</v>
      </c>
      <c r="L23" s="17">
        <f ca="1">IFERROR(__xludf.DUMMYFUNCTION("""COMPUTED_VALUE"""),0)</f>
        <v>0</v>
      </c>
      <c r="M23" s="17">
        <f ca="1">IFERROR(__xludf.DUMMYFUNCTION("""COMPUTED_VALUE"""),0)</f>
        <v>0</v>
      </c>
      <c r="N23" s="17">
        <f ca="1">IFERROR(__xludf.DUMMYFUNCTION("""COMPUTED_VALUE"""),0)</f>
        <v>0</v>
      </c>
      <c r="O23" s="17">
        <f ca="1">IFERROR(__xludf.DUMMYFUNCTION("""COMPUTED_VALUE"""),0)</f>
        <v>0</v>
      </c>
      <c r="P23" s="17"/>
      <c r="Q23" s="17">
        <f ca="1">IFERROR(__xludf.DUMMYFUNCTION("""COMPUTED_VALUE"""),498500)</f>
        <v>498500</v>
      </c>
      <c r="R23" s="17">
        <f ca="1">IFERROR(__xludf.DUMMYFUNCTION("""COMPUTED_VALUE"""),84000)</f>
        <v>84000</v>
      </c>
      <c r="S23" s="17">
        <f ca="1">IFERROR(__xludf.DUMMYFUNCTION("""COMPUTED_VALUE"""),0)</f>
        <v>0</v>
      </c>
      <c r="T23" s="17">
        <f ca="1">IFERROR(__xludf.DUMMYFUNCTION("""COMPUTED_VALUE"""),0)</f>
        <v>0</v>
      </c>
      <c r="U23" s="17">
        <f ca="1">IFERROR(__xludf.DUMMYFUNCTION("""COMPUTED_VALUE"""),0)</f>
        <v>0</v>
      </c>
      <c r="V23" s="17">
        <f ca="1">IFERROR(__xludf.DUMMYFUNCTION("""COMPUTED_VALUE"""),0)</f>
        <v>0</v>
      </c>
      <c r="W23" s="17"/>
      <c r="X23" s="17">
        <f ca="1">IFERROR(__xludf.DUMMYFUNCTION("""COMPUTED_VALUE"""),84000)</f>
        <v>84000</v>
      </c>
      <c r="Y23" s="17">
        <f ca="1">IFERROR(__xludf.DUMMYFUNCTION("""COMPUTED_VALUE"""),0)</f>
        <v>0</v>
      </c>
      <c r="Z23" s="17">
        <f ca="1">IFERROR(__xludf.DUMMYFUNCTION("""COMPUTED_VALUE"""),0)</f>
        <v>0</v>
      </c>
      <c r="AA23" s="16"/>
      <c r="AB23" s="14"/>
      <c r="AC23" s="14"/>
      <c r="AD23" s="14"/>
      <c r="AE23" s="14"/>
      <c r="AF23" s="14"/>
      <c r="AG23" s="14"/>
      <c r="AH23" s="14"/>
      <c r="AI23" s="14"/>
    </row>
    <row r="24" spans="1:35" x14ac:dyDescent="0.2">
      <c r="A24" s="16">
        <v>17</v>
      </c>
      <c r="B24" s="16" t="str">
        <f ca="1">IFERROR(__xludf.DUMMYFUNCTION("""COMPUTED_VALUE"""),"BL3039")</f>
        <v>BL3039</v>
      </c>
      <c r="C24" s="16" t="str">
        <f ca="1">IFERROR(__xludf.DUMMYFUNCTION("""COMPUTED_VALUE"""),"NGUYỄN KHẮC KIỆT - 0036")</f>
        <v>NGUYỄN KHẮC KIỆT - 0036</v>
      </c>
      <c r="D24" s="17">
        <f ca="1">IFERROR(__xludf.DUMMYFUNCTION("""COMPUTED_VALUE"""),177000)</f>
        <v>177000</v>
      </c>
      <c r="E24" s="17">
        <f ca="1">IFERROR(__xludf.DUMMYFUNCTION("""COMPUTED_VALUE"""),177000)</f>
        <v>177000</v>
      </c>
      <c r="F24" s="17">
        <f ca="1">IFERROR(__xludf.DUMMYFUNCTION("""COMPUTED_VALUE"""),3)</f>
        <v>3</v>
      </c>
      <c r="G24" s="17">
        <f ca="1">IFERROR(__xludf.DUMMYFUNCTION("""COMPUTED_VALUE"""),7)</f>
        <v>7</v>
      </c>
      <c r="H24" s="17">
        <f ca="1">IFERROR(__xludf.DUMMYFUNCTION("""COMPUTED_VALUE"""),22)</f>
        <v>22</v>
      </c>
      <c r="I24" s="17">
        <f ca="1">IFERROR(__xludf.DUMMYFUNCTION("""COMPUTED_VALUE"""),15)</f>
        <v>15</v>
      </c>
      <c r="J24" s="16">
        <f ca="1">IFERROR(__xludf.DUMMYFUNCTION("""COMPUTED_VALUE"""),0)</f>
        <v>0</v>
      </c>
      <c r="K24" s="17">
        <f ca="1">IFERROR(__xludf.DUMMYFUNCTION("""COMPUTED_VALUE"""),0)</f>
        <v>0</v>
      </c>
      <c r="L24" s="17">
        <f ca="1">IFERROR(__xludf.DUMMYFUNCTION("""COMPUTED_VALUE"""),0)</f>
        <v>0</v>
      </c>
      <c r="M24" s="17">
        <f ca="1">IFERROR(__xludf.DUMMYFUNCTION("""COMPUTED_VALUE"""),0)</f>
        <v>0</v>
      </c>
      <c r="N24" s="17">
        <f ca="1">IFERROR(__xludf.DUMMYFUNCTION("""COMPUTED_VALUE"""),0)</f>
        <v>0</v>
      </c>
      <c r="O24" s="17">
        <f ca="1">IFERROR(__xludf.DUMMYFUNCTION("""COMPUTED_VALUE"""),0)</f>
        <v>0</v>
      </c>
      <c r="P24" s="17"/>
      <c r="Q24" s="17">
        <f ca="1">IFERROR(__xludf.DUMMYFUNCTION("""COMPUTED_VALUE"""),0)</f>
        <v>0</v>
      </c>
      <c r="R24" s="17">
        <f ca="1">IFERROR(__xludf.DUMMYFUNCTION("""COMPUTED_VALUE"""),0)</f>
        <v>0</v>
      </c>
      <c r="S24" s="17">
        <f ca="1">IFERROR(__xludf.DUMMYFUNCTION("""COMPUTED_VALUE"""),0)</f>
        <v>0</v>
      </c>
      <c r="T24" s="17">
        <f ca="1">IFERROR(__xludf.DUMMYFUNCTION("""COMPUTED_VALUE"""),0)</f>
        <v>0</v>
      </c>
      <c r="U24" s="17">
        <f ca="1">IFERROR(__xludf.DUMMYFUNCTION("""COMPUTED_VALUE"""),0)</f>
        <v>0</v>
      </c>
      <c r="V24" s="17">
        <f ca="1">IFERROR(__xludf.DUMMYFUNCTION("""COMPUTED_VALUE"""),0)</f>
        <v>0</v>
      </c>
      <c r="W24" s="17"/>
      <c r="X24" s="17">
        <f ca="1">IFERROR(__xludf.DUMMYFUNCTION("""COMPUTED_VALUE"""),0)</f>
        <v>0</v>
      </c>
      <c r="Y24" s="17">
        <f ca="1">IFERROR(__xludf.DUMMYFUNCTION("""COMPUTED_VALUE"""),0)</f>
        <v>0</v>
      </c>
      <c r="Z24" s="17">
        <f ca="1">IFERROR(__xludf.DUMMYFUNCTION("""COMPUTED_VALUE"""),0)</f>
        <v>0</v>
      </c>
      <c r="AA24" s="16"/>
      <c r="AB24" s="14"/>
      <c r="AC24" s="14"/>
      <c r="AD24" s="14"/>
      <c r="AE24" s="14"/>
      <c r="AF24" s="14"/>
      <c r="AG24" s="14"/>
      <c r="AH24" s="14"/>
      <c r="AI24" s="14"/>
    </row>
    <row r="25" spans="1:35" x14ac:dyDescent="0.2">
      <c r="A25" s="16">
        <v>18</v>
      </c>
      <c r="B25" s="16" t="str">
        <f ca="1">IFERROR(__xludf.DUMMYFUNCTION("""COMPUTED_VALUE"""),"BL3040")</f>
        <v>BL3040</v>
      </c>
      <c r="C25" s="16" t="str">
        <f ca="1">IFERROR(__xludf.DUMMYFUNCTION("""COMPUTED_VALUE"""),"NGUYỄN VĂN MINH - 0003")</f>
        <v>NGUYỄN VĂN MINH - 0003</v>
      </c>
      <c r="D25" s="17">
        <f ca="1">IFERROR(__xludf.DUMMYFUNCTION("""COMPUTED_VALUE"""),318000)</f>
        <v>318000</v>
      </c>
      <c r="E25" s="17">
        <f ca="1">IFERROR(__xludf.DUMMYFUNCTION("""COMPUTED_VALUE"""),318000)</f>
        <v>318000</v>
      </c>
      <c r="F25" s="17">
        <f ca="1">IFERROR(__xludf.DUMMYFUNCTION("""COMPUTED_VALUE"""),3)</f>
        <v>3</v>
      </c>
      <c r="G25" s="17">
        <f ca="1">IFERROR(__xludf.DUMMYFUNCTION("""COMPUTED_VALUE"""),12)</f>
        <v>12</v>
      </c>
      <c r="H25" s="17">
        <f ca="1">IFERROR(__xludf.DUMMYFUNCTION("""COMPUTED_VALUE"""),46)</f>
        <v>46</v>
      </c>
      <c r="I25" s="17">
        <f ca="1">IFERROR(__xludf.DUMMYFUNCTION("""COMPUTED_VALUE"""),34)</f>
        <v>34</v>
      </c>
      <c r="J25" s="16">
        <f ca="1">IFERROR(__xludf.DUMMYFUNCTION("""COMPUTED_VALUE"""),85500)</f>
        <v>85500</v>
      </c>
      <c r="K25" s="17">
        <f ca="1">IFERROR(__xludf.DUMMYFUNCTION("""COMPUTED_VALUE"""),0)</f>
        <v>0</v>
      </c>
      <c r="L25" s="17">
        <f ca="1">IFERROR(__xludf.DUMMYFUNCTION("""COMPUTED_VALUE"""),0)</f>
        <v>0</v>
      </c>
      <c r="M25" s="17">
        <f ca="1">IFERROR(__xludf.DUMMYFUNCTION("""COMPUTED_VALUE"""),0)</f>
        <v>0</v>
      </c>
      <c r="N25" s="17">
        <f ca="1">IFERROR(__xludf.DUMMYFUNCTION("""COMPUTED_VALUE"""),0)</f>
        <v>0</v>
      </c>
      <c r="O25" s="17">
        <f ca="1">IFERROR(__xludf.DUMMYFUNCTION("""COMPUTED_VALUE"""),0)</f>
        <v>0</v>
      </c>
      <c r="P25" s="17"/>
      <c r="Q25" s="17">
        <f ca="1">IFERROR(__xludf.DUMMYFUNCTION("""COMPUTED_VALUE"""),85500)</f>
        <v>85500</v>
      </c>
      <c r="R25" s="17">
        <f ca="1">IFERROR(__xludf.DUMMYFUNCTION("""COMPUTED_VALUE"""),9000)</f>
        <v>9000</v>
      </c>
      <c r="S25" s="17">
        <f ca="1">IFERROR(__xludf.DUMMYFUNCTION("""COMPUTED_VALUE"""),7000)</f>
        <v>7000</v>
      </c>
      <c r="T25" s="17">
        <f ca="1">IFERROR(__xludf.DUMMYFUNCTION("""COMPUTED_VALUE"""),0)</f>
        <v>0</v>
      </c>
      <c r="U25" s="17">
        <f ca="1">IFERROR(__xludf.DUMMYFUNCTION("""COMPUTED_VALUE"""),0)</f>
        <v>0</v>
      </c>
      <c r="V25" s="17">
        <f ca="1">IFERROR(__xludf.DUMMYFUNCTION("""COMPUTED_VALUE"""),0)</f>
        <v>0</v>
      </c>
      <c r="W25" s="17"/>
      <c r="X25" s="17">
        <f ca="1">IFERROR(__xludf.DUMMYFUNCTION("""COMPUTED_VALUE"""),16000)</f>
        <v>16000</v>
      </c>
      <c r="Y25" s="17">
        <f ca="1">IFERROR(__xludf.DUMMYFUNCTION("""COMPUTED_VALUE"""),0)</f>
        <v>0</v>
      </c>
      <c r="Z25" s="17">
        <f ca="1">IFERROR(__xludf.DUMMYFUNCTION("""COMPUTED_VALUE"""),0)</f>
        <v>0</v>
      </c>
      <c r="AA25" s="16"/>
      <c r="AB25" s="14"/>
      <c r="AC25" s="14"/>
      <c r="AD25" s="14"/>
      <c r="AE25" s="14"/>
      <c r="AF25" s="14"/>
      <c r="AG25" s="14"/>
      <c r="AH25" s="14"/>
      <c r="AI25" s="14"/>
    </row>
    <row r="26" spans="1:35" x14ac:dyDescent="0.2">
      <c r="A26" s="16">
        <v>19</v>
      </c>
      <c r="B26" s="16" t="str">
        <f ca="1">IFERROR(__xludf.DUMMYFUNCTION("""COMPUTED_VALUE"""),"BL3042")</f>
        <v>BL3042</v>
      </c>
      <c r="C26" s="16" t="str">
        <f ca="1">IFERROR(__xludf.DUMMYFUNCTION("""COMPUTED_VALUE"""),"Huỳnh Việt Quang - 0112")</f>
        <v>Huỳnh Việt Quang - 0112</v>
      </c>
      <c r="D26" s="17">
        <f ca="1">IFERROR(__xludf.DUMMYFUNCTION("""COMPUTED_VALUE"""),909000)</f>
        <v>909000</v>
      </c>
      <c r="E26" s="17">
        <f ca="1">IFERROR(__xludf.DUMMYFUNCTION("""COMPUTED_VALUE"""),909000)</f>
        <v>909000</v>
      </c>
      <c r="F26" s="17">
        <f ca="1">IFERROR(__xludf.DUMMYFUNCTION("""COMPUTED_VALUE"""),1)</f>
        <v>1</v>
      </c>
      <c r="G26" s="17">
        <f ca="1">IFERROR(__xludf.DUMMYFUNCTION("""COMPUTED_VALUE"""),10)</f>
        <v>10</v>
      </c>
      <c r="H26" s="17">
        <f ca="1">IFERROR(__xludf.DUMMYFUNCTION("""COMPUTED_VALUE"""),121)</f>
        <v>121</v>
      </c>
      <c r="I26" s="17">
        <f ca="1">IFERROR(__xludf.DUMMYFUNCTION("""COMPUTED_VALUE"""),111)</f>
        <v>111</v>
      </c>
      <c r="J26" s="16">
        <f ca="1">IFERROR(__xludf.DUMMYFUNCTION("""COMPUTED_VALUE"""),198000)</f>
        <v>198000</v>
      </c>
      <c r="K26" s="17">
        <f ca="1">IFERROR(__xludf.DUMMYFUNCTION("""COMPUTED_VALUE"""),0)</f>
        <v>0</v>
      </c>
      <c r="L26" s="17">
        <f ca="1">IFERROR(__xludf.DUMMYFUNCTION("""COMPUTED_VALUE"""),0)</f>
        <v>0</v>
      </c>
      <c r="M26" s="17">
        <f ca="1">IFERROR(__xludf.DUMMYFUNCTION("""COMPUTED_VALUE"""),0)</f>
        <v>0</v>
      </c>
      <c r="N26" s="17">
        <f ca="1">IFERROR(__xludf.DUMMYFUNCTION("""COMPUTED_VALUE"""),0)</f>
        <v>0</v>
      </c>
      <c r="O26" s="17">
        <f ca="1">IFERROR(__xludf.DUMMYFUNCTION("""COMPUTED_VALUE"""),0)</f>
        <v>0</v>
      </c>
      <c r="P26" s="17"/>
      <c r="Q26" s="17">
        <f ca="1">IFERROR(__xludf.DUMMYFUNCTION("""COMPUTED_VALUE"""),198000)</f>
        <v>198000</v>
      </c>
      <c r="R26" s="17">
        <f ca="1">IFERROR(__xludf.DUMMYFUNCTION("""COMPUTED_VALUE"""),9000)</f>
        <v>9000</v>
      </c>
      <c r="S26" s="17">
        <f ca="1">IFERROR(__xludf.DUMMYFUNCTION("""COMPUTED_VALUE"""),0)</f>
        <v>0</v>
      </c>
      <c r="T26" s="17">
        <f ca="1">IFERROR(__xludf.DUMMYFUNCTION("""COMPUTED_VALUE"""),0)</f>
        <v>0</v>
      </c>
      <c r="U26" s="17">
        <f ca="1">IFERROR(__xludf.DUMMYFUNCTION("""COMPUTED_VALUE"""),0)</f>
        <v>0</v>
      </c>
      <c r="V26" s="17">
        <f ca="1">IFERROR(__xludf.DUMMYFUNCTION("""COMPUTED_VALUE"""),0)</f>
        <v>0</v>
      </c>
      <c r="W26" s="17"/>
      <c r="X26" s="17">
        <f ca="1">IFERROR(__xludf.DUMMYFUNCTION("""COMPUTED_VALUE"""),9000)</f>
        <v>9000</v>
      </c>
      <c r="Y26" s="17">
        <f ca="1">IFERROR(__xludf.DUMMYFUNCTION("""COMPUTED_VALUE"""),0)</f>
        <v>0</v>
      </c>
      <c r="Z26" s="17">
        <f ca="1">IFERROR(__xludf.DUMMYFUNCTION("""COMPUTED_VALUE"""),0)</f>
        <v>0</v>
      </c>
      <c r="AA26" s="16"/>
      <c r="AB26" s="14"/>
      <c r="AC26" s="14"/>
      <c r="AD26" s="14"/>
      <c r="AE26" s="14"/>
      <c r="AF26" s="14"/>
      <c r="AG26" s="14"/>
      <c r="AH26" s="14"/>
      <c r="AI26" s="14"/>
    </row>
    <row r="27" spans="1:35" x14ac:dyDescent="0.2">
      <c r="A27" s="16">
        <v>20</v>
      </c>
      <c r="B27" s="16" t="str">
        <f ca="1">IFERROR(__xludf.DUMMYFUNCTION("""COMPUTED_VALUE"""),"BL3043")</f>
        <v>BL3043</v>
      </c>
      <c r="C27" s="16" t="str">
        <f ca="1">IFERROR(__xludf.DUMMYFUNCTION("""COMPUTED_VALUE"""),"LÊ VĂN CHÍ - 0060")</f>
        <v>LÊ VĂN CHÍ - 0060</v>
      </c>
      <c r="D27" s="17">
        <f ca="1">IFERROR(__xludf.DUMMYFUNCTION("""COMPUTED_VALUE"""),698000)</f>
        <v>698000</v>
      </c>
      <c r="E27" s="17">
        <f ca="1">IFERROR(__xludf.DUMMYFUNCTION("""COMPUTED_VALUE"""),690000)</f>
        <v>690000</v>
      </c>
      <c r="F27" s="17">
        <f ca="1">IFERROR(__xludf.DUMMYFUNCTION("""COMPUTED_VALUE"""),5)</f>
        <v>5</v>
      </c>
      <c r="G27" s="17">
        <f ca="1">IFERROR(__xludf.DUMMYFUNCTION("""COMPUTED_VALUE"""),51)</f>
        <v>51</v>
      </c>
      <c r="H27" s="17">
        <f ca="1">IFERROR(__xludf.DUMMYFUNCTION("""COMPUTED_VALUE"""),130)</f>
        <v>130</v>
      </c>
      <c r="I27" s="17">
        <f ca="1">IFERROR(__xludf.DUMMYFUNCTION("""COMPUTED_VALUE"""),79)</f>
        <v>79</v>
      </c>
      <c r="J27" s="16">
        <f ca="1">IFERROR(__xludf.DUMMYFUNCTION("""COMPUTED_VALUE"""),441500)</f>
        <v>441500</v>
      </c>
      <c r="K27" s="17">
        <f ca="1">IFERROR(__xludf.DUMMYFUNCTION("""COMPUTED_VALUE"""),0)</f>
        <v>0</v>
      </c>
      <c r="L27" s="17">
        <f ca="1">IFERROR(__xludf.DUMMYFUNCTION("""COMPUTED_VALUE"""),0)</f>
        <v>0</v>
      </c>
      <c r="M27" s="17">
        <f ca="1">IFERROR(__xludf.DUMMYFUNCTION("""COMPUTED_VALUE"""),0)</f>
        <v>0</v>
      </c>
      <c r="N27" s="17">
        <f ca="1">IFERROR(__xludf.DUMMYFUNCTION("""COMPUTED_VALUE"""),0)</f>
        <v>0</v>
      </c>
      <c r="O27" s="17">
        <f ca="1">IFERROR(__xludf.DUMMYFUNCTION("""COMPUTED_VALUE"""),0)</f>
        <v>0</v>
      </c>
      <c r="P27" s="17"/>
      <c r="Q27" s="17">
        <f ca="1">IFERROR(__xludf.DUMMYFUNCTION("""COMPUTED_VALUE"""),441500)</f>
        <v>441500</v>
      </c>
      <c r="R27" s="17">
        <f ca="1">IFERROR(__xludf.DUMMYFUNCTION("""COMPUTED_VALUE"""),255000)</f>
        <v>255000</v>
      </c>
      <c r="S27" s="17">
        <f ca="1">IFERROR(__xludf.DUMMYFUNCTION("""COMPUTED_VALUE"""),0)</f>
        <v>0</v>
      </c>
      <c r="T27" s="17">
        <f ca="1">IFERROR(__xludf.DUMMYFUNCTION("""COMPUTED_VALUE"""),0)</f>
        <v>0</v>
      </c>
      <c r="U27" s="17">
        <f ca="1">IFERROR(__xludf.DUMMYFUNCTION("""COMPUTED_VALUE"""),29000)</f>
        <v>29000</v>
      </c>
      <c r="V27" s="17">
        <f ca="1">IFERROR(__xludf.DUMMYFUNCTION("""COMPUTED_VALUE"""),0)</f>
        <v>0</v>
      </c>
      <c r="W27" s="17"/>
      <c r="X27" s="17">
        <f ca="1">IFERROR(__xludf.DUMMYFUNCTION("""COMPUTED_VALUE"""),284000)</f>
        <v>284000</v>
      </c>
      <c r="Y27" s="17">
        <f ca="1">IFERROR(__xludf.DUMMYFUNCTION("""COMPUTED_VALUE"""),0)</f>
        <v>0</v>
      </c>
      <c r="Z27" s="17">
        <f ca="1">IFERROR(__xludf.DUMMYFUNCTION("""COMPUTED_VALUE"""),8000)</f>
        <v>8000</v>
      </c>
      <c r="AA27" s="16"/>
      <c r="AB27" s="14"/>
      <c r="AC27" s="14"/>
      <c r="AD27" s="14"/>
      <c r="AE27" s="14"/>
      <c r="AF27" s="14"/>
      <c r="AG27" s="14"/>
      <c r="AH27" s="14"/>
      <c r="AI27" s="14"/>
    </row>
    <row r="28" spans="1:35" x14ac:dyDescent="0.2">
      <c r="A28" s="16">
        <v>21</v>
      </c>
      <c r="B28" s="16" t="str">
        <f ca="1">IFERROR(__xludf.DUMMYFUNCTION("""COMPUTED_VALUE"""),"BL3044")</f>
        <v>BL3044</v>
      </c>
      <c r="C28" s="16" t="str">
        <f ca="1">IFERROR(__xludf.DUMMYFUNCTION("""COMPUTED_VALUE"""),"NGUYỄN NHẬT LINH - 0030")</f>
        <v>NGUYỄN NHẬT LINH - 0030</v>
      </c>
      <c r="D28" s="17">
        <f ca="1">IFERROR(__xludf.DUMMYFUNCTION("""COMPUTED_VALUE"""),1542000)</f>
        <v>1542000</v>
      </c>
      <c r="E28" s="17">
        <f ca="1">IFERROR(__xludf.DUMMYFUNCTION("""COMPUTED_VALUE"""),1542000)</f>
        <v>1542000</v>
      </c>
      <c r="F28" s="17">
        <f ca="1">IFERROR(__xludf.DUMMYFUNCTION("""COMPUTED_VALUE"""),4)</f>
        <v>4</v>
      </c>
      <c r="G28" s="17">
        <f ca="1">IFERROR(__xludf.DUMMYFUNCTION("""COMPUTED_VALUE"""),44)</f>
        <v>44</v>
      </c>
      <c r="H28" s="17">
        <f ca="1">IFERROR(__xludf.DUMMYFUNCTION("""COMPUTED_VALUE"""),293)</f>
        <v>293</v>
      </c>
      <c r="I28" s="17">
        <f ca="1">IFERROR(__xludf.DUMMYFUNCTION("""COMPUTED_VALUE"""),249)</f>
        <v>249</v>
      </c>
      <c r="J28" s="16">
        <f ca="1">IFERROR(__xludf.DUMMYFUNCTION("""COMPUTED_VALUE"""),913000)</f>
        <v>913000</v>
      </c>
      <c r="K28" s="17">
        <f ca="1">IFERROR(__xludf.DUMMYFUNCTION("""COMPUTED_VALUE"""),0)</f>
        <v>0</v>
      </c>
      <c r="L28" s="17">
        <f ca="1">IFERROR(__xludf.DUMMYFUNCTION("""COMPUTED_VALUE"""),0)</f>
        <v>0</v>
      </c>
      <c r="M28" s="17">
        <f ca="1">IFERROR(__xludf.DUMMYFUNCTION("""COMPUTED_VALUE"""),0)</f>
        <v>0</v>
      </c>
      <c r="N28" s="17">
        <f ca="1">IFERROR(__xludf.DUMMYFUNCTION("""COMPUTED_VALUE"""),0)</f>
        <v>0</v>
      </c>
      <c r="O28" s="17">
        <f ca="1">IFERROR(__xludf.DUMMYFUNCTION("""COMPUTED_VALUE"""),0)</f>
        <v>0</v>
      </c>
      <c r="P28" s="17"/>
      <c r="Q28" s="17">
        <f ca="1">IFERROR(__xludf.DUMMYFUNCTION("""COMPUTED_VALUE"""),913000)</f>
        <v>913000</v>
      </c>
      <c r="R28" s="17">
        <f ca="1">IFERROR(__xludf.DUMMYFUNCTION("""COMPUTED_VALUE"""),0)</f>
        <v>0</v>
      </c>
      <c r="S28" s="17">
        <f ca="1">IFERROR(__xludf.DUMMYFUNCTION("""COMPUTED_VALUE"""),0)</f>
        <v>0</v>
      </c>
      <c r="T28" s="17">
        <f ca="1">IFERROR(__xludf.DUMMYFUNCTION("""COMPUTED_VALUE"""),0)</f>
        <v>0</v>
      </c>
      <c r="U28" s="17">
        <f ca="1">IFERROR(__xludf.DUMMYFUNCTION("""COMPUTED_VALUE"""),0)</f>
        <v>0</v>
      </c>
      <c r="V28" s="17">
        <f ca="1">IFERROR(__xludf.DUMMYFUNCTION("""COMPUTED_VALUE"""),0)</f>
        <v>0</v>
      </c>
      <c r="W28" s="17"/>
      <c r="X28" s="17">
        <f ca="1">IFERROR(__xludf.DUMMYFUNCTION("""COMPUTED_VALUE"""),0)</f>
        <v>0</v>
      </c>
      <c r="Y28" s="17">
        <f ca="1">IFERROR(__xludf.DUMMYFUNCTION("""COMPUTED_VALUE"""),0)</f>
        <v>0</v>
      </c>
      <c r="Z28" s="17">
        <f ca="1">IFERROR(__xludf.DUMMYFUNCTION("""COMPUTED_VALUE"""),0)</f>
        <v>0</v>
      </c>
      <c r="AA28" s="16"/>
      <c r="AB28" s="14"/>
      <c r="AC28" s="14"/>
      <c r="AD28" s="14"/>
      <c r="AE28" s="14"/>
      <c r="AF28" s="14"/>
      <c r="AG28" s="14"/>
      <c r="AH28" s="14"/>
      <c r="AI28" s="14"/>
    </row>
    <row r="29" spans="1:35" x14ac:dyDescent="0.2">
      <c r="A29" s="16">
        <v>22</v>
      </c>
      <c r="B29" s="16" t="str">
        <f ca="1">IFERROR(__xludf.DUMMYFUNCTION("""COMPUTED_VALUE"""),"BL3045")</f>
        <v>BL3045</v>
      </c>
      <c r="C29" s="16" t="str">
        <f ca="1">IFERROR(__xludf.DUMMYFUNCTION("""COMPUTED_VALUE"""),"LÝ MINH VÂN - 0027")</f>
        <v>LÝ MINH VÂN - 0027</v>
      </c>
      <c r="D29" s="17">
        <f ca="1">IFERROR(__xludf.DUMMYFUNCTION("""COMPUTED_VALUE"""),482000)</f>
        <v>482000</v>
      </c>
      <c r="E29" s="17">
        <f ca="1">IFERROR(__xludf.DUMMYFUNCTION("""COMPUTED_VALUE"""),482000)</f>
        <v>482000</v>
      </c>
      <c r="F29" s="17">
        <f ca="1">IFERROR(__xludf.DUMMYFUNCTION("""COMPUTED_VALUE"""),11)</f>
        <v>11</v>
      </c>
      <c r="G29" s="17">
        <f ca="1">IFERROR(__xludf.DUMMYFUNCTION("""COMPUTED_VALUE"""),72)</f>
        <v>72</v>
      </c>
      <c r="H29" s="17">
        <f ca="1">IFERROR(__xludf.DUMMYFUNCTION("""COMPUTED_VALUE"""),143)</f>
        <v>143</v>
      </c>
      <c r="I29" s="17">
        <f ca="1">IFERROR(__xludf.DUMMYFUNCTION("""COMPUTED_VALUE"""),71)</f>
        <v>71</v>
      </c>
      <c r="J29" s="16">
        <f ca="1">IFERROR(__xludf.DUMMYFUNCTION("""COMPUTED_VALUE"""),305500)</f>
        <v>305500</v>
      </c>
      <c r="K29" s="17">
        <f ca="1">IFERROR(__xludf.DUMMYFUNCTION("""COMPUTED_VALUE"""),0)</f>
        <v>0</v>
      </c>
      <c r="L29" s="17">
        <f ca="1">IFERROR(__xludf.DUMMYFUNCTION("""COMPUTED_VALUE"""),0)</f>
        <v>0</v>
      </c>
      <c r="M29" s="17">
        <f ca="1">IFERROR(__xludf.DUMMYFUNCTION("""COMPUTED_VALUE"""),0)</f>
        <v>0</v>
      </c>
      <c r="N29" s="17">
        <f ca="1">IFERROR(__xludf.DUMMYFUNCTION("""COMPUTED_VALUE"""),0)</f>
        <v>0</v>
      </c>
      <c r="O29" s="17">
        <f ca="1">IFERROR(__xludf.DUMMYFUNCTION("""COMPUTED_VALUE"""),0)</f>
        <v>0</v>
      </c>
      <c r="P29" s="17"/>
      <c r="Q29" s="17">
        <f ca="1">IFERROR(__xludf.DUMMYFUNCTION("""COMPUTED_VALUE"""),305500)</f>
        <v>305500</v>
      </c>
      <c r="R29" s="17">
        <f ca="1">IFERROR(__xludf.DUMMYFUNCTION("""COMPUTED_VALUE"""),50000)</f>
        <v>50000</v>
      </c>
      <c r="S29" s="17">
        <f ca="1">IFERROR(__xludf.DUMMYFUNCTION("""COMPUTED_VALUE"""),0)</f>
        <v>0</v>
      </c>
      <c r="T29" s="17">
        <f ca="1">IFERROR(__xludf.DUMMYFUNCTION("""COMPUTED_VALUE"""),0)</f>
        <v>0</v>
      </c>
      <c r="U29" s="17">
        <f ca="1">IFERROR(__xludf.DUMMYFUNCTION("""COMPUTED_VALUE"""),0)</f>
        <v>0</v>
      </c>
      <c r="V29" s="17">
        <f ca="1">IFERROR(__xludf.DUMMYFUNCTION("""COMPUTED_VALUE"""),0)</f>
        <v>0</v>
      </c>
      <c r="W29" s="17"/>
      <c r="X29" s="17">
        <f ca="1">IFERROR(__xludf.DUMMYFUNCTION("""COMPUTED_VALUE"""),50000)</f>
        <v>50000</v>
      </c>
      <c r="Y29" s="17">
        <f ca="1">IFERROR(__xludf.DUMMYFUNCTION("""COMPUTED_VALUE"""),0)</f>
        <v>0</v>
      </c>
      <c r="Z29" s="17">
        <f ca="1">IFERROR(__xludf.DUMMYFUNCTION("""COMPUTED_VALUE"""),0)</f>
        <v>0</v>
      </c>
      <c r="AA29" s="16"/>
      <c r="AB29" s="14"/>
      <c r="AC29" s="14"/>
      <c r="AD29" s="14"/>
      <c r="AE29" s="14"/>
      <c r="AF29" s="14"/>
      <c r="AG29" s="14"/>
      <c r="AH29" s="14"/>
      <c r="AI29" s="14"/>
    </row>
    <row r="30" spans="1:35" x14ac:dyDescent="0.2">
      <c r="A30" s="16">
        <v>23</v>
      </c>
      <c r="B30" s="16" t="str">
        <f ca="1">IFERROR(__xludf.DUMMYFUNCTION("""COMPUTED_VALUE"""),"BL3046")</f>
        <v>BL3046</v>
      </c>
      <c r="C30" s="16" t="str">
        <f ca="1">IFERROR(__xludf.DUMMYFUNCTION("""COMPUTED_VALUE"""),"LÊ NGỌC THUẬN - 0034")</f>
        <v>LÊ NGỌC THUẬN - 0034</v>
      </c>
      <c r="D30" s="17">
        <f ca="1">IFERROR(__xludf.DUMMYFUNCTION("""COMPUTED_VALUE"""),491000)</f>
        <v>491000</v>
      </c>
      <c r="E30" s="17">
        <f ca="1">IFERROR(__xludf.DUMMYFUNCTION("""COMPUTED_VALUE"""),491000)</f>
        <v>491000</v>
      </c>
      <c r="F30" s="17">
        <f ca="1">IFERROR(__xludf.DUMMYFUNCTION("""COMPUTED_VALUE"""),8)</f>
        <v>8</v>
      </c>
      <c r="G30" s="17">
        <f ca="1">IFERROR(__xludf.DUMMYFUNCTION("""COMPUTED_VALUE"""),22)</f>
        <v>22</v>
      </c>
      <c r="H30" s="17">
        <f ca="1">IFERROR(__xludf.DUMMYFUNCTION("""COMPUTED_VALUE"""),72)</f>
        <v>72</v>
      </c>
      <c r="I30" s="17">
        <f ca="1">IFERROR(__xludf.DUMMYFUNCTION("""COMPUTED_VALUE"""),50)</f>
        <v>50</v>
      </c>
      <c r="J30" s="16">
        <f ca="1">IFERROR(__xludf.DUMMYFUNCTION("""COMPUTED_VALUE"""),130000)</f>
        <v>130000</v>
      </c>
      <c r="K30" s="17">
        <f ca="1">IFERROR(__xludf.DUMMYFUNCTION("""COMPUTED_VALUE"""),0)</f>
        <v>0</v>
      </c>
      <c r="L30" s="17">
        <f ca="1">IFERROR(__xludf.DUMMYFUNCTION("""COMPUTED_VALUE"""),0)</f>
        <v>0</v>
      </c>
      <c r="M30" s="17">
        <f ca="1">IFERROR(__xludf.DUMMYFUNCTION("""COMPUTED_VALUE"""),0)</f>
        <v>0</v>
      </c>
      <c r="N30" s="17">
        <f ca="1">IFERROR(__xludf.DUMMYFUNCTION("""COMPUTED_VALUE"""),0)</f>
        <v>0</v>
      </c>
      <c r="O30" s="17">
        <f ca="1">IFERROR(__xludf.DUMMYFUNCTION("""COMPUTED_VALUE"""),0)</f>
        <v>0</v>
      </c>
      <c r="P30" s="17"/>
      <c r="Q30" s="17">
        <f ca="1">IFERROR(__xludf.DUMMYFUNCTION("""COMPUTED_VALUE"""),130000)</f>
        <v>130000</v>
      </c>
      <c r="R30" s="17">
        <f ca="1">IFERROR(__xludf.DUMMYFUNCTION("""COMPUTED_VALUE"""),50000)</f>
        <v>50000</v>
      </c>
      <c r="S30" s="17">
        <f ca="1">IFERROR(__xludf.DUMMYFUNCTION("""COMPUTED_VALUE"""),0)</f>
        <v>0</v>
      </c>
      <c r="T30" s="17">
        <f ca="1">IFERROR(__xludf.DUMMYFUNCTION("""COMPUTED_VALUE"""),0)</f>
        <v>0</v>
      </c>
      <c r="U30" s="17">
        <f ca="1">IFERROR(__xludf.DUMMYFUNCTION("""COMPUTED_VALUE"""),0)</f>
        <v>0</v>
      </c>
      <c r="V30" s="17">
        <f ca="1">IFERROR(__xludf.DUMMYFUNCTION("""COMPUTED_VALUE"""),0)</f>
        <v>0</v>
      </c>
      <c r="W30" s="17"/>
      <c r="X30" s="17">
        <f ca="1">IFERROR(__xludf.DUMMYFUNCTION("""COMPUTED_VALUE"""),50000)</f>
        <v>50000</v>
      </c>
      <c r="Y30" s="17">
        <f ca="1">IFERROR(__xludf.DUMMYFUNCTION("""COMPUTED_VALUE"""),0)</f>
        <v>0</v>
      </c>
      <c r="Z30" s="17">
        <f ca="1">IFERROR(__xludf.DUMMYFUNCTION("""COMPUTED_VALUE"""),0)</f>
        <v>0</v>
      </c>
      <c r="AA30" s="16"/>
      <c r="AB30" s="14"/>
      <c r="AC30" s="14"/>
      <c r="AD30" s="14"/>
      <c r="AE30" s="14"/>
      <c r="AF30" s="14"/>
      <c r="AG30" s="14"/>
      <c r="AH30" s="14"/>
      <c r="AI30" s="14"/>
    </row>
    <row r="31" spans="1:35" x14ac:dyDescent="0.2">
      <c r="A31" s="16">
        <v>24</v>
      </c>
      <c r="B31" s="16" t="str">
        <f ca="1">IFERROR(__xludf.DUMMYFUNCTION("""COMPUTED_VALUE"""),"BL3047")</f>
        <v>BL3047</v>
      </c>
      <c r="C31" s="16" t="str">
        <f ca="1">IFERROR(__xludf.DUMMYFUNCTION("""COMPUTED_VALUE"""),"NGUYỄN SƠN - 0126")</f>
        <v>NGUYỄN SƠN - 0126</v>
      </c>
      <c r="D31" s="17">
        <f ca="1">IFERROR(__xludf.DUMMYFUNCTION("""COMPUTED_VALUE"""),722000)</f>
        <v>722000</v>
      </c>
      <c r="E31" s="17">
        <f ca="1">IFERROR(__xludf.DUMMYFUNCTION("""COMPUTED_VALUE"""),722000)</f>
        <v>722000</v>
      </c>
      <c r="F31" s="17">
        <f ca="1">IFERROR(__xludf.DUMMYFUNCTION("""COMPUTED_VALUE"""),13)</f>
        <v>13</v>
      </c>
      <c r="G31" s="17">
        <f ca="1">IFERROR(__xludf.DUMMYFUNCTION("""COMPUTED_VALUE"""),66)</f>
        <v>66</v>
      </c>
      <c r="H31" s="17">
        <f ca="1">IFERROR(__xludf.DUMMYFUNCTION("""COMPUTED_VALUE"""),128)</f>
        <v>128</v>
      </c>
      <c r="I31" s="17">
        <f ca="1">IFERROR(__xludf.DUMMYFUNCTION("""COMPUTED_VALUE"""),62)</f>
        <v>62</v>
      </c>
      <c r="J31" s="16">
        <f ca="1">IFERROR(__xludf.DUMMYFUNCTION("""COMPUTED_VALUE"""),0)</f>
        <v>0</v>
      </c>
      <c r="K31" s="17">
        <f ca="1">IFERROR(__xludf.DUMMYFUNCTION("""COMPUTED_VALUE"""),0)</f>
        <v>0</v>
      </c>
      <c r="L31" s="17">
        <f ca="1">IFERROR(__xludf.DUMMYFUNCTION("""COMPUTED_VALUE"""),4000)</f>
        <v>4000</v>
      </c>
      <c r="M31" s="17">
        <f ca="1">IFERROR(__xludf.DUMMYFUNCTION("""COMPUTED_VALUE"""),0)</f>
        <v>0</v>
      </c>
      <c r="N31" s="17">
        <f ca="1">IFERROR(__xludf.DUMMYFUNCTION("""COMPUTED_VALUE"""),0)</f>
        <v>0</v>
      </c>
      <c r="O31" s="17">
        <f ca="1">IFERROR(__xludf.DUMMYFUNCTION("""COMPUTED_VALUE"""),0)</f>
        <v>0</v>
      </c>
      <c r="P31" s="17"/>
      <c r="Q31" s="17">
        <f ca="1">IFERROR(__xludf.DUMMYFUNCTION("""COMPUTED_VALUE"""),4000)</f>
        <v>4000</v>
      </c>
      <c r="R31" s="17">
        <f ca="1">IFERROR(__xludf.DUMMYFUNCTION("""COMPUTED_VALUE"""),0)</f>
        <v>0</v>
      </c>
      <c r="S31" s="17">
        <f ca="1">IFERROR(__xludf.DUMMYFUNCTION("""COMPUTED_VALUE"""),0)</f>
        <v>0</v>
      </c>
      <c r="T31" s="17">
        <f ca="1">IFERROR(__xludf.DUMMYFUNCTION("""COMPUTED_VALUE"""),0)</f>
        <v>0</v>
      </c>
      <c r="U31" s="17">
        <f ca="1">IFERROR(__xludf.DUMMYFUNCTION("""COMPUTED_VALUE"""),0)</f>
        <v>0</v>
      </c>
      <c r="V31" s="17">
        <f ca="1">IFERROR(__xludf.DUMMYFUNCTION("""COMPUTED_VALUE"""),0)</f>
        <v>0</v>
      </c>
      <c r="W31" s="17"/>
      <c r="X31" s="17">
        <f ca="1">IFERROR(__xludf.DUMMYFUNCTION("""COMPUTED_VALUE"""),0)</f>
        <v>0</v>
      </c>
      <c r="Y31" s="17">
        <f ca="1">IFERROR(__xludf.DUMMYFUNCTION("""COMPUTED_VALUE"""),0)</f>
        <v>0</v>
      </c>
      <c r="Z31" s="17">
        <f ca="1">IFERROR(__xludf.DUMMYFUNCTION("""COMPUTED_VALUE"""),0)</f>
        <v>0</v>
      </c>
      <c r="AA31" s="16"/>
      <c r="AB31" s="14"/>
      <c r="AC31" s="14"/>
      <c r="AD31" s="14"/>
      <c r="AE31" s="14"/>
      <c r="AF31" s="14"/>
      <c r="AG31" s="14"/>
      <c r="AH31" s="14"/>
      <c r="AI31" s="14"/>
    </row>
    <row r="32" spans="1:35" x14ac:dyDescent="0.2">
      <c r="A32" s="16">
        <v>25</v>
      </c>
      <c r="B32" s="16" t="str">
        <f ca="1">IFERROR(__xludf.DUMMYFUNCTION("""COMPUTED_VALUE"""),"BL3048")</f>
        <v>BL3048</v>
      </c>
      <c r="C32" s="16" t="str">
        <f ca="1">IFERROR(__xludf.DUMMYFUNCTION("""COMPUTED_VALUE"""),"ĐỖ LY KHANG - 0039")</f>
        <v>ĐỖ LY KHANG - 0039</v>
      </c>
      <c r="D32" s="17">
        <f ca="1">IFERROR(__xludf.DUMMYFUNCTION("""COMPUTED_VALUE"""),1146000)</f>
        <v>1146000</v>
      </c>
      <c r="E32" s="17">
        <f ca="1">IFERROR(__xludf.DUMMYFUNCTION("""COMPUTED_VALUE"""),1146000)</f>
        <v>1146000</v>
      </c>
      <c r="F32" s="17">
        <f ca="1">IFERROR(__xludf.DUMMYFUNCTION("""COMPUTED_VALUE"""),23)</f>
        <v>23</v>
      </c>
      <c r="G32" s="17">
        <f ca="1">IFERROR(__xludf.DUMMYFUNCTION("""COMPUTED_VALUE"""),97)</f>
        <v>97</v>
      </c>
      <c r="H32" s="17">
        <f ca="1">IFERROR(__xludf.DUMMYFUNCTION("""COMPUTED_VALUE"""),202)</f>
        <v>202</v>
      </c>
      <c r="I32" s="17">
        <f ca="1">IFERROR(__xludf.DUMMYFUNCTION("""COMPUTED_VALUE"""),105)</f>
        <v>105</v>
      </c>
      <c r="J32" s="16">
        <f ca="1">IFERROR(__xludf.DUMMYFUNCTION("""COMPUTED_VALUE"""),73500)</f>
        <v>73500</v>
      </c>
      <c r="K32" s="17">
        <f ca="1">IFERROR(__xludf.DUMMYFUNCTION("""COMPUTED_VALUE"""),0)</f>
        <v>0</v>
      </c>
      <c r="L32" s="17">
        <f ca="1">IFERROR(__xludf.DUMMYFUNCTION("""COMPUTED_VALUE"""),0)</f>
        <v>0</v>
      </c>
      <c r="M32" s="17">
        <f ca="1">IFERROR(__xludf.DUMMYFUNCTION("""COMPUTED_VALUE"""),0)</f>
        <v>0</v>
      </c>
      <c r="N32" s="17">
        <f ca="1">IFERROR(__xludf.DUMMYFUNCTION("""COMPUTED_VALUE"""),0)</f>
        <v>0</v>
      </c>
      <c r="O32" s="17">
        <f ca="1">IFERROR(__xludf.DUMMYFUNCTION("""COMPUTED_VALUE"""),0)</f>
        <v>0</v>
      </c>
      <c r="P32" s="17"/>
      <c r="Q32" s="17">
        <f ca="1">IFERROR(__xludf.DUMMYFUNCTION("""COMPUTED_VALUE"""),73500)</f>
        <v>73500</v>
      </c>
      <c r="R32" s="17">
        <f ca="1">IFERROR(__xludf.DUMMYFUNCTION("""COMPUTED_VALUE"""),0)</f>
        <v>0</v>
      </c>
      <c r="S32" s="17">
        <f ca="1">IFERROR(__xludf.DUMMYFUNCTION("""COMPUTED_VALUE"""),0)</f>
        <v>0</v>
      </c>
      <c r="T32" s="17">
        <f ca="1">IFERROR(__xludf.DUMMYFUNCTION("""COMPUTED_VALUE"""),0)</f>
        <v>0</v>
      </c>
      <c r="U32" s="17">
        <f ca="1">IFERROR(__xludf.DUMMYFUNCTION("""COMPUTED_VALUE"""),0)</f>
        <v>0</v>
      </c>
      <c r="V32" s="17">
        <f ca="1">IFERROR(__xludf.DUMMYFUNCTION("""COMPUTED_VALUE"""),0)</f>
        <v>0</v>
      </c>
      <c r="W32" s="17"/>
      <c r="X32" s="17">
        <f ca="1">IFERROR(__xludf.DUMMYFUNCTION("""COMPUTED_VALUE"""),0)</f>
        <v>0</v>
      </c>
      <c r="Y32" s="17">
        <f ca="1">IFERROR(__xludf.DUMMYFUNCTION("""COMPUTED_VALUE"""),0)</f>
        <v>0</v>
      </c>
      <c r="Z32" s="17">
        <f ca="1">IFERROR(__xludf.DUMMYFUNCTION("""COMPUTED_VALUE"""),0)</f>
        <v>0</v>
      </c>
      <c r="AA32" s="16"/>
      <c r="AB32" s="14"/>
      <c r="AC32" s="14"/>
      <c r="AD32" s="14"/>
      <c r="AE32" s="14"/>
      <c r="AF32" s="14"/>
      <c r="AG32" s="14"/>
      <c r="AH32" s="14"/>
      <c r="AI32" s="14"/>
    </row>
    <row r="33" spans="1:35" x14ac:dyDescent="0.2">
      <c r="A33" s="16">
        <v>26</v>
      </c>
      <c r="B33" s="16" t="str">
        <f ca="1">IFERROR(__xludf.DUMMYFUNCTION("""COMPUTED_VALUE"""),"BL3050")</f>
        <v>BL3050</v>
      </c>
      <c r="C33" s="16" t="str">
        <f ca="1">IFERROR(__xludf.DUMMYFUNCTION("""COMPUTED_VALUE"""),"LÊ ĐÌNH BẢNG - 0124")</f>
        <v>LÊ ĐÌNH BẢNG - 0124</v>
      </c>
      <c r="D33" s="17">
        <f ca="1">IFERROR(__xludf.DUMMYFUNCTION("""COMPUTED_VALUE"""),411000)</f>
        <v>411000</v>
      </c>
      <c r="E33" s="17">
        <f ca="1">IFERROR(__xludf.DUMMYFUNCTION("""COMPUTED_VALUE"""),411000)</f>
        <v>411000</v>
      </c>
      <c r="F33" s="17">
        <f ca="1">IFERROR(__xludf.DUMMYFUNCTION("""COMPUTED_VALUE"""),2)</f>
        <v>2</v>
      </c>
      <c r="G33" s="17">
        <f ca="1">IFERROR(__xludf.DUMMYFUNCTION("""COMPUTED_VALUE"""),52)</f>
        <v>52</v>
      </c>
      <c r="H33" s="17">
        <f ca="1">IFERROR(__xludf.DUMMYFUNCTION("""COMPUTED_VALUE"""),90)</f>
        <v>90</v>
      </c>
      <c r="I33" s="17">
        <f ca="1">IFERROR(__xludf.DUMMYFUNCTION("""COMPUTED_VALUE"""),38)</f>
        <v>38</v>
      </c>
      <c r="J33" s="16">
        <f ca="1">IFERROR(__xludf.DUMMYFUNCTION("""COMPUTED_VALUE"""),0)</f>
        <v>0</v>
      </c>
      <c r="K33" s="17">
        <f ca="1">IFERROR(__xludf.DUMMYFUNCTION("""COMPUTED_VALUE"""),0)</f>
        <v>0</v>
      </c>
      <c r="L33" s="17">
        <f ca="1">IFERROR(__xludf.DUMMYFUNCTION("""COMPUTED_VALUE"""),0)</f>
        <v>0</v>
      </c>
      <c r="M33" s="17">
        <f ca="1">IFERROR(__xludf.DUMMYFUNCTION("""COMPUTED_VALUE"""),0)</f>
        <v>0</v>
      </c>
      <c r="N33" s="17">
        <f ca="1">IFERROR(__xludf.DUMMYFUNCTION("""COMPUTED_VALUE"""),0)</f>
        <v>0</v>
      </c>
      <c r="O33" s="17">
        <f ca="1">IFERROR(__xludf.DUMMYFUNCTION("""COMPUTED_VALUE"""),0)</f>
        <v>0</v>
      </c>
      <c r="P33" s="17"/>
      <c r="Q33" s="17">
        <f ca="1">IFERROR(__xludf.DUMMYFUNCTION("""COMPUTED_VALUE"""),0)</f>
        <v>0</v>
      </c>
      <c r="R33" s="17">
        <f ca="1">IFERROR(__xludf.DUMMYFUNCTION("""COMPUTED_VALUE"""),0)</f>
        <v>0</v>
      </c>
      <c r="S33" s="17">
        <f ca="1">IFERROR(__xludf.DUMMYFUNCTION("""COMPUTED_VALUE"""),0)</f>
        <v>0</v>
      </c>
      <c r="T33" s="17">
        <f ca="1">IFERROR(__xludf.DUMMYFUNCTION("""COMPUTED_VALUE"""),0)</f>
        <v>0</v>
      </c>
      <c r="U33" s="17">
        <f ca="1">IFERROR(__xludf.DUMMYFUNCTION("""COMPUTED_VALUE"""),0)</f>
        <v>0</v>
      </c>
      <c r="V33" s="17">
        <f ca="1">IFERROR(__xludf.DUMMYFUNCTION("""COMPUTED_VALUE"""),0)</f>
        <v>0</v>
      </c>
      <c r="W33" s="17"/>
      <c r="X33" s="17">
        <f ca="1">IFERROR(__xludf.DUMMYFUNCTION("""COMPUTED_VALUE"""),0)</f>
        <v>0</v>
      </c>
      <c r="Y33" s="17">
        <f ca="1">IFERROR(__xludf.DUMMYFUNCTION("""COMPUTED_VALUE"""),0)</f>
        <v>0</v>
      </c>
      <c r="Z33" s="17">
        <f ca="1">IFERROR(__xludf.DUMMYFUNCTION("""COMPUTED_VALUE"""),0)</f>
        <v>0</v>
      </c>
      <c r="AA33" s="16"/>
      <c r="AB33" s="14"/>
      <c r="AC33" s="14"/>
      <c r="AD33" s="14"/>
      <c r="AE33" s="14"/>
      <c r="AF33" s="14"/>
      <c r="AG33" s="14"/>
      <c r="AH33" s="14"/>
      <c r="AI33" s="14"/>
    </row>
    <row r="34" spans="1:35" x14ac:dyDescent="0.2">
      <c r="A34" s="16">
        <v>27</v>
      </c>
      <c r="B34" s="16" t="str">
        <f ca="1">IFERROR(__xludf.DUMMYFUNCTION("""COMPUTED_VALUE"""),"BL3051")</f>
        <v>BL3051</v>
      </c>
      <c r="C34" s="16" t="str">
        <f ca="1">IFERROR(__xludf.DUMMYFUNCTION("""COMPUTED_VALUE"""),"VƯƠNG ĐỊNH QUỐC - 0044")</f>
        <v>VƯƠNG ĐỊNH QUỐC - 0044</v>
      </c>
      <c r="D34" s="17">
        <f ca="1">IFERROR(__xludf.DUMMYFUNCTION("""COMPUTED_VALUE"""),316000)</f>
        <v>316000</v>
      </c>
      <c r="E34" s="17">
        <f ca="1">IFERROR(__xludf.DUMMYFUNCTION("""COMPUTED_VALUE"""),296000)</f>
        <v>296000</v>
      </c>
      <c r="F34" s="17">
        <f ca="1">IFERROR(__xludf.DUMMYFUNCTION("""COMPUTED_VALUE"""),3)</f>
        <v>3</v>
      </c>
      <c r="G34" s="17">
        <f ca="1">IFERROR(__xludf.DUMMYFUNCTION("""COMPUTED_VALUE"""),24)</f>
        <v>24</v>
      </c>
      <c r="H34" s="17">
        <f ca="1">IFERROR(__xludf.DUMMYFUNCTION("""COMPUTED_VALUE"""),46)</f>
        <v>46</v>
      </c>
      <c r="I34" s="17">
        <f ca="1">IFERROR(__xludf.DUMMYFUNCTION("""COMPUTED_VALUE"""),22)</f>
        <v>22</v>
      </c>
      <c r="J34" s="16">
        <f ca="1">IFERROR(__xludf.DUMMYFUNCTION("""COMPUTED_VALUE"""),0)</f>
        <v>0</v>
      </c>
      <c r="K34" s="17">
        <f ca="1">IFERROR(__xludf.DUMMYFUNCTION("""COMPUTED_VALUE"""),0)</f>
        <v>0</v>
      </c>
      <c r="L34" s="17">
        <f ca="1">IFERROR(__xludf.DUMMYFUNCTION("""COMPUTED_VALUE"""),0)</f>
        <v>0</v>
      </c>
      <c r="M34" s="17">
        <f ca="1">IFERROR(__xludf.DUMMYFUNCTION("""COMPUTED_VALUE"""),0)</f>
        <v>0</v>
      </c>
      <c r="N34" s="17">
        <f ca="1">IFERROR(__xludf.DUMMYFUNCTION("""COMPUTED_VALUE"""),0)</f>
        <v>0</v>
      </c>
      <c r="O34" s="17">
        <f ca="1">IFERROR(__xludf.DUMMYFUNCTION("""COMPUTED_VALUE"""),0)</f>
        <v>0</v>
      </c>
      <c r="P34" s="17"/>
      <c r="Q34" s="17">
        <f ca="1">IFERROR(__xludf.DUMMYFUNCTION("""COMPUTED_VALUE"""),0)</f>
        <v>0</v>
      </c>
      <c r="R34" s="17">
        <f ca="1">IFERROR(__xludf.DUMMYFUNCTION("""COMPUTED_VALUE"""),0)</f>
        <v>0</v>
      </c>
      <c r="S34" s="17">
        <f ca="1">IFERROR(__xludf.DUMMYFUNCTION("""COMPUTED_VALUE"""),0)</f>
        <v>0</v>
      </c>
      <c r="T34" s="17">
        <f ca="1">IFERROR(__xludf.DUMMYFUNCTION("""COMPUTED_VALUE"""),0)</f>
        <v>0</v>
      </c>
      <c r="U34" s="17">
        <f ca="1">IFERROR(__xludf.DUMMYFUNCTION("""COMPUTED_VALUE"""),65500)</f>
        <v>65500</v>
      </c>
      <c r="V34" s="17">
        <f ca="1">IFERROR(__xludf.DUMMYFUNCTION("""COMPUTED_VALUE"""),0)</f>
        <v>0</v>
      </c>
      <c r="W34" s="17"/>
      <c r="X34" s="17">
        <f ca="1">IFERROR(__xludf.DUMMYFUNCTION("""COMPUTED_VALUE"""),65500)</f>
        <v>65500</v>
      </c>
      <c r="Y34" s="17">
        <f ca="1">IFERROR(__xludf.DUMMYFUNCTION("""COMPUTED_VALUE"""),0)</f>
        <v>0</v>
      </c>
      <c r="Z34" s="17">
        <f ca="1">IFERROR(__xludf.DUMMYFUNCTION("""COMPUTED_VALUE"""),20000)</f>
        <v>20000</v>
      </c>
      <c r="AA34" s="16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">
      <c r="A35" s="16">
        <v>28</v>
      </c>
      <c r="B35" s="16" t="str">
        <f ca="1">IFERROR(__xludf.DUMMYFUNCTION("""COMPUTED_VALUE"""),"BL3053")</f>
        <v>BL3053</v>
      </c>
      <c r="C35" s="16" t="str">
        <f ca="1">IFERROR(__xludf.DUMMYFUNCTION("""COMPUTED_VALUE"""),"QUÁCH KIM TRỌNG - 0117")</f>
        <v>QUÁCH KIM TRỌNG - 0117</v>
      </c>
      <c r="D35" s="17">
        <f ca="1">IFERROR(__xludf.DUMMYFUNCTION("""COMPUTED_VALUE"""),320000)</f>
        <v>320000</v>
      </c>
      <c r="E35" s="17">
        <f ca="1">IFERROR(__xludf.DUMMYFUNCTION("""COMPUTED_VALUE"""),320000)</f>
        <v>320000</v>
      </c>
      <c r="F35" s="17">
        <f ca="1">IFERROR(__xludf.DUMMYFUNCTION("""COMPUTED_VALUE"""),2)</f>
        <v>2</v>
      </c>
      <c r="G35" s="17">
        <f ca="1">IFERROR(__xludf.DUMMYFUNCTION("""COMPUTED_VALUE"""),19)</f>
        <v>19</v>
      </c>
      <c r="H35" s="17">
        <f ca="1">IFERROR(__xludf.DUMMYFUNCTION("""COMPUTED_VALUE"""),59)</f>
        <v>59</v>
      </c>
      <c r="I35" s="17">
        <f ca="1">IFERROR(__xludf.DUMMYFUNCTION("""COMPUTED_VALUE"""),40)</f>
        <v>40</v>
      </c>
      <c r="J35" s="16">
        <f ca="1">IFERROR(__xludf.DUMMYFUNCTION("""COMPUTED_VALUE"""),143000)</f>
        <v>143000</v>
      </c>
      <c r="K35" s="17">
        <f ca="1">IFERROR(__xludf.DUMMYFUNCTION("""COMPUTED_VALUE"""),0)</f>
        <v>0</v>
      </c>
      <c r="L35" s="17">
        <f ca="1">IFERROR(__xludf.DUMMYFUNCTION("""COMPUTED_VALUE"""),0)</f>
        <v>0</v>
      </c>
      <c r="M35" s="17">
        <f ca="1">IFERROR(__xludf.DUMMYFUNCTION("""COMPUTED_VALUE"""),0)</f>
        <v>0</v>
      </c>
      <c r="N35" s="17">
        <f ca="1">IFERROR(__xludf.DUMMYFUNCTION("""COMPUTED_VALUE"""),0)</f>
        <v>0</v>
      </c>
      <c r="O35" s="17">
        <f ca="1">IFERROR(__xludf.DUMMYFUNCTION("""COMPUTED_VALUE"""),0)</f>
        <v>0</v>
      </c>
      <c r="P35" s="17"/>
      <c r="Q35" s="17">
        <f ca="1">IFERROR(__xludf.DUMMYFUNCTION("""COMPUTED_VALUE"""),143000)</f>
        <v>143000</v>
      </c>
      <c r="R35" s="17">
        <f ca="1">IFERROR(__xludf.DUMMYFUNCTION("""COMPUTED_VALUE"""),0)</f>
        <v>0</v>
      </c>
      <c r="S35" s="17">
        <f ca="1">IFERROR(__xludf.DUMMYFUNCTION("""COMPUTED_VALUE"""),0)</f>
        <v>0</v>
      </c>
      <c r="T35" s="17">
        <f ca="1">IFERROR(__xludf.DUMMYFUNCTION("""COMPUTED_VALUE"""),0)</f>
        <v>0</v>
      </c>
      <c r="U35" s="17">
        <f ca="1">IFERROR(__xludf.DUMMYFUNCTION("""COMPUTED_VALUE"""),0)</f>
        <v>0</v>
      </c>
      <c r="V35" s="17">
        <f ca="1">IFERROR(__xludf.DUMMYFUNCTION("""COMPUTED_VALUE"""),0)</f>
        <v>0</v>
      </c>
      <c r="W35" s="17"/>
      <c r="X35" s="17">
        <f ca="1">IFERROR(__xludf.DUMMYFUNCTION("""COMPUTED_VALUE"""),0)</f>
        <v>0</v>
      </c>
      <c r="Y35" s="17">
        <f ca="1">IFERROR(__xludf.DUMMYFUNCTION("""COMPUTED_VALUE"""),0)</f>
        <v>0</v>
      </c>
      <c r="Z35" s="17">
        <f ca="1">IFERROR(__xludf.DUMMYFUNCTION("""COMPUTED_VALUE"""),0)</f>
        <v>0</v>
      </c>
      <c r="AA35" s="16"/>
      <c r="AB35" s="14"/>
      <c r="AC35" s="14"/>
      <c r="AD35" s="14"/>
      <c r="AE35" s="14"/>
      <c r="AF35" s="14"/>
      <c r="AG35" s="14"/>
      <c r="AH35" s="14"/>
      <c r="AI35" s="14"/>
    </row>
    <row r="36" spans="1:35" x14ac:dyDescent="0.2">
      <c r="A36" s="16">
        <v>29</v>
      </c>
      <c r="B36" s="16" t="str">
        <f ca="1">IFERROR(__xludf.DUMMYFUNCTION("""COMPUTED_VALUE"""),"BL3054")</f>
        <v>BL3054</v>
      </c>
      <c r="C36" s="16" t="str">
        <f ca="1">IFERROR(__xludf.DUMMYFUNCTION("""COMPUTED_VALUE"""),"ĐẶNG GIA BẢO - 0098")</f>
        <v>ĐẶNG GIA BẢO - 0098</v>
      </c>
      <c r="D36" s="17">
        <f ca="1">IFERROR(__xludf.DUMMYFUNCTION("""COMPUTED_VALUE"""),320000)</f>
        <v>320000</v>
      </c>
      <c r="E36" s="17">
        <f ca="1">IFERROR(__xludf.DUMMYFUNCTION("""COMPUTED_VALUE"""),320000)</f>
        <v>320000</v>
      </c>
      <c r="F36" s="17">
        <f ca="1">IFERROR(__xludf.DUMMYFUNCTION("""COMPUTED_VALUE"""),2)</f>
        <v>2</v>
      </c>
      <c r="G36" s="17">
        <f ca="1">IFERROR(__xludf.DUMMYFUNCTION("""COMPUTED_VALUE"""),24)</f>
        <v>24</v>
      </c>
      <c r="H36" s="17">
        <f ca="1">IFERROR(__xludf.DUMMYFUNCTION("""COMPUTED_VALUE"""),64)</f>
        <v>64</v>
      </c>
      <c r="I36" s="17">
        <f ca="1">IFERROR(__xludf.DUMMYFUNCTION("""COMPUTED_VALUE"""),40)</f>
        <v>40</v>
      </c>
      <c r="J36" s="16">
        <f ca="1">IFERROR(__xludf.DUMMYFUNCTION("""COMPUTED_VALUE"""),143000)</f>
        <v>143000</v>
      </c>
      <c r="K36" s="17">
        <f ca="1">IFERROR(__xludf.DUMMYFUNCTION("""COMPUTED_VALUE"""),0)</f>
        <v>0</v>
      </c>
      <c r="L36" s="17">
        <f ca="1">IFERROR(__xludf.DUMMYFUNCTION("""COMPUTED_VALUE"""),0)</f>
        <v>0</v>
      </c>
      <c r="M36" s="17">
        <f ca="1">IFERROR(__xludf.DUMMYFUNCTION("""COMPUTED_VALUE"""),0)</f>
        <v>0</v>
      </c>
      <c r="N36" s="17">
        <f ca="1">IFERROR(__xludf.DUMMYFUNCTION("""COMPUTED_VALUE"""),0)</f>
        <v>0</v>
      </c>
      <c r="O36" s="17">
        <f ca="1">IFERROR(__xludf.DUMMYFUNCTION("""COMPUTED_VALUE"""),0)</f>
        <v>0</v>
      </c>
      <c r="P36" s="17"/>
      <c r="Q36" s="17">
        <f ca="1">IFERROR(__xludf.DUMMYFUNCTION("""COMPUTED_VALUE"""),143000)</f>
        <v>143000</v>
      </c>
      <c r="R36" s="17">
        <f ca="1">IFERROR(__xludf.DUMMYFUNCTION("""COMPUTED_VALUE"""),0)</f>
        <v>0</v>
      </c>
      <c r="S36" s="17">
        <f ca="1">IFERROR(__xludf.DUMMYFUNCTION("""COMPUTED_VALUE"""),0)</f>
        <v>0</v>
      </c>
      <c r="T36" s="17">
        <f ca="1">IFERROR(__xludf.DUMMYFUNCTION("""COMPUTED_VALUE"""),0)</f>
        <v>0</v>
      </c>
      <c r="U36" s="17">
        <f ca="1">IFERROR(__xludf.DUMMYFUNCTION("""COMPUTED_VALUE"""),0)</f>
        <v>0</v>
      </c>
      <c r="V36" s="17">
        <f ca="1">IFERROR(__xludf.DUMMYFUNCTION("""COMPUTED_VALUE"""),0)</f>
        <v>0</v>
      </c>
      <c r="W36" s="17"/>
      <c r="X36" s="17">
        <f ca="1">IFERROR(__xludf.DUMMYFUNCTION("""COMPUTED_VALUE"""),0)</f>
        <v>0</v>
      </c>
      <c r="Y36" s="17">
        <f ca="1">IFERROR(__xludf.DUMMYFUNCTION("""COMPUTED_VALUE"""),0)</f>
        <v>0</v>
      </c>
      <c r="Z36" s="17">
        <f ca="1">IFERROR(__xludf.DUMMYFUNCTION("""COMPUTED_VALUE"""),0)</f>
        <v>0</v>
      </c>
      <c r="AA36" s="16"/>
      <c r="AB36" s="14"/>
      <c r="AC36" s="14"/>
      <c r="AD36" s="14"/>
      <c r="AE36" s="14"/>
      <c r="AF36" s="14"/>
      <c r="AG36" s="14"/>
      <c r="AH36" s="14"/>
      <c r="AI36" s="14"/>
    </row>
    <row r="37" spans="1:35" x14ac:dyDescent="0.2">
      <c r="A37" s="16">
        <v>30</v>
      </c>
      <c r="B37" s="16" t="str">
        <f ca="1">IFERROR(__xludf.DUMMYFUNCTION("""COMPUTED_VALUE"""),"BL3056")</f>
        <v>BL3056</v>
      </c>
      <c r="C37" s="16" t="str">
        <f ca="1">IFERROR(__xludf.DUMMYFUNCTION("""COMPUTED_VALUE"""),"MÃ SỦNG - 0047")</f>
        <v>MÃ SỦNG - 0047</v>
      </c>
      <c r="D37" s="17">
        <f ca="1">IFERROR(__xludf.DUMMYFUNCTION("""COMPUTED_VALUE"""),511000)</f>
        <v>511000</v>
      </c>
      <c r="E37" s="17">
        <f ca="1">IFERROR(__xludf.DUMMYFUNCTION("""COMPUTED_VALUE"""),511000)</f>
        <v>511000</v>
      </c>
      <c r="F37" s="17">
        <f ca="1">IFERROR(__xludf.DUMMYFUNCTION("""COMPUTED_VALUE"""),4)</f>
        <v>4</v>
      </c>
      <c r="G37" s="17">
        <f ca="1">IFERROR(__xludf.DUMMYFUNCTION("""COMPUTED_VALUE"""),56)</f>
        <v>56</v>
      </c>
      <c r="H37" s="17">
        <f ca="1">IFERROR(__xludf.DUMMYFUNCTION("""COMPUTED_VALUE"""),113)</f>
        <v>113</v>
      </c>
      <c r="I37" s="17">
        <f ca="1">IFERROR(__xludf.DUMMYFUNCTION("""COMPUTED_VALUE"""),57)</f>
        <v>57</v>
      </c>
      <c r="J37" s="16">
        <f ca="1">IFERROR(__xludf.DUMMYFUNCTION("""COMPUTED_VALUE"""),201000)</f>
        <v>201000</v>
      </c>
      <c r="K37" s="17">
        <f ca="1">IFERROR(__xludf.DUMMYFUNCTION("""COMPUTED_VALUE"""),0)</f>
        <v>0</v>
      </c>
      <c r="L37" s="17">
        <f ca="1">IFERROR(__xludf.DUMMYFUNCTION("""COMPUTED_VALUE"""),0)</f>
        <v>0</v>
      </c>
      <c r="M37" s="17">
        <f ca="1">IFERROR(__xludf.DUMMYFUNCTION("""COMPUTED_VALUE"""),0)</f>
        <v>0</v>
      </c>
      <c r="N37" s="17">
        <f ca="1">IFERROR(__xludf.DUMMYFUNCTION("""COMPUTED_VALUE"""),0)</f>
        <v>0</v>
      </c>
      <c r="O37" s="17">
        <f ca="1">IFERROR(__xludf.DUMMYFUNCTION("""COMPUTED_VALUE"""),0)</f>
        <v>0</v>
      </c>
      <c r="P37" s="17"/>
      <c r="Q37" s="17">
        <f ca="1">IFERROR(__xludf.DUMMYFUNCTION("""COMPUTED_VALUE"""),201000)</f>
        <v>201000</v>
      </c>
      <c r="R37" s="17">
        <f ca="1">IFERROR(__xludf.DUMMYFUNCTION("""COMPUTED_VALUE"""),99000)</f>
        <v>99000</v>
      </c>
      <c r="S37" s="17">
        <f ca="1">IFERROR(__xludf.DUMMYFUNCTION("""COMPUTED_VALUE"""),0)</f>
        <v>0</v>
      </c>
      <c r="T37" s="17">
        <f ca="1">IFERROR(__xludf.DUMMYFUNCTION("""COMPUTED_VALUE"""),0)</f>
        <v>0</v>
      </c>
      <c r="U37" s="17">
        <f ca="1">IFERROR(__xludf.DUMMYFUNCTION("""COMPUTED_VALUE"""),0)</f>
        <v>0</v>
      </c>
      <c r="V37" s="17">
        <f ca="1">IFERROR(__xludf.DUMMYFUNCTION("""COMPUTED_VALUE"""),0)</f>
        <v>0</v>
      </c>
      <c r="W37" s="17"/>
      <c r="X37" s="17">
        <f ca="1">IFERROR(__xludf.DUMMYFUNCTION("""COMPUTED_VALUE"""),99000)</f>
        <v>99000</v>
      </c>
      <c r="Y37" s="17">
        <f ca="1">IFERROR(__xludf.DUMMYFUNCTION("""COMPUTED_VALUE"""),0)</f>
        <v>0</v>
      </c>
      <c r="Z37" s="17">
        <f ca="1">IFERROR(__xludf.DUMMYFUNCTION("""COMPUTED_VALUE"""),0)</f>
        <v>0</v>
      </c>
      <c r="AA37" s="16"/>
      <c r="AB37" s="14"/>
      <c r="AC37" s="14"/>
      <c r="AD37" s="14"/>
      <c r="AE37" s="14"/>
      <c r="AF37" s="14"/>
      <c r="AG37" s="14"/>
      <c r="AH37" s="14"/>
      <c r="AI37" s="14"/>
    </row>
    <row r="38" spans="1:35" x14ac:dyDescent="0.2">
      <c r="A38" s="16">
        <v>31</v>
      </c>
      <c r="B38" s="16" t="str">
        <f ca="1">IFERROR(__xludf.DUMMYFUNCTION("""COMPUTED_VALUE"""),"BL3057")</f>
        <v>BL3057</v>
      </c>
      <c r="C38" s="16" t="str">
        <f ca="1">IFERROR(__xludf.DUMMYFUNCTION("""COMPUTED_VALUE"""),"LÂM THẾ HẬU - 0110")</f>
        <v>LÂM THẾ HẬU - 0110</v>
      </c>
      <c r="D38" s="17">
        <f ca="1">IFERROR(__xludf.DUMMYFUNCTION("""COMPUTED_VALUE"""),812000)</f>
        <v>812000</v>
      </c>
      <c r="E38" s="17">
        <f ca="1">IFERROR(__xludf.DUMMYFUNCTION("""COMPUTED_VALUE"""),812000)</f>
        <v>812000</v>
      </c>
      <c r="F38" s="17">
        <f ca="1">IFERROR(__xludf.DUMMYFUNCTION("""COMPUTED_VALUE"""),3)</f>
        <v>3</v>
      </c>
      <c r="G38" s="17">
        <f ca="1">IFERROR(__xludf.DUMMYFUNCTION("""COMPUTED_VALUE"""),19)</f>
        <v>19</v>
      </c>
      <c r="H38" s="17">
        <f ca="1">IFERROR(__xludf.DUMMYFUNCTION("""COMPUTED_VALUE"""),135)</f>
        <v>135</v>
      </c>
      <c r="I38" s="17">
        <f ca="1">IFERROR(__xludf.DUMMYFUNCTION("""COMPUTED_VALUE"""),116)</f>
        <v>116</v>
      </c>
      <c r="J38" s="16">
        <f ca="1">IFERROR(__xludf.DUMMYFUNCTION("""COMPUTED_VALUE"""),483000)</f>
        <v>483000</v>
      </c>
      <c r="K38" s="17">
        <f ca="1">IFERROR(__xludf.DUMMYFUNCTION("""COMPUTED_VALUE"""),0)</f>
        <v>0</v>
      </c>
      <c r="L38" s="17">
        <f ca="1">IFERROR(__xludf.DUMMYFUNCTION("""COMPUTED_VALUE"""),0)</f>
        <v>0</v>
      </c>
      <c r="M38" s="17">
        <f ca="1">IFERROR(__xludf.DUMMYFUNCTION("""COMPUTED_VALUE"""),0)</f>
        <v>0</v>
      </c>
      <c r="N38" s="17">
        <f ca="1">IFERROR(__xludf.DUMMYFUNCTION("""COMPUTED_VALUE"""),0)</f>
        <v>0</v>
      </c>
      <c r="O38" s="17">
        <f ca="1">IFERROR(__xludf.DUMMYFUNCTION("""COMPUTED_VALUE"""),0)</f>
        <v>0</v>
      </c>
      <c r="P38" s="17"/>
      <c r="Q38" s="17">
        <f ca="1">IFERROR(__xludf.DUMMYFUNCTION("""COMPUTED_VALUE"""),483000)</f>
        <v>483000</v>
      </c>
      <c r="R38" s="17">
        <f ca="1">IFERROR(__xludf.DUMMYFUNCTION("""COMPUTED_VALUE"""),100000)</f>
        <v>100000</v>
      </c>
      <c r="S38" s="17">
        <f ca="1">IFERROR(__xludf.DUMMYFUNCTION("""COMPUTED_VALUE"""),0)</f>
        <v>0</v>
      </c>
      <c r="T38" s="17">
        <f ca="1">IFERROR(__xludf.DUMMYFUNCTION("""COMPUTED_VALUE"""),0)</f>
        <v>0</v>
      </c>
      <c r="U38" s="17">
        <f ca="1">IFERROR(__xludf.DUMMYFUNCTION("""COMPUTED_VALUE"""),0)</f>
        <v>0</v>
      </c>
      <c r="V38" s="17">
        <f ca="1">IFERROR(__xludf.DUMMYFUNCTION("""COMPUTED_VALUE"""),0)</f>
        <v>0</v>
      </c>
      <c r="W38" s="17"/>
      <c r="X38" s="17">
        <f ca="1">IFERROR(__xludf.DUMMYFUNCTION("""COMPUTED_VALUE"""),100000)</f>
        <v>100000</v>
      </c>
      <c r="Y38" s="17">
        <f ca="1">IFERROR(__xludf.DUMMYFUNCTION("""COMPUTED_VALUE"""),0)</f>
        <v>0</v>
      </c>
      <c r="Z38" s="17">
        <f ca="1">IFERROR(__xludf.DUMMYFUNCTION("""COMPUTED_VALUE"""),0)</f>
        <v>0</v>
      </c>
      <c r="AA38" s="16"/>
      <c r="AB38" s="14"/>
      <c r="AC38" s="14"/>
      <c r="AD38" s="14"/>
      <c r="AE38" s="14"/>
      <c r="AF38" s="14"/>
      <c r="AG38" s="14"/>
      <c r="AH38" s="14"/>
      <c r="AI38" s="14"/>
    </row>
    <row r="39" spans="1:35" x14ac:dyDescent="0.2">
      <c r="A39" s="16">
        <v>32</v>
      </c>
      <c r="B39" s="16" t="str">
        <f ca="1">IFERROR(__xludf.DUMMYFUNCTION("""COMPUTED_VALUE"""),"BL3058")</f>
        <v>BL3058</v>
      </c>
      <c r="C39" s="16" t="str">
        <f ca="1">IFERROR(__xludf.DUMMYFUNCTION("""COMPUTED_VALUE"""),"ĐỖ OANH XINH - 0040")</f>
        <v>ĐỖ OANH XINH - 0040</v>
      </c>
      <c r="D39" s="17">
        <f ca="1">IFERROR(__xludf.DUMMYFUNCTION("""COMPUTED_VALUE"""),123000)</f>
        <v>123000</v>
      </c>
      <c r="E39" s="17">
        <f ca="1">IFERROR(__xludf.DUMMYFUNCTION("""COMPUTED_VALUE"""),123000)</f>
        <v>123000</v>
      </c>
      <c r="F39" s="17">
        <f ca="1">IFERROR(__xludf.DUMMYFUNCTION("""COMPUTED_VALUE"""),2)</f>
        <v>2</v>
      </c>
      <c r="G39" s="17">
        <f ca="1">IFERROR(__xludf.DUMMYFUNCTION("""COMPUTED_VALUE"""),2)</f>
        <v>2</v>
      </c>
      <c r="H39" s="17">
        <f ca="1">IFERROR(__xludf.DUMMYFUNCTION("""COMPUTED_VALUE"""),13)</f>
        <v>13</v>
      </c>
      <c r="I39" s="17">
        <f ca="1">IFERROR(__xludf.DUMMYFUNCTION("""COMPUTED_VALUE"""),11)</f>
        <v>11</v>
      </c>
      <c r="J39" s="16">
        <f ca="1">IFERROR(__xludf.DUMMYFUNCTION("""COMPUTED_VALUE"""),0)</f>
        <v>0</v>
      </c>
      <c r="K39" s="17">
        <f ca="1">IFERROR(__xludf.DUMMYFUNCTION("""COMPUTED_VALUE"""),0)</f>
        <v>0</v>
      </c>
      <c r="L39" s="17">
        <f ca="1">IFERROR(__xludf.DUMMYFUNCTION("""COMPUTED_VALUE"""),0)</f>
        <v>0</v>
      </c>
      <c r="M39" s="17">
        <f ca="1">IFERROR(__xludf.DUMMYFUNCTION("""COMPUTED_VALUE"""),0)</f>
        <v>0</v>
      </c>
      <c r="N39" s="17">
        <f ca="1">IFERROR(__xludf.DUMMYFUNCTION("""COMPUTED_VALUE"""),0)</f>
        <v>0</v>
      </c>
      <c r="O39" s="17">
        <f ca="1">IFERROR(__xludf.DUMMYFUNCTION("""COMPUTED_VALUE"""),0)</f>
        <v>0</v>
      </c>
      <c r="P39" s="17"/>
      <c r="Q39" s="17">
        <f ca="1">IFERROR(__xludf.DUMMYFUNCTION("""COMPUTED_VALUE"""),0)</f>
        <v>0</v>
      </c>
      <c r="R39" s="17">
        <f ca="1">IFERROR(__xludf.DUMMYFUNCTION("""COMPUTED_VALUE"""),0)</f>
        <v>0</v>
      </c>
      <c r="S39" s="17">
        <f ca="1">IFERROR(__xludf.DUMMYFUNCTION("""COMPUTED_VALUE"""),0)</f>
        <v>0</v>
      </c>
      <c r="T39" s="17">
        <f ca="1">IFERROR(__xludf.DUMMYFUNCTION("""COMPUTED_VALUE"""),0)</f>
        <v>0</v>
      </c>
      <c r="U39" s="17">
        <f ca="1">IFERROR(__xludf.DUMMYFUNCTION("""COMPUTED_VALUE"""),0)</f>
        <v>0</v>
      </c>
      <c r="V39" s="17">
        <f ca="1">IFERROR(__xludf.DUMMYFUNCTION("""COMPUTED_VALUE"""),0)</f>
        <v>0</v>
      </c>
      <c r="W39" s="17"/>
      <c r="X39" s="17">
        <f ca="1">IFERROR(__xludf.DUMMYFUNCTION("""COMPUTED_VALUE"""),0)</f>
        <v>0</v>
      </c>
      <c r="Y39" s="17">
        <f ca="1">IFERROR(__xludf.DUMMYFUNCTION("""COMPUTED_VALUE"""),0)</f>
        <v>0</v>
      </c>
      <c r="Z39" s="17">
        <f ca="1">IFERROR(__xludf.DUMMYFUNCTION("""COMPUTED_VALUE"""),0)</f>
        <v>0</v>
      </c>
      <c r="AA39" s="16"/>
      <c r="AB39" s="14"/>
      <c r="AC39" s="14"/>
      <c r="AD39" s="14"/>
      <c r="AE39" s="14"/>
      <c r="AF39" s="14"/>
      <c r="AG39" s="14"/>
      <c r="AH39" s="14"/>
      <c r="AI39" s="14"/>
    </row>
    <row r="40" spans="1:35" x14ac:dyDescent="0.2">
      <c r="A40" s="16">
        <v>33</v>
      </c>
      <c r="B40" s="16" t="str">
        <f ca="1">IFERROR(__xludf.DUMMYFUNCTION("""COMPUTED_VALUE"""),"BL3059")</f>
        <v>BL3059</v>
      </c>
      <c r="C40" s="16" t="str">
        <f ca="1">IFERROR(__xludf.DUMMYFUNCTION("""COMPUTED_VALUE"""),"HÀN VĂN TÈO - 0056")</f>
        <v>HÀN VĂN TÈO - 0056</v>
      </c>
      <c r="D40" s="17">
        <f ca="1">IFERROR(__xludf.DUMMYFUNCTION("""COMPUTED_VALUE"""),771000)</f>
        <v>771000</v>
      </c>
      <c r="E40" s="17">
        <f ca="1">IFERROR(__xludf.DUMMYFUNCTION("""COMPUTED_VALUE"""),771000)</f>
        <v>771000</v>
      </c>
      <c r="F40" s="17">
        <f ca="1">IFERROR(__xludf.DUMMYFUNCTION("""COMPUTED_VALUE"""),13)</f>
        <v>13</v>
      </c>
      <c r="G40" s="17">
        <f ca="1">IFERROR(__xludf.DUMMYFUNCTION("""COMPUTED_VALUE"""),59)</f>
        <v>59</v>
      </c>
      <c r="H40" s="17">
        <f ca="1">IFERROR(__xludf.DUMMYFUNCTION("""COMPUTED_VALUE"""),138)</f>
        <v>138</v>
      </c>
      <c r="I40" s="17">
        <f ca="1">IFERROR(__xludf.DUMMYFUNCTION("""COMPUTED_VALUE"""),79)</f>
        <v>79</v>
      </c>
      <c r="J40" s="16">
        <f ca="1">IFERROR(__xludf.DUMMYFUNCTION("""COMPUTED_VALUE"""),92500)</f>
        <v>92500</v>
      </c>
      <c r="K40" s="17">
        <f ca="1">IFERROR(__xludf.DUMMYFUNCTION("""COMPUTED_VALUE"""),0)</f>
        <v>0</v>
      </c>
      <c r="L40" s="17">
        <f ca="1">IFERROR(__xludf.DUMMYFUNCTION("""COMPUTED_VALUE"""),0)</f>
        <v>0</v>
      </c>
      <c r="M40" s="17">
        <f ca="1">IFERROR(__xludf.DUMMYFUNCTION("""COMPUTED_VALUE"""),0)</f>
        <v>0</v>
      </c>
      <c r="N40" s="17">
        <f ca="1">IFERROR(__xludf.DUMMYFUNCTION("""COMPUTED_VALUE"""),0)</f>
        <v>0</v>
      </c>
      <c r="O40" s="17">
        <f ca="1">IFERROR(__xludf.DUMMYFUNCTION("""COMPUTED_VALUE"""),0)</f>
        <v>0</v>
      </c>
      <c r="P40" s="17"/>
      <c r="Q40" s="17">
        <f ca="1">IFERROR(__xludf.DUMMYFUNCTION("""COMPUTED_VALUE"""),92500)</f>
        <v>92500</v>
      </c>
      <c r="R40" s="17">
        <f ca="1">IFERROR(__xludf.DUMMYFUNCTION("""COMPUTED_VALUE"""),0)</f>
        <v>0</v>
      </c>
      <c r="S40" s="17">
        <f ca="1">IFERROR(__xludf.DUMMYFUNCTION("""COMPUTED_VALUE"""),0)</f>
        <v>0</v>
      </c>
      <c r="T40" s="17">
        <f ca="1">IFERROR(__xludf.DUMMYFUNCTION("""COMPUTED_VALUE"""),0)</f>
        <v>0</v>
      </c>
      <c r="U40" s="17">
        <f ca="1">IFERROR(__xludf.DUMMYFUNCTION("""COMPUTED_VALUE"""),0)</f>
        <v>0</v>
      </c>
      <c r="V40" s="17">
        <f ca="1">IFERROR(__xludf.DUMMYFUNCTION("""COMPUTED_VALUE"""),0)</f>
        <v>0</v>
      </c>
      <c r="W40" s="17"/>
      <c r="X40" s="17">
        <f ca="1">IFERROR(__xludf.DUMMYFUNCTION("""COMPUTED_VALUE"""),0)</f>
        <v>0</v>
      </c>
      <c r="Y40" s="17">
        <f ca="1">IFERROR(__xludf.DUMMYFUNCTION("""COMPUTED_VALUE"""),0)</f>
        <v>0</v>
      </c>
      <c r="Z40" s="17">
        <f ca="1">IFERROR(__xludf.DUMMYFUNCTION("""COMPUTED_VALUE"""),0)</f>
        <v>0</v>
      </c>
      <c r="AA40" s="16"/>
      <c r="AB40" s="14"/>
      <c r="AC40" s="14"/>
      <c r="AD40" s="14"/>
      <c r="AE40" s="14"/>
      <c r="AF40" s="14"/>
      <c r="AG40" s="14"/>
      <c r="AH40" s="14"/>
      <c r="AI40" s="14"/>
    </row>
    <row r="41" spans="1:35" x14ac:dyDescent="0.2">
      <c r="A41" s="16">
        <v>34</v>
      </c>
      <c r="B41" s="16" t="str">
        <f ca="1">IFERROR(__xludf.DUMMYFUNCTION("""COMPUTED_VALUE"""),"BL3061")</f>
        <v>BL3061</v>
      </c>
      <c r="C41" s="16" t="str">
        <f ca="1">IFERROR(__xludf.DUMMYFUNCTION("""COMPUTED_VALUE"""),"HUỲNH CÔNG TRỰC - 0116")</f>
        <v>HUỲNH CÔNG TRỰC - 0116</v>
      </c>
      <c r="D41" s="17">
        <f ca="1">IFERROR(__xludf.DUMMYFUNCTION("""COMPUTED_VALUE"""),940000)</f>
        <v>940000</v>
      </c>
      <c r="E41" s="17">
        <f ca="1">IFERROR(__xludf.DUMMYFUNCTION("""COMPUTED_VALUE"""),940000)</f>
        <v>940000</v>
      </c>
      <c r="F41" s="17">
        <f ca="1">IFERROR(__xludf.DUMMYFUNCTION("""COMPUTED_VALUE"""),6)</f>
        <v>6</v>
      </c>
      <c r="G41" s="17">
        <f ca="1">IFERROR(__xludf.DUMMYFUNCTION("""COMPUTED_VALUE"""),31)</f>
        <v>31</v>
      </c>
      <c r="H41" s="17">
        <f ca="1">IFERROR(__xludf.DUMMYFUNCTION("""COMPUTED_VALUE"""),170)</f>
        <v>170</v>
      </c>
      <c r="I41" s="17">
        <f ca="1">IFERROR(__xludf.DUMMYFUNCTION("""COMPUTED_VALUE"""),139)</f>
        <v>139</v>
      </c>
      <c r="J41" s="16">
        <f ca="1">IFERROR(__xludf.DUMMYFUNCTION("""COMPUTED_VALUE"""),537500)</f>
        <v>537500</v>
      </c>
      <c r="K41" s="17">
        <f ca="1">IFERROR(__xludf.DUMMYFUNCTION("""COMPUTED_VALUE"""),0)</f>
        <v>0</v>
      </c>
      <c r="L41" s="17">
        <f ca="1">IFERROR(__xludf.DUMMYFUNCTION("""COMPUTED_VALUE"""),0)</f>
        <v>0</v>
      </c>
      <c r="M41" s="17">
        <f ca="1">IFERROR(__xludf.DUMMYFUNCTION("""COMPUTED_VALUE"""),0)</f>
        <v>0</v>
      </c>
      <c r="N41" s="17">
        <f ca="1">IFERROR(__xludf.DUMMYFUNCTION("""COMPUTED_VALUE"""),0)</f>
        <v>0</v>
      </c>
      <c r="O41" s="17">
        <f ca="1">IFERROR(__xludf.DUMMYFUNCTION("""COMPUTED_VALUE"""),0)</f>
        <v>0</v>
      </c>
      <c r="P41" s="17"/>
      <c r="Q41" s="17">
        <f ca="1">IFERROR(__xludf.DUMMYFUNCTION("""COMPUTED_VALUE"""),537500)</f>
        <v>537500</v>
      </c>
      <c r="R41" s="17">
        <f ca="1">IFERROR(__xludf.DUMMYFUNCTION("""COMPUTED_VALUE"""),58000)</f>
        <v>58000</v>
      </c>
      <c r="S41" s="17">
        <f ca="1">IFERROR(__xludf.DUMMYFUNCTION("""COMPUTED_VALUE"""),0)</f>
        <v>0</v>
      </c>
      <c r="T41" s="17">
        <f ca="1">IFERROR(__xludf.DUMMYFUNCTION("""COMPUTED_VALUE"""),0)</f>
        <v>0</v>
      </c>
      <c r="U41" s="17">
        <f ca="1">IFERROR(__xludf.DUMMYFUNCTION("""COMPUTED_VALUE"""),0)</f>
        <v>0</v>
      </c>
      <c r="V41" s="17">
        <f ca="1">IFERROR(__xludf.DUMMYFUNCTION("""COMPUTED_VALUE"""),0)</f>
        <v>0</v>
      </c>
      <c r="W41" s="17"/>
      <c r="X41" s="17">
        <f ca="1">IFERROR(__xludf.DUMMYFUNCTION("""COMPUTED_VALUE"""),58000)</f>
        <v>58000</v>
      </c>
      <c r="Y41" s="17">
        <f ca="1">IFERROR(__xludf.DUMMYFUNCTION("""COMPUTED_VALUE"""),0)</f>
        <v>0</v>
      </c>
      <c r="Z41" s="17">
        <f ca="1">IFERROR(__xludf.DUMMYFUNCTION("""COMPUTED_VALUE"""),0)</f>
        <v>0</v>
      </c>
      <c r="AA41" s="16"/>
      <c r="AB41" s="14"/>
      <c r="AC41" s="14"/>
      <c r="AD41" s="14"/>
      <c r="AE41" s="14"/>
      <c r="AF41" s="14"/>
      <c r="AG41" s="14"/>
      <c r="AH41" s="14"/>
      <c r="AI41" s="14"/>
    </row>
    <row r="42" spans="1:35" x14ac:dyDescent="0.2">
      <c r="A42" s="16">
        <v>35</v>
      </c>
      <c r="B42" s="16" t="str">
        <f ca="1">IFERROR(__xludf.DUMMYFUNCTION("""COMPUTED_VALUE"""),"BL3062")</f>
        <v>BL3062</v>
      </c>
      <c r="C42" s="16" t="str">
        <f ca="1">IFERROR(__xludf.DUMMYFUNCTION("""COMPUTED_VALUE"""),"LÊ ANH PHÁP - 0052")</f>
        <v>LÊ ANH PHÁP - 0052</v>
      </c>
      <c r="D42" s="17">
        <f ca="1">IFERROR(__xludf.DUMMYFUNCTION("""COMPUTED_VALUE"""),757000)</f>
        <v>757000</v>
      </c>
      <c r="E42" s="17">
        <f ca="1">IFERROR(__xludf.DUMMYFUNCTION("""COMPUTED_VALUE"""),757000)</f>
        <v>757000</v>
      </c>
      <c r="F42" s="17">
        <f ca="1">IFERROR(__xludf.DUMMYFUNCTION("""COMPUTED_VALUE"""),5)</f>
        <v>5</v>
      </c>
      <c r="G42" s="17">
        <f ca="1">IFERROR(__xludf.DUMMYFUNCTION("""COMPUTED_VALUE"""),37)</f>
        <v>37</v>
      </c>
      <c r="H42" s="17">
        <f ca="1">IFERROR(__xludf.DUMMYFUNCTION("""COMPUTED_VALUE"""),119)</f>
        <v>119</v>
      </c>
      <c r="I42" s="17">
        <f ca="1">IFERROR(__xludf.DUMMYFUNCTION("""COMPUTED_VALUE"""),82)</f>
        <v>82</v>
      </c>
      <c r="J42" s="16">
        <f ca="1">IFERROR(__xludf.DUMMYFUNCTION("""COMPUTED_VALUE"""),272500)</f>
        <v>272500</v>
      </c>
      <c r="K42" s="17">
        <f ca="1">IFERROR(__xludf.DUMMYFUNCTION("""COMPUTED_VALUE"""),0)</f>
        <v>0</v>
      </c>
      <c r="L42" s="17">
        <f ca="1">IFERROR(__xludf.DUMMYFUNCTION("""COMPUTED_VALUE"""),0)</f>
        <v>0</v>
      </c>
      <c r="M42" s="17">
        <f ca="1">IFERROR(__xludf.DUMMYFUNCTION("""COMPUTED_VALUE"""),0)</f>
        <v>0</v>
      </c>
      <c r="N42" s="17">
        <f ca="1">IFERROR(__xludf.DUMMYFUNCTION("""COMPUTED_VALUE"""),0)</f>
        <v>0</v>
      </c>
      <c r="O42" s="17">
        <f ca="1">IFERROR(__xludf.DUMMYFUNCTION("""COMPUTED_VALUE"""),0)</f>
        <v>0</v>
      </c>
      <c r="P42" s="17"/>
      <c r="Q42" s="17">
        <f ca="1">IFERROR(__xludf.DUMMYFUNCTION("""COMPUTED_VALUE"""),272500)</f>
        <v>272500</v>
      </c>
      <c r="R42" s="17">
        <f ca="1">IFERROR(__xludf.DUMMYFUNCTION("""COMPUTED_VALUE"""),115000)</f>
        <v>115000</v>
      </c>
      <c r="S42" s="17">
        <f ca="1">IFERROR(__xludf.DUMMYFUNCTION("""COMPUTED_VALUE"""),0)</f>
        <v>0</v>
      </c>
      <c r="T42" s="17">
        <f ca="1">IFERROR(__xludf.DUMMYFUNCTION("""COMPUTED_VALUE"""),0)</f>
        <v>0</v>
      </c>
      <c r="U42" s="17">
        <f ca="1">IFERROR(__xludf.DUMMYFUNCTION("""COMPUTED_VALUE"""),0)</f>
        <v>0</v>
      </c>
      <c r="V42" s="17">
        <f ca="1">IFERROR(__xludf.DUMMYFUNCTION("""COMPUTED_VALUE"""),0)</f>
        <v>0</v>
      </c>
      <c r="W42" s="17"/>
      <c r="X42" s="17">
        <f ca="1">IFERROR(__xludf.DUMMYFUNCTION("""COMPUTED_VALUE"""),115000)</f>
        <v>115000</v>
      </c>
      <c r="Y42" s="17">
        <f ca="1">IFERROR(__xludf.DUMMYFUNCTION("""COMPUTED_VALUE"""),0)</f>
        <v>0</v>
      </c>
      <c r="Z42" s="17">
        <f ca="1">IFERROR(__xludf.DUMMYFUNCTION("""COMPUTED_VALUE"""),0)</f>
        <v>0</v>
      </c>
      <c r="AA42" s="16"/>
      <c r="AB42" s="14"/>
      <c r="AC42" s="14"/>
      <c r="AD42" s="14"/>
      <c r="AE42" s="14"/>
      <c r="AF42" s="14"/>
      <c r="AG42" s="14"/>
      <c r="AH42" s="14"/>
      <c r="AI42" s="14"/>
    </row>
    <row r="43" spans="1:35" x14ac:dyDescent="0.2">
      <c r="A43" s="16">
        <v>36</v>
      </c>
      <c r="B43" s="16" t="str">
        <f ca="1">IFERROR(__xludf.DUMMYFUNCTION("""COMPUTED_VALUE"""),"BL3063")</f>
        <v>BL3063</v>
      </c>
      <c r="C43" s="16" t="str">
        <f ca="1">IFERROR(__xludf.DUMMYFUNCTION("""COMPUTED_VALUE"""),"NGUYỄN HOÀNG NHANH - 0122")</f>
        <v>NGUYỄN HOÀNG NHANH - 0122</v>
      </c>
      <c r="D43" s="17">
        <f ca="1">IFERROR(__xludf.DUMMYFUNCTION("""COMPUTED_VALUE"""),540000)</f>
        <v>540000</v>
      </c>
      <c r="E43" s="17">
        <f ca="1">IFERROR(__xludf.DUMMYFUNCTION("""COMPUTED_VALUE"""),540000)</f>
        <v>540000</v>
      </c>
      <c r="F43" s="17">
        <f ca="1">IFERROR(__xludf.DUMMYFUNCTION("""COMPUTED_VALUE"""),2)</f>
        <v>2</v>
      </c>
      <c r="G43" s="17">
        <f ca="1">IFERROR(__xludf.DUMMYFUNCTION("""COMPUTED_VALUE"""),19)</f>
        <v>19</v>
      </c>
      <c r="H43" s="17">
        <f ca="1">IFERROR(__xludf.DUMMYFUNCTION("""COMPUTED_VALUE"""),82)</f>
        <v>82</v>
      </c>
      <c r="I43" s="17">
        <f ca="1">IFERROR(__xludf.DUMMYFUNCTION("""COMPUTED_VALUE"""),63)</f>
        <v>63</v>
      </c>
      <c r="J43" s="16">
        <f ca="1">IFERROR(__xludf.DUMMYFUNCTION("""COMPUTED_VALUE"""),143500)</f>
        <v>143500</v>
      </c>
      <c r="K43" s="17">
        <f ca="1">IFERROR(__xludf.DUMMYFUNCTION("""COMPUTED_VALUE"""),0)</f>
        <v>0</v>
      </c>
      <c r="L43" s="17">
        <f ca="1">IFERROR(__xludf.DUMMYFUNCTION("""COMPUTED_VALUE"""),0)</f>
        <v>0</v>
      </c>
      <c r="M43" s="17">
        <f ca="1">IFERROR(__xludf.DUMMYFUNCTION("""COMPUTED_VALUE"""),0)</f>
        <v>0</v>
      </c>
      <c r="N43" s="17">
        <f ca="1">IFERROR(__xludf.DUMMYFUNCTION("""COMPUTED_VALUE"""),0)</f>
        <v>0</v>
      </c>
      <c r="O43" s="17">
        <f ca="1">IFERROR(__xludf.DUMMYFUNCTION("""COMPUTED_VALUE"""),0)</f>
        <v>0</v>
      </c>
      <c r="P43" s="17"/>
      <c r="Q43" s="17">
        <f ca="1">IFERROR(__xludf.DUMMYFUNCTION("""COMPUTED_VALUE"""),143500)</f>
        <v>143500</v>
      </c>
      <c r="R43" s="17">
        <f ca="1">IFERROR(__xludf.DUMMYFUNCTION("""COMPUTED_VALUE"""),0)</f>
        <v>0</v>
      </c>
      <c r="S43" s="17">
        <f ca="1">IFERROR(__xludf.DUMMYFUNCTION("""COMPUTED_VALUE"""),0)</f>
        <v>0</v>
      </c>
      <c r="T43" s="17">
        <f ca="1">IFERROR(__xludf.DUMMYFUNCTION("""COMPUTED_VALUE"""),0)</f>
        <v>0</v>
      </c>
      <c r="U43" s="17">
        <f ca="1">IFERROR(__xludf.DUMMYFUNCTION("""COMPUTED_VALUE"""),0)</f>
        <v>0</v>
      </c>
      <c r="V43" s="17">
        <f ca="1">IFERROR(__xludf.DUMMYFUNCTION("""COMPUTED_VALUE"""),0)</f>
        <v>0</v>
      </c>
      <c r="W43" s="17"/>
      <c r="X43" s="17">
        <f ca="1">IFERROR(__xludf.DUMMYFUNCTION("""COMPUTED_VALUE"""),0)</f>
        <v>0</v>
      </c>
      <c r="Y43" s="17">
        <f ca="1">IFERROR(__xludf.DUMMYFUNCTION("""COMPUTED_VALUE"""),0)</f>
        <v>0</v>
      </c>
      <c r="Z43" s="17">
        <f ca="1">IFERROR(__xludf.DUMMYFUNCTION("""COMPUTED_VALUE"""),0)</f>
        <v>0</v>
      </c>
      <c r="AA43" s="16"/>
      <c r="AB43" s="14"/>
      <c r="AC43" s="14"/>
      <c r="AD43" s="14"/>
      <c r="AE43" s="14"/>
      <c r="AF43" s="14"/>
      <c r="AG43" s="14"/>
      <c r="AH43" s="14"/>
      <c r="AI43" s="14"/>
    </row>
    <row r="44" spans="1:35" x14ac:dyDescent="0.2">
      <c r="A44" s="16">
        <v>37</v>
      </c>
      <c r="B44" s="16" t="str">
        <f ca="1">IFERROR(__xludf.DUMMYFUNCTION("""COMPUTED_VALUE"""),"BL3066")</f>
        <v>BL3066</v>
      </c>
      <c r="C44" s="16" t="str">
        <f ca="1">IFERROR(__xludf.DUMMYFUNCTION("""COMPUTED_VALUE"""),"ĐỖ MINH ĐĂNG - 0049")</f>
        <v>ĐỖ MINH ĐĂNG - 0049</v>
      </c>
      <c r="D44" s="17">
        <f ca="1">IFERROR(__xludf.DUMMYFUNCTION("""COMPUTED_VALUE"""),614000)</f>
        <v>614000</v>
      </c>
      <c r="E44" s="17">
        <f ca="1">IFERROR(__xludf.DUMMYFUNCTION("""COMPUTED_VALUE"""),614000)</f>
        <v>614000</v>
      </c>
      <c r="F44" s="17">
        <f ca="1">IFERROR(__xludf.DUMMYFUNCTION("""COMPUTED_VALUE"""),2)</f>
        <v>2</v>
      </c>
      <c r="G44" s="17">
        <f ca="1">IFERROR(__xludf.DUMMYFUNCTION("""COMPUTED_VALUE"""),52)</f>
        <v>52</v>
      </c>
      <c r="H44" s="17">
        <f ca="1">IFERROR(__xludf.DUMMYFUNCTION("""COMPUTED_VALUE"""),121)</f>
        <v>121</v>
      </c>
      <c r="I44" s="17">
        <f ca="1">IFERROR(__xludf.DUMMYFUNCTION("""COMPUTED_VALUE"""),69)</f>
        <v>69</v>
      </c>
      <c r="J44" s="16">
        <f ca="1">IFERROR(__xludf.DUMMYFUNCTION("""COMPUTED_VALUE"""),303500)</f>
        <v>303500</v>
      </c>
      <c r="K44" s="17">
        <f ca="1">IFERROR(__xludf.DUMMYFUNCTION("""COMPUTED_VALUE"""),0)</f>
        <v>0</v>
      </c>
      <c r="L44" s="17">
        <f ca="1">IFERROR(__xludf.DUMMYFUNCTION("""COMPUTED_VALUE"""),0)</f>
        <v>0</v>
      </c>
      <c r="M44" s="17">
        <f ca="1">IFERROR(__xludf.DUMMYFUNCTION("""COMPUTED_VALUE"""),0)</f>
        <v>0</v>
      </c>
      <c r="N44" s="17">
        <f ca="1">IFERROR(__xludf.DUMMYFUNCTION("""COMPUTED_VALUE"""),0)</f>
        <v>0</v>
      </c>
      <c r="O44" s="17">
        <f ca="1">IFERROR(__xludf.DUMMYFUNCTION("""COMPUTED_VALUE"""),0)</f>
        <v>0</v>
      </c>
      <c r="P44" s="17"/>
      <c r="Q44" s="17">
        <f ca="1">IFERROR(__xludf.DUMMYFUNCTION("""COMPUTED_VALUE"""),303500)</f>
        <v>303500</v>
      </c>
      <c r="R44" s="17">
        <f ca="1">IFERROR(__xludf.DUMMYFUNCTION("""COMPUTED_VALUE"""),189000)</f>
        <v>189000</v>
      </c>
      <c r="S44" s="17">
        <f ca="1">IFERROR(__xludf.DUMMYFUNCTION("""COMPUTED_VALUE"""),0)</f>
        <v>0</v>
      </c>
      <c r="T44" s="17">
        <f ca="1">IFERROR(__xludf.DUMMYFUNCTION("""COMPUTED_VALUE"""),0)</f>
        <v>0</v>
      </c>
      <c r="U44" s="17">
        <f ca="1">IFERROR(__xludf.DUMMYFUNCTION("""COMPUTED_VALUE"""),0)</f>
        <v>0</v>
      </c>
      <c r="V44" s="17">
        <f ca="1">IFERROR(__xludf.DUMMYFUNCTION("""COMPUTED_VALUE"""),0)</f>
        <v>0</v>
      </c>
      <c r="W44" s="17"/>
      <c r="X44" s="17">
        <f ca="1">IFERROR(__xludf.DUMMYFUNCTION("""COMPUTED_VALUE"""),189000)</f>
        <v>189000</v>
      </c>
      <c r="Y44" s="17">
        <f ca="1">IFERROR(__xludf.DUMMYFUNCTION("""COMPUTED_VALUE"""),0)</f>
        <v>0</v>
      </c>
      <c r="Z44" s="17">
        <f ca="1">IFERROR(__xludf.DUMMYFUNCTION("""COMPUTED_VALUE"""),0)</f>
        <v>0</v>
      </c>
      <c r="AA44" s="16"/>
      <c r="AB44" s="14"/>
      <c r="AC44" s="14"/>
      <c r="AD44" s="14"/>
      <c r="AE44" s="14"/>
      <c r="AF44" s="14"/>
      <c r="AG44" s="14"/>
      <c r="AH44" s="14"/>
      <c r="AI44" s="14"/>
    </row>
    <row r="45" spans="1:35" x14ac:dyDescent="0.2">
      <c r="A45" s="16">
        <v>38</v>
      </c>
      <c r="B45" s="16" t="str">
        <f ca="1">IFERROR(__xludf.DUMMYFUNCTION("""COMPUTED_VALUE"""),"BL3068")</f>
        <v>BL3068</v>
      </c>
      <c r="C45" s="16" t="str">
        <f ca="1">IFERROR(__xludf.DUMMYFUNCTION("""COMPUTED_VALUE"""),"TRẦN HIẾU TRUNG - 0035")</f>
        <v>TRẦN HIẾU TRUNG - 0035</v>
      </c>
      <c r="D45" s="17">
        <f ca="1">IFERROR(__xludf.DUMMYFUNCTION("""COMPUTED_VALUE"""),780000)</f>
        <v>780000</v>
      </c>
      <c r="E45" s="17">
        <f ca="1">IFERROR(__xludf.DUMMYFUNCTION("""COMPUTED_VALUE"""),780000)</f>
        <v>780000</v>
      </c>
      <c r="F45" s="17">
        <f ca="1">IFERROR(__xludf.DUMMYFUNCTION("""COMPUTED_VALUE"""),17)</f>
        <v>17</v>
      </c>
      <c r="G45" s="17">
        <f ca="1">IFERROR(__xludf.DUMMYFUNCTION("""COMPUTED_VALUE"""),92)</f>
        <v>92</v>
      </c>
      <c r="H45" s="17">
        <f ca="1">IFERROR(__xludf.DUMMYFUNCTION("""COMPUTED_VALUE"""),160)</f>
        <v>160</v>
      </c>
      <c r="I45" s="17">
        <f ca="1">IFERROR(__xludf.DUMMYFUNCTION("""COMPUTED_VALUE"""),68)</f>
        <v>68</v>
      </c>
      <c r="J45" s="16">
        <f ca="1">IFERROR(__xludf.DUMMYFUNCTION("""COMPUTED_VALUE"""),0)</f>
        <v>0</v>
      </c>
      <c r="K45" s="17">
        <f ca="1">IFERROR(__xludf.DUMMYFUNCTION("""COMPUTED_VALUE"""),0)</f>
        <v>0</v>
      </c>
      <c r="L45" s="17">
        <f ca="1">IFERROR(__xludf.DUMMYFUNCTION("""COMPUTED_VALUE"""),0)</f>
        <v>0</v>
      </c>
      <c r="M45" s="17">
        <f ca="1">IFERROR(__xludf.DUMMYFUNCTION("""COMPUTED_VALUE"""),0)</f>
        <v>0</v>
      </c>
      <c r="N45" s="17">
        <f ca="1">IFERROR(__xludf.DUMMYFUNCTION("""COMPUTED_VALUE"""),0)</f>
        <v>0</v>
      </c>
      <c r="O45" s="17">
        <f ca="1">IFERROR(__xludf.DUMMYFUNCTION("""COMPUTED_VALUE"""),0)</f>
        <v>0</v>
      </c>
      <c r="P45" s="17"/>
      <c r="Q45" s="17">
        <f ca="1">IFERROR(__xludf.DUMMYFUNCTION("""COMPUTED_VALUE"""),0)</f>
        <v>0</v>
      </c>
      <c r="R45" s="17">
        <f ca="1">IFERROR(__xludf.DUMMYFUNCTION("""COMPUTED_VALUE"""),0)</f>
        <v>0</v>
      </c>
      <c r="S45" s="17">
        <f ca="1">IFERROR(__xludf.DUMMYFUNCTION("""COMPUTED_VALUE"""),0)</f>
        <v>0</v>
      </c>
      <c r="T45" s="17">
        <f ca="1">IFERROR(__xludf.DUMMYFUNCTION("""COMPUTED_VALUE"""),0)</f>
        <v>0</v>
      </c>
      <c r="U45" s="17">
        <f ca="1">IFERROR(__xludf.DUMMYFUNCTION("""COMPUTED_VALUE"""),0)</f>
        <v>0</v>
      </c>
      <c r="V45" s="17">
        <f ca="1">IFERROR(__xludf.DUMMYFUNCTION("""COMPUTED_VALUE"""),0)</f>
        <v>0</v>
      </c>
      <c r="W45" s="17"/>
      <c r="X45" s="17">
        <f ca="1">IFERROR(__xludf.DUMMYFUNCTION("""COMPUTED_VALUE"""),0)</f>
        <v>0</v>
      </c>
      <c r="Y45" s="17">
        <f ca="1">IFERROR(__xludf.DUMMYFUNCTION("""COMPUTED_VALUE"""),0)</f>
        <v>0</v>
      </c>
      <c r="Z45" s="17">
        <f ca="1">IFERROR(__xludf.DUMMYFUNCTION("""COMPUTED_VALUE"""),0)</f>
        <v>0</v>
      </c>
      <c r="AA45" s="16"/>
      <c r="AB45" s="14"/>
      <c r="AC45" s="14"/>
      <c r="AD45" s="14"/>
      <c r="AE45" s="14"/>
      <c r="AF45" s="14"/>
      <c r="AG45" s="14"/>
      <c r="AH45" s="14"/>
      <c r="AI45" s="14"/>
    </row>
    <row r="46" spans="1:35" x14ac:dyDescent="0.2">
      <c r="A46" s="16">
        <v>39</v>
      </c>
      <c r="B46" s="16" t="str">
        <f ca="1">IFERROR(__xludf.DUMMYFUNCTION("""COMPUTED_VALUE"""),"BL3070")</f>
        <v>BL3070</v>
      </c>
      <c r="C46" s="16" t="str">
        <f ca="1">IFERROR(__xludf.DUMMYFUNCTION("""COMPUTED_VALUE"""),"PHAN VĂN ĐOAN - 0058")</f>
        <v>PHAN VĂN ĐOAN - 0058</v>
      </c>
      <c r="D46" s="17">
        <f ca="1">IFERROR(__xludf.DUMMYFUNCTION("""COMPUTED_VALUE"""),440000)</f>
        <v>440000</v>
      </c>
      <c r="E46" s="17">
        <f ca="1">IFERROR(__xludf.DUMMYFUNCTION("""COMPUTED_VALUE"""),440000)</f>
        <v>440000</v>
      </c>
      <c r="F46" s="17">
        <f ca="1">IFERROR(__xludf.DUMMYFUNCTION("""COMPUTED_VALUE"""),1)</f>
        <v>1</v>
      </c>
      <c r="G46" s="17">
        <f ca="1">IFERROR(__xludf.DUMMYFUNCTION("""COMPUTED_VALUE"""),41)</f>
        <v>41</v>
      </c>
      <c r="H46" s="17">
        <f ca="1">IFERROR(__xludf.DUMMYFUNCTION("""COMPUTED_VALUE"""),91)</f>
        <v>91</v>
      </c>
      <c r="I46" s="17">
        <f ca="1">IFERROR(__xludf.DUMMYFUNCTION("""COMPUTED_VALUE"""),50)</f>
        <v>50</v>
      </c>
      <c r="J46" s="16">
        <f ca="1">IFERROR(__xludf.DUMMYFUNCTION("""COMPUTED_VALUE"""),313000)</f>
        <v>313000</v>
      </c>
      <c r="K46" s="17">
        <f ca="1">IFERROR(__xludf.DUMMYFUNCTION("""COMPUTED_VALUE"""),0)</f>
        <v>0</v>
      </c>
      <c r="L46" s="17">
        <f ca="1">IFERROR(__xludf.DUMMYFUNCTION("""COMPUTED_VALUE"""),0)</f>
        <v>0</v>
      </c>
      <c r="M46" s="17">
        <f ca="1">IFERROR(__xludf.DUMMYFUNCTION("""COMPUTED_VALUE"""),0)</f>
        <v>0</v>
      </c>
      <c r="N46" s="17">
        <f ca="1">IFERROR(__xludf.DUMMYFUNCTION("""COMPUTED_VALUE"""),0)</f>
        <v>0</v>
      </c>
      <c r="O46" s="17">
        <f ca="1">IFERROR(__xludf.DUMMYFUNCTION("""COMPUTED_VALUE"""),0)</f>
        <v>0</v>
      </c>
      <c r="P46" s="17"/>
      <c r="Q46" s="17">
        <f ca="1">IFERROR(__xludf.DUMMYFUNCTION("""COMPUTED_VALUE"""),313000)</f>
        <v>313000</v>
      </c>
      <c r="R46" s="17">
        <f ca="1">IFERROR(__xludf.DUMMYFUNCTION("""COMPUTED_VALUE"""),205000)</f>
        <v>205000</v>
      </c>
      <c r="S46" s="17">
        <f ca="1">IFERROR(__xludf.DUMMYFUNCTION("""COMPUTED_VALUE"""),0)</f>
        <v>0</v>
      </c>
      <c r="T46" s="17">
        <f ca="1">IFERROR(__xludf.DUMMYFUNCTION("""COMPUTED_VALUE"""),25000)</f>
        <v>25000</v>
      </c>
      <c r="U46" s="17">
        <f ca="1">IFERROR(__xludf.DUMMYFUNCTION("""COMPUTED_VALUE"""),0)</f>
        <v>0</v>
      </c>
      <c r="V46" s="17">
        <f ca="1">IFERROR(__xludf.DUMMYFUNCTION("""COMPUTED_VALUE"""),0)</f>
        <v>0</v>
      </c>
      <c r="W46" s="17"/>
      <c r="X46" s="17">
        <f ca="1">IFERROR(__xludf.DUMMYFUNCTION("""COMPUTED_VALUE"""),230000)</f>
        <v>230000</v>
      </c>
      <c r="Y46" s="17">
        <f ca="1">IFERROR(__xludf.DUMMYFUNCTION("""COMPUTED_VALUE"""),0)</f>
        <v>0</v>
      </c>
      <c r="Z46" s="17">
        <f ca="1">IFERROR(__xludf.DUMMYFUNCTION("""COMPUTED_VALUE"""),0)</f>
        <v>0</v>
      </c>
      <c r="AA46" s="16"/>
      <c r="AB46" s="14"/>
      <c r="AC46" s="14"/>
      <c r="AD46" s="14"/>
      <c r="AE46" s="14"/>
      <c r="AF46" s="14"/>
      <c r="AG46" s="14"/>
      <c r="AH46" s="14"/>
      <c r="AI46" s="14"/>
    </row>
    <row r="47" spans="1:35" x14ac:dyDescent="0.2">
      <c r="A47" s="16">
        <v>40</v>
      </c>
      <c r="B47" s="16" t="str">
        <f ca="1">IFERROR(__xludf.DUMMYFUNCTION("""COMPUTED_VALUE"""),"BL3071")</f>
        <v>BL3071</v>
      </c>
      <c r="C47" s="16" t="str">
        <f ca="1">IFERROR(__xludf.DUMMYFUNCTION("""COMPUTED_VALUE"""),"NGUYỄN VĂN LÝ - 0051")</f>
        <v>NGUYỄN VĂN LÝ - 0051</v>
      </c>
      <c r="D47" s="17">
        <f ca="1">IFERROR(__xludf.DUMMYFUNCTION("""COMPUTED_VALUE"""),600000)</f>
        <v>600000</v>
      </c>
      <c r="E47" s="17">
        <f ca="1">IFERROR(__xludf.DUMMYFUNCTION("""COMPUTED_VALUE"""),544000)</f>
        <v>544000</v>
      </c>
      <c r="F47" s="17">
        <f ca="1">IFERROR(__xludf.DUMMYFUNCTION("""COMPUTED_VALUE"""),5)</f>
        <v>5</v>
      </c>
      <c r="G47" s="17">
        <f ca="1">IFERROR(__xludf.DUMMYFUNCTION("""COMPUTED_VALUE"""),60)</f>
        <v>60</v>
      </c>
      <c r="H47" s="17">
        <f ca="1">IFERROR(__xludf.DUMMYFUNCTION("""COMPUTED_VALUE"""),102)</f>
        <v>102</v>
      </c>
      <c r="I47" s="17">
        <f ca="1">IFERROR(__xludf.DUMMYFUNCTION("""COMPUTED_VALUE"""),42)</f>
        <v>42</v>
      </c>
      <c r="J47" s="16">
        <f ca="1">IFERROR(__xludf.DUMMYFUNCTION("""COMPUTED_VALUE"""),0)</f>
        <v>0</v>
      </c>
      <c r="K47" s="17">
        <f ca="1">IFERROR(__xludf.DUMMYFUNCTION("""COMPUTED_VALUE"""),0)</f>
        <v>0</v>
      </c>
      <c r="L47" s="17">
        <f ca="1">IFERROR(__xludf.DUMMYFUNCTION("""COMPUTED_VALUE"""),0)</f>
        <v>0</v>
      </c>
      <c r="M47" s="17">
        <f ca="1">IFERROR(__xludf.DUMMYFUNCTION("""COMPUTED_VALUE"""),0)</f>
        <v>0</v>
      </c>
      <c r="N47" s="17">
        <f ca="1">IFERROR(__xludf.DUMMYFUNCTION("""COMPUTED_VALUE"""),0)</f>
        <v>0</v>
      </c>
      <c r="O47" s="17">
        <f ca="1">IFERROR(__xludf.DUMMYFUNCTION("""COMPUTED_VALUE"""),0)</f>
        <v>0</v>
      </c>
      <c r="P47" s="17"/>
      <c r="Q47" s="17">
        <f ca="1">IFERROR(__xludf.DUMMYFUNCTION("""COMPUTED_VALUE"""),0)</f>
        <v>0</v>
      </c>
      <c r="R47" s="17">
        <f ca="1">IFERROR(__xludf.DUMMYFUNCTION("""COMPUTED_VALUE"""),0)</f>
        <v>0</v>
      </c>
      <c r="S47" s="17">
        <f ca="1">IFERROR(__xludf.DUMMYFUNCTION("""COMPUTED_VALUE"""),0)</f>
        <v>0</v>
      </c>
      <c r="T47" s="17">
        <f ca="1">IFERROR(__xludf.DUMMYFUNCTION("""COMPUTED_VALUE"""),0)</f>
        <v>0</v>
      </c>
      <c r="U47" s="17">
        <f ca="1">IFERROR(__xludf.DUMMYFUNCTION("""COMPUTED_VALUE"""),111500)</f>
        <v>111500</v>
      </c>
      <c r="V47" s="17">
        <f ca="1">IFERROR(__xludf.DUMMYFUNCTION("""COMPUTED_VALUE"""),0)</f>
        <v>0</v>
      </c>
      <c r="W47" s="17"/>
      <c r="X47" s="17">
        <f ca="1">IFERROR(__xludf.DUMMYFUNCTION("""COMPUTED_VALUE"""),111500)</f>
        <v>111500</v>
      </c>
      <c r="Y47" s="17">
        <f ca="1">IFERROR(__xludf.DUMMYFUNCTION("""COMPUTED_VALUE"""),0)</f>
        <v>0</v>
      </c>
      <c r="Z47" s="17">
        <f ca="1">IFERROR(__xludf.DUMMYFUNCTION("""COMPUTED_VALUE"""),56000)</f>
        <v>56000</v>
      </c>
      <c r="AA47" s="16"/>
      <c r="AB47" s="14"/>
      <c r="AC47" s="14"/>
      <c r="AD47" s="14"/>
      <c r="AE47" s="14"/>
      <c r="AF47" s="14"/>
      <c r="AG47" s="14"/>
      <c r="AH47" s="14"/>
      <c r="AI47" s="14"/>
    </row>
    <row r="48" spans="1:35" x14ac:dyDescent="0.2">
      <c r="A48" s="16">
        <v>41</v>
      </c>
      <c r="B48" s="16" t="str">
        <f ca="1">IFERROR(__xludf.DUMMYFUNCTION("""COMPUTED_VALUE"""),"BL3073")</f>
        <v>BL3073</v>
      </c>
      <c r="C48" s="16" t="str">
        <f ca="1">IFERROR(__xludf.DUMMYFUNCTION("""COMPUTED_VALUE"""),"LÝ HOÀNG TUẤN - 0010")</f>
        <v>LÝ HOÀNG TUẤN - 0010</v>
      </c>
      <c r="D48" s="17">
        <f ca="1">IFERROR(__xludf.DUMMYFUNCTION("""COMPUTED_VALUE"""),1254000)</f>
        <v>1254000</v>
      </c>
      <c r="E48" s="17">
        <f ca="1">IFERROR(__xludf.DUMMYFUNCTION("""COMPUTED_VALUE"""),1254000)</f>
        <v>1254000</v>
      </c>
      <c r="F48" s="17">
        <f ca="1">IFERROR(__xludf.DUMMYFUNCTION("""COMPUTED_VALUE"""),1)</f>
        <v>1</v>
      </c>
      <c r="G48" s="17">
        <f ca="1">IFERROR(__xludf.DUMMYFUNCTION("""COMPUTED_VALUE"""),156)</f>
        <v>156</v>
      </c>
      <c r="H48" s="17">
        <f ca="1">IFERROR(__xludf.DUMMYFUNCTION("""COMPUTED_VALUE"""),366)</f>
        <v>366</v>
      </c>
      <c r="I48" s="17">
        <f ca="1">IFERROR(__xludf.DUMMYFUNCTION("""COMPUTED_VALUE"""),210)</f>
        <v>210</v>
      </c>
      <c r="J48" s="16">
        <f ca="1">IFERROR(__xludf.DUMMYFUNCTION("""COMPUTED_VALUE"""),1009000)</f>
        <v>1009000</v>
      </c>
      <c r="K48" s="17">
        <f ca="1">IFERROR(__xludf.DUMMYFUNCTION("""COMPUTED_VALUE"""),0)</f>
        <v>0</v>
      </c>
      <c r="L48" s="17">
        <f ca="1">IFERROR(__xludf.DUMMYFUNCTION("""COMPUTED_VALUE"""),0)</f>
        <v>0</v>
      </c>
      <c r="M48" s="17">
        <f ca="1">IFERROR(__xludf.DUMMYFUNCTION("""COMPUTED_VALUE"""),0)</f>
        <v>0</v>
      </c>
      <c r="N48" s="17">
        <f ca="1">IFERROR(__xludf.DUMMYFUNCTION("""COMPUTED_VALUE"""),0)</f>
        <v>0</v>
      </c>
      <c r="O48" s="17">
        <f ca="1">IFERROR(__xludf.DUMMYFUNCTION("""COMPUTED_VALUE"""),0)</f>
        <v>0</v>
      </c>
      <c r="P48" s="17"/>
      <c r="Q48" s="17">
        <f ca="1">IFERROR(__xludf.DUMMYFUNCTION("""COMPUTED_VALUE"""),1009000)</f>
        <v>1009000</v>
      </c>
      <c r="R48" s="17">
        <f ca="1">IFERROR(__xludf.DUMMYFUNCTION("""COMPUTED_VALUE"""),164000)</f>
        <v>164000</v>
      </c>
      <c r="S48" s="17">
        <f ca="1">IFERROR(__xludf.DUMMYFUNCTION("""COMPUTED_VALUE"""),0)</f>
        <v>0</v>
      </c>
      <c r="T48" s="17">
        <f ca="1">IFERROR(__xludf.DUMMYFUNCTION("""COMPUTED_VALUE"""),0)</f>
        <v>0</v>
      </c>
      <c r="U48" s="17">
        <f ca="1">IFERROR(__xludf.DUMMYFUNCTION("""COMPUTED_VALUE"""),0)</f>
        <v>0</v>
      </c>
      <c r="V48" s="17">
        <f ca="1">IFERROR(__xludf.DUMMYFUNCTION("""COMPUTED_VALUE"""),0)</f>
        <v>0</v>
      </c>
      <c r="W48" s="17"/>
      <c r="X48" s="17">
        <f ca="1">IFERROR(__xludf.DUMMYFUNCTION("""COMPUTED_VALUE"""),164000)</f>
        <v>164000</v>
      </c>
      <c r="Y48" s="17">
        <f ca="1">IFERROR(__xludf.DUMMYFUNCTION("""COMPUTED_VALUE"""),0)</f>
        <v>0</v>
      </c>
      <c r="Z48" s="17">
        <f ca="1">IFERROR(__xludf.DUMMYFUNCTION("""COMPUTED_VALUE"""),0)</f>
        <v>0</v>
      </c>
      <c r="AA48" s="16"/>
      <c r="AB48" s="14"/>
      <c r="AC48" s="14"/>
      <c r="AD48" s="14"/>
      <c r="AE48" s="14"/>
      <c r="AF48" s="14"/>
      <c r="AG48" s="14"/>
      <c r="AH48" s="14"/>
      <c r="AI48" s="14"/>
    </row>
    <row r="49" spans="1:35" x14ac:dyDescent="0.2">
      <c r="A49" s="16">
        <v>42</v>
      </c>
      <c r="B49" s="16" t="str">
        <f ca="1">IFERROR(__xludf.DUMMYFUNCTION("""COMPUTED_VALUE"""),"BL3074")</f>
        <v>BL3074</v>
      </c>
      <c r="C49" s="16" t="str">
        <f ca="1">IFERROR(__xludf.DUMMYFUNCTION("""COMPUTED_VALUE"""),"NGUYỄN VĂN HÀO - 0127")</f>
        <v>NGUYỄN VĂN HÀO - 0127</v>
      </c>
      <c r="D49" s="17">
        <f ca="1">IFERROR(__xludf.DUMMYFUNCTION("""COMPUTED_VALUE"""),464000)</f>
        <v>464000</v>
      </c>
      <c r="E49" s="17">
        <f ca="1">IFERROR(__xludf.DUMMYFUNCTION("""COMPUTED_VALUE"""),495000)</f>
        <v>495000</v>
      </c>
      <c r="F49" s="17">
        <f ca="1">IFERROR(__xludf.DUMMYFUNCTION("""COMPUTED_VALUE"""),6)</f>
        <v>6</v>
      </c>
      <c r="G49" s="17">
        <f ca="1">IFERROR(__xludf.DUMMYFUNCTION("""COMPUTED_VALUE"""),105)</f>
        <v>105</v>
      </c>
      <c r="H49" s="17">
        <f ca="1">IFERROR(__xludf.DUMMYFUNCTION("""COMPUTED_VALUE"""),150)</f>
        <v>150</v>
      </c>
      <c r="I49" s="17">
        <f ca="1">IFERROR(__xludf.DUMMYFUNCTION("""COMPUTED_VALUE"""),45)</f>
        <v>45</v>
      </c>
      <c r="J49" s="16">
        <f ca="1">IFERROR(__xludf.DUMMYFUNCTION("""COMPUTED_VALUE"""),0)</f>
        <v>0</v>
      </c>
      <c r="K49" s="17">
        <f ca="1">IFERROR(__xludf.DUMMYFUNCTION("""COMPUTED_VALUE"""),53500)</f>
        <v>53500</v>
      </c>
      <c r="L49" s="17">
        <f ca="1">IFERROR(__xludf.DUMMYFUNCTION("""COMPUTED_VALUE"""),0)</f>
        <v>0</v>
      </c>
      <c r="M49" s="17">
        <f ca="1">IFERROR(__xludf.DUMMYFUNCTION("""COMPUTED_VALUE"""),0)</f>
        <v>0</v>
      </c>
      <c r="N49" s="17">
        <f ca="1">IFERROR(__xludf.DUMMYFUNCTION("""COMPUTED_VALUE"""),0)</f>
        <v>0</v>
      </c>
      <c r="O49" s="17">
        <f ca="1">IFERROR(__xludf.DUMMYFUNCTION("""COMPUTED_VALUE"""),0)</f>
        <v>0</v>
      </c>
      <c r="P49" s="17"/>
      <c r="Q49" s="17">
        <f ca="1">IFERROR(__xludf.DUMMYFUNCTION("""COMPUTED_VALUE"""),53500)</f>
        <v>53500</v>
      </c>
      <c r="R49" s="17">
        <f ca="1">IFERROR(__xludf.DUMMYFUNCTION("""COMPUTED_VALUE"""),0)</f>
        <v>0</v>
      </c>
      <c r="S49" s="17">
        <f ca="1">IFERROR(__xludf.DUMMYFUNCTION("""COMPUTED_VALUE"""),0)</f>
        <v>0</v>
      </c>
      <c r="T49" s="17">
        <f ca="1">IFERROR(__xludf.DUMMYFUNCTION("""COMPUTED_VALUE"""),0)</f>
        <v>0</v>
      </c>
      <c r="U49" s="17">
        <f ca="1">IFERROR(__xludf.DUMMYFUNCTION("""COMPUTED_VALUE"""),43000)</f>
        <v>43000</v>
      </c>
      <c r="V49" s="17">
        <f ca="1">IFERROR(__xludf.DUMMYFUNCTION("""COMPUTED_VALUE"""),0)</f>
        <v>0</v>
      </c>
      <c r="W49" s="17"/>
      <c r="X49" s="17">
        <f ca="1">IFERROR(__xludf.DUMMYFUNCTION("""COMPUTED_VALUE"""),43000)</f>
        <v>43000</v>
      </c>
      <c r="Y49" s="17">
        <f ca="1">IFERROR(__xludf.DUMMYFUNCTION("""COMPUTED_VALUE"""),52000)</f>
        <v>52000</v>
      </c>
      <c r="Z49" s="17">
        <f ca="1">IFERROR(__xludf.DUMMYFUNCTION("""COMPUTED_VALUE"""),21000)</f>
        <v>21000</v>
      </c>
      <c r="AA49" s="16"/>
      <c r="AB49" s="14"/>
      <c r="AC49" s="14"/>
      <c r="AD49" s="14"/>
      <c r="AE49" s="14"/>
      <c r="AF49" s="14"/>
      <c r="AG49" s="14"/>
      <c r="AH49" s="14"/>
      <c r="AI49" s="14"/>
    </row>
    <row r="50" spans="1:35" x14ac:dyDescent="0.2">
      <c r="A50" s="16">
        <v>43</v>
      </c>
      <c r="B50" s="16" t="str">
        <f ca="1">IFERROR(__xludf.DUMMYFUNCTION("""COMPUTED_VALUE"""),"BL3079")</f>
        <v>BL3079</v>
      </c>
      <c r="C50" s="16" t="str">
        <f ca="1">IFERROR(__xludf.DUMMYFUNCTION("""COMPUTED_VALUE"""),"ĐỖ DUY KHÁNH - 0005")</f>
        <v>ĐỖ DUY KHÁNH - 0005</v>
      </c>
      <c r="D50" s="17">
        <f ca="1">IFERROR(__xludf.DUMMYFUNCTION("""COMPUTED_VALUE"""),1097000)</f>
        <v>1097000</v>
      </c>
      <c r="E50" s="17">
        <f ca="1">IFERROR(__xludf.DUMMYFUNCTION("""COMPUTED_VALUE"""),1097000)</f>
        <v>1097000</v>
      </c>
      <c r="F50" s="17">
        <f ca="1">IFERROR(__xludf.DUMMYFUNCTION("""COMPUTED_VALUE"""),18)</f>
        <v>18</v>
      </c>
      <c r="G50" s="17">
        <f ca="1">IFERROR(__xludf.DUMMYFUNCTION("""COMPUTED_VALUE"""),126)</f>
        <v>126</v>
      </c>
      <c r="H50" s="17">
        <f ca="1">IFERROR(__xludf.DUMMYFUNCTION("""COMPUTED_VALUE"""),232)</f>
        <v>232</v>
      </c>
      <c r="I50" s="17">
        <f ca="1">IFERROR(__xludf.DUMMYFUNCTION("""COMPUTED_VALUE"""),106)</f>
        <v>106</v>
      </c>
      <c r="J50" s="16">
        <f ca="1">IFERROR(__xludf.DUMMYFUNCTION("""COMPUTED_VALUE"""),146500)</f>
        <v>146500</v>
      </c>
      <c r="K50" s="17">
        <f ca="1">IFERROR(__xludf.DUMMYFUNCTION("""COMPUTED_VALUE"""),0)</f>
        <v>0</v>
      </c>
      <c r="L50" s="17">
        <f ca="1">IFERROR(__xludf.DUMMYFUNCTION("""COMPUTED_VALUE"""),0)</f>
        <v>0</v>
      </c>
      <c r="M50" s="17">
        <f ca="1">IFERROR(__xludf.DUMMYFUNCTION("""COMPUTED_VALUE"""),0)</f>
        <v>0</v>
      </c>
      <c r="N50" s="17">
        <f ca="1">IFERROR(__xludf.DUMMYFUNCTION("""COMPUTED_VALUE"""),0)</f>
        <v>0</v>
      </c>
      <c r="O50" s="17">
        <f ca="1">IFERROR(__xludf.DUMMYFUNCTION("""COMPUTED_VALUE"""),0)</f>
        <v>0</v>
      </c>
      <c r="P50" s="17"/>
      <c r="Q50" s="17">
        <f ca="1">IFERROR(__xludf.DUMMYFUNCTION("""COMPUTED_VALUE"""),146500)</f>
        <v>146500</v>
      </c>
      <c r="R50" s="17">
        <f ca="1">IFERROR(__xludf.DUMMYFUNCTION("""COMPUTED_VALUE"""),58000)</f>
        <v>58000</v>
      </c>
      <c r="S50" s="17">
        <f ca="1">IFERROR(__xludf.DUMMYFUNCTION("""COMPUTED_VALUE"""),0)</f>
        <v>0</v>
      </c>
      <c r="T50" s="17">
        <f ca="1">IFERROR(__xludf.DUMMYFUNCTION("""COMPUTED_VALUE"""),0)</f>
        <v>0</v>
      </c>
      <c r="U50" s="17">
        <f ca="1">IFERROR(__xludf.DUMMYFUNCTION("""COMPUTED_VALUE"""),0)</f>
        <v>0</v>
      </c>
      <c r="V50" s="17">
        <f ca="1">IFERROR(__xludf.DUMMYFUNCTION("""COMPUTED_VALUE"""),0)</f>
        <v>0</v>
      </c>
      <c r="W50" s="17"/>
      <c r="X50" s="17">
        <f ca="1">IFERROR(__xludf.DUMMYFUNCTION("""COMPUTED_VALUE"""),58000)</f>
        <v>58000</v>
      </c>
      <c r="Y50" s="17">
        <f ca="1">IFERROR(__xludf.DUMMYFUNCTION("""COMPUTED_VALUE"""),0)</f>
        <v>0</v>
      </c>
      <c r="Z50" s="17">
        <f ca="1">IFERROR(__xludf.DUMMYFUNCTION("""COMPUTED_VALUE"""),0)</f>
        <v>0</v>
      </c>
      <c r="AA50" s="16"/>
      <c r="AB50" s="14"/>
      <c r="AC50" s="14"/>
      <c r="AD50" s="14"/>
      <c r="AE50" s="14"/>
      <c r="AF50" s="14"/>
      <c r="AG50" s="14"/>
      <c r="AH50" s="14"/>
      <c r="AI50" s="14"/>
    </row>
    <row r="51" spans="1:35" x14ac:dyDescent="0.2">
      <c r="A51" s="16">
        <v>44</v>
      </c>
      <c r="B51" s="16" t="str">
        <f ca="1">IFERROR(__xludf.DUMMYFUNCTION("""COMPUTED_VALUE"""),"BL3081")</f>
        <v>BL3081</v>
      </c>
      <c r="C51" s="16" t="str">
        <f ca="1">IFERROR(__xludf.DUMMYFUNCTION("""COMPUTED_VALUE"""),"LÊ HOÀNG HẾT - 0109")</f>
        <v>LÊ HOÀNG HẾT - 0109</v>
      </c>
      <c r="D51" s="17">
        <f ca="1">IFERROR(__xludf.DUMMYFUNCTION("""COMPUTED_VALUE"""),842000)</f>
        <v>842000</v>
      </c>
      <c r="E51" s="17">
        <f ca="1">IFERROR(__xludf.DUMMYFUNCTION("""COMPUTED_VALUE"""),842000)</f>
        <v>842000</v>
      </c>
      <c r="F51" s="17">
        <f ca="1">IFERROR(__xludf.DUMMYFUNCTION("""COMPUTED_VALUE"""),9)</f>
        <v>9</v>
      </c>
      <c r="G51" s="17">
        <f ca="1">IFERROR(__xludf.DUMMYFUNCTION("""COMPUTED_VALUE"""),0)</f>
        <v>0</v>
      </c>
      <c r="H51" s="17">
        <f ca="1">IFERROR(__xludf.DUMMYFUNCTION("""COMPUTED_VALUE"""),81)</f>
        <v>81</v>
      </c>
      <c r="I51" s="17">
        <f ca="1">IFERROR(__xludf.DUMMYFUNCTION("""COMPUTED_VALUE"""),81)</f>
        <v>81</v>
      </c>
      <c r="J51" s="16">
        <f ca="1">IFERROR(__xludf.DUMMYFUNCTION("""COMPUTED_VALUE"""),207500)</f>
        <v>207500</v>
      </c>
      <c r="K51" s="17">
        <f ca="1">IFERROR(__xludf.DUMMYFUNCTION("""COMPUTED_VALUE"""),0)</f>
        <v>0</v>
      </c>
      <c r="L51" s="17">
        <f ca="1">IFERROR(__xludf.DUMMYFUNCTION("""COMPUTED_VALUE"""),0)</f>
        <v>0</v>
      </c>
      <c r="M51" s="17">
        <f ca="1">IFERROR(__xludf.DUMMYFUNCTION("""COMPUTED_VALUE"""),0)</f>
        <v>0</v>
      </c>
      <c r="N51" s="17">
        <f ca="1">IFERROR(__xludf.DUMMYFUNCTION("""COMPUTED_VALUE"""),0)</f>
        <v>0</v>
      </c>
      <c r="O51" s="17">
        <f ca="1">IFERROR(__xludf.DUMMYFUNCTION("""COMPUTED_VALUE"""),0)</f>
        <v>0</v>
      </c>
      <c r="P51" s="17"/>
      <c r="Q51" s="17">
        <f ca="1">IFERROR(__xludf.DUMMYFUNCTION("""COMPUTED_VALUE"""),207500)</f>
        <v>207500</v>
      </c>
      <c r="R51" s="17">
        <f ca="1">IFERROR(__xludf.DUMMYFUNCTION("""COMPUTED_VALUE"""),115000)</f>
        <v>115000</v>
      </c>
      <c r="S51" s="17">
        <f ca="1">IFERROR(__xludf.DUMMYFUNCTION("""COMPUTED_VALUE"""),4000)</f>
        <v>4000</v>
      </c>
      <c r="T51" s="17">
        <f ca="1">IFERROR(__xludf.DUMMYFUNCTION("""COMPUTED_VALUE"""),0)</f>
        <v>0</v>
      </c>
      <c r="U51" s="17">
        <f ca="1">IFERROR(__xludf.DUMMYFUNCTION("""COMPUTED_VALUE"""),0)</f>
        <v>0</v>
      </c>
      <c r="V51" s="17">
        <f ca="1">IFERROR(__xludf.DUMMYFUNCTION("""COMPUTED_VALUE"""),0)</f>
        <v>0</v>
      </c>
      <c r="W51" s="17"/>
      <c r="X51" s="17">
        <f ca="1">IFERROR(__xludf.DUMMYFUNCTION("""COMPUTED_VALUE"""),119000)</f>
        <v>119000</v>
      </c>
      <c r="Y51" s="17">
        <f ca="1">IFERROR(__xludf.DUMMYFUNCTION("""COMPUTED_VALUE"""),0)</f>
        <v>0</v>
      </c>
      <c r="Z51" s="17">
        <f ca="1">IFERROR(__xludf.DUMMYFUNCTION("""COMPUTED_VALUE"""),0)</f>
        <v>0</v>
      </c>
      <c r="AA51" s="16"/>
      <c r="AB51" s="14"/>
      <c r="AC51" s="14"/>
      <c r="AD51" s="14"/>
      <c r="AE51" s="14"/>
      <c r="AF51" s="14"/>
      <c r="AG51" s="14"/>
      <c r="AH51" s="14"/>
      <c r="AI51" s="14"/>
    </row>
    <row r="52" spans="1:35" x14ac:dyDescent="0.2">
      <c r="A52" s="16">
        <v>45</v>
      </c>
      <c r="B52" s="16" t="str">
        <f ca="1">IFERROR(__xludf.DUMMYFUNCTION("""COMPUTED_VALUE"""),"BL3082")</f>
        <v>BL3082</v>
      </c>
      <c r="C52" s="16" t="str">
        <f ca="1">IFERROR(__xludf.DUMMYFUNCTION("""COMPUTED_VALUE"""),"DƯƠNG HẢI LÝ - 0083")</f>
        <v>DƯƠNG HẢI LÝ - 0083</v>
      </c>
      <c r="D52" s="17">
        <f ca="1">IFERROR(__xludf.DUMMYFUNCTION("""COMPUTED_VALUE"""),570000)</f>
        <v>570000</v>
      </c>
      <c r="E52" s="17">
        <f ca="1">IFERROR(__xludf.DUMMYFUNCTION("""COMPUTED_VALUE"""),570000)</f>
        <v>570000</v>
      </c>
      <c r="F52" s="17">
        <f ca="1">IFERROR(__xludf.DUMMYFUNCTION("""COMPUTED_VALUE"""),7)</f>
        <v>7</v>
      </c>
      <c r="G52" s="17">
        <f ca="1">IFERROR(__xludf.DUMMYFUNCTION("""COMPUTED_VALUE"""),190)</f>
        <v>190</v>
      </c>
      <c r="H52" s="17">
        <f ca="1">IFERROR(__xludf.DUMMYFUNCTION("""COMPUTED_VALUE"""),239)</f>
        <v>239</v>
      </c>
      <c r="I52" s="17">
        <f ca="1">IFERROR(__xludf.DUMMYFUNCTION("""COMPUTED_VALUE"""),49)</f>
        <v>49</v>
      </c>
      <c r="J52" s="16">
        <f ca="1">IFERROR(__xludf.DUMMYFUNCTION("""COMPUTED_VALUE"""),0)</f>
        <v>0</v>
      </c>
      <c r="K52" s="17">
        <f ca="1">IFERROR(__xludf.DUMMYFUNCTION("""COMPUTED_VALUE"""),0)</f>
        <v>0</v>
      </c>
      <c r="L52" s="17">
        <f ca="1">IFERROR(__xludf.DUMMYFUNCTION("""COMPUTED_VALUE"""),0)</f>
        <v>0</v>
      </c>
      <c r="M52" s="17">
        <f ca="1">IFERROR(__xludf.DUMMYFUNCTION("""COMPUTED_VALUE"""),0)</f>
        <v>0</v>
      </c>
      <c r="N52" s="17">
        <f ca="1">IFERROR(__xludf.DUMMYFUNCTION("""COMPUTED_VALUE"""),0)</f>
        <v>0</v>
      </c>
      <c r="O52" s="17">
        <f ca="1">IFERROR(__xludf.DUMMYFUNCTION("""COMPUTED_VALUE"""),0)</f>
        <v>0</v>
      </c>
      <c r="P52" s="17"/>
      <c r="Q52" s="17">
        <f ca="1">IFERROR(__xludf.DUMMYFUNCTION("""COMPUTED_VALUE"""),0)</f>
        <v>0</v>
      </c>
      <c r="R52" s="17">
        <f ca="1">IFERROR(__xludf.DUMMYFUNCTION("""COMPUTED_VALUE"""),0)</f>
        <v>0</v>
      </c>
      <c r="S52" s="17">
        <f ca="1">IFERROR(__xludf.DUMMYFUNCTION("""COMPUTED_VALUE"""),0)</f>
        <v>0</v>
      </c>
      <c r="T52" s="17">
        <f ca="1">IFERROR(__xludf.DUMMYFUNCTION("""COMPUTED_VALUE"""),0)</f>
        <v>0</v>
      </c>
      <c r="U52" s="17">
        <f ca="1">IFERROR(__xludf.DUMMYFUNCTION("""COMPUTED_VALUE"""),0)</f>
        <v>0</v>
      </c>
      <c r="V52" s="17">
        <f ca="1">IFERROR(__xludf.DUMMYFUNCTION("""COMPUTED_VALUE"""),0)</f>
        <v>0</v>
      </c>
      <c r="W52" s="17"/>
      <c r="X52" s="17">
        <f ca="1">IFERROR(__xludf.DUMMYFUNCTION("""COMPUTED_VALUE"""),0)</f>
        <v>0</v>
      </c>
      <c r="Y52" s="17">
        <f ca="1">IFERROR(__xludf.DUMMYFUNCTION("""COMPUTED_VALUE"""),0)</f>
        <v>0</v>
      </c>
      <c r="Z52" s="17">
        <f ca="1">IFERROR(__xludf.DUMMYFUNCTION("""COMPUTED_VALUE"""),0)</f>
        <v>0</v>
      </c>
      <c r="AA52" s="16"/>
      <c r="AB52" s="14"/>
      <c r="AC52" s="14"/>
      <c r="AD52" s="14"/>
      <c r="AE52" s="14"/>
      <c r="AF52" s="14"/>
      <c r="AG52" s="14"/>
      <c r="AH52" s="14"/>
      <c r="AI52" s="14"/>
    </row>
    <row r="53" spans="1:35" x14ac:dyDescent="0.2">
      <c r="A53" s="16">
        <v>46</v>
      </c>
      <c r="B53" s="16" t="str">
        <f ca="1">IFERROR(__xludf.DUMMYFUNCTION("""COMPUTED_VALUE"""),"BL3084")</f>
        <v>BL3084</v>
      </c>
      <c r="C53" s="16" t="str">
        <f ca="1">IFERROR(__xludf.DUMMYFUNCTION("""COMPUTED_VALUE"""),"CAO THÁI DUY - 0057")</f>
        <v>CAO THÁI DUY - 0057</v>
      </c>
      <c r="D53" s="17">
        <f ca="1">IFERROR(__xludf.DUMMYFUNCTION("""COMPUTED_VALUE"""),645000)</f>
        <v>645000</v>
      </c>
      <c r="E53" s="17">
        <f ca="1">IFERROR(__xludf.DUMMYFUNCTION("""COMPUTED_VALUE"""),645000)</f>
        <v>645000</v>
      </c>
      <c r="F53" s="17">
        <f ca="1">IFERROR(__xludf.DUMMYFUNCTION("""COMPUTED_VALUE"""),10)</f>
        <v>10</v>
      </c>
      <c r="G53" s="17">
        <f ca="1">IFERROR(__xludf.DUMMYFUNCTION("""COMPUTED_VALUE"""),81)</f>
        <v>81</v>
      </c>
      <c r="H53" s="17">
        <f ca="1">IFERROR(__xludf.DUMMYFUNCTION("""COMPUTED_VALUE"""),137)</f>
        <v>137</v>
      </c>
      <c r="I53" s="17">
        <f ca="1">IFERROR(__xludf.DUMMYFUNCTION("""COMPUTED_VALUE"""),56)</f>
        <v>56</v>
      </c>
      <c r="J53" s="16">
        <f ca="1">IFERROR(__xludf.DUMMYFUNCTION("""COMPUTED_VALUE"""),0)</f>
        <v>0</v>
      </c>
      <c r="K53" s="17">
        <f ca="1">IFERROR(__xludf.DUMMYFUNCTION("""COMPUTED_VALUE"""),0)</f>
        <v>0</v>
      </c>
      <c r="L53" s="17">
        <f ca="1">IFERROR(__xludf.DUMMYFUNCTION("""COMPUTED_VALUE"""),0)</f>
        <v>0</v>
      </c>
      <c r="M53" s="17">
        <f ca="1">IFERROR(__xludf.DUMMYFUNCTION("""COMPUTED_VALUE"""),0)</f>
        <v>0</v>
      </c>
      <c r="N53" s="17">
        <f ca="1">IFERROR(__xludf.DUMMYFUNCTION("""COMPUTED_VALUE"""),0)</f>
        <v>0</v>
      </c>
      <c r="O53" s="17">
        <f ca="1">IFERROR(__xludf.DUMMYFUNCTION("""COMPUTED_VALUE"""),0)</f>
        <v>0</v>
      </c>
      <c r="P53" s="17"/>
      <c r="Q53" s="17">
        <f ca="1">IFERROR(__xludf.DUMMYFUNCTION("""COMPUTED_VALUE"""),0)</f>
        <v>0</v>
      </c>
      <c r="R53" s="17">
        <f ca="1">IFERROR(__xludf.DUMMYFUNCTION("""COMPUTED_VALUE"""),0)</f>
        <v>0</v>
      </c>
      <c r="S53" s="17">
        <f ca="1">IFERROR(__xludf.DUMMYFUNCTION("""COMPUTED_VALUE"""),0)</f>
        <v>0</v>
      </c>
      <c r="T53" s="17">
        <f ca="1">IFERROR(__xludf.DUMMYFUNCTION("""COMPUTED_VALUE"""),0)</f>
        <v>0</v>
      </c>
      <c r="U53" s="17">
        <f ca="1">IFERROR(__xludf.DUMMYFUNCTION("""COMPUTED_VALUE"""),0)</f>
        <v>0</v>
      </c>
      <c r="V53" s="17">
        <f ca="1">IFERROR(__xludf.DUMMYFUNCTION("""COMPUTED_VALUE"""),0)</f>
        <v>0</v>
      </c>
      <c r="W53" s="17"/>
      <c r="X53" s="17">
        <f ca="1">IFERROR(__xludf.DUMMYFUNCTION("""COMPUTED_VALUE"""),0)</f>
        <v>0</v>
      </c>
      <c r="Y53" s="17">
        <f ca="1">IFERROR(__xludf.DUMMYFUNCTION("""COMPUTED_VALUE"""),0)</f>
        <v>0</v>
      </c>
      <c r="Z53" s="17">
        <f ca="1">IFERROR(__xludf.DUMMYFUNCTION("""COMPUTED_VALUE"""),0)</f>
        <v>0</v>
      </c>
      <c r="AA53" s="16"/>
      <c r="AB53" s="14"/>
      <c r="AC53" s="14"/>
      <c r="AD53" s="14"/>
      <c r="AE53" s="14"/>
      <c r="AF53" s="14"/>
      <c r="AG53" s="14"/>
      <c r="AH53" s="14"/>
      <c r="AI53" s="14"/>
    </row>
    <row r="54" spans="1:35" x14ac:dyDescent="0.2">
      <c r="A54" s="16">
        <v>47</v>
      </c>
      <c r="B54" s="16" t="str">
        <f ca="1">IFERROR(__xludf.DUMMYFUNCTION("""COMPUTED_VALUE"""),"BL3085")</f>
        <v>BL3085</v>
      </c>
      <c r="C54" s="16" t="str">
        <f ca="1">IFERROR(__xludf.DUMMYFUNCTION("""COMPUTED_VALUE"""),"VĂN CÔNG TRƯỜNG - 0071")</f>
        <v>VĂN CÔNG TRƯỜNG - 0071</v>
      </c>
      <c r="D54" s="17">
        <f ca="1">IFERROR(__xludf.DUMMYFUNCTION("""COMPUTED_VALUE"""),1003000)</f>
        <v>1003000</v>
      </c>
      <c r="E54" s="17">
        <f ca="1">IFERROR(__xludf.DUMMYFUNCTION("""COMPUTED_VALUE"""),1003000)</f>
        <v>1003000</v>
      </c>
      <c r="F54" s="17">
        <f ca="1">IFERROR(__xludf.DUMMYFUNCTION("""COMPUTED_VALUE"""),12)</f>
        <v>12</v>
      </c>
      <c r="G54" s="17">
        <f ca="1">IFERROR(__xludf.DUMMYFUNCTION("""COMPUTED_VALUE"""),152)</f>
        <v>152</v>
      </c>
      <c r="H54" s="17">
        <f ca="1">IFERROR(__xludf.DUMMYFUNCTION("""COMPUTED_VALUE"""),245)</f>
        <v>245</v>
      </c>
      <c r="I54" s="17">
        <f ca="1">IFERROR(__xludf.DUMMYFUNCTION("""COMPUTED_VALUE"""),93)</f>
        <v>93</v>
      </c>
      <c r="J54" s="16">
        <f ca="1">IFERROR(__xludf.DUMMYFUNCTION("""COMPUTED_VALUE"""),85000)</f>
        <v>85000</v>
      </c>
      <c r="K54" s="17">
        <f ca="1">IFERROR(__xludf.DUMMYFUNCTION("""COMPUTED_VALUE"""),0)</f>
        <v>0</v>
      </c>
      <c r="L54" s="17">
        <f ca="1">IFERROR(__xludf.DUMMYFUNCTION("""COMPUTED_VALUE"""),0)</f>
        <v>0</v>
      </c>
      <c r="M54" s="17">
        <f ca="1">IFERROR(__xludf.DUMMYFUNCTION("""COMPUTED_VALUE"""),0)</f>
        <v>0</v>
      </c>
      <c r="N54" s="17">
        <f ca="1">IFERROR(__xludf.DUMMYFUNCTION("""COMPUTED_VALUE"""),0)</f>
        <v>0</v>
      </c>
      <c r="O54" s="17">
        <f ca="1">IFERROR(__xludf.DUMMYFUNCTION("""COMPUTED_VALUE"""),0)</f>
        <v>0</v>
      </c>
      <c r="P54" s="17"/>
      <c r="Q54" s="17">
        <f ca="1">IFERROR(__xludf.DUMMYFUNCTION("""COMPUTED_VALUE"""),85000)</f>
        <v>85000</v>
      </c>
      <c r="R54" s="17">
        <f ca="1">IFERROR(__xludf.DUMMYFUNCTION("""COMPUTED_VALUE"""),9000)</f>
        <v>9000</v>
      </c>
      <c r="S54" s="17">
        <f ca="1">IFERROR(__xludf.DUMMYFUNCTION("""COMPUTED_VALUE"""),0)</f>
        <v>0</v>
      </c>
      <c r="T54" s="17">
        <f ca="1">IFERROR(__xludf.DUMMYFUNCTION("""COMPUTED_VALUE"""),0)</f>
        <v>0</v>
      </c>
      <c r="U54" s="17">
        <f ca="1">IFERROR(__xludf.DUMMYFUNCTION("""COMPUTED_VALUE"""),0)</f>
        <v>0</v>
      </c>
      <c r="V54" s="17">
        <f ca="1">IFERROR(__xludf.DUMMYFUNCTION("""COMPUTED_VALUE"""),0)</f>
        <v>0</v>
      </c>
      <c r="W54" s="17"/>
      <c r="X54" s="17">
        <f ca="1">IFERROR(__xludf.DUMMYFUNCTION("""COMPUTED_VALUE"""),9000)</f>
        <v>9000</v>
      </c>
      <c r="Y54" s="17">
        <f ca="1">IFERROR(__xludf.DUMMYFUNCTION("""COMPUTED_VALUE"""),0)</f>
        <v>0</v>
      </c>
      <c r="Z54" s="17">
        <f ca="1">IFERROR(__xludf.DUMMYFUNCTION("""COMPUTED_VALUE"""),0)</f>
        <v>0</v>
      </c>
      <c r="AA54" s="16"/>
      <c r="AB54" s="14"/>
      <c r="AC54" s="14"/>
      <c r="AD54" s="14"/>
      <c r="AE54" s="14"/>
      <c r="AF54" s="14"/>
      <c r="AG54" s="14"/>
      <c r="AH54" s="14"/>
      <c r="AI54" s="14"/>
    </row>
    <row r="55" spans="1:35" x14ac:dyDescent="0.2">
      <c r="A55" s="16">
        <v>48</v>
      </c>
      <c r="B55" s="16" t="str">
        <f ca="1">IFERROR(__xludf.DUMMYFUNCTION("""COMPUTED_VALUE"""),"BL3086")</f>
        <v>BL3086</v>
      </c>
      <c r="C55" s="16" t="str">
        <f ca="1">IFERROR(__xludf.DUMMYFUNCTION("""COMPUTED_VALUE"""),"NGUYỄN TRUNG HIẾU - 0015")</f>
        <v>NGUYỄN TRUNG HIẾU - 0015</v>
      </c>
      <c r="D55" s="17">
        <f ca="1">IFERROR(__xludf.DUMMYFUNCTION("""COMPUTED_VALUE"""),651000)</f>
        <v>651000</v>
      </c>
      <c r="E55" s="17">
        <f ca="1">IFERROR(__xludf.DUMMYFUNCTION("""COMPUTED_VALUE"""),649000)</f>
        <v>649000</v>
      </c>
      <c r="F55" s="17">
        <f ca="1">IFERROR(__xludf.DUMMYFUNCTION("""COMPUTED_VALUE"""),3)</f>
        <v>3</v>
      </c>
      <c r="G55" s="17">
        <f ca="1">IFERROR(__xludf.DUMMYFUNCTION("""COMPUTED_VALUE"""),87)</f>
        <v>87</v>
      </c>
      <c r="H55" s="17">
        <f ca="1">IFERROR(__xludf.DUMMYFUNCTION("""COMPUTED_VALUE"""),161)</f>
        <v>161</v>
      </c>
      <c r="I55" s="17">
        <f ca="1">IFERROR(__xludf.DUMMYFUNCTION("""COMPUTED_VALUE"""),74)</f>
        <v>74</v>
      </c>
      <c r="J55" s="16">
        <f ca="1">IFERROR(__xludf.DUMMYFUNCTION("""COMPUTED_VALUE"""),426000)</f>
        <v>426000</v>
      </c>
      <c r="K55" s="17">
        <f ca="1">IFERROR(__xludf.DUMMYFUNCTION("""COMPUTED_VALUE"""),0)</f>
        <v>0</v>
      </c>
      <c r="L55" s="17">
        <f ca="1">IFERROR(__xludf.DUMMYFUNCTION("""COMPUTED_VALUE"""),0)</f>
        <v>0</v>
      </c>
      <c r="M55" s="17">
        <f ca="1">IFERROR(__xludf.DUMMYFUNCTION("""COMPUTED_VALUE"""),0)</f>
        <v>0</v>
      </c>
      <c r="N55" s="17">
        <f ca="1">IFERROR(__xludf.DUMMYFUNCTION("""COMPUTED_VALUE"""),0)</f>
        <v>0</v>
      </c>
      <c r="O55" s="17">
        <f ca="1">IFERROR(__xludf.DUMMYFUNCTION("""COMPUTED_VALUE"""),0)</f>
        <v>0</v>
      </c>
      <c r="P55" s="17"/>
      <c r="Q55" s="17">
        <f ca="1">IFERROR(__xludf.DUMMYFUNCTION("""COMPUTED_VALUE"""),426000)</f>
        <v>426000</v>
      </c>
      <c r="R55" s="17">
        <f ca="1">IFERROR(__xludf.DUMMYFUNCTION("""COMPUTED_VALUE"""),304000)</f>
        <v>304000</v>
      </c>
      <c r="S55" s="17">
        <f ca="1">IFERROR(__xludf.DUMMYFUNCTION("""COMPUTED_VALUE"""),0)</f>
        <v>0</v>
      </c>
      <c r="T55" s="17">
        <f ca="1">IFERROR(__xludf.DUMMYFUNCTION("""COMPUTED_VALUE"""),0)</f>
        <v>0</v>
      </c>
      <c r="U55" s="17">
        <f ca="1">IFERROR(__xludf.DUMMYFUNCTION("""COMPUTED_VALUE"""),0)</f>
        <v>0</v>
      </c>
      <c r="V55" s="17">
        <f ca="1">IFERROR(__xludf.DUMMYFUNCTION("""COMPUTED_VALUE"""),0)</f>
        <v>0</v>
      </c>
      <c r="W55" s="17"/>
      <c r="X55" s="17">
        <f ca="1">IFERROR(__xludf.DUMMYFUNCTION("""COMPUTED_VALUE"""),304000)</f>
        <v>304000</v>
      </c>
      <c r="Y55" s="17">
        <f ca="1">IFERROR(__xludf.DUMMYFUNCTION("""COMPUTED_VALUE"""),0)</f>
        <v>0</v>
      </c>
      <c r="Z55" s="17">
        <f ca="1">IFERROR(__xludf.DUMMYFUNCTION("""COMPUTED_VALUE"""),2000)</f>
        <v>2000</v>
      </c>
      <c r="AA55" s="16"/>
      <c r="AB55" s="14"/>
      <c r="AC55" s="14"/>
      <c r="AD55" s="14"/>
      <c r="AE55" s="14"/>
      <c r="AF55" s="14"/>
      <c r="AG55" s="14"/>
      <c r="AH55" s="14"/>
      <c r="AI55" s="14"/>
    </row>
    <row r="56" spans="1:35" x14ac:dyDescent="0.2">
      <c r="A56" s="16">
        <v>49</v>
      </c>
      <c r="B56" s="16" t="str">
        <f ca="1">IFERROR(__xludf.DUMMYFUNCTION("""COMPUTED_VALUE"""),"BL3087")</f>
        <v>BL3087</v>
      </c>
      <c r="C56" s="16" t="str">
        <f ca="1">IFERROR(__xludf.DUMMYFUNCTION("""COMPUTED_VALUE"""),"LÝ THÀNH BI - 0121")</f>
        <v>LÝ THÀNH BI - 0121</v>
      </c>
      <c r="D56" s="17">
        <f ca="1">IFERROR(__xludf.DUMMYFUNCTION("""COMPUTED_VALUE"""),160000)</f>
        <v>160000</v>
      </c>
      <c r="E56" s="17">
        <f ca="1">IFERROR(__xludf.DUMMYFUNCTION("""COMPUTED_VALUE"""),160000)</f>
        <v>160000</v>
      </c>
      <c r="F56" s="17">
        <f ca="1">IFERROR(__xludf.DUMMYFUNCTION("""COMPUTED_VALUE"""),1)</f>
        <v>1</v>
      </c>
      <c r="G56" s="17">
        <f ca="1">IFERROR(__xludf.DUMMYFUNCTION("""COMPUTED_VALUE"""),1)</f>
        <v>1</v>
      </c>
      <c r="H56" s="17">
        <f ca="1">IFERROR(__xludf.DUMMYFUNCTION("""COMPUTED_VALUE"""),21)</f>
        <v>21</v>
      </c>
      <c r="I56" s="17">
        <f ca="1">IFERROR(__xludf.DUMMYFUNCTION("""COMPUTED_VALUE"""),20)</f>
        <v>20</v>
      </c>
      <c r="J56" s="16">
        <f ca="1">IFERROR(__xludf.DUMMYFUNCTION("""COMPUTED_VALUE"""),70000)</f>
        <v>70000</v>
      </c>
      <c r="K56" s="17">
        <f ca="1">IFERROR(__xludf.DUMMYFUNCTION("""COMPUTED_VALUE"""),0)</f>
        <v>0</v>
      </c>
      <c r="L56" s="17">
        <f ca="1">IFERROR(__xludf.DUMMYFUNCTION("""COMPUTED_VALUE"""),0)</f>
        <v>0</v>
      </c>
      <c r="M56" s="17">
        <f ca="1">IFERROR(__xludf.DUMMYFUNCTION("""COMPUTED_VALUE"""),0)</f>
        <v>0</v>
      </c>
      <c r="N56" s="17">
        <f ca="1">IFERROR(__xludf.DUMMYFUNCTION("""COMPUTED_VALUE"""),0)</f>
        <v>0</v>
      </c>
      <c r="O56" s="17">
        <f ca="1">IFERROR(__xludf.DUMMYFUNCTION("""COMPUTED_VALUE"""),0)</f>
        <v>0</v>
      </c>
      <c r="P56" s="17"/>
      <c r="Q56" s="17">
        <f ca="1">IFERROR(__xludf.DUMMYFUNCTION("""COMPUTED_VALUE"""),70000)</f>
        <v>70000</v>
      </c>
      <c r="R56" s="17">
        <f ca="1">IFERROR(__xludf.DUMMYFUNCTION("""COMPUTED_VALUE"""),0)</f>
        <v>0</v>
      </c>
      <c r="S56" s="17">
        <f ca="1">IFERROR(__xludf.DUMMYFUNCTION("""COMPUTED_VALUE"""),0)</f>
        <v>0</v>
      </c>
      <c r="T56" s="17">
        <f ca="1">IFERROR(__xludf.DUMMYFUNCTION("""COMPUTED_VALUE"""),0)</f>
        <v>0</v>
      </c>
      <c r="U56" s="17">
        <f ca="1">IFERROR(__xludf.DUMMYFUNCTION("""COMPUTED_VALUE"""),0)</f>
        <v>0</v>
      </c>
      <c r="V56" s="17">
        <f ca="1">IFERROR(__xludf.DUMMYFUNCTION("""COMPUTED_VALUE"""),0)</f>
        <v>0</v>
      </c>
      <c r="W56" s="17"/>
      <c r="X56" s="17">
        <f ca="1">IFERROR(__xludf.DUMMYFUNCTION("""COMPUTED_VALUE"""),0)</f>
        <v>0</v>
      </c>
      <c r="Y56" s="17">
        <f ca="1">IFERROR(__xludf.DUMMYFUNCTION("""COMPUTED_VALUE"""),0)</f>
        <v>0</v>
      </c>
      <c r="Z56" s="17">
        <f ca="1">IFERROR(__xludf.DUMMYFUNCTION("""COMPUTED_VALUE"""),0)</f>
        <v>0</v>
      </c>
      <c r="AA56" s="16"/>
      <c r="AB56" s="14"/>
      <c r="AC56" s="14"/>
      <c r="AD56" s="14"/>
      <c r="AE56" s="14"/>
      <c r="AF56" s="14"/>
      <c r="AG56" s="14"/>
      <c r="AH56" s="14"/>
      <c r="AI56" s="14"/>
    </row>
    <row r="57" spans="1:35" x14ac:dyDescent="0.2">
      <c r="A57" s="16">
        <v>50</v>
      </c>
      <c r="B57" s="16" t="str">
        <f ca="1">IFERROR(__xludf.DUMMYFUNCTION("""COMPUTED_VALUE"""),"BL3088")</f>
        <v>BL3088</v>
      </c>
      <c r="C57" s="16" t="str">
        <f ca="1">IFERROR(__xludf.DUMMYFUNCTION("""COMPUTED_VALUE"""),"THẠCH SANG - 0043")</f>
        <v>THẠCH SANG - 0043</v>
      </c>
      <c r="D57" s="17">
        <f ca="1">IFERROR(__xludf.DUMMYFUNCTION("""COMPUTED_VALUE"""),1407000)</f>
        <v>1407000</v>
      </c>
      <c r="E57" s="17">
        <f ca="1">IFERROR(__xludf.DUMMYFUNCTION("""COMPUTED_VALUE"""),1388000)</f>
        <v>1388000</v>
      </c>
      <c r="F57" s="17">
        <f ca="1">IFERROR(__xludf.DUMMYFUNCTION("""COMPUTED_VALUE"""),9)</f>
        <v>9</v>
      </c>
      <c r="G57" s="17">
        <f ca="1">IFERROR(__xludf.DUMMYFUNCTION("""COMPUTED_VALUE"""),45)</f>
        <v>45</v>
      </c>
      <c r="H57" s="17">
        <f ca="1">IFERROR(__xludf.DUMMYFUNCTION("""COMPUTED_VALUE"""),166)</f>
        <v>166</v>
      </c>
      <c r="I57" s="17">
        <f ca="1">IFERROR(__xludf.DUMMYFUNCTION("""COMPUTED_VALUE"""),121)</f>
        <v>121</v>
      </c>
      <c r="J57" s="16">
        <f ca="1">IFERROR(__xludf.DUMMYFUNCTION("""COMPUTED_VALUE"""),95500)</f>
        <v>95500</v>
      </c>
      <c r="K57" s="17">
        <f ca="1">IFERROR(__xludf.DUMMYFUNCTION("""COMPUTED_VALUE"""),0)</f>
        <v>0</v>
      </c>
      <c r="L57" s="17">
        <f ca="1">IFERROR(__xludf.DUMMYFUNCTION("""COMPUTED_VALUE"""),0)</f>
        <v>0</v>
      </c>
      <c r="M57" s="17">
        <f ca="1">IFERROR(__xludf.DUMMYFUNCTION("""COMPUTED_VALUE"""),0)</f>
        <v>0</v>
      </c>
      <c r="N57" s="17">
        <f ca="1">IFERROR(__xludf.DUMMYFUNCTION("""COMPUTED_VALUE"""),0)</f>
        <v>0</v>
      </c>
      <c r="O57" s="17">
        <f ca="1">IFERROR(__xludf.DUMMYFUNCTION("""COMPUTED_VALUE"""),0)</f>
        <v>0</v>
      </c>
      <c r="P57" s="17"/>
      <c r="Q57" s="17">
        <f ca="1">IFERROR(__xludf.DUMMYFUNCTION("""COMPUTED_VALUE"""),95500)</f>
        <v>95500</v>
      </c>
      <c r="R57" s="17">
        <f ca="1">IFERROR(__xludf.DUMMYFUNCTION("""COMPUTED_VALUE"""),0)</f>
        <v>0</v>
      </c>
      <c r="S57" s="17">
        <f ca="1">IFERROR(__xludf.DUMMYFUNCTION("""COMPUTED_VALUE"""),0)</f>
        <v>0</v>
      </c>
      <c r="T57" s="17">
        <f ca="1">IFERROR(__xludf.DUMMYFUNCTION("""COMPUTED_VALUE"""),50000)</f>
        <v>50000</v>
      </c>
      <c r="U57" s="17">
        <f ca="1">IFERROR(__xludf.DUMMYFUNCTION("""COMPUTED_VALUE"""),56500)</f>
        <v>56500</v>
      </c>
      <c r="V57" s="17">
        <f ca="1">IFERROR(__xludf.DUMMYFUNCTION("""COMPUTED_VALUE"""),0)</f>
        <v>0</v>
      </c>
      <c r="W57" s="17"/>
      <c r="X57" s="17">
        <f ca="1">IFERROR(__xludf.DUMMYFUNCTION("""COMPUTED_VALUE"""),106500)</f>
        <v>106500</v>
      </c>
      <c r="Y57" s="17">
        <f ca="1">IFERROR(__xludf.DUMMYFUNCTION("""COMPUTED_VALUE"""),0)</f>
        <v>0</v>
      </c>
      <c r="Z57" s="17">
        <f ca="1">IFERROR(__xludf.DUMMYFUNCTION("""COMPUTED_VALUE"""),19000)</f>
        <v>19000</v>
      </c>
      <c r="AA57" s="16"/>
      <c r="AB57" s="14"/>
      <c r="AC57" s="14"/>
      <c r="AD57" s="14"/>
      <c r="AE57" s="14"/>
      <c r="AF57" s="14"/>
      <c r="AG57" s="14"/>
      <c r="AH57" s="14"/>
      <c r="AI57" s="14"/>
    </row>
    <row r="58" spans="1:35" x14ac:dyDescent="0.2">
      <c r="A58" s="16">
        <v>51</v>
      </c>
      <c r="B58" s="16" t="str">
        <f ca="1">IFERROR(__xludf.DUMMYFUNCTION("""COMPUTED_VALUE"""),"BL3089")</f>
        <v>BL3089</v>
      </c>
      <c r="C58" s="16" t="str">
        <f ca="1">IFERROR(__xludf.DUMMYFUNCTION("""COMPUTED_VALUE"""),"DƯƠNG THẾ ANH - 0101")</f>
        <v>DƯƠNG THẾ ANH - 0101</v>
      </c>
      <c r="D58" s="17">
        <f ca="1">IFERROR(__xludf.DUMMYFUNCTION("""COMPUTED_VALUE"""),332000)</f>
        <v>332000</v>
      </c>
      <c r="E58" s="17">
        <f ca="1">IFERROR(__xludf.DUMMYFUNCTION("""COMPUTED_VALUE"""),332000)</f>
        <v>332000</v>
      </c>
      <c r="F58" s="17">
        <f ca="1">IFERROR(__xludf.DUMMYFUNCTION("""COMPUTED_VALUE"""),4)</f>
        <v>4</v>
      </c>
      <c r="G58" s="17">
        <f ca="1">IFERROR(__xludf.DUMMYFUNCTION("""COMPUTED_VALUE"""),39)</f>
        <v>39</v>
      </c>
      <c r="H58" s="17">
        <f ca="1">IFERROR(__xludf.DUMMYFUNCTION("""COMPUTED_VALUE"""),74)</f>
        <v>74</v>
      </c>
      <c r="I58" s="17">
        <f ca="1">IFERROR(__xludf.DUMMYFUNCTION("""COMPUTED_VALUE"""),35)</f>
        <v>35</v>
      </c>
      <c r="J58" s="16">
        <f ca="1">IFERROR(__xludf.DUMMYFUNCTION("""COMPUTED_VALUE"""),61500)</f>
        <v>61500</v>
      </c>
      <c r="K58" s="17">
        <f ca="1">IFERROR(__xludf.DUMMYFUNCTION("""COMPUTED_VALUE"""),0)</f>
        <v>0</v>
      </c>
      <c r="L58" s="17">
        <f ca="1">IFERROR(__xludf.DUMMYFUNCTION("""COMPUTED_VALUE"""),0)</f>
        <v>0</v>
      </c>
      <c r="M58" s="17">
        <f ca="1">IFERROR(__xludf.DUMMYFUNCTION("""COMPUTED_VALUE"""),0)</f>
        <v>0</v>
      </c>
      <c r="N58" s="17">
        <f ca="1">IFERROR(__xludf.DUMMYFUNCTION("""COMPUTED_VALUE"""),0)</f>
        <v>0</v>
      </c>
      <c r="O58" s="17">
        <f ca="1">IFERROR(__xludf.DUMMYFUNCTION("""COMPUTED_VALUE"""),0)</f>
        <v>0</v>
      </c>
      <c r="P58" s="17"/>
      <c r="Q58" s="17">
        <f ca="1">IFERROR(__xludf.DUMMYFUNCTION("""COMPUTED_VALUE"""),61500)</f>
        <v>61500</v>
      </c>
      <c r="R58" s="17">
        <f ca="1">IFERROR(__xludf.DUMMYFUNCTION("""COMPUTED_VALUE"""),0)</f>
        <v>0</v>
      </c>
      <c r="S58" s="17">
        <f ca="1">IFERROR(__xludf.DUMMYFUNCTION("""COMPUTED_VALUE"""),0)</f>
        <v>0</v>
      </c>
      <c r="T58" s="17">
        <f ca="1">IFERROR(__xludf.DUMMYFUNCTION("""COMPUTED_VALUE"""),0)</f>
        <v>0</v>
      </c>
      <c r="U58" s="17">
        <f ca="1">IFERROR(__xludf.DUMMYFUNCTION("""COMPUTED_VALUE"""),0)</f>
        <v>0</v>
      </c>
      <c r="V58" s="17">
        <f ca="1">IFERROR(__xludf.DUMMYFUNCTION("""COMPUTED_VALUE"""),0)</f>
        <v>0</v>
      </c>
      <c r="W58" s="17"/>
      <c r="X58" s="17">
        <f ca="1">IFERROR(__xludf.DUMMYFUNCTION("""COMPUTED_VALUE"""),0)</f>
        <v>0</v>
      </c>
      <c r="Y58" s="17">
        <f ca="1">IFERROR(__xludf.DUMMYFUNCTION("""COMPUTED_VALUE"""),0)</f>
        <v>0</v>
      </c>
      <c r="Z58" s="17">
        <f ca="1">IFERROR(__xludf.DUMMYFUNCTION("""COMPUTED_VALUE"""),0)</f>
        <v>0</v>
      </c>
      <c r="AA58" s="16"/>
      <c r="AB58" s="14"/>
      <c r="AC58" s="14"/>
      <c r="AD58" s="14"/>
      <c r="AE58" s="14"/>
      <c r="AF58" s="14"/>
      <c r="AG58" s="14"/>
      <c r="AH58" s="14"/>
      <c r="AI58" s="14"/>
    </row>
    <row r="59" spans="1:35" x14ac:dyDescent="0.2">
      <c r="A59" s="16">
        <v>52</v>
      </c>
      <c r="B59" s="16" t="str">
        <f ca="1">IFERROR(__xludf.DUMMYFUNCTION("""COMPUTED_VALUE"""),"BL3090")</f>
        <v>BL3090</v>
      </c>
      <c r="C59" s="16" t="str">
        <f ca="1">IFERROR(__xludf.DUMMYFUNCTION("""COMPUTED_VALUE"""),"ĐẶNG CÔNG TRẠNG - 0075")</f>
        <v>ĐẶNG CÔNG TRẠNG - 0075</v>
      </c>
      <c r="D59" s="17">
        <f ca="1">IFERROR(__xludf.DUMMYFUNCTION("""COMPUTED_VALUE"""),606000)</f>
        <v>606000</v>
      </c>
      <c r="E59" s="17">
        <f ca="1">IFERROR(__xludf.DUMMYFUNCTION("""COMPUTED_VALUE"""),592000)</f>
        <v>592000</v>
      </c>
      <c r="F59" s="17">
        <f ca="1">IFERROR(__xludf.DUMMYFUNCTION("""COMPUTED_VALUE"""),3)</f>
        <v>3</v>
      </c>
      <c r="G59" s="17">
        <f ca="1">IFERROR(__xludf.DUMMYFUNCTION("""COMPUTED_VALUE"""),6)</f>
        <v>6</v>
      </c>
      <c r="H59" s="17">
        <f ca="1">IFERROR(__xludf.DUMMYFUNCTION("""COMPUTED_VALUE"""),87)</f>
        <v>87</v>
      </c>
      <c r="I59" s="17">
        <f ca="1">IFERROR(__xludf.DUMMYFUNCTION("""COMPUTED_VALUE"""),81)</f>
        <v>81</v>
      </c>
      <c r="J59" s="16">
        <f ca="1">IFERROR(__xludf.DUMMYFUNCTION("""COMPUTED_VALUE"""),290500)</f>
        <v>290500</v>
      </c>
      <c r="K59" s="17">
        <f ca="1">IFERROR(__xludf.DUMMYFUNCTION("""COMPUTED_VALUE"""),0)</f>
        <v>0</v>
      </c>
      <c r="L59" s="17">
        <f ca="1">IFERROR(__xludf.DUMMYFUNCTION("""COMPUTED_VALUE"""),0)</f>
        <v>0</v>
      </c>
      <c r="M59" s="17">
        <f ca="1">IFERROR(__xludf.DUMMYFUNCTION("""COMPUTED_VALUE"""),0)</f>
        <v>0</v>
      </c>
      <c r="N59" s="17">
        <f ca="1">IFERROR(__xludf.DUMMYFUNCTION("""COMPUTED_VALUE"""),0)</f>
        <v>0</v>
      </c>
      <c r="O59" s="17">
        <f ca="1">IFERROR(__xludf.DUMMYFUNCTION("""COMPUTED_VALUE"""),0)</f>
        <v>0</v>
      </c>
      <c r="P59" s="17"/>
      <c r="Q59" s="17">
        <f ca="1">IFERROR(__xludf.DUMMYFUNCTION("""COMPUTED_VALUE"""),290500)</f>
        <v>290500</v>
      </c>
      <c r="R59" s="17">
        <f ca="1">IFERROR(__xludf.DUMMYFUNCTION("""COMPUTED_VALUE"""),33000)</f>
        <v>33000</v>
      </c>
      <c r="S59" s="17">
        <f ca="1">IFERROR(__xludf.DUMMYFUNCTION("""COMPUTED_VALUE"""),0)</f>
        <v>0</v>
      </c>
      <c r="T59" s="17">
        <f ca="1">IFERROR(__xludf.DUMMYFUNCTION("""COMPUTED_VALUE"""),0)</f>
        <v>0</v>
      </c>
      <c r="U59" s="17">
        <f ca="1">IFERROR(__xludf.DUMMYFUNCTION("""COMPUTED_VALUE"""),22500)</f>
        <v>22500</v>
      </c>
      <c r="V59" s="17">
        <f ca="1">IFERROR(__xludf.DUMMYFUNCTION("""COMPUTED_VALUE"""),0)</f>
        <v>0</v>
      </c>
      <c r="W59" s="17"/>
      <c r="X59" s="17">
        <f ca="1">IFERROR(__xludf.DUMMYFUNCTION("""COMPUTED_VALUE"""),55500)</f>
        <v>55500</v>
      </c>
      <c r="Y59" s="17">
        <f ca="1">IFERROR(__xludf.DUMMYFUNCTION("""COMPUTED_VALUE"""),0)</f>
        <v>0</v>
      </c>
      <c r="Z59" s="17">
        <f ca="1">IFERROR(__xludf.DUMMYFUNCTION("""COMPUTED_VALUE"""),14000)</f>
        <v>14000</v>
      </c>
      <c r="AA59" s="16"/>
      <c r="AB59" s="14"/>
      <c r="AC59" s="14"/>
      <c r="AD59" s="14"/>
      <c r="AE59" s="14"/>
      <c r="AF59" s="14"/>
      <c r="AG59" s="14"/>
      <c r="AH59" s="14"/>
      <c r="AI59" s="14"/>
    </row>
    <row r="60" spans="1:35" x14ac:dyDescent="0.2">
      <c r="A60" s="16">
        <v>53</v>
      </c>
      <c r="B60" s="16" t="str">
        <f ca="1">IFERROR(__xludf.DUMMYFUNCTION("""COMPUTED_VALUE"""),"BL3092")</f>
        <v>BL3092</v>
      </c>
      <c r="C60" s="16" t="str">
        <f ca="1">IFERROR(__xludf.DUMMYFUNCTION("""COMPUTED_VALUE"""),"NGUYỄN VĂN PHỤC - 0063")</f>
        <v>NGUYỄN VĂN PHỤC - 0063</v>
      </c>
      <c r="D60" s="17">
        <f ca="1">IFERROR(__xludf.DUMMYFUNCTION("""COMPUTED_VALUE"""),1105000)</f>
        <v>1105000</v>
      </c>
      <c r="E60" s="17">
        <f ca="1">IFERROR(__xludf.DUMMYFUNCTION("""COMPUTED_VALUE"""),1086000)</f>
        <v>1086000</v>
      </c>
      <c r="F60" s="17">
        <f ca="1">IFERROR(__xludf.DUMMYFUNCTION("""COMPUTED_VALUE"""),6)</f>
        <v>6</v>
      </c>
      <c r="G60" s="17">
        <f ca="1">IFERROR(__xludf.DUMMYFUNCTION("""COMPUTED_VALUE"""),99)</f>
        <v>99</v>
      </c>
      <c r="H60" s="17">
        <f ca="1">IFERROR(__xludf.DUMMYFUNCTION("""COMPUTED_VALUE"""),213)</f>
        <v>213</v>
      </c>
      <c r="I60" s="17">
        <f ca="1">IFERROR(__xludf.DUMMYFUNCTION("""COMPUTED_VALUE"""),114)</f>
        <v>114</v>
      </c>
      <c r="J60" s="16">
        <f ca="1">IFERROR(__xludf.DUMMYFUNCTION("""COMPUTED_VALUE"""),371500)</f>
        <v>371500</v>
      </c>
      <c r="K60" s="17">
        <f ca="1">IFERROR(__xludf.DUMMYFUNCTION("""COMPUTED_VALUE"""),0)</f>
        <v>0</v>
      </c>
      <c r="L60" s="17">
        <f ca="1">IFERROR(__xludf.DUMMYFUNCTION("""COMPUTED_VALUE"""),0)</f>
        <v>0</v>
      </c>
      <c r="M60" s="17">
        <f ca="1">IFERROR(__xludf.DUMMYFUNCTION("""COMPUTED_VALUE"""),0)</f>
        <v>0</v>
      </c>
      <c r="N60" s="17">
        <f ca="1">IFERROR(__xludf.DUMMYFUNCTION("""COMPUTED_VALUE"""),0)</f>
        <v>0</v>
      </c>
      <c r="O60" s="17">
        <f ca="1">IFERROR(__xludf.DUMMYFUNCTION("""COMPUTED_VALUE"""),0)</f>
        <v>0</v>
      </c>
      <c r="P60" s="17"/>
      <c r="Q60" s="17">
        <f ca="1">IFERROR(__xludf.DUMMYFUNCTION("""COMPUTED_VALUE"""),371500)</f>
        <v>371500</v>
      </c>
      <c r="R60" s="17">
        <f ca="1">IFERROR(__xludf.DUMMYFUNCTION("""COMPUTED_VALUE"""),156000)</f>
        <v>156000</v>
      </c>
      <c r="S60" s="17">
        <f ca="1">IFERROR(__xludf.DUMMYFUNCTION("""COMPUTED_VALUE"""),0)</f>
        <v>0</v>
      </c>
      <c r="T60" s="17">
        <f ca="1">IFERROR(__xludf.DUMMYFUNCTION("""COMPUTED_VALUE"""),25000)</f>
        <v>25000</v>
      </c>
      <c r="U60" s="17">
        <f ca="1">IFERROR(__xludf.DUMMYFUNCTION("""COMPUTED_VALUE"""),94000)</f>
        <v>94000</v>
      </c>
      <c r="V60" s="17">
        <f ca="1">IFERROR(__xludf.DUMMYFUNCTION("""COMPUTED_VALUE"""),0)</f>
        <v>0</v>
      </c>
      <c r="W60" s="17"/>
      <c r="X60" s="17">
        <f ca="1">IFERROR(__xludf.DUMMYFUNCTION("""COMPUTED_VALUE"""),275000)</f>
        <v>275000</v>
      </c>
      <c r="Y60" s="17">
        <f ca="1">IFERROR(__xludf.DUMMYFUNCTION("""COMPUTED_VALUE"""),0)</f>
        <v>0</v>
      </c>
      <c r="Z60" s="17">
        <f ca="1">IFERROR(__xludf.DUMMYFUNCTION("""COMPUTED_VALUE"""),19000)</f>
        <v>19000</v>
      </c>
      <c r="AA60" s="16"/>
      <c r="AB60" s="14"/>
      <c r="AC60" s="14"/>
      <c r="AD60" s="14"/>
      <c r="AE60" s="14"/>
      <c r="AF60" s="14"/>
      <c r="AG60" s="14"/>
      <c r="AH60" s="14"/>
      <c r="AI60" s="14"/>
    </row>
    <row r="61" spans="1:35" x14ac:dyDescent="0.2">
      <c r="A61" s="16">
        <v>54</v>
      </c>
      <c r="B61" s="16" t="str">
        <f ca="1">IFERROR(__xludf.DUMMYFUNCTION("""COMPUTED_VALUE"""),"BL3093")</f>
        <v>BL3093</v>
      </c>
      <c r="C61" s="16" t="str">
        <f ca="1">IFERROR(__xludf.DUMMYFUNCTION("""COMPUTED_VALUE"""),"CHIÊM VĂN MỚT - 0037")</f>
        <v>CHIÊM VĂN MỚT - 0037</v>
      </c>
      <c r="D61" s="17">
        <f ca="1">IFERROR(__xludf.DUMMYFUNCTION("""COMPUTED_VALUE"""),1167000)</f>
        <v>1167000</v>
      </c>
      <c r="E61" s="17">
        <f ca="1">IFERROR(__xludf.DUMMYFUNCTION("""COMPUTED_VALUE"""),1167000)</f>
        <v>1167000</v>
      </c>
      <c r="F61" s="17">
        <f ca="1">IFERROR(__xludf.DUMMYFUNCTION("""COMPUTED_VALUE"""),15)</f>
        <v>15</v>
      </c>
      <c r="G61" s="17">
        <f ca="1">IFERROR(__xludf.DUMMYFUNCTION("""COMPUTED_VALUE"""),68)</f>
        <v>68</v>
      </c>
      <c r="H61" s="17">
        <f ca="1">IFERROR(__xludf.DUMMYFUNCTION("""COMPUTED_VALUE"""),170)</f>
        <v>170</v>
      </c>
      <c r="I61" s="17">
        <f ca="1">IFERROR(__xludf.DUMMYFUNCTION("""COMPUTED_VALUE"""),102)</f>
        <v>102</v>
      </c>
      <c r="J61" s="16">
        <f ca="1">IFERROR(__xludf.DUMMYFUNCTION("""COMPUTED_VALUE"""),0)</f>
        <v>0</v>
      </c>
      <c r="K61" s="17">
        <f ca="1">IFERROR(__xludf.DUMMYFUNCTION("""COMPUTED_VALUE"""),0)</f>
        <v>0</v>
      </c>
      <c r="L61" s="17">
        <f ca="1">IFERROR(__xludf.DUMMYFUNCTION("""COMPUTED_VALUE"""),0)</f>
        <v>0</v>
      </c>
      <c r="M61" s="17">
        <f ca="1">IFERROR(__xludf.DUMMYFUNCTION("""COMPUTED_VALUE"""),0)</f>
        <v>0</v>
      </c>
      <c r="N61" s="17">
        <f ca="1">IFERROR(__xludf.DUMMYFUNCTION("""COMPUTED_VALUE"""),0)</f>
        <v>0</v>
      </c>
      <c r="O61" s="17">
        <f ca="1">IFERROR(__xludf.DUMMYFUNCTION("""COMPUTED_VALUE"""),0)</f>
        <v>0</v>
      </c>
      <c r="P61" s="17"/>
      <c r="Q61" s="17">
        <f ca="1">IFERROR(__xludf.DUMMYFUNCTION("""COMPUTED_VALUE"""),0)</f>
        <v>0</v>
      </c>
      <c r="R61" s="17">
        <f ca="1">IFERROR(__xludf.DUMMYFUNCTION("""COMPUTED_VALUE"""),0)</f>
        <v>0</v>
      </c>
      <c r="S61" s="17">
        <f ca="1">IFERROR(__xludf.DUMMYFUNCTION("""COMPUTED_VALUE"""),0)</f>
        <v>0</v>
      </c>
      <c r="T61" s="17">
        <f ca="1">IFERROR(__xludf.DUMMYFUNCTION("""COMPUTED_VALUE"""),0)</f>
        <v>0</v>
      </c>
      <c r="U61" s="17">
        <f ca="1">IFERROR(__xludf.DUMMYFUNCTION("""COMPUTED_VALUE"""),0)</f>
        <v>0</v>
      </c>
      <c r="V61" s="17">
        <f ca="1">IFERROR(__xludf.DUMMYFUNCTION("""COMPUTED_VALUE"""),0)</f>
        <v>0</v>
      </c>
      <c r="W61" s="17"/>
      <c r="X61" s="17">
        <f ca="1">IFERROR(__xludf.DUMMYFUNCTION("""COMPUTED_VALUE"""),0)</f>
        <v>0</v>
      </c>
      <c r="Y61" s="17">
        <f ca="1">IFERROR(__xludf.DUMMYFUNCTION("""COMPUTED_VALUE"""),0)</f>
        <v>0</v>
      </c>
      <c r="Z61" s="17">
        <f ca="1">IFERROR(__xludf.DUMMYFUNCTION("""COMPUTED_VALUE"""),0)</f>
        <v>0</v>
      </c>
      <c r="AA61" s="16"/>
      <c r="AB61" s="14"/>
      <c r="AC61" s="14"/>
      <c r="AD61" s="14"/>
      <c r="AE61" s="14"/>
      <c r="AF61" s="14"/>
      <c r="AG61" s="14"/>
      <c r="AH61" s="14"/>
      <c r="AI61" s="14"/>
    </row>
    <row r="62" spans="1:35" x14ac:dyDescent="0.2">
      <c r="A62" s="16">
        <v>55</v>
      </c>
      <c r="B62" s="16" t="str">
        <f ca="1">IFERROR(__xludf.DUMMYFUNCTION("""COMPUTED_VALUE"""),"BL3096")</f>
        <v>BL3096</v>
      </c>
      <c r="C62" s="16" t="str">
        <f ca="1">IFERROR(__xludf.DUMMYFUNCTION("""COMPUTED_VALUE"""),"TRƯƠNG VĂN CƯỜNG - 0077")</f>
        <v>TRƯƠNG VĂN CƯỜNG - 0077</v>
      </c>
      <c r="D62" s="17">
        <f ca="1">IFERROR(__xludf.DUMMYFUNCTION("""COMPUTED_VALUE"""),1617000)</f>
        <v>1617000</v>
      </c>
      <c r="E62" s="17">
        <f ca="1">IFERROR(__xludf.DUMMYFUNCTION("""COMPUTED_VALUE"""),1617000)</f>
        <v>1617000</v>
      </c>
      <c r="F62" s="17">
        <f ca="1">IFERROR(__xludf.DUMMYFUNCTION("""COMPUTED_VALUE"""),9)</f>
        <v>9</v>
      </c>
      <c r="G62" s="17">
        <f ca="1">IFERROR(__xludf.DUMMYFUNCTION("""COMPUTED_VALUE"""),90)</f>
        <v>90</v>
      </c>
      <c r="H62" s="17">
        <f ca="1">IFERROR(__xludf.DUMMYFUNCTION("""COMPUTED_VALUE"""),286)</f>
        <v>286</v>
      </c>
      <c r="I62" s="17">
        <f ca="1">IFERROR(__xludf.DUMMYFUNCTION("""COMPUTED_VALUE"""),196)</f>
        <v>196</v>
      </c>
      <c r="J62" s="16">
        <f ca="1">IFERROR(__xludf.DUMMYFUNCTION("""COMPUTED_VALUE"""),747000)</f>
        <v>747000</v>
      </c>
      <c r="K62" s="17">
        <f ca="1">IFERROR(__xludf.DUMMYFUNCTION("""COMPUTED_VALUE"""),0)</f>
        <v>0</v>
      </c>
      <c r="L62" s="17">
        <f ca="1">IFERROR(__xludf.DUMMYFUNCTION("""COMPUTED_VALUE"""),0)</f>
        <v>0</v>
      </c>
      <c r="M62" s="17">
        <f ca="1">IFERROR(__xludf.DUMMYFUNCTION("""COMPUTED_VALUE"""),0)</f>
        <v>0</v>
      </c>
      <c r="N62" s="17">
        <f ca="1">IFERROR(__xludf.DUMMYFUNCTION("""COMPUTED_VALUE"""),0)</f>
        <v>0</v>
      </c>
      <c r="O62" s="17">
        <f ca="1">IFERROR(__xludf.DUMMYFUNCTION("""COMPUTED_VALUE"""),0)</f>
        <v>0</v>
      </c>
      <c r="P62" s="17"/>
      <c r="Q62" s="17">
        <f ca="1">IFERROR(__xludf.DUMMYFUNCTION("""COMPUTED_VALUE"""),747000)</f>
        <v>747000</v>
      </c>
      <c r="R62" s="17">
        <f ca="1">IFERROR(__xludf.DUMMYFUNCTION("""COMPUTED_VALUE"""),125000)</f>
        <v>125000</v>
      </c>
      <c r="S62" s="17">
        <f ca="1">IFERROR(__xludf.DUMMYFUNCTION("""COMPUTED_VALUE"""),0)</f>
        <v>0</v>
      </c>
      <c r="T62" s="17">
        <f ca="1">IFERROR(__xludf.DUMMYFUNCTION("""COMPUTED_VALUE"""),0)</f>
        <v>0</v>
      </c>
      <c r="U62" s="17">
        <f ca="1">IFERROR(__xludf.DUMMYFUNCTION("""COMPUTED_VALUE"""),0)</f>
        <v>0</v>
      </c>
      <c r="V62" s="17">
        <f ca="1">IFERROR(__xludf.DUMMYFUNCTION("""COMPUTED_VALUE"""),0)</f>
        <v>0</v>
      </c>
      <c r="W62" s="17"/>
      <c r="X62" s="17">
        <f ca="1">IFERROR(__xludf.DUMMYFUNCTION("""COMPUTED_VALUE"""),125000)</f>
        <v>125000</v>
      </c>
      <c r="Y62" s="17">
        <f ca="1">IFERROR(__xludf.DUMMYFUNCTION("""COMPUTED_VALUE"""),0)</f>
        <v>0</v>
      </c>
      <c r="Z62" s="17">
        <f ca="1">IFERROR(__xludf.DUMMYFUNCTION("""COMPUTED_VALUE"""),0)</f>
        <v>0</v>
      </c>
      <c r="AA62" s="16"/>
      <c r="AB62" s="14"/>
      <c r="AC62" s="14"/>
      <c r="AD62" s="14"/>
      <c r="AE62" s="14"/>
      <c r="AF62" s="14"/>
      <c r="AG62" s="14"/>
      <c r="AH62" s="14"/>
      <c r="AI62" s="14"/>
    </row>
    <row r="63" spans="1:35" x14ac:dyDescent="0.2">
      <c r="A63" s="16">
        <v>56</v>
      </c>
      <c r="B63" s="16" t="str">
        <f ca="1">IFERROR(__xludf.DUMMYFUNCTION("""COMPUTED_VALUE"""),"BL3097")</f>
        <v>BL3097</v>
      </c>
      <c r="C63" s="16" t="str">
        <f ca="1">IFERROR(__xludf.DUMMYFUNCTION("""COMPUTED_VALUE"""),"TRẦN VĂN HÓA - 0066")</f>
        <v>TRẦN VĂN HÓA - 0066</v>
      </c>
      <c r="D63" s="17">
        <f ca="1">IFERROR(__xludf.DUMMYFUNCTION("""COMPUTED_VALUE"""),1070000)</f>
        <v>1070000</v>
      </c>
      <c r="E63" s="17">
        <f ca="1">IFERROR(__xludf.DUMMYFUNCTION("""COMPUTED_VALUE"""),1070000)</f>
        <v>1070000</v>
      </c>
      <c r="F63" s="17">
        <f ca="1">IFERROR(__xludf.DUMMYFUNCTION("""COMPUTED_VALUE"""),8)</f>
        <v>8</v>
      </c>
      <c r="G63" s="17">
        <f ca="1">IFERROR(__xludf.DUMMYFUNCTION("""COMPUTED_VALUE"""),90)</f>
        <v>90</v>
      </c>
      <c r="H63" s="17">
        <f ca="1">IFERROR(__xludf.DUMMYFUNCTION("""COMPUTED_VALUE"""),189)</f>
        <v>189</v>
      </c>
      <c r="I63" s="17">
        <f ca="1">IFERROR(__xludf.DUMMYFUNCTION("""COMPUTED_VALUE"""),99)</f>
        <v>99</v>
      </c>
      <c r="J63" s="16">
        <f ca="1">IFERROR(__xludf.DUMMYFUNCTION("""COMPUTED_VALUE"""),71500)</f>
        <v>71500</v>
      </c>
      <c r="K63" s="17">
        <f ca="1">IFERROR(__xludf.DUMMYFUNCTION("""COMPUTED_VALUE"""),0)</f>
        <v>0</v>
      </c>
      <c r="L63" s="17">
        <f ca="1">IFERROR(__xludf.DUMMYFUNCTION("""COMPUTED_VALUE"""),0)</f>
        <v>0</v>
      </c>
      <c r="M63" s="17">
        <f ca="1">IFERROR(__xludf.DUMMYFUNCTION("""COMPUTED_VALUE"""),0)</f>
        <v>0</v>
      </c>
      <c r="N63" s="17">
        <f ca="1">IFERROR(__xludf.DUMMYFUNCTION("""COMPUTED_VALUE"""),0)</f>
        <v>0</v>
      </c>
      <c r="O63" s="17">
        <f ca="1">IFERROR(__xludf.DUMMYFUNCTION("""COMPUTED_VALUE"""),0)</f>
        <v>0</v>
      </c>
      <c r="P63" s="17"/>
      <c r="Q63" s="17">
        <f ca="1">IFERROR(__xludf.DUMMYFUNCTION("""COMPUTED_VALUE"""),71500)</f>
        <v>71500</v>
      </c>
      <c r="R63" s="17">
        <f ca="1">IFERROR(__xludf.DUMMYFUNCTION("""COMPUTED_VALUE"""),0)</f>
        <v>0</v>
      </c>
      <c r="S63" s="17">
        <f ca="1">IFERROR(__xludf.DUMMYFUNCTION("""COMPUTED_VALUE"""),0)</f>
        <v>0</v>
      </c>
      <c r="T63" s="17">
        <f ca="1">IFERROR(__xludf.DUMMYFUNCTION("""COMPUTED_VALUE"""),0)</f>
        <v>0</v>
      </c>
      <c r="U63" s="17">
        <f ca="1">IFERROR(__xludf.DUMMYFUNCTION("""COMPUTED_VALUE"""),0)</f>
        <v>0</v>
      </c>
      <c r="V63" s="17">
        <f ca="1">IFERROR(__xludf.DUMMYFUNCTION("""COMPUTED_VALUE"""),0)</f>
        <v>0</v>
      </c>
      <c r="W63" s="17"/>
      <c r="X63" s="17">
        <f ca="1">IFERROR(__xludf.DUMMYFUNCTION("""COMPUTED_VALUE"""),0)</f>
        <v>0</v>
      </c>
      <c r="Y63" s="17">
        <f ca="1">IFERROR(__xludf.DUMMYFUNCTION("""COMPUTED_VALUE"""),0)</f>
        <v>0</v>
      </c>
      <c r="Z63" s="17">
        <f ca="1">IFERROR(__xludf.DUMMYFUNCTION("""COMPUTED_VALUE"""),0)</f>
        <v>0</v>
      </c>
      <c r="AA63" s="16"/>
      <c r="AB63" s="14"/>
      <c r="AC63" s="14"/>
      <c r="AD63" s="14"/>
      <c r="AE63" s="14"/>
      <c r="AF63" s="14"/>
      <c r="AG63" s="14"/>
      <c r="AH63" s="14"/>
      <c r="AI63" s="14"/>
    </row>
    <row r="64" spans="1:35" x14ac:dyDescent="0.2">
      <c r="A64" s="16">
        <v>57</v>
      </c>
      <c r="B64" s="16" t="str">
        <f ca="1">IFERROR(__xludf.DUMMYFUNCTION("""COMPUTED_VALUE"""),"BL3099")</f>
        <v>BL3099</v>
      </c>
      <c r="C64" s="16" t="str">
        <f ca="1">IFERROR(__xludf.DUMMYFUNCTION("""COMPUTED_VALUE"""),"TRẦN THANH QUY - 0111")</f>
        <v>TRẦN THANH QUY - 0111</v>
      </c>
      <c r="D64" s="17">
        <f ca="1">IFERROR(__xludf.DUMMYFUNCTION("""COMPUTED_VALUE"""),704000)</f>
        <v>704000</v>
      </c>
      <c r="E64" s="17">
        <f ca="1">IFERROR(__xludf.DUMMYFUNCTION("""COMPUTED_VALUE"""),704000)</f>
        <v>704000</v>
      </c>
      <c r="F64" s="17">
        <f ca="1">IFERROR(__xludf.DUMMYFUNCTION("""COMPUTED_VALUE"""),3)</f>
        <v>3</v>
      </c>
      <c r="G64" s="17">
        <f ca="1">IFERROR(__xludf.DUMMYFUNCTION("""COMPUTED_VALUE"""),16)</f>
        <v>16</v>
      </c>
      <c r="H64" s="17">
        <f ca="1">IFERROR(__xludf.DUMMYFUNCTION("""COMPUTED_VALUE"""),98)</f>
        <v>98</v>
      </c>
      <c r="I64" s="17">
        <f ca="1">IFERROR(__xludf.DUMMYFUNCTION("""COMPUTED_VALUE"""),82)</f>
        <v>82</v>
      </c>
      <c r="J64" s="16">
        <f ca="1">IFERROR(__xludf.DUMMYFUNCTION("""COMPUTED_VALUE"""),231000)</f>
        <v>231000</v>
      </c>
      <c r="K64" s="17">
        <f ca="1">IFERROR(__xludf.DUMMYFUNCTION("""COMPUTED_VALUE"""),0)</f>
        <v>0</v>
      </c>
      <c r="L64" s="17">
        <f ca="1">IFERROR(__xludf.DUMMYFUNCTION("""COMPUTED_VALUE"""),0)</f>
        <v>0</v>
      </c>
      <c r="M64" s="17">
        <f ca="1">IFERROR(__xludf.DUMMYFUNCTION("""COMPUTED_VALUE"""),0)</f>
        <v>0</v>
      </c>
      <c r="N64" s="17">
        <f ca="1">IFERROR(__xludf.DUMMYFUNCTION("""COMPUTED_VALUE"""),0)</f>
        <v>0</v>
      </c>
      <c r="O64" s="17">
        <f ca="1">IFERROR(__xludf.DUMMYFUNCTION("""COMPUTED_VALUE"""),0)</f>
        <v>0</v>
      </c>
      <c r="P64" s="17"/>
      <c r="Q64" s="17">
        <f ca="1">IFERROR(__xludf.DUMMYFUNCTION("""COMPUTED_VALUE"""),231000)</f>
        <v>231000</v>
      </c>
      <c r="R64" s="17">
        <f ca="1">IFERROR(__xludf.DUMMYFUNCTION("""COMPUTED_VALUE"""),50000)</f>
        <v>50000</v>
      </c>
      <c r="S64" s="17">
        <f ca="1">IFERROR(__xludf.DUMMYFUNCTION("""COMPUTED_VALUE"""),0)</f>
        <v>0</v>
      </c>
      <c r="T64" s="17">
        <f ca="1">IFERROR(__xludf.DUMMYFUNCTION("""COMPUTED_VALUE"""),0)</f>
        <v>0</v>
      </c>
      <c r="U64" s="17">
        <f ca="1">IFERROR(__xludf.DUMMYFUNCTION("""COMPUTED_VALUE"""),0)</f>
        <v>0</v>
      </c>
      <c r="V64" s="17">
        <f ca="1">IFERROR(__xludf.DUMMYFUNCTION("""COMPUTED_VALUE"""),0)</f>
        <v>0</v>
      </c>
      <c r="W64" s="17"/>
      <c r="X64" s="17">
        <f ca="1">IFERROR(__xludf.DUMMYFUNCTION("""COMPUTED_VALUE"""),50000)</f>
        <v>50000</v>
      </c>
      <c r="Y64" s="17">
        <f ca="1">IFERROR(__xludf.DUMMYFUNCTION("""COMPUTED_VALUE"""),0)</f>
        <v>0</v>
      </c>
      <c r="Z64" s="17">
        <f ca="1">IFERROR(__xludf.DUMMYFUNCTION("""COMPUTED_VALUE"""),0)</f>
        <v>0</v>
      </c>
      <c r="AA64" s="16"/>
      <c r="AB64" s="14"/>
      <c r="AC64" s="14"/>
      <c r="AD64" s="14"/>
      <c r="AE64" s="14"/>
      <c r="AF64" s="14"/>
      <c r="AG64" s="14"/>
      <c r="AH64" s="14"/>
      <c r="AI64" s="14"/>
    </row>
    <row r="65" spans="1:35" x14ac:dyDescent="0.2">
      <c r="A65" s="16">
        <v>58</v>
      </c>
      <c r="B65" s="16" t="str">
        <f ca="1">IFERROR(__xludf.DUMMYFUNCTION("""COMPUTED_VALUE"""),"BL3101")</f>
        <v>BL3101</v>
      </c>
      <c r="C65" s="16" t="str">
        <f ca="1">IFERROR(__xludf.DUMMYFUNCTION("""COMPUTED_VALUE"""),"TRẦN CHÍ NGUYỆN - 0024")</f>
        <v>TRẦN CHÍ NGUYỆN - 0024</v>
      </c>
      <c r="D65" s="17">
        <f ca="1">IFERROR(__xludf.DUMMYFUNCTION("""COMPUTED_VALUE"""),1000000)</f>
        <v>1000000</v>
      </c>
      <c r="E65" s="17">
        <f ca="1">IFERROR(__xludf.DUMMYFUNCTION("""COMPUTED_VALUE"""),1000000)</f>
        <v>1000000</v>
      </c>
      <c r="F65" s="17">
        <f ca="1">IFERROR(__xludf.DUMMYFUNCTION("""COMPUTED_VALUE"""),18)</f>
        <v>18</v>
      </c>
      <c r="G65" s="17">
        <f ca="1">IFERROR(__xludf.DUMMYFUNCTION("""COMPUTED_VALUE"""),84)</f>
        <v>84</v>
      </c>
      <c r="H65" s="17">
        <f ca="1">IFERROR(__xludf.DUMMYFUNCTION("""COMPUTED_VALUE"""),183)</f>
        <v>183</v>
      </c>
      <c r="I65" s="17">
        <f ca="1">IFERROR(__xludf.DUMMYFUNCTION("""COMPUTED_VALUE"""),99)</f>
        <v>99</v>
      </c>
      <c r="J65" s="16">
        <f ca="1">IFERROR(__xludf.DUMMYFUNCTION("""COMPUTED_VALUE"""),166000)</f>
        <v>166000</v>
      </c>
      <c r="K65" s="17">
        <f ca="1">IFERROR(__xludf.DUMMYFUNCTION("""COMPUTED_VALUE"""),0)</f>
        <v>0</v>
      </c>
      <c r="L65" s="17">
        <f ca="1">IFERROR(__xludf.DUMMYFUNCTION("""COMPUTED_VALUE"""),0)</f>
        <v>0</v>
      </c>
      <c r="M65" s="17">
        <f ca="1">IFERROR(__xludf.DUMMYFUNCTION("""COMPUTED_VALUE"""),0)</f>
        <v>0</v>
      </c>
      <c r="N65" s="17">
        <f ca="1">IFERROR(__xludf.DUMMYFUNCTION("""COMPUTED_VALUE"""),0)</f>
        <v>0</v>
      </c>
      <c r="O65" s="17">
        <f ca="1">IFERROR(__xludf.DUMMYFUNCTION("""COMPUTED_VALUE"""),0)</f>
        <v>0</v>
      </c>
      <c r="P65" s="17"/>
      <c r="Q65" s="17">
        <f ca="1">IFERROR(__xludf.DUMMYFUNCTION("""COMPUTED_VALUE"""),166000)</f>
        <v>166000</v>
      </c>
      <c r="R65" s="17">
        <f ca="1">IFERROR(__xludf.DUMMYFUNCTION("""COMPUTED_VALUE"""),17000)</f>
        <v>17000</v>
      </c>
      <c r="S65" s="17">
        <f ca="1">IFERROR(__xludf.DUMMYFUNCTION("""COMPUTED_VALUE"""),0)</f>
        <v>0</v>
      </c>
      <c r="T65" s="17">
        <f ca="1">IFERROR(__xludf.DUMMYFUNCTION("""COMPUTED_VALUE"""),0)</f>
        <v>0</v>
      </c>
      <c r="U65" s="17">
        <f ca="1">IFERROR(__xludf.DUMMYFUNCTION("""COMPUTED_VALUE"""),0)</f>
        <v>0</v>
      </c>
      <c r="V65" s="17">
        <f ca="1">IFERROR(__xludf.DUMMYFUNCTION("""COMPUTED_VALUE"""),0)</f>
        <v>0</v>
      </c>
      <c r="W65" s="17"/>
      <c r="X65" s="17">
        <f ca="1">IFERROR(__xludf.DUMMYFUNCTION("""COMPUTED_VALUE"""),17000)</f>
        <v>17000</v>
      </c>
      <c r="Y65" s="17">
        <f ca="1">IFERROR(__xludf.DUMMYFUNCTION("""COMPUTED_VALUE"""),0)</f>
        <v>0</v>
      </c>
      <c r="Z65" s="17">
        <f ca="1">IFERROR(__xludf.DUMMYFUNCTION("""COMPUTED_VALUE"""),0)</f>
        <v>0</v>
      </c>
      <c r="AA65" s="16"/>
      <c r="AB65" s="14"/>
      <c r="AC65" s="14"/>
      <c r="AD65" s="14"/>
      <c r="AE65" s="14"/>
      <c r="AF65" s="14"/>
      <c r="AG65" s="14"/>
      <c r="AH65" s="14"/>
      <c r="AI65" s="14"/>
    </row>
    <row r="66" spans="1:35" x14ac:dyDescent="0.2">
      <c r="A66" s="16">
        <v>59</v>
      </c>
      <c r="B66" s="16" t="str">
        <f ca="1">IFERROR(__xludf.DUMMYFUNCTION("""COMPUTED_VALUE"""),"BL3102")</f>
        <v>BL3102</v>
      </c>
      <c r="C66" s="16" t="str">
        <f ca="1">IFERROR(__xludf.DUMMYFUNCTION("""COMPUTED_VALUE"""),"NGUYỄN THUẬN ANH - 0082")</f>
        <v>NGUYỄN THUẬN ANH - 0082</v>
      </c>
      <c r="D66" s="17">
        <f ca="1">IFERROR(__xludf.DUMMYFUNCTION("""COMPUTED_VALUE"""),803000)</f>
        <v>803000</v>
      </c>
      <c r="E66" s="17">
        <f ca="1">IFERROR(__xludf.DUMMYFUNCTION("""COMPUTED_VALUE"""),803000)</f>
        <v>803000</v>
      </c>
      <c r="F66" s="17">
        <f ca="1">IFERROR(__xludf.DUMMYFUNCTION("""COMPUTED_VALUE"""),9)</f>
        <v>9</v>
      </c>
      <c r="G66" s="17">
        <f ca="1">IFERROR(__xludf.DUMMYFUNCTION("""COMPUTED_VALUE"""),79)</f>
        <v>79</v>
      </c>
      <c r="H66" s="17">
        <f ca="1">IFERROR(__xludf.DUMMYFUNCTION("""COMPUTED_VALUE"""),163)</f>
        <v>163</v>
      </c>
      <c r="I66" s="17">
        <f ca="1">IFERROR(__xludf.DUMMYFUNCTION("""COMPUTED_VALUE"""),84)</f>
        <v>84</v>
      </c>
      <c r="J66" s="16">
        <f ca="1">IFERROR(__xludf.DUMMYFUNCTION("""COMPUTED_VALUE"""),232500)</f>
        <v>232500</v>
      </c>
      <c r="K66" s="17">
        <f ca="1">IFERROR(__xludf.DUMMYFUNCTION("""COMPUTED_VALUE"""),0)</f>
        <v>0</v>
      </c>
      <c r="L66" s="17">
        <f ca="1">IFERROR(__xludf.DUMMYFUNCTION("""COMPUTED_VALUE"""),0)</f>
        <v>0</v>
      </c>
      <c r="M66" s="17">
        <f ca="1">IFERROR(__xludf.DUMMYFUNCTION("""COMPUTED_VALUE"""),0)</f>
        <v>0</v>
      </c>
      <c r="N66" s="17">
        <f ca="1">IFERROR(__xludf.DUMMYFUNCTION("""COMPUTED_VALUE"""),0)</f>
        <v>0</v>
      </c>
      <c r="O66" s="17">
        <f ca="1">IFERROR(__xludf.DUMMYFUNCTION("""COMPUTED_VALUE"""),0)</f>
        <v>0</v>
      </c>
      <c r="P66" s="17"/>
      <c r="Q66" s="17">
        <f ca="1">IFERROR(__xludf.DUMMYFUNCTION("""COMPUTED_VALUE"""),232500)</f>
        <v>232500</v>
      </c>
      <c r="R66" s="17">
        <f ca="1">IFERROR(__xludf.DUMMYFUNCTION("""COMPUTED_VALUE"""),74000)</f>
        <v>74000</v>
      </c>
      <c r="S66" s="17">
        <f ca="1">IFERROR(__xludf.DUMMYFUNCTION("""COMPUTED_VALUE"""),16000)</f>
        <v>16000</v>
      </c>
      <c r="T66" s="17">
        <f ca="1">IFERROR(__xludf.DUMMYFUNCTION("""COMPUTED_VALUE"""),0)</f>
        <v>0</v>
      </c>
      <c r="U66" s="17">
        <f ca="1">IFERROR(__xludf.DUMMYFUNCTION("""COMPUTED_VALUE"""),0)</f>
        <v>0</v>
      </c>
      <c r="V66" s="17">
        <f ca="1">IFERROR(__xludf.DUMMYFUNCTION("""COMPUTED_VALUE"""),0)</f>
        <v>0</v>
      </c>
      <c r="W66" s="17"/>
      <c r="X66" s="17">
        <f ca="1">IFERROR(__xludf.DUMMYFUNCTION("""COMPUTED_VALUE"""),90000)</f>
        <v>90000</v>
      </c>
      <c r="Y66" s="17">
        <f ca="1">IFERROR(__xludf.DUMMYFUNCTION("""COMPUTED_VALUE"""),0)</f>
        <v>0</v>
      </c>
      <c r="Z66" s="17">
        <f ca="1">IFERROR(__xludf.DUMMYFUNCTION("""COMPUTED_VALUE"""),0)</f>
        <v>0</v>
      </c>
      <c r="AA66" s="16"/>
      <c r="AB66" s="14"/>
      <c r="AC66" s="14"/>
      <c r="AD66" s="14"/>
      <c r="AE66" s="14"/>
      <c r="AF66" s="14"/>
      <c r="AG66" s="14"/>
      <c r="AH66" s="14"/>
      <c r="AI66" s="14"/>
    </row>
    <row r="67" spans="1:35" x14ac:dyDescent="0.2">
      <c r="A67" s="16">
        <v>60</v>
      </c>
      <c r="B67" s="16" t="str">
        <f ca="1">IFERROR(__xludf.DUMMYFUNCTION("""COMPUTED_VALUE"""),"BL3103")</f>
        <v>BL3103</v>
      </c>
      <c r="C67" s="16" t="str">
        <f ca="1">IFERROR(__xludf.DUMMYFUNCTION("""COMPUTED_VALUE"""),"TRẦN MINH TÒNG - 0068")</f>
        <v>TRẦN MINH TÒNG - 0068</v>
      </c>
      <c r="D67" s="17">
        <f ca="1">IFERROR(__xludf.DUMMYFUNCTION("""COMPUTED_VALUE"""),878000)</f>
        <v>878000</v>
      </c>
      <c r="E67" s="17">
        <f ca="1">IFERROR(__xludf.DUMMYFUNCTION("""COMPUTED_VALUE"""),878000)</f>
        <v>878000</v>
      </c>
      <c r="F67" s="17">
        <f ca="1">IFERROR(__xludf.DUMMYFUNCTION("""COMPUTED_VALUE"""),13)</f>
        <v>13</v>
      </c>
      <c r="G67" s="17">
        <f ca="1">IFERROR(__xludf.DUMMYFUNCTION("""COMPUTED_VALUE"""),46)</f>
        <v>46</v>
      </c>
      <c r="H67" s="17">
        <f ca="1">IFERROR(__xludf.DUMMYFUNCTION("""COMPUTED_VALUE"""),134)</f>
        <v>134</v>
      </c>
      <c r="I67" s="17">
        <f ca="1">IFERROR(__xludf.DUMMYFUNCTION("""COMPUTED_VALUE"""),88)</f>
        <v>88</v>
      </c>
      <c r="J67" s="16">
        <f ca="1">IFERROR(__xludf.DUMMYFUNCTION("""COMPUTED_VALUE"""),249500)</f>
        <v>249500</v>
      </c>
      <c r="K67" s="17">
        <f ca="1">IFERROR(__xludf.DUMMYFUNCTION("""COMPUTED_VALUE"""),0)</f>
        <v>0</v>
      </c>
      <c r="L67" s="17">
        <f ca="1">IFERROR(__xludf.DUMMYFUNCTION("""COMPUTED_VALUE"""),0)</f>
        <v>0</v>
      </c>
      <c r="M67" s="17">
        <f ca="1">IFERROR(__xludf.DUMMYFUNCTION("""COMPUTED_VALUE"""),0)</f>
        <v>0</v>
      </c>
      <c r="N67" s="17">
        <f ca="1">IFERROR(__xludf.DUMMYFUNCTION("""COMPUTED_VALUE"""),0)</f>
        <v>0</v>
      </c>
      <c r="O67" s="17">
        <f ca="1">IFERROR(__xludf.DUMMYFUNCTION("""COMPUTED_VALUE"""),0)</f>
        <v>0</v>
      </c>
      <c r="P67" s="17"/>
      <c r="Q67" s="17">
        <f ca="1">IFERROR(__xludf.DUMMYFUNCTION("""COMPUTED_VALUE"""),249500)</f>
        <v>249500</v>
      </c>
      <c r="R67" s="17">
        <f ca="1">IFERROR(__xludf.DUMMYFUNCTION("""COMPUTED_VALUE"""),156000)</f>
        <v>156000</v>
      </c>
      <c r="S67" s="17">
        <f ca="1">IFERROR(__xludf.DUMMYFUNCTION("""COMPUTED_VALUE"""),0)</f>
        <v>0</v>
      </c>
      <c r="T67" s="17">
        <f ca="1">IFERROR(__xludf.DUMMYFUNCTION("""COMPUTED_VALUE"""),0)</f>
        <v>0</v>
      </c>
      <c r="U67" s="17">
        <f ca="1">IFERROR(__xludf.DUMMYFUNCTION("""COMPUTED_VALUE"""),0)</f>
        <v>0</v>
      </c>
      <c r="V67" s="17">
        <f ca="1">IFERROR(__xludf.DUMMYFUNCTION("""COMPUTED_VALUE"""),0)</f>
        <v>0</v>
      </c>
      <c r="W67" s="17"/>
      <c r="X67" s="17">
        <f ca="1">IFERROR(__xludf.DUMMYFUNCTION("""COMPUTED_VALUE"""),156000)</f>
        <v>156000</v>
      </c>
      <c r="Y67" s="17">
        <f ca="1">IFERROR(__xludf.DUMMYFUNCTION("""COMPUTED_VALUE"""),0)</f>
        <v>0</v>
      </c>
      <c r="Z67" s="17">
        <f ca="1">IFERROR(__xludf.DUMMYFUNCTION("""COMPUTED_VALUE"""),0)</f>
        <v>0</v>
      </c>
      <c r="AA67" s="16"/>
      <c r="AB67" s="14"/>
      <c r="AC67" s="14"/>
      <c r="AD67" s="14"/>
      <c r="AE67" s="14"/>
      <c r="AF67" s="14"/>
      <c r="AG67" s="14"/>
      <c r="AH67" s="14"/>
      <c r="AI67" s="14"/>
    </row>
    <row r="68" spans="1:35" x14ac:dyDescent="0.2">
      <c r="A68" s="16">
        <v>61</v>
      </c>
      <c r="B68" s="16" t="str">
        <f ca="1">IFERROR(__xludf.DUMMYFUNCTION("""COMPUTED_VALUE"""),"BL3106")</f>
        <v>BL3106</v>
      </c>
      <c r="C68" s="16" t="str">
        <f ca="1">IFERROR(__xludf.DUMMYFUNCTION("""COMPUTED_VALUE"""),"DƯƠNG HỒNG ÂN - 0115")</f>
        <v>DƯƠNG HỒNG ÂN - 0115</v>
      </c>
      <c r="D68" s="17">
        <f ca="1">IFERROR(__xludf.DUMMYFUNCTION("""COMPUTED_VALUE"""),1030000)</f>
        <v>1030000</v>
      </c>
      <c r="E68" s="17">
        <f ca="1">IFERROR(__xludf.DUMMYFUNCTION("""COMPUTED_VALUE"""),1030000)</f>
        <v>1030000</v>
      </c>
      <c r="F68" s="17">
        <f ca="1">IFERROR(__xludf.DUMMYFUNCTION("""COMPUTED_VALUE"""),7)</f>
        <v>7</v>
      </c>
      <c r="G68" s="17">
        <f ca="1">IFERROR(__xludf.DUMMYFUNCTION("""COMPUTED_VALUE"""),94)</f>
        <v>94</v>
      </c>
      <c r="H68" s="17">
        <f ca="1">IFERROR(__xludf.DUMMYFUNCTION("""COMPUTED_VALUE"""),203)</f>
        <v>203</v>
      </c>
      <c r="I68" s="17">
        <f ca="1">IFERROR(__xludf.DUMMYFUNCTION("""COMPUTED_VALUE"""),109)</f>
        <v>109</v>
      </c>
      <c r="J68" s="16">
        <f ca="1">IFERROR(__xludf.DUMMYFUNCTION("""COMPUTED_VALUE"""),232500)</f>
        <v>232500</v>
      </c>
      <c r="K68" s="17">
        <f ca="1">IFERROR(__xludf.DUMMYFUNCTION("""COMPUTED_VALUE"""),0)</f>
        <v>0</v>
      </c>
      <c r="L68" s="17">
        <f ca="1">IFERROR(__xludf.DUMMYFUNCTION("""COMPUTED_VALUE"""),0)</f>
        <v>0</v>
      </c>
      <c r="M68" s="17">
        <f ca="1">IFERROR(__xludf.DUMMYFUNCTION("""COMPUTED_VALUE"""),0)</f>
        <v>0</v>
      </c>
      <c r="N68" s="17">
        <f ca="1">IFERROR(__xludf.DUMMYFUNCTION("""COMPUTED_VALUE"""),0)</f>
        <v>0</v>
      </c>
      <c r="O68" s="17">
        <f ca="1">IFERROR(__xludf.DUMMYFUNCTION("""COMPUTED_VALUE"""),0)</f>
        <v>0</v>
      </c>
      <c r="P68" s="17"/>
      <c r="Q68" s="17">
        <f ca="1">IFERROR(__xludf.DUMMYFUNCTION("""COMPUTED_VALUE"""),232500)</f>
        <v>232500</v>
      </c>
      <c r="R68" s="17">
        <f ca="1">IFERROR(__xludf.DUMMYFUNCTION("""COMPUTED_VALUE"""),58000)</f>
        <v>58000</v>
      </c>
      <c r="S68" s="17">
        <f ca="1">IFERROR(__xludf.DUMMYFUNCTION("""COMPUTED_VALUE"""),0)</f>
        <v>0</v>
      </c>
      <c r="T68" s="17">
        <f ca="1">IFERROR(__xludf.DUMMYFUNCTION("""COMPUTED_VALUE"""),0)</f>
        <v>0</v>
      </c>
      <c r="U68" s="17">
        <f ca="1">IFERROR(__xludf.DUMMYFUNCTION("""COMPUTED_VALUE"""),0)</f>
        <v>0</v>
      </c>
      <c r="V68" s="17">
        <f ca="1">IFERROR(__xludf.DUMMYFUNCTION("""COMPUTED_VALUE"""),0)</f>
        <v>0</v>
      </c>
      <c r="W68" s="17"/>
      <c r="X68" s="17">
        <f ca="1">IFERROR(__xludf.DUMMYFUNCTION("""COMPUTED_VALUE"""),58000)</f>
        <v>58000</v>
      </c>
      <c r="Y68" s="17">
        <f ca="1">IFERROR(__xludf.DUMMYFUNCTION("""COMPUTED_VALUE"""),0)</f>
        <v>0</v>
      </c>
      <c r="Z68" s="17">
        <f ca="1">IFERROR(__xludf.DUMMYFUNCTION("""COMPUTED_VALUE"""),0)</f>
        <v>0</v>
      </c>
      <c r="AA68" s="16"/>
      <c r="AB68" s="14"/>
      <c r="AC68" s="14"/>
      <c r="AD68" s="14"/>
      <c r="AE68" s="14"/>
      <c r="AF68" s="14"/>
      <c r="AG68" s="14"/>
      <c r="AH68" s="14"/>
      <c r="AI68" s="14"/>
    </row>
    <row r="69" spans="1:35" x14ac:dyDescent="0.2">
      <c r="A69" s="16">
        <v>62</v>
      </c>
      <c r="B69" s="16" t="str">
        <f ca="1">IFERROR(__xludf.DUMMYFUNCTION("""COMPUTED_VALUE"""),"BL3107")</f>
        <v>BL3107</v>
      </c>
      <c r="C69" s="16" t="str">
        <f ca="1">IFERROR(__xludf.DUMMYFUNCTION("""COMPUTED_VALUE"""),"NGÔ GIA THÁI - 0088")</f>
        <v>NGÔ GIA THÁI - 0088</v>
      </c>
      <c r="D69" s="17">
        <f ca="1">IFERROR(__xludf.DUMMYFUNCTION("""COMPUTED_VALUE"""),1158000)</f>
        <v>1158000</v>
      </c>
      <c r="E69" s="17">
        <f ca="1">IFERROR(__xludf.DUMMYFUNCTION("""COMPUTED_VALUE"""),1136000)</f>
        <v>1136000</v>
      </c>
      <c r="F69" s="17">
        <f ca="1">IFERROR(__xludf.DUMMYFUNCTION("""COMPUTED_VALUE"""),20)</f>
        <v>20</v>
      </c>
      <c r="G69" s="17">
        <f ca="1">IFERROR(__xludf.DUMMYFUNCTION("""COMPUTED_VALUE"""),91)</f>
        <v>91</v>
      </c>
      <c r="H69" s="17">
        <f ca="1">IFERROR(__xludf.DUMMYFUNCTION("""COMPUTED_VALUE"""),183)</f>
        <v>183</v>
      </c>
      <c r="I69" s="17">
        <f ca="1">IFERROR(__xludf.DUMMYFUNCTION("""COMPUTED_VALUE"""),92)</f>
        <v>92</v>
      </c>
      <c r="J69" s="16">
        <f ca="1">IFERROR(__xludf.DUMMYFUNCTION("""COMPUTED_VALUE"""),0)</f>
        <v>0</v>
      </c>
      <c r="K69" s="17">
        <f ca="1">IFERROR(__xludf.DUMMYFUNCTION("""COMPUTED_VALUE"""),0)</f>
        <v>0</v>
      </c>
      <c r="L69" s="17">
        <f ca="1">IFERROR(__xludf.DUMMYFUNCTION("""COMPUTED_VALUE"""),2500)</f>
        <v>2500</v>
      </c>
      <c r="M69" s="17">
        <f ca="1">IFERROR(__xludf.DUMMYFUNCTION("""COMPUTED_VALUE"""),0)</f>
        <v>0</v>
      </c>
      <c r="N69" s="17">
        <f ca="1">IFERROR(__xludf.DUMMYFUNCTION("""COMPUTED_VALUE"""),0)</f>
        <v>0</v>
      </c>
      <c r="O69" s="17">
        <f ca="1">IFERROR(__xludf.DUMMYFUNCTION("""COMPUTED_VALUE"""),0)</f>
        <v>0</v>
      </c>
      <c r="P69" s="17"/>
      <c r="Q69" s="17">
        <f ca="1">IFERROR(__xludf.DUMMYFUNCTION("""COMPUTED_VALUE"""),2500)</f>
        <v>2500</v>
      </c>
      <c r="R69" s="17">
        <f ca="1">IFERROR(__xludf.DUMMYFUNCTION("""COMPUTED_VALUE"""),0)</f>
        <v>0</v>
      </c>
      <c r="S69" s="17">
        <f ca="1">IFERROR(__xludf.DUMMYFUNCTION("""COMPUTED_VALUE"""),0)</f>
        <v>0</v>
      </c>
      <c r="T69" s="17">
        <f ca="1">IFERROR(__xludf.DUMMYFUNCTION("""COMPUTED_VALUE"""),0)</f>
        <v>0</v>
      </c>
      <c r="U69" s="17">
        <f ca="1">IFERROR(__xludf.DUMMYFUNCTION("""COMPUTED_VALUE"""),98000)</f>
        <v>98000</v>
      </c>
      <c r="V69" s="17">
        <f ca="1">IFERROR(__xludf.DUMMYFUNCTION("""COMPUTED_VALUE"""),0)</f>
        <v>0</v>
      </c>
      <c r="W69" s="17"/>
      <c r="X69" s="17">
        <f ca="1">IFERROR(__xludf.DUMMYFUNCTION("""COMPUTED_VALUE"""),98000)</f>
        <v>98000</v>
      </c>
      <c r="Y69" s="17">
        <f ca="1">IFERROR(__xludf.DUMMYFUNCTION("""COMPUTED_VALUE"""),0)</f>
        <v>0</v>
      </c>
      <c r="Z69" s="17">
        <f ca="1">IFERROR(__xludf.DUMMYFUNCTION("""COMPUTED_VALUE"""),22000)</f>
        <v>22000</v>
      </c>
      <c r="AA69" s="16"/>
      <c r="AB69" s="14"/>
      <c r="AC69" s="14"/>
      <c r="AD69" s="14"/>
      <c r="AE69" s="14"/>
      <c r="AF69" s="14"/>
      <c r="AG69" s="14"/>
      <c r="AH69" s="14"/>
      <c r="AI69" s="14"/>
    </row>
    <row r="70" spans="1:35" x14ac:dyDescent="0.2">
      <c r="A70" s="16">
        <v>63</v>
      </c>
      <c r="B70" s="16" t="str">
        <f ca="1">IFERROR(__xludf.DUMMYFUNCTION("""COMPUTED_VALUE"""),"BL3110")</f>
        <v>BL3110</v>
      </c>
      <c r="C70" s="16" t="str">
        <f ca="1">IFERROR(__xludf.DUMMYFUNCTION("""COMPUTED_VALUE"""),"PHẠM HỒNG ĐẤU - 0120")</f>
        <v>PHẠM HỒNG ĐẤU - 0120</v>
      </c>
      <c r="D70" s="17">
        <f ca="1">IFERROR(__xludf.DUMMYFUNCTION("""COMPUTED_VALUE"""),720000)</f>
        <v>720000</v>
      </c>
      <c r="E70" s="17">
        <f ca="1">IFERROR(__xludf.DUMMYFUNCTION("""COMPUTED_VALUE"""),720000)</f>
        <v>720000</v>
      </c>
      <c r="F70" s="17">
        <f ca="1">IFERROR(__xludf.DUMMYFUNCTION("""COMPUTED_VALUE"""),16)</f>
        <v>16</v>
      </c>
      <c r="G70" s="17">
        <f ca="1">IFERROR(__xludf.DUMMYFUNCTION("""COMPUTED_VALUE"""),91)</f>
        <v>91</v>
      </c>
      <c r="H70" s="17">
        <f ca="1">IFERROR(__xludf.DUMMYFUNCTION("""COMPUTED_VALUE"""),159)</f>
        <v>159</v>
      </c>
      <c r="I70" s="17">
        <f ca="1">IFERROR(__xludf.DUMMYFUNCTION("""COMPUTED_VALUE"""),68)</f>
        <v>68</v>
      </c>
      <c r="J70" s="16">
        <f ca="1">IFERROR(__xludf.DUMMYFUNCTION("""COMPUTED_VALUE"""),70500)</f>
        <v>70500</v>
      </c>
      <c r="K70" s="17">
        <f ca="1">IFERROR(__xludf.DUMMYFUNCTION("""COMPUTED_VALUE"""),0)</f>
        <v>0</v>
      </c>
      <c r="L70" s="17">
        <f ca="1">IFERROR(__xludf.DUMMYFUNCTION("""COMPUTED_VALUE"""),0)</f>
        <v>0</v>
      </c>
      <c r="M70" s="17">
        <f ca="1">IFERROR(__xludf.DUMMYFUNCTION("""COMPUTED_VALUE"""),0)</f>
        <v>0</v>
      </c>
      <c r="N70" s="17">
        <f ca="1">IFERROR(__xludf.DUMMYFUNCTION("""COMPUTED_VALUE"""),0)</f>
        <v>0</v>
      </c>
      <c r="O70" s="17">
        <f ca="1">IFERROR(__xludf.DUMMYFUNCTION("""COMPUTED_VALUE"""),0)</f>
        <v>0</v>
      </c>
      <c r="P70" s="17"/>
      <c r="Q70" s="17">
        <f ca="1">IFERROR(__xludf.DUMMYFUNCTION("""COMPUTED_VALUE"""),70500)</f>
        <v>70500</v>
      </c>
      <c r="R70" s="17">
        <f ca="1">IFERROR(__xludf.DUMMYFUNCTION("""COMPUTED_VALUE"""),0)</f>
        <v>0</v>
      </c>
      <c r="S70" s="17">
        <f ca="1">IFERROR(__xludf.DUMMYFUNCTION("""COMPUTED_VALUE"""),0)</f>
        <v>0</v>
      </c>
      <c r="T70" s="17">
        <f ca="1">IFERROR(__xludf.DUMMYFUNCTION("""COMPUTED_VALUE"""),0)</f>
        <v>0</v>
      </c>
      <c r="U70" s="17">
        <f ca="1">IFERROR(__xludf.DUMMYFUNCTION("""COMPUTED_VALUE"""),0)</f>
        <v>0</v>
      </c>
      <c r="V70" s="17">
        <f ca="1">IFERROR(__xludf.DUMMYFUNCTION("""COMPUTED_VALUE"""),0)</f>
        <v>0</v>
      </c>
      <c r="W70" s="17"/>
      <c r="X70" s="17">
        <f ca="1">IFERROR(__xludf.DUMMYFUNCTION("""COMPUTED_VALUE"""),0)</f>
        <v>0</v>
      </c>
      <c r="Y70" s="17">
        <f ca="1">IFERROR(__xludf.DUMMYFUNCTION("""COMPUTED_VALUE"""),0)</f>
        <v>0</v>
      </c>
      <c r="Z70" s="17">
        <f ca="1">IFERROR(__xludf.DUMMYFUNCTION("""COMPUTED_VALUE"""),0)</f>
        <v>0</v>
      </c>
      <c r="AA70" s="16"/>
      <c r="AB70" s="14"/>
      <c r="AC70" s="14"/>
      <c r="AD70" s="14"/>
      <c r="AE70" s="14"/>
      <c r="AF70" s="14"/>
      <c r="AG70" s="14"/>
      <c r="AH70" s="14"/>
      <c r="AI70" s="14"/>
    </row>
    <row r="71" spans="1:35" x14ac:dyDescent="0.2">
      <c r="A71" s="16">
        <v>64</v>
      </c>
      <c r="B71" s="16" t="str">
        <f ca="1">IFERROR(__xludf.DUMMYFUNCTION("""COMPUTED_VALUE"""),"BL3111")</f>
        <v>BL3111</v>
      </c>
      <c r="C71" s="16" t="str">
        <f ca="1">IFERROR(__xludf.DUMMYFUNCTION("""COMPUTED_VALUE"""),"PHẠM CHÍ TÝ - 0114")</f>
        <v>PHẠM CHÍ TÝ - 0114</v>
      </c>
      <c r="D71" s="17">
        <f ca="1">IFERROR(__xludf.DUMMYFUNCTION("""COMPUTED_VALUE"""),320000)</f>
        <v>320000</v>
      </c>
      <c r="E71" s="17">
        <f ca="1">IFERROR(__xludf.DUMMYFUNCTION("""COMPUTED_VALUE"""),320000)</f>
        <v>320000</v>
      </c>
      <c r="F71" s="17">
        <f ca="1">IFERROR(__xludf.DUMMYFUNCTION("""COMPUTED_VALUE"""),2)</f>
        <v>2</v>
      </c>
      <c r="G71" s="17">
        <f ca="1">IFERROR(__xludf.DUMMYFUNCTION("""COMPUTED_VALUE"""),54)</f>
        <v>54</v>
      </c>
      <c r="H71" s="17">
        <f ca="1">IFERROR(__xludf.DUMMYFUNCTION("""COMPUTED_VALUE"""),94)</f>
        <v>94</v>
      </c>
      <c r="I71" s="17">
        <f ca="1">IFERROR(__xludf.DUMMYFUNCTION("""COMPUTED_VALUE"""),40)</f>
        <v>40</v>
      </c>
      <c r="J71" s="16">
        <f ca="1">IFERROR(__xludf.DUMMYFUNCTION("""COMPUTED_VALUE"""),144500)</f>
        <v>144500</v>
      </c>
      <c r="K71" s="17">
        <f ca="1">IFERROR(__xludf.DUMMYFUNCTION("""COMPUTED_VALUE"""),0)</f>
        <v>0</v>
      </c>
      <c r="L71" s="17">
        <f ca="1">IFERROR(__xludf.DUMMYFUNCTION("""COMPUTED_VALUE"""),0)</f>
        <v>0</v>
      </c>
      <c r="M71" s="17">
        <f ca="1">IFERROR(__xludf.DUMMYFUNCTION("""COMPUTED_VALUE"""),0)</f>
        <v>0</v>
      </c>
      <c r="N71" s="17">
        <f ca="1">IFERROR(__xludf.DUMMYFUNCTION("""COMPUTED_VALUE"""),0)</f>
        <v>0</v>
      </c>
      <c r="O71" s="17">
        <f ca="1">IFERROR(__xludf.DUMMYFUNCTION("""COMPUTED_VALUE"""),0)</f>
        <v>0</v>
      </c>
      <c r="P71" s="17"/>
      <c r="Q71" s="17">
        <f ca="1">IFERROR(__xludf.DUMMYFUNCTION("""COMPUTED_VALUE"""),144500)</f>
        <v>144500</v>
      </c>
      <c r="R71" s="17">
        <f ca="1">IFERROR(__xludf.DUMMYFUNCTION("""COMPUTED_VALUE"""),0)</f>
        <v>0</v>
      </c>
      <c r="S71" s="17">
        <f ca="1">IFERROR(__xludf.DUMMYFUNCTION("""COMPUTED_VALUE"""),0)</f>
        <v>0</v>
      </c>
      <c r="T71" s="17">
        <f ca="1">IFERROR(__xludf.DUMMYFUNCTION("""COMPUTED_VALUE"""),0)</f>
        <v>0</v>
      </c>
      <c r="U71" s="17">
        <f ca="1">IFERROR(__xludf.DUMMYFUNCTION("""COMPUTED_VALUE"""),0)</f>
        <v>0</v>
      </c>
      <c r="V71" s="17">
        <f ca="1">IFERROR(__xludf.DUMMYFUNCTION("""COMPUTED_VALUE"""),0)</f>
        <v>0</v>
      </c>
      <c r="W71" s="17"/>
      <c r="X71" s="17">
        <f ca="1">IFERROR(__xludf.DUMMYFUNCTION("""COMPUTED_VALUE"""),0)</f>
        <v>0</v>
      </c>
      <c r="Y71" s="17">
        <f ca="1">IFERROR(__xludf.DUMMYFUNCTION("""COMPUTED_VALUE"""),0)</f>
        <v>0</v>
      </c>
      <c r="Z71" s="17">
        <f ca="1">IFERROR(__xludf.DUMMYFUNCTION("""COMPUTED_VALUE"""),0)</f>
        <v>0</v>
      </c>
      <c r="AA71" s="16"/>
      <c r="AB71" s="14"/>
      <c r="AC71" s="14"/>
      <c r="AD71" s="14"/>
      <c r="AE71" s="14"/>
      <c r="AF71" s="14"/>
      <c r="AG71" s="14"/>
      <c r="AH71" s="14"/>
      <c r="AI71" s="14"/>
    </row>
    <row r="72" spans="1:35" x14ac:dyDescent="0.2">
      <c r="A72" s="16">
        <v>65</v>
      </c>
      <c r="B72" s="16" t="str">
        <f ca="1">IFERROR(__xludf.DUMMYFUNCTION("""COMPUTED_VALUE"""),"BL3112")</f>
        <v>BL3112</v>
      </c>
      <c r="C72" s="16" t="str">
        <f ca="1">IFERROR(__xludf.DUMMYFUNCTION("""COMPUTED_VALUE"""),"HUỲNH TẤN ĐỆ - 0099")</f>
        <v>HUỲNH TẤN ĐỆ - 0099</v>
      </c>
      <c r="D72" s="17">
        <f ca="1">IFERROR(__xludf.DUMMYFUNCTION("""COMPUTED_VALUE"""),1837000)</f>
        <v>1837000</v>
      </c>
      <c r="E72" s="17">
        <f ca="1">IFERROR(__xludf.DUMMYFUNCTION("""COMPUTED_VALUE"""),1837000)</f>
        <v>1837000</v>
      </c>
      <c r="F72" s="17">
        <f ca="1">IFERROR(__xludf.DUMMYFUNCTION("""COMPUTED_VALUE"""),1)</f>
        <v>1</v>
      </c>
      <c r="G72" s="17">
        <f ca="1">IFERROR(__xludf.DUMMYFUNCTION("""COMPUTED_VALUE"""),1)</f>
        <v>1</v>
      </c>
      <c r="H72" s="17">
        <f ca="1">IFERROR(__xludf.DUMMYFUNCTION("""COMPUTED_VALUE"""),302)</f>
        <v>302</v>
      </c>
      <c r="I72" s="17">
        <f ca="1">IFERROR(__xludf.DUMMYFUNCTION("""COMPUTED_VALUE"""),301)</f>
        <v>301</v>
      </c>
      <c r="J72" s="16">
        <f ca="1">IFERROR(__xludf.DUMMYFUNCTION("""COMPUTED_VALUE"""),1418500)</f>
        <v>1418500</v>
      </c>
      <c r="K72" s="17">
        <f ca="1">IFERROR(__xludf.DUMMYFUNCTION("""COMPUTED_VALUE"""),0)</f>
        <v>0</v>
      </c>
      <c r="L72" s="17">
        <f ca="1">IFERROR(__xludf.DUMMYFUNCTION("""COMPUTED_VALUE"""),0)</f>
        <v>0</v>
      </c>
      <c r="M72" s="17">
        <f ca="1">IFERROR(__xludf.DUMMYFUNCTION("""COMPUTED_VALUE"""),0)</f>
        <v>0</v>
      </c>
      <c r="N72" s="17">
        <f ca="1">IFERROR(__xludf.DUMMYFUNCTION("""COMPUTED_VALUE"""),0)</f>
        <v>0</v>
      </c>
      <c r="O72" s="17">
        <f ca="1">IFERROR(__xludf.DUMMYFUNCTION("""COMPUTED_VALUE"""),0)</f>
        <v>0</v>
      </c>
      <c r="P72" s="17"/>
      <c r="Q72" s="17">
        <f ca="1">IFERROR(__xludf.DUMMYFUNCTION("""COMPUTED_VALUE"""),1418500)</f>
        <v>1418500</v>
      </c>
      <c r="R72" s="17">
        <f ca="1">IFERROR(__xludf.DUMMYFUNCTION("""COMPUTED_VALUE"""),337000)</f>
        <v>337000</v>
      </c>
      <c r="S72" s="17">
        <f ca="1">IFERROR(__xludf.DUMMYFUNCTION("""COMPUTED_VALUE"""),0)</f>
        <v>0</v>
      </c>
      <c r="T72" s="17">
        <f ca="1">IFERROR(__xludf.DUMMYFUNCTION("""COMPUTED_VALUE"""),0)</f>
        <v>0</v>
      </c>
      <c r="U72" s="17">
        <f ca="1">IFERROR(__xludf.DUMMYFUNCTION("""COMPUTED_VALUE"""),0)</f>
        <v>0</v>
      </c>
      <c r="V72" s="17">
        <f ca="1">IFERROR(__xludf.DUMMYFUNCTION("""COMPUTED_VALUE"""),0)</f>
        <v>0</v>
      </c>
      <c r="W72" s="17"/>
      <c r="X72" s="17">
        <f ca="1">IFERROR(__xludf.DUMMYFUNCTION("""COMPUTED_VALUE"""),337000)</f>
        <v>337000</v>
      </c>
      <c r="Y72" s="17">
        <f ca="1">IFERROR(__xludf.DUMMYFUNCTION("""COMPUTED_VALUE"""),0)</f>
        <v>0</v>
      </c>
      <c r="Z72" s="17">
        <f ca="1">IFERROR(__xludf.DUMMYFUNCTION("""COMPUTED_VALUE"""),0)</f>
        <v>0</v>
      </c>
      <c r="AA72" s="16"/>
      <c r="AB72" s="14"/>
      <c r="AC72" s="14"/>
      <c r="AD72" s="14"/>
      <c r="AE72" s="14"/>
      <c r="AF72" s="14"/>
      <c r="AG72" s="14"/>
      <c r="AH72" s="14"/>
      <c r="AI72" s="14"/>
    </row>
    <row r="73" spans="1:35" x14ac:dyDescent="0.2">
      <c r="A73" s="16">
        <v>66</v>
      </c>
      <c r="B73" s="16" t="str">
        <f ca="1">IFERROR(__xludf.DUMMYFUNCTION("""COMPUTED_VALUE"""),"BL3113")</f>
        <v>BL3113</v>
      </c>
      <c r="C73" s="16" t="str">
        <f ca="1">IFERROR(__xludf.DUMMYFUNCTION("""COMPUTED_VALUE"""),"LÝ NGỌC NAM - 0070")</f>
        <v>LÝ NGỌC NAM - 0070</v>
      </c>
      <c r="D73" s="17">
        <f ca="1">IFERROR(__xludf.DUMMYFUNCTION("""COMPUTED_VALUE"""),635000)</f>
        <v>635000</v>
      </c>
      <c r="E73" s="17">
        <f ca="1">IFERROR(__xludf.DUMMYFUNCTION("""COMPUTED_VALUE"""),632000)</f>
        <v>632000</v>
      </c>
      <c r="F73" s="17">
        <f ca="1">IFERROR(__xludf.DUMMYFUNCTION("""COMPUTED_VALUE"""),5)</f>
        <v>5</v>
      </c>
      <c r="G73" s="17">
        <f ca="1">IFERROR(__xludf.DUMMYFUNCTION("""COMPUTED_VALUE"""),46)</f>
        <v>46</v>
      </c>
      <c r="H73" s="17">
        <f ca="1">IFERROR(__xludf.DUMMYFUNCTION("""COMPUTED_VALUE"""),110)</f>
        <v>110</v>
      </c>
      <c r="I73" s="17">
        <f ca="1">IFERROR(__xludf.DUMMYFUNCTION("""COMPUTED_VALUE"""),64)</f>
        <v>64</v>
      </c>
      <c r="J73" s="16">
        <f ca="1">IFERROR(__xludf.DUMMYFUNCTION("""COMPUTED_VALUE"""),217500)</f>
        <v>217500</v>
      </c>
      <c r="K73" s="17">
        <f ca="1">IFERROR(__xludf.DUMMYFUNCTION("""COMPUTED_VALUE"""),0)</f>
        <v>0</v>
      </c>
      <c r="L73" s="17">
        <f ca="1">IFERROR(__xludf.DUMMYFUNCTION("""COMPUTED_VALUE"""),0)</f>
        <v>0</v>
      </c>
      <c r="M73" s="17">
        <f ca="1">IFERROR(__xludf.DUMMYFUNCTION("""COMPUTED_VALUE"""),0)</f>
        <v>0</v>
      </c>
      <c r="N73" s="17">
        <f ca="1">IFERROR(__xludf.DUMMYFUNCTION("""COMPUTED_VALUE"""),0)</f>
        <v>0</v>
      </c>
      <c r="O73" s="17">
        <f ca="1">IFERROR(__xludf.DUMMYFUNCTION("""COMPUTED_VALUE"""),0)</f>
        <v>0</v>
      </c>
      <c r="P73" s="17"/>
      <c r="Q73" s="17">
        <f ca="1">IFERROR(__xludf.DUMMYFUNCTION("""COMPUTED_VALUE"""),217500)</f>
        <v>217500</v>
      </c>
      <c r="R73" s="17">
        <f ca="1">IFERROR(__xludf.DUMMYFUNCTION("""COMPUTED_VALUE"""),132000)</f>
        <v>132000</v>
      </c>
      <c r="S73" s="17">
        <f ca="1">IFERROR(__xludf.DUMMYFUNCTION("""COMPUTED_VALUE"""),0)</f>
        <v>0</v>
      </c>
      <c r="T73" s="17">
        <f ca="1">IFERROR(__xludf.DUMMYFUNCTION("""COMPUTED_VALUE"""),0)</f>
        <v>0</v>
      </c>
      <c r="U73" s="17">
        <f ca="1">IFERROR(__xludf.DUMMYFUNCTION("""COMPUTED_VALUE"""),20000)</f>
        <v>20000</v>
      </c>
      <c r="V73" s="17">
        <f ca="1">IFERROR(__xludf.DUMMYFUNCTION("""COMPUTED_VALUE"""),0)</f>
        <v>0</v>
      </c>
      <c r="W73" s="17"/>
      <c r="X73" s="17">
        <f ca="1">IFERROR(__xludf.DUMMYFUNCTION("""COMPUTED_VALUE"""),152000)</f>
        <v>152000</v>
      </c>
      <c r="Y73" s="17">
        <f ca="1">IFERROR(__xludf.DUMMYFUNCTION("""COMPUTED_VALUE"""),0)</f>
        <v>0</v>
      </c>
      <c r="Z73" s="17">
        <f ca="1">IFERROR(__xludf.DUMMYFUNCTION("""COMPUTED_VALUE"""),3000)</f>
        <v>3000</v>
      </c>
      <c r="AA73" s="16"/>
      <c r="AB73" s="14"/>
      <c r="AC73" s="14"/>
      <c r="AD73" s="14"/>
      <c r="AE73" s="14"/>
      <c r="AF73" s="14"/>
      <c r="AG73" s="14"/>
      <c r="AH73" s="14"/>
      <c r="AI73" s="14"/>
    </row>
    <row r="74" spans="1:35" x14ac:dyDescent="0.2">
      <c r="A74" s="16">
        <v>67</v>
      </c>
      <c r="B74" s="16" t="str">
        <f ca="1">IFERROR(__xludf.DUMMYFUNCTION("""COMPUTED_VALUE"""),"BL3115")</f>
        <v>BL3115</v>
      </c>
      <c r="C74" s="16" t="str">
        <f ca="1">IFERROR(__xludf.DUMMYFUNCTION("""COMPUTED_VALUE"""),"NGÔ VĂN SƠN - 0086")</f>
        <v>NGÔ VĂN SƠN - 0086</v>
      </c>
      <c r="D74" s="17">
        <f ca="1">IFERROR(__xludf.DUMMYFUNCTION("""COMPUTED_VALUE"""),109000)</f>
        <v>109000</v>
      </c>
      <c r="E74" s="17">
        <f ca="1">IFERROR(__xludf.DUMMYFUNCTION("""COMPUTED_VALUE"""),109000)</f>
        <v>109000</v>
      </c>
      <c r="F74" s="17">
        <f ca="1">IFERROR(__xludf.DUMMYFUNCTION("""COMPUTED_VALUE"""),2)</f>
        <v>2</v>
      </c>
      <c r="G74" s="17">
        <f ca="1">IFERROR(__xludf.DUMMYFUNCTION("""COMPUTED_VALUE"""),0)</f>
        <v>0</v>
      </c>
      <c r="H74" s="17">
        <f ca="1">IFERROR(__xludf.DUMMYFUNCTION("""COMPUTED_VALUE"""),10)</f>
        <v>10</v>
      </c>
      <c r="I74" s="17">
        <f ca="1">IFERROR(__xludf.DUMMYFUNCTION("""COMPUTED_VALUE"""),10)</f>
        <v>10</v>
      </c>
      <c r="J74" s="16">
        <f ca="1">IFERROR(__xludf.DUMMYFUNCTION("""COMPUTED_VALUE"""),0)</f>
        <v>0</v>
      </c>
      <c r="K74" s="17">
        <f ca="1">IFERROR(__xludf.DUMMYFUNCTION("""COMPUTED_VALUE"""),0)</f>
        <v>0</v>
      </c>
      <c r="L74" s="17">
        <f ca="1">IFERROR(__xludf.DUMMYFUNCTION("""COMPUTED_VALUE"""),0)</f>
        <v>0</v>
      </c>
      <c r="M74" s="17">
        <f ca="1">IFERROR(__xludf.DUMMYFUNCTION("""COMPUTED_VALUE"""),0)</f>
        <v>0</v>
      </c>
      <c r="N74" s="17">
        <f ca="1">IFERROR(__xludf.DUMMYFUNCTION("""COMPUTED_VALUE"""),0)</f>
        <v>0</v>
      </c>
      <c r="O74" s="17">
        <f ca="1">IFERROR(__xludf.DUMMYFUNCTION("""COMPUTED_VALUE"""),0)</f>
        <v>0</v>
      </c>
      <c r="P74" s="17"/>
      <c r="Q74" s="17">
        <f ca="1">IFERROR(__xludf.DUMMYFUNCTION("""COMPUTED_VALUE"""),0)</f>
        <v>0</v>
      </c>
      <c r="R74" s="17">
        <f ca="1">IFERROR(__xludf.DUMMYFUNCTION("""COMPUTED_VALUE"""),0)</f>
        <v>0</v>
      </c>
      <c r="S74" s="17">
        <f ca="1">IFERROR(__xludf.DUMMYFUNCTION("""COMPUTED_VALUE"""),0)</f>
        <v>0</v>
      </c>
      <c r="T74" s="17">
        <f ca="1">IFERROR(__xludf.DUMMYFUNCTION("""COMPUTED_VALUE"""),0)</f>
        <v>0</v>
      </c>
      <c r="U74" s="17">
        <f ca="1">IFERROR(__xludf.DUMMYFUNCTION("""COMPUTED_VALUE"""),0)</f>
        <v>0</v>
      </c>
      <c r="V74" s="17">
        <f ca="1">IFERROR(__xludf.DUMMYFUNCTION("""COMPUTED_VALUE"""),0)</f>
        <v>0</v>
      </c>
      <c r="W74" s="17"/>
      <c r="X74" s="17">
        <f ca="1">IFERROR(__xludf.DUMMYFUNCTION("""COMPUTED_VALUE"""),0)</f>
        <v>0</v>
      </c>
      <c r="Y74" s="17">
        <f ca="1">IFERROR(__xludf.DUMMYFUNCTION("""COMPUTED_VALUE"""),0)</f>
        <v>0</v>
      </c>
      <c r="Z74" s="17">
        <f ca="1">IFERROR(__xludf.DUMMYFUNCTION("""COMPUTED_VALUE"""),0)</f>
        <v>0</v>
      </c>
      <c r="AA74" s="16"/>
      <c r="AB74" s="14"/>
      <c r="AC74" s="14"/>
      <c r="AD74" s="14"/>
      <c r="AE74" s="14"/>
      <c r="AF74" s="14"/>
      <c r="AG74" s="14"/>
      <c r="AH74" s="14"/>
      <c r="AI74" s="14"/>
    </row>
    <row r="75" spans="1:35" x14ac:dyDescent="0.2">
      <c r="A75" s="16">
        <v>68</v>
      </c>
      <c r="B75" s="16" t="str">
        <f ca="1">IFERROR(__xludf.DUMMYFUNCTION("""COMPUTED_VALUE"""),"BL3116")</f>
        <v>BL3116</v>
      </c>
      <c r="C75" s="16" t="str">
        <f ca="1">IFERROR(__xludf.DUMMYFUNCTION("""COMPUTED_VALUE"""),"VÕ HOÀNG HUY - 0059")</f>
        <v>VÕ HOÀNG HUY - 0059</v>
      </c>
      <c r="D75" s="17">
        <f ca="1">IFERROR(__xludf.DUMMYFUNCTION("""COMPUTED_VALUE"""),1030000)</f>
        <v>1030000</v>
      </c>
      <c r="E75" s="17">
        <f ca="1">IFERROR(__xludf.DUMMYFUNCTION("""COMPUTED_VALUE"""),1004000)</f>
        <v>1004000</v>
      </c>
      <c r="F75" s="17">
        <f ca="1">IFERROR(__xludf.DUMMYFUNCTION("""COMPUTED_VALUE"""),11)</f>
        <v>11</v>
      </c>
      <c r="G75" s="17">
        <f ca="1">IFERROR(__xludf.DUMMYFUNCTION("""COMPUTED_VALUE"""),52)</f>
        <v>52</v>
      </c>
      <c r="H75" s="17">
        <f ca="1">IFERROR(__xludf.DUMMYFUNCTION("""COMPUTED_VALUE"""),143)</f>
        <v>143</v>
      </c>
      <c r="I75" s="17">
        <f ca="1">IFERROR(__xludf.DUMMYFUNCTION("""COMPUTED_VALUE"""),91)</f>
        <v>91</v>
      </c>
      <c r="J75" s="16">
        <f ca="1">IFERROR(__xludf.DUMMYFUNCTION("""COMPUTED_VALUE"""),132000)</f>
        <v>132000</v>
      </c>
      <c r="K75" s="17">
        <f ca="1">IFERROR(__xludf.DUMMYFUNCTION("""COMPUTED_VALUE"""),0)</f>
        <v>0</v>
      </c>
      <c r="L75" s="17">
        <f ca="1">IFERROR(__xludf.DUMMYFUNCTION("""COMPUTED_VALUE"""),0)</f>
        <v>0</v>
      </c>
      <c r="M75" s="17">
        <f ca="1">IFERROR(__xludf.DUMMYFUNCTION("""COMPUTED_VALUE"""),0)</f>
        <v>0</v>
      </c>
      <c r="N75" s="17">
        <f ca="1">IFERROR(__xludf.DUMMYFUNCTION("""COMPUTED_VALUE"""),0)</f>
        <v>0</v>
      </c>
      <c r="O75" s="17">
        <f ca="1">IFERROR(__xludf.DUMMYFUNCTION("""COMPUTED_VALUE"""),0)</f>
        <v>0</v>
      </c>
      <c r="P75" s="17"/>
      <c r="Q75" s="17">
        <f ca="1">IFERROR(__xludf.DUMMYFUNCTION("""COMPUTED_VALUE"""),132000)</f>
        <v>132000</v>
      </c>
      <c r="R75" s="17">
        <f ca="1">IFERROR(__xludf.DUMMYFUNCTION("""COMPUTED_VALUE"""),25000)</f>
        <v>25000</v>
      </c>
      <c r="S75" s="17">
        <f ca="1">IFERROR(__xludf.DUMMYFUNCTION("""COMPUTED_VALUE"""),15000)</f>
        <v>15000</v>
      </c>
      <c r="T75" s="17">
        <f ca="1">IFERROR(__xludf.DUMMYFUNCTION("""COMPUTED_VALUE"""),0)</f>
        <v>0</v>
      </c>
      <c r="U75" s="17">
        <f ca="1">IFERROR(__xludf.DUMMYFUNCTION("""COMPUTED_VALUE"""),122000)</f>
        <v>122000</v>
      </c>
      <c r="V75" s="17">
        <f ca="1">IFERROR(__xludf.DUMMYFUNCTION("""COMPUTED_VALUE"""),0)</f>
        <v>0</v>
      </c>
      <c r="W75" s="17"/>
      <c r="X75" s="17">
        <f ca="1">IFERROR(__xludf.DUMMYFUNCTION("""COMPUTED_VALUE"""),162000)</f>
        <v>162000</v>
      </c>
      <c r="Y75" s="17">
        <f ca="1">IFERROR(__xludf.DUMMYFUNCTION("""COMPUTED_VALUE"""),0)</f>
        <v>0</v>
      </c>
      <c r="Z75" s="17">
        <f ca="1">IFERROR(__xludf.DUMMYFUNCTION("""COMPUTED_VALUE"""),26000)</f>
        <v>26000</v>
      </c>
      <c r="AA75" s="16"/>
      <c r="AB75" s="14"/>
      <c r="AC75" s="14"/>
      <c r="AD75" s="14"/>
      <c r="AE75" s="14"/>
      <c r="AF75" s="14"/>
      <c r="AG75" s="14"/>
      <c r="AH75" s="14"/>
      <c r="AI75" s="14"/>
    </row>
    <row r="76" spans="1:35" x14ac:dyDescent="0.2">
      <c r="A76" s="16">
        <v>69</v>
      </c>
      <c r="B76" s="16" t="str">
        <f ca="1">IFERROR(__xludf.DUMMYFUNCTION("""COMPUTED_VALUE"""),"BL3117")</f>
        <v>BL3117</v>
      </c>
      <c r="C76" s="16" t="str">
        <f ca="1">IFERROR(__xludf.DUMMYFUNCTION("""COMPUTED_VALUE"""),"PHAN ĐĂNG KHOA - 0069")</f>
        <v>PHAN ĐĂNG KHOA - 0069</v>
      </c>
      <c r="D76" s="17">
        <f ca="1">IFERROR(__xludf.DUMMYFUNCTION("""COMPUTED_VALUE"""),1024000)</f>
        <v>1024000</v>
      </c>
      <c r="E76" s="17">
        <f ca="1">IFERROR(__xludf.DUMMYFUNCTION("""COMPUTED_VALUE"""),1024000)</f>
        <v>1024000</v>
      </c>
      <c r="F76" s="17">
        <f ca="1">IFERROR(__xludf.DUMMYFUNCTION("""COMPUTED_VALUE"""),25)</f>
        <v>25</v>
      </c>
      <c r="G76" s="17">
        <f ca="1">IFERROR(__xludf.DUMMYFUNCTION("""COMPUTED_VALUE"""),121)</f>
        <v>121</v>
      </c>
      <c r="H76" s="17">
        <f ca="1">IFERROR(__xludf.DUMMYFUNCTION("""COMPUTED_VALUE"""),221)</f>
        <v>221</v>
      </c>
      <c r="I76" s="17">
        <f ca="1">IFERROR(__xludf.DUMMYFUNCTION("""COMPUTED_VALUE"""),100)</f>
        <v>100</v>
      </c>
      <c r="J76" s="16">
        <f ca="1">IFERROR(__xludf.DUMMYFUNCTION("""COMPUTED_VALUE"""),160000)</f>
        <v>160000</v>
      </c>
      <c r="K76" s="17">
        <f ca="1">IFERROR(__xludf.DUMMYFUNCTION("""COMPUTED_VALUE"""),0)</f>
        <v>0</v>
      </c>
      <c r="L76" s="17">
        <f ca="1">IFERROR(__xludf.DUMMYFUNCTION("""COMPUTED_VALUE"""),0)</f>
        <v>0</v>
      </c>
      <c r="M76" s="17">
        <f ca="1">IFERROR(__xludf.DUMMYFUNCTION("""COMPUTED_VALUE"""),0)</f>
        <v>0</v>
      </c>
      <c r="N76" s="17">
        <f ca="1">IFERROR(__xludf.DUMMYFUNCTION("""COMPUTED_VALUE"""),0)</f>
        <v>0</v>
      </c>
      <c r="O76" s="17">
        <f ca="1">IFERROR(__xludf.DUMMYFUNCTION("""COMPUTED_VALUE"""),0)</f>
        <v>0</v>
      </c>
      <c r="P76" s="17"/>
      <c r="Q76" s="17">
        <f ca="1">IFERROR(__xludf.DUMMYFUNCTION("""COMPUTED_VALUE"""),160000)</f>
        <v>160000</v>
      </c>
      <c r="R76" s="17">
        <f ca="1">IFERROR(__xludf.DUMMYFUNCTION("""COMPUTED_VALUE"""),74000)</f>
        <v>74000</v>
      </c>
      <c r="S76" s="17">
        <f ca="1">IFERROR(__xludf.DUMMYFUNCTION("""COMPUTED_VALUE"""),0)</f>
        <v>0</v>
      </c>
      <c r="T76" s="17">
        <f ca="1">IFERROR(__xludf.DUMMYFUNCTION("""COMPUTED_VALUE"""),0)</f>
        <v>0</v>
      </c>
      <c r="U76" s="17">
        <f ca="1">IFERROR(__xludf.DUMMYFUNCTION("""COMPUTED_VALUE"""),0)</f>
        <v>0</v>
      </c>
      <c r="V76" s="17">
        <f ca="1">IFERROR(__xludf.DUMMYFUNCTION("""COMPUTED_VALUE"""),0)</f>
        <v>0</v>
      </c>
      <c r="W76" s="17"/>
      <c r="X76" s="17">
        <f ca="1">IFERROR(__xludf.DUMMYFUNCTION("""COMPUTED_VALUE"""),74000)</f>
        <v>74000</v>
      </c>
      <c r="Y76" s="17">
        <f ca="1">IFERROR(__xludf.DUMMYFUNCTION("""COMPUTED_VALUE"""),0)</f>
        <v>0</v>
      </c>
      <c r="Z76" s="17">
        <f ca="1">IFERROR(__xludf.DUMMYFUNCTION("""COMPUTED_VALUE"""),0)</f>
        <v>0</v>
      </c>
      <c r="AA76" s="16"/>
      <c r="AB76" s="14"/>
      <c r="AC76" s="14"/>
      <c r="AD76" s="14"/>
      <c r="AE76" s="14"/>
      <c r="AF76" s="14"/>
      <c r="AG76" s="14"/>
      <c r="AH76" s="14"/>
      <c r="AI76" s="14"/>
    </row>
    <row r="77" spans="1:35" x14ac:dyDescent="0.2">
      <c r="A77" s="16">
        <v>70</v>
      </c>
      <c r="B77" s="16" t="str">
        <f ca="1">IFERROR(__xludf.DUMMYFUNCTION("""COMPUTED_VALUE"""),"BL3118")</f>
        <v>BL3118</v>
      </c>
      <c r="C77" s="16" t="str">
        <f ca="1">IFERROR(__xludf.DUMMYFUNCTION("""COMPUTED_VALUE"""),"VÕ VĂN NHÂN - 0076")</f>
        <v>VÕ VĂN NHÂN - 0076</v>
      </c>
      <c r="D77" s="17">
        <f ca="1">IFERROR(__xludf.DUMMYFUNCTION("""COMPUTED_VALUE"""),212000)</f>
        <v>212000</v>
      </c>
      <c r="E77" s="17">
        <f ca="1">IFERROR(__xludf.DUMMYFUNCTION("""COMPUTED_VALUE"""),191000)</f>
        <v>191000</v>
      </c>
      <c r="F77" s="17">
        <f ca="1">IFERROR(__xludf.DUMMYFUNCTION("""COMPUTED_VALUE"""),3)</f>
        <v>3</v>
      </c>
      <c r="G77" s="17">
        <f ca="1">IFERROR(__xludf.DUMMYFUNCTION("""COMPUTED_VALUE"""),17)</f>
        <v>17</v>
      </c>
      <c r="H77" s="17">
        <f ca="1">IFERROR(__xludf.DUMMYFUNCTION("""COMPUTED_VALUE"""),28)</f>
        <v>28</v>
      </c>
      <c r="I77" s="17">
        <f ca="1">IFERROR(__xludf.DUMMYFUNCTION("""COMPUTED_VALUE"""),11)</f>
        <v>11</v>
      </c>
      <c r="J77" s="16">
        <f ca="1">IFERROR(__xludf.DUMMYFUNCTION("""COMPUTED_VALUE"""),0)</f>
        <v>0</v>
      </c>
      <c r="K77" s="17">
        <f ca="1">IFERROR(__xludf.DUMMYFUNCTION("""COMPUTED_VALUE"""),0)</f>
        <v>0</v>
      </c>
      <c r="L77" s="17">
        <f ca="1">IFERROR(__xludf.DUMMYFUNCTION("""COMPUTED_VALUE"""),0)</f>
        <v>0</v>
      </c>
      <c r="M77" s="17">
        <f ca="1">IFERROR(__xludf.DUMMYFUNCTION("""COMPUTED_VALUE"""),0)</f>
        <v>0</v>
      </c>
      <c r="N77" s="17">
        <f ca="1">IFERROR(__xludf.DUMMYFUNCTION("""COMPUTED_VALUE"""),0)</f>
        <v>0</v>
      </c>
      <c r="O77" s="17">
        <f ca="1">IFERROR(__xludf.DUMMYFUNCTION("""COMPUTED_VALUE"""),0)</f>
        <v>0</v>
      </c>
      <c r="P77" s="17"/>
      <c r="Q77" s="17">
        <f ca="1">IFERROR(__xludf.DUMMYFUNCTION("""COMPUTED_VALUE"""),0)</f>
        <v>0</v>
      </c>
      <c r="R77" s="17">
        <f ca="1">IFERROR(__xludf.DUMMYFUNCTION("""COMPUTED_VALUE"""),0)</f>
        <v>0</v>
      </c>
      <c r="S77" s="17">
        <f ca="1">IFERROR(__xludf.DUMMYFUNCTION("""COMPUTED_VALUE"""),0)</f>
        <v>0</v>
      </c>
      <c r="T77" s="17">
        <f ca="1">IFERROR(__xludf.DUMMYFUNCTION("""COMPUTED_VALUE"""),0)</f>
        <v>0</v>
      </c>
      <c r="U77" s="17">
        <f ca="1">IFERROR(__xludf.DUMMYFUNCTION("""COMPUTED_VALUE"""),86000)</f>
        <v>86000</v>
      </c>
      <c r="V77" s="17">
        <f ca="1">IFERROR(__xludf.DUMMYFUNCTION("""COMPUTED_VALUE"""),0)</f>
        <v>0</v>
      </c>
      <c r="W77" s="17"/>
      <c r="X77" s="17">
        <f ca="1">IFERROR(__xludf.DUMMYFUNCTION("""COMPUTED_VALUE"""),86000)</f>
        <v>86000</v>
      </c>
      <c r="Y77" s="17">
        <f ca="1">IFERROR(__xludf.DUMMYFUNCTION("""COMPUTED_VALUE"""),0)</f>
        <v>0</v>
      </c>
      <c r="Z77" s="17">
        <f ca="1">IFERROR(__xludf.DUMMYFUNCTION("""COMPUTED_VALUE"""),21000)</f>
        <v>21000</v>
      </c>
      <c r="AA77" s="16"/>
      <c r="AB77" s="14"/>
      <c r="AC77" s="14"/>
      <c r="AD77" s="14"/>
      <c r="AE77" s="14"/>
      <c r="AF77" s="14"/>
      <c r="AG77" s="14"/>
      <c r="AH77" s="14"/>
      <c r="AI77" s="14"/>
    </row>
    <row r="78" spans="1:35" x14ac:dyDescent="0.2">
      <c r="A78" s="16">
        <v>71</v>
      </c>
      <c r="B78" s="16" t="str">
        <f ca="1">IFERROR(__xludf.DUMMYFUNCTION("""COMPUTED_VALUE"""),"BL3119")</f>
        <v>BL3119</v>
      </c>
      <c r="C78" s="16" t="str">
        <f ca="1">IFERROR(__xludf.DUMMYFUNCTION("""COMPUTED_VALUE"""),"LÝ MINH DUY - 0125")</f>
        <v>LÝ MINH DUY - 0125</v>
      </c>
      <c r="D78" s="17">
        <f ca="1">IFERROR(__xludf.DUMMYFUNCTION("""COMPUTED_VALUE"""),177000)</f>
        <v>177000</v>
      </c>
      <c r="E78" s="17">
        <f ca="1">IFERROR(__xludf.DUMMYFUNCTION("""COMPUTED_VALUE"""),177000)</f>
        <v>177000</v>
      </c>
      <c r="F78" s="17">
        <f ca="1">IFERROR(__xludf.DUMMYFUNCTION("""COMPUTED_VALUE"""),1)</f>
        <v>1</v>
      </c>
      <c r="G78" s="17">
        <f ca="1">IFERROR(__xludf.DUMMYFUNCTION("""COMPUTED_VALUE"""),17)</f>
        <v>17</v>
      </c>
      <c r="H78" s="17">
        <f ca="1">IFERROR(__xludf.DUMMYFUNCTION("""COMPUTED_VALUE"""),32)</f>
        <v>32</v>
      </c>
      <c r="I78" s="17">
        <f ca="1">IFERROR(__xludf.DUMMYFUNCTION("""COMPUTED_VALUE"""),15)</f>
        <v>15</v>
      </c>
      <c r="J78" s="16">
        <f ca="1">IFERROR(__xludf.DUMMYFUNCTION("""COMPUTED_VALUE"""),0)</f>
        <v>0</v>
      </c>
      <c r="K78" s="17">
        <f ca="1">IFERROR(__xludf.DUMMYFUNCTION("""COMPUTED_VALUE"""),0)</f>
        <v>0</v>
      </c>
      <c r="L78" s="17">
        <f ca="1">IFERROR(__xludf.DUMMYFUNCTION("""COMPUTED_VALUE"""),0)</f>
        <v>0</v>
      </c>
      <c r="M78" s="17">
        <f ca="1">IFERROR(__xludf.DUMMYFUNCTION("""COMPUTED_VALUE"""),0)</f>
        <v>0</v>
      </c>
      <c r="N78" s="17">
        <f ca="1">IFERROR(__xludf.DUMMYFUNCTION("""COMPUTED_VALUE"""),0)</f>
        <v>0</v>
      </c>
      <c r="O78" s="17">
        <f ca="1">IFERROR(__xludf.DUMMYFUNCTION("""COMPUTED_VALUE"""),0)</f>
        <v>0</v>
      </c>
      <c r="P78" s="17"/>
      <c r="Q78" s="17">
        <f ca="1">IFERROR(__xludf.DUMMYFUNCTION("""COMPUTED_VALUE"""),0)</f>
        <v>0</v>
      </c>
      <c r="R78" s="17">
        <f ca="1">IFERROR(__xludf.DUMMYFUNCTION("""COMPUTED_VALUE"""),0)</f>
        <v>0</v>
      </c>
      <c r="S78" s="17">
        <f ca="1">IFERROR(__xludf.DUMMYFUNCTION("""COMPUTED_VALUE"""),0)</f>
        <v>0</v>
      </c>
      <c r="T78" s="17">
        <f ca="1">IFERROR(__xludf.DUMMYFUNCTION("""COMPUTED_VALUE"""),0)</f>
        <v>0</v>
      </c>
      <c r="U78" s="17">
        <f ca="1">IFERROR(__xludf.DUMMYFUNCTION("""COMPUTED_VALUE"""),0)</f>
        <v>0</v>
      </c>
      <c r="V78" s="17">
        <f ca="1">IFERROR(__xludf.DUMMYFUNCTION("""COMPUTED_VALUE"""),0)</f>
        <v>0</v>
      </c>
      <c r="W78" s="17"/>
      <c r="X78" s="17">
        <f ca="1">IFERROR(__xludf.DUMMYFUNCTION("""COMPUTED_VALUE"""),0)</f>
        <v>0</v>
      </c>
      <c r="Y78" s="17">
        <f ca="1">IFERROR(__xludf.DUMMYFUNCTION("""COMPUTED_VALUE"""),0)</f>
        <v>0</v>
      </c>
      <c r="Z78" s="17">
        <f ca="1">IFERROR(__xludf.DUMMYFUNCTION("""COMPUTED_VALUE"""),0)</f>
        <v>0</v>
      </c>
      <c r="AA78" s="16"/>
      <c r="AB78" s="14"/>
      <c r="AC78" s="14"/>
      <c r="AD78" s="14"/>
      <c r="AE78" s="14"/>
      <c r="AF78" s="14"/>
      <c r="AG78" s="14"/>
      <c r="AH78" s="14"/>
      <c r="AI78" s="14"/>
    </row>
    <row r="79" spans="1:35" x14ac:dyDescent="0.2">
      <c r="A79" s="16">
        <v>72</v>
      </c>
      <c r="B79" s="16" t="str">
        <f ca="1">IFERROR(__xludf.DUMMYFUNCTION("""COMPUTED_VALUE"""),"BL3120")</f>
        <v>BL3120</v>
      </c>
      <c r="C79" s="16" t="str">
        <f ca="1">IFERROR(__xludf.DUMMYFUNCTION("""COMPUTED_VALUE"""),"THÁI HÒA HIỆP - 0055")</f>
        <v>THÁI HÒA HIỆP - 0055</v>
      </c>
      <c r="D79" s="17">
        <f ca="1">IFERROR(__xludf.DUMMYFUNCTION("""COMPUTED_VALUE"""),1104000)</f>
        <v>1104000</v>
      </c>
      <c r="E79" s="17">
        <f ca="1">IFERROR(__xludf.DUMMYFUNCTION("""COMPUTED_VALUE"""),1090000)</f>
        <v>1090000</v>
      </c>
      <c r="F79" s="17">
        <f ca="1">IFERROR(__xludf.DUMMYFUNCTION("""COMPUTED_VALUE"""),8)</f>
        <v>8</v>
      </c>
      <c r="G79" s="17">
        <f ca="1">IFERROR(__xludf.DUMMYFUNCTION("""COMPUTED_VALUE"""),59)</f>
        <v>59</v>
      </c>
      <c r="H79" s="17">
        <f ca="1">IFERROR(__xludf.DUMMYFUNCTION("""COMPUTED_VALUE"""),245)</f>
        <v>245</v>
      </c>
      <c r="I79" s="17">
        <f ca="1">IFERROR(__xludf.DUMMYFUNCTION("""COMPUTED_VALUE"""),186)</f>
        <v>186</v>
      </c>
      <c r="J79" s="16">
        <f ca="1">IFERROR(__xludf.DUMMYFUNCTION("""COMPUTED_VALUE"""),437000)</f>
        <v>437000</v>
      </c>
      <c r="K79" s="17">
        <f ca="1">IFERROR(__xludf.DUMMYFUNCTION("""COMPUTED_VALUE"""),0)</f>
        <v>0</v>
      </c>
      <c r="L79" s="17">
        <f ca="1">IFERROR(__xludf.DUMMYFUNCTION("""COMPUTED_VALUE"""),0)</f>
        <v>0</v>
      </c>
      <c r="M79" s="17">
        <f ca="1">IFERROR(__xludf.DUMMYFUNCTION("""COMPUTED_VALUE"""),441000)</f>
        <v>441000</v>
      </c>
      <c r="N79" s="17">
        <f ca="1">IFERROR(__xludf.DUMMYFUNCTION("""COMPUTED_VALUE"""),0)</f>
        <v>0</v>
      </c>
      <c r="O79" s="17">
        <f ca="1">IFERROR(__xludf.DUMMYFUNCTION("""COMPUTED_VALUE"""),0)</f>
        <v>0</v>
      </c>
      <c r="P79" s="17"/>
      <c r="Q79" s="17">
        <f ca="1">IFERROR(__xludf.DUMMYFUNCTION("""COMPUTED_VALUE"""),878000)</f>
        <v>878000</v>
      </c>
      <c r="R79" s="17">
        <f ca="1">IFERROR(__xludf.DUMMYFUNCTION("""COMPUTED_VALUE"""),0)</f>
        <v>0</v>
      </c>
      <c r="S79" s="17">
        <f ca="1">IFERROR(__xludf.DUMMYFUNCTION("""COMPUTED_VALUE"""),0)</f>
        <v>0</v>
      </c>
      <c r="T79" s="17">
        <f ca="1">IFERROR(__xludf.DUMMYFUNCTION("""COMPUTED_VALUE"""),0)</f>
        <v>0</v>
      </c>
      <c r="U79" s="17">
        <f ca="1">IFERROR(__xludf.DUMMYFUNCTION("""COMPUTED_VALUE"""),64500)</f>
        <v>64500</v>
      </c>
      <c r="V79" s="17">
        <f ca="1">IFERROR(__xludf.DUMMYFUNCTION("""COMPUTED_VALUE"""),0)</f>
        <v>0</v>
      </c>
      <c r="W79" s="17"/>
      <c r="X79" s="17">
        <f ca="1">IFERROR(__xludf.DUMMYFUNCTION("""COMPUTED_VALUE"""),64500)</f>
        <v>64500</v>
      </c>
      <c r="Y79" s="17">
        <f ca="1">IFERROR(__xludf.DUMMYFUNCTION("""COMPUTED_VALUE"""),0)</f>
        <v>0</v>
      </c>
      <c r="Z79" s="17">
        <f ca="1">IFERROR(__xludf.DUMMYFUNCTION("""COMPUTED_VALUE"""),14000)</f>
        <v>14000</v>
      </c>
      <c r="AA79" s="16"/>
      <c r="AB79" s="14"/>
      <c r="AC79" s="14"/>
      <c r="AD79" s="14"/>
      <c r="AE79" s="14"/>
      <c r="AF79" s="14"/>
      <c r="AG79" s="14"/>
      <c r="AH79" s="14"/>
      <c r="AI79" s="14"/>
    </row>
    <row r="80" spans="1:35" x14ac:dyDescent="0.2">
      <c r="A80" s="16">
        <v>73</v>
      </c>
      <c r="B80" s="16" t="str">
        <f ca="1">IFERROR(__xludf.DUMMYFUNCTION("""COMPUTED_VALUE"""),"BL3121")</f>
        <v>BL3121</v>
      </c>
      <c r="C80" s="16" t="str">
        <f ca="1">IFERROR(__xludf.DUMMYFUNCTION("""COMPUTED_VALUE"""),"NGUYỄN HOÀNG PHÚC - 0025")</f>
        <v>NGUYỄN HOÀNG PHÚC - 0025</v>
      </c>
      <c r="D80" s="17">
        <f ca="1">IFERROR(__xludf.DUMMYFUNCTION("""COMPUTED_VALUE"""),1046000)</f>
        <v>1046000</v>
      </c>
      <c r="E80" s="17">
        <f ca="1">IFERROR(__xludf.DUMMYFUNCTION("""COMPUTED_VALUE"""),1046000)</f>
        <v>1046000</v>
      </c>
      <c r="F80" s="17">
        <f ca="1">IFERROR(__xludf.DUMMYFUNCTION("""COMPUTED_VALUE"""),9)</f>
        <v>9</v>
      </c>
      <c r="G80" s="17">
        <f ca="1">IFERROR(__xludf.DUMMYFUNCTION("""COMPUTED_VALUE"""),74)</f>
        <v>74</v>
      </c>
      <c r="H80" s="17">
        <f ca="1">IFERROR(__xludf.DUMMYFUNCTION("""COMPUTED_VALUE"""),186)</f>
        <v>186</v>
      </c>
      <c r="I80" s="17">
        <f ca="1">IFERROR(__xludf.DUMMYFUNCTION("""COMPUTED_VALUE"""),112)</f>
        <v>112</v>
      </c>
      <c r="J80" s="16">
        <f ca="1">IFERROR(__xludf.DUMMYFUNCTION("""COMPUTED_VALUE"""),209500)</f>
        <v>209500</v>
      </c>
      <c r="K80" s="17">
        <f ca="1">IFERROR(__xludf.DUMMYFUNCTION("""COMPUTED_VALUE"""),0)</f>
        <v>0</v>
      </c>
      <c r="L80" s="17">
        <f ca="1">IFERROR(__xludf.DUMMYFUNCTION("""COMPUTED_VALUE"""),0)</f>
        <v>0</v>
      </c>
      <c r="M80" s="17">
        <f ca="1">IFERROR(__xludf.DUMMYFUNCTION("""COMPUTED_VALUE"""),0)</f>
        <v>0</v>
      </c>
      <c r="N80" s="17">
        <f ca="1">IFERROR(__xludf.DUMMYFUNCTION("""COMPUTED_VALUE"""),0)</f>
        <v>0</v>
      </c>
      <c r="O80" s="17">
        <f ca="1">IFERROR(__xludf.DUMMYFUNCTION("""COMPUTED_VALUE"""),0)</f>
        <v>0</v>
      </c>
      <c r="P80" s="17"/>
      <c r="Q80" s="17">
        <f ca="1">IFERROR(__xludf.DUMMYFUNCTION("""COMPUTED_VALUE"""),209500)</f>
        <v>209500</v>
      </c>
      <c r="R80" s="17">
        <f ca="1">IFERROR(__xludf.DUMMYFUNCTION("""COMPUTED_VALUE"""),25000)</f>
        <v>25000</v>
      </c>
      <c r="S80" s="17">
        <f ca="1">IFERROR(__xludf.DUMMYFUNCTION("""COMPUTED_VALUE"""),0)</f>
        <v>0</v>
      </c>
      <c r="T80" s="17">
        <f ca="1">IFERROR(__xludf.DUMMYFUNCTION("""COMPUTED_VALUE"""),0)</f>
        <v>0</v>
      </c>
      <c r="U80" s="17">
        <f ca="1">IFERROR(__xludf.DUMMYFUNCTION("""COMPUTED_VALUE"""),0)</f>
        <v>0</v>
      </c>
      <c r="V80" s="17">
        <f ca="1">IFERROR(__xludf.DUMMYFUNCTION("""COMPUTED_VALUE"""),0)</f>
        <v>0</v>
      </c>
      <c r="W80" s="17"/>
      <c r="X80" s="17">
        <f ca="1">IFERROR(__xludf.DUMMYFUNCTION("""COMPUTED_VALUE"""),25000)</f>
        <v>25000</v>
      </c>
      <c r="Y80" s="17">
        <f ca="1">IFERROR(__xludf.DUMMYFUNCTION("""COMPUTED_VALUE"""),0)</f>
        <v>0</v>
      </c>
      <c r="Z80" s="17">
        <f ca="1">IFERROR(__xludf.DUMMYFUNCTION("""COMPUTED_VALUE"""),0)</f>
        <v>0</v>
      </c>
      <c r="AA80" s="16"/>
      <c r="AB80" s="14"/>
      <c r="AC80" s="14"/>
      <c r="AD80" s="14"/>
      <c r="AE80" s="14"/>
      <c r="AF80" s="14"/>
      <c r="AG80" s="14"/>
      <c r="AH80" s="14"/>
      <c r="AI80" s="14"/>
    </row>
    <row r="81" spans="1:35" x14ac:dyDescent="0.2">
      <c r="A81" s="16">
        <v>74</v>
      </c>
      <c r="B81" s="16" t="str">
        <f ca="1">IFERROR(__xludf.DUMMYFUNCTION("""COMPUTED_VALUE"""),"BL3122")</f>
        <v>BL3122</v>
      </c>
      <c r="C81" s="16" t="str">
        <f ca="1">IFERROR(__xludf.DUMMYFUNCTION("""COMPUTED_VALUE"""),"NGUYỄN KIM NAM - 0087")</f>
        <v>NGUYỄN KIM NAM - 0087</v>
      </c>
      <c r="D81" s="17">
        <f ca="1">IFERROR(__xludf.DUMMYFUNCTION("""COMPUTED_VALUE"""),655000)</f>
        <v>655000</v>
      </c>
      <c r="E81" s="17">
        <f ca="1">IFERROR(__xludf.DUMMYFUNCTION("""COMPUTED_VALUE"""),840000)</f>
        <v>840000</v>
      </c>
      <c r="F81" s="17">
        <f ca="1">IFERROR(__xludf.DUMMYFUNCTION("""COMPUTED_VALUE"""),8)</f>
        <v>8</v>
      </c>
      <c r="G81" s="17">
        <f ca="1">IFERROR(__xludf.DUMMYFUNCTION("""COMPUTED_VALUE"""),106)</f>
        <v>106</v>
      </c>
      <c r="H81" s="17">
        <f ca="1">IFERROR(__xludf.DUMMYFUNCTION("""COMPUTED_VALUE"""),195)</f>
        <v>195</v>
      </c>
      <c r="I81" s="17">
        <f ca="1">IFERROR(__xludf.DUMMYFUNCTION("""COMPUTED_VALUE"""),89)</f>
        <v>89</v>
      </c>
      <c r="J81" s="16">
        <f ca="1">IFERROR(__xludf.DUMMYFUNCTION("""COMPUTED_VALUE"""),292500)</f>
        <v>292500</v>
      </c>
      <c r="K81" s="17">
        <f ca="1">IFERROR(__xludf.DUMMYFUNCTION("""COMPUTED_VALUE"""),0)</f>
        <v>0</v>
      </c>
      <c r="L81" s="17">
        <f ca="1">IFERROR(__xludf.DUMMYFUNCTION("""COMPUTED_VALUE"""),0)</f>
        <v>0</v>
      </c>
      <c r="M81" s="17">
        <f ca="1">IFERROR(__xludf.DUMMYFUNCTION("""COMPUTED_VALUE"""),0)</f>
        <v>0</v>
      </c>
      <c r="N81" s="17">
        <f ca="1">IFERROR(__xludf.DUMMYFUNCTION("""COMPUTED_VALUE"""),0)</f>
        <v>0</v>
      </c>
      <c r="O81" s="17">
        <f ca="1">IFERROR(__xludf.DUMMYFUNCTION("""COMPUTED_VALUE"""),0)</f>
        <v>0</v>
      </c>
      <c r="P81" s="17"/>
      <c r="Q81" s="17">
        <f ca="1">IFERROR(__xludf.DUMMYFUNCTION("""COMPUTED_VALUE"""),292500)</f>
        <v>292500</v>
      </c>
      <c r="R81" s="17">
        <f ca="1">IFERROR(__xludf.DUMMYFUNCTION("""COMPUTED_VALUE"""),66000)</f>
        <v>66000</v>
      </c>
      <c r="S81" s="17">
        <f ca="1">IFERROR(__xludf.DUMMYFUNCTION("""COMPUTED_VALUE"""),0)</f>
        <v>0</v>
      </c>
      <c r="T81" s="17">
        <f ca="1">IFERROR(__xludf.DUMMYFUNCTION("""COMPUTED_VALUE"""),0)</f>
        <v>0</v>
      </c>
      <c r="U81" s="17">
        <f ca="1">IFERROR(__xludf.DUMMYFUNCTION("""COMPUTED_VALUE"""),75000)</f>
        <v>75000</v>
      </c>
      <c r="V81" s="17">
        <f ca="1">IFERROR(__xludf.DUMMYFUNCTION("""COMPUTED_VALUE"""),0)</f>
        <v>0</v>
      </c>
      <c r="W81" s="17"/>
      <c r="X81" s="17">
        <f ca="1">IFERROR(__xludf.DUMMYFUNCTION("""COMPUTED_VALUE"""),141000)</f>
        <v>141000</v>
      </c>
      <c r="Y81" s="17">
        <f ca="1">IFERROR(__xludf.DUMMYFUNCTION("""COMPUTED_VALUE"""),209000)</f>
        <v>209000</v>
      </c>
      <c r="Z81" s="17">
        <f ca="1">IFERROR(__xludf.DUMMYFUNCTION("""COMPUTED_VALUE"""),24000)</f>
        <v>24000</v>
      </c>
      <c r="AA81" s="16"/>
      <c r="AB81" s="14"/>
      <c r="AC81" s="14"/>
      <c r="AD81" s="14"/>
      <c r="AE81" s="14"/>
      <c r="AF81" s="14"/>
      <c r="AG81" s="14"/>
      <c r="AH81" s="14"/>
      <c r="AI81" s="14"/>
    </row>
    <row r="82" spans="1:35" x14ac:dyDescent="0.2">
      <c r="A82" s="16">
        <v>75</v>
      </c>
      <c r="B82" s="16" t="str">
        <f ca="1">IFERROR(__xludf.DUMMYFUNCTION("""COMPUTED_VALUE"""),"BL3125")</f>
        <v>BL3125</v>
      </c>
      <c r="C82" s="16" t="str">
        <f ca="1">IFERROR(__xludf.DUMMYFUNCTION("""COMPUTED_VALUE"""),"DƯƠNG KIỀU TRANG - 0113")</f>
        <v>DƯƠNG KIỀU TRANG - 0113</v>
      </c>
      <c r="D82" s="17">
        <f ca="1">IFERROR(__xludf.DUMMYFUNCTION("""COMPUTED_VALUE"""),979000)</f>
        <v>979000</v>
      </c>
      <c r="E82" s="17">
        <f ca="1">IFERROR(__xludf.DUMMYFUNCTION("""COMPUTED_VALUE"""),979000)</f>
        <v>979000</v>
      </c>
      <c r="F82" s="17">
        <f ca="1">IFERROR(__xludf.DUMMYFUNCTION("""COMPUTED_VALUE"""),6)</f>
        <v>6</v>
      </c>
      <c r="G82" s="17">
        <f ca="1">IFERROR(__xludf.DUMMYFUNCTION("""COMPUTED_VALUE"""),158)</f>
        <v>158</v>
      </c>
      <c r="H82" s="17">
        <f ca="1">IFERROR(__xludf.DUMMYFUNCTION("""COMPUTED_VALUE"""),263)</f>
        <v>263</v>
      </c>
      <c r="I82" s="17">
        <f ca="1">IFERROR(__xludf.DUMMYFUNCTION("""COMPUTED_VALUE"""),105)</f>
        <v>105</v>
      </c>
      <c r="J82" s="16">
        <f ca="1">IFERROR(__xludf.DUMMYFUNCTION("""COMPUTED_VALUE"""),302500)</f>
        <v>302500</v>
      </c>
      <c r="K82" s="17">
        <f ca="1">IFERROR(__xludf.DUMMYFUNCTION("""COMPUTED_VALUE"""),0)</f>
        <v>0</v>
      </c>
      <c r="L82" s="17">
        <f ca="1">IFERROR(__xludf.DUMMYFUNCTION("""COMPUTED_VALUE"""),0)</f>
        <v>0</v>
      </c>
      <c r="M82" s="17">
        <f ca="1">IFERROR(__xludf.DUMMYFUNCTION("""COMPUTED_VALUE"""),0)</f>
        <v>0</v>
      </c>
      <c r="N82" s="17">
        <f ca="1">IFERROR(__xludf.DUMMYFUNCTION("""COMPUTED_VALUE"""),0)</f>
        <v>0</v>
      </c>
      <c r="O82" s="17">
        <f ca="1">IFERROR(__xludf.DUMMYFUNCTION("""COMPUTED_VALUE"""),0)</f>
        <v>0</v>
      </c>
      <c r="P82" s="17"/>
      <c r="Q82" s="17">
        <f ca="1">IFERROR(__xludf.DUMMYFUNCTION("""COMPUTED_VALUE"""),302500)</f>
        <v>302500</v>
      </c>
      <c r="R82" s="17">
        <f ca="1">IFERROR(__xludf.DUMMYFUNCTION("""COMPUTED_VALUE"""),132000)</f>
        <v>132000</v>
      </c>
      <c r="S82" s="17">
        <f ca="1">IFERROR(__xludf.DUMMYFUNCTION("""COMPUTED_VALUE"""),0)</f>
        <v>0</v>
      </c>
      <c r="T82" s="17">
        <f ca="1">IFERROR(__xludf.DUMMYFUNCTION("""COMPUTED_VALUE"""),0)</f>
        <v>0</v>
      </c>
      <c r="U82" s="17">
        <f ca="1">IFERROR(__xludf.DUMMYFUNCTION("""COMPUTED_VALUE"""),0)</f>
        <v>0</v>
      </c>
      <c r="V82" s="17">
        <f ca="1">IFERROR(__xludf.DUMMYFUNCTION("""COMPUTED_VALUE"""),0)</f>
        <v>0</v>
      </c>
      <c r="W82" s="17"/>
      <c r="X82" s="17">
        <f ca="1">IFERROR(__xludf.DUMMYFUNCTION("""COMPUTED_VALUE"""),132000)</f>
        <v>132000</v>
      </c>
      <c r="Y82" s="17">
        <f ca="1">IFERROR(__xludf.DUMMYFUNCTION("""COMPUTED_VALUE"""),0)</f>
        <v>0</v>
      </c>
      <c r="Z82" s="17">
        <f ca="1">IFERROR(__xludf.DUMMYFUNCTION("""COMPUTED_VALUE"""),0)</f>
        <v>0</v>
      </c>
      <c r="AA82" s="16"/>
      <c r="AB82" s="14"/>
      <c r="AC82" s="14"/>
      <c r="AD82" s="14"/>
      <c r="AE82" s="14"/>
      <c r="AF82" s="14"/>
      <c r="AG82" s="14"/>
      <c r="AH82" s="14"/>
      <c r="AI82" s="14"/>
    </row>
    <row r="83" spans="1:35" x14ac:dyDescent="0.2">
      <c r="A83" s="16">
        <v>76</v>
      </c>
      <c r="B83" s="16" t="str">
        <f ca="1">IFERROR(__xludf.DUMMYFUNCTION("""COMPUTED_VALUE"""),"BL3126")</f>
        <v>BL3126</v>
      </c>
      <c r="C83" s="16" t="str">
        <f ca="1">IFERROR(__xludf.DUMMYFUNCTION("""COMPUTED_VALUE"""),"TRƯƠNG TRUNG TÍNH - 0106")</f>
        <v>TRƯƠNG TRUNG TÍNH - 0106</v>
      </c>
      <c r="D83" s="17">
        <f ca="1">IFERROR(__xludf.DUMMYFUNCTION("""COMPUTED_VALUE"""),1249000)</f>
        <v>1249000</v>
      </c>
      <c r="E83" s="17">
        <f ca="1">IFERROR(__xludf.DUMMYFUNCTION("""COMPUTED_VALUE"""),1217000)</f>
        <v>1217000</v>
      </c>
      <c r="F83" s="17">
        <f ca="1">IFERROR(__xludf.DUMMYFUNCTION("""COMPUTED_VALUE"""),13)</f>
        <v>13</v>
      </c>
      <c r="G83" s="17">
        <f ca="1">IFERROR(__xludf.DUMMYFUNCTION("""COMPUTED_VALUE"""),110)</f>
        <v>110</v>
      </c>
      <c r="H83" s="17">
        <f ca="1">IFERROR(__xludf.DUMMYFUNCTION("""COMPUTED_VALUE"""),226)</f>
        <v>226</v>
      </c>
      <c r="I83" s="17">
        <f ca="1">IFERROR(__xludf.DUMMYFUNCTION("""COMPUTED_VALUE"""),116)</f>
        <v>116</v>
      </c>
      <c r="J83" s="16">
        <f ca="1">IFERROR(__xludf.DUMMYFUNCTION("""COMPUTED_VALUE"""),213000)</f>
        <v>213000</v>
      </c>
      <c r="K83" s="17">
        <f ca="1">IFERROR(__xludf.DUMMYFUNCTION("""COMPUTED_VALUE"""),0)</f>
        <v>0</v>
      </c>
      <c r="L83" s="17">
        <f ca="1">IFERROR(__xludf.DUMMYFUNCTION("""COMPUTED_VALUE"""),0)</f>
        <v>0</v>
      </c>
      <c r="M83" s="17">
        <f ca="1">IFERROR(__xludf.DUMMYFUNCTION("""COMPUTED_VALUE"""),0)</f>
        <v>0</v>
      </c>
      <c r="N83" s="17">
        <f ca="1">IFERROR(__xludf.DUMMYFUNCTION("""COMPUTED_VALUE"""),0)</f>
        <v>0</v>
      </c>
      <c r="O83" s="17">
        <f ca="1">IFERROR(__xludf.DUMMYFUNCTION("""COMPUTED_VALUE"""),0)</f>
        <v>0</v>
      </c>
      <c r="P83" s="17"/>
      <c r="Q83" s="17">
        <f ca="1">IFERROR(__xludf.DUMMYFUNCTION("""COMPUTED_VALUE"""),213000)</f>
        <v>213000</v>
      </c>
      <c r="R83" s="17">
        <f ca="1">IFERROR(__xludf.DUMMYFUNCTION("""COMPUTED_VALUE"""),58000)</f>
        <v>58000</v>
      </c>
      <c r="S83" s="17">
        <f ca="1">IFERROR(__xludf.DUMMYFUNCTION("""COMPUTED_VALUE"""),0)</f>
        <v>0</v>
      </c>
      <c r="T83" s="17">
        <f ca="1">IFERROR(__xludf.DUMMYFUNCTION("""COMPUTED_VALUE"""),0)</f>
        <v>0</v>
      </c>
      <c r="U83" s="17">
        <f ca="1">IFERROR(__xludf.DUMMYFUNCTION("""COMPUTED_VALUE"""),100000)</f>
        <v>100000</v>
      </c>
      <c r="V83" s="17">
        <f ca="1">IFERROR(__xludf.DUMMYFUNCTION("""COMPUTED_VALUE"""),0)</f>
        <v>0</v>
      </c>
      <c r="W83" s="17"/>
      <c r="X83" s="17">
        <f ca="1">IFERROR(__xludf.DUMMYFUNCTION("""COMPUTED_VALUE"""),158000)</f>
        <v>158000</v>
      </c>
      <c r="Y83" s="17">
        <f ca="1">IFERROR(__xludf.DUMMYFUNCTION("""COMPUTED_VALUE"""),0)</f>
        <v>0</v>
      </c>
      <c r="Z83" s="17">
        <f ca="1">IFERROR(__xludf.DUMMYFUNCTION("""COMPUTED_VALUE"""),32000)</f>
        <v>32000</v>
      </c>
      <c r="AA83" s="16"/>
      <c r="AB83" s="14"/>
      <c r="AC83" s="14"/>
      <c r="AD83" s="14"/>
      <c r="AE83" s="14"/>
      <c r="AF83" s="14"/>
      <c r="AG83" s="14"/>
      <c r="AH83" s="14"/>
      <c r="AI83" s="14"/>
    </row>
    <row r="84" spans="1:35" x14ac:dyDescent="0.2">
      <c r="A84" s="16">
        <v>77</v>
      </c>
      <c r="B84" s="16" t="str">
        <f ca="1">IFERROR(__xludf.DUMMYFUNCTION("""COMPUTED_VALUE"""),"BL3127")</f>
        <v>BL3127</v>
      </c>
      <c r="C84" s="16" t="str">
        <f ca="1">IFERROR(__xludf.DUMMYFUNCTION("""COMPUTED_VALUE"""),"LÊ QUỐC ĐẠT - 0085")</f>
        <v>LÊ QUỐC ĐẠT - 0085</v>
      </c>
      <c r="D84" s="17">
        <f ca="1">IFERROR(__xludf.DUMMYFUNCTION("""COMPUTED_VALUE"""),751000)</f>
        <v>751000</v>
      </c>
      <c r="E84" s="17">
        <f ca="1">IFERROR(__xludf.DUMMYFUNCTION("""COMPUTED_VALUE"""),751000)</f>
        <v>751000</v>
      </c>
      <c r="F84" s="17">
        <f ca="1">IFERROR(__xludf.DUMMYFUNCTION("""COMPUTED_VALUE"""),17)</f>
        <v>17</v>
      </c>
      <c r="G84" s="17">
        <f ca="1">IFERROR(__xludf.DUMMYFUNCTION("""COMPUTED_VALUE"""),79)</f>
        <v>79</v>
      </c>
      <c r="H84" s="17">
        <f ca="1">IFERROR(__xludf.DUMMYFUNCTION("""COMPUTED_VALUE"""),150)</f>
        <v>150</v>
      </c>
      <c r="I84" s="17">
        <f ca="1">IFERROR(__xludf.DUMMYFUNCTION("""COMPUTED_VALUE"""),71)</f>
        <v>71</v>
      </c>
      <c r="J84" s="16">
        <f ca="1">IFERROR(__xludf.DUMMYFUNCTION("""COMPUTED_VALUE"""),76500)</f>
        <v>76500</v>
      </c>
      <c r="K84" s="17">
        <f ca="1">IFERROR(__xludf.DUMMYFUNCTION("""COMPUTED_VALUE"""),0)</f>
        <v>0</v>
      </c>
      <c r="L84" s="17">
        <f ca="1">IFERROR(__xludf.DUMMYFUNCTION("""COMPUTED_VALUE"""),0)</f>
        <v>0</v>
      </c>
      <c r="M84" s="17">
        <f ca="1">IFERROR(__xludf.DUMMYFUNCTION("""COMPUTED_VALUE"""),0)</f>
        <v>0</v>
      </c>
      <c r="N84" s="17">
        <f ca="1">IFERROR(__xludf.DUMMYFUNCTION("""COMPUTED_VALUE"""),0)</f>
        <v>0</v>
      </c>
      <c r="O84" s="17">
        <f ca="1">IFERROR(__xludf.DUMMYFUNCTION("""COMPUTED_VALUE"""),0)</f>
        <v>0</v>
      </c>
      <c r="P84" s="17"/>
      <c r="Q84" s="17">
        <f ca="1">IFERROR(__xludf.DUMMYFUNCTION("""COMPUTED_VALUE"""),76500)</f>
        <v>76500</v>
      </c>
      <c r="R84" s="17">
        <f ca="1">IFERROR(__xludf.DUMMYFUNCTION("""COMPUTED_VALUE"""),9000)</f>
        <v>9000</v>
      </c>
      <c r="S84" s="17">
        <f ca="1">IFERROR(__xludf.DUMMYFUNCTION("""COMPUTED_VALUE"""),0)</f>
        <v>0</v>
      </c>
      <c r="T84" s="17">
        <f ca="1">IFERROR(__xludf.DUMMYFUNCTION("""COMPUTED_VALUE"""),0)</f>
        <v>0</v>
      </c>
      <c r="U84" s="17">
        <f ca="1">IFERROR(__xludf.DUMMYFUNCTION("""COMPUTED_VALUE"""),0)</f>
        <v>0</v>
      </c>
      <c r="V84" s="17">
        <f ca="1">IFERROR(__xludf.DUMMYFUNCTION("""COMPUTED_VALUE"""),0)</f>
        <v>0</v>
      </c>
      <c r="W84" s="17"/>
      <c r="X84" s="17">
        <f ca="1">IFERROR(__xludf.DUMMYFUNCTION("""COMPUTED_VALUE"""),9000)</f>
        <v>9000</v>
      </c>
      <c r="Y84" s="17">
        <f ca="1">IFERROR(__xludf.DUMMYFUNCTION("""COMPUTED_VALUE"""),0)</f>
        <v>0</v>
      </c>
      <c r="Z84" s="17">
        <f ca="1">IFERROR(__xludf.DUMMYFUNCTION("""COMPUTED_VALUE"""),0)</f>
        <v>0</v>
      </c>
      <c r="AA84" s="16"/>
      <c r="AB84" s="14"/>
      <c r="AC84" s="14"/>
      <c r="AD84" s="14"/>
      <c r="AE84" s="14"/>
      <c r="AF84" s="14"/>
      <c r="AG84" s="14"/>
      <c r="AH84" s="14"/>
      <c r="AI84" s="14"/>
    </row>
    <row r="85" spans="1:35" x14ac:dyDescent="0.2">
      <c r="A85" s="16">
        <v>78</v>
      </c>
      <c r="B85" s="16" t="str">
        <f ca="1">IFERROR(__xludf.DUMMYFUNCTION("""COMPUTED_VALUE"""),"BL3129")</f>
        <v>BL3129</v>
      </c>
      <c r="C85" s="16" t="str">
        <f ca="1">IFERROR(__xludf.DUMMYFUNCTION("""COMPUTED_VALUE"""),"NGUYỄN KHAI MINH - 0107")</f>
        <v>NGUYỄN KHAI MINH - 0107</v>
      </c>
      <c r="D85" s="17">
        <f ca="1">IFERROR(__xludf.DUMMYFUNCTION("""COMPUTED_VALUE"""),116000)</f>
        <v>116000</v>
      </c>
      <c r="E85" s="17">
        <f ca="1">IFERROR(__xludf.DUMMYFUNCTION("""COMPUTED_VALUE"""),116000)</f>
        <v>116000</v>
      </c>
      <c r="F85" s="17">
        <f ca="1">IFERROR(__xludf.DUMMYFUNCTION("""COMPUTED_VALUE"""),9)</f>
        <v>9</v>
      </c>
      <c r="G85" s="17">
        <f ca="1">IFERROR(__xludf.DUMMYFUNCTION("""COMPUTED_VALUE"""),75)</f>
        <v>75</v>
      </c>
      <c r="H85" s="17">
        <f ca="1">IFERROR(__xludf.DUMMYFUNCTION("""COMPUTED_VALUE"""),135)</f>
        <v>135</v>
      </c>
      <c r="I85" s="17">
        <f ca="1">IFERROR(__xludf.DUMMYFUNCTION("""COMPUTED_VALUE"""),60)</f>
        <v>60</v>
      </c>
      <c r="J85" s="16">
        <f ca="1">IFERROR(__xludf.DUMMYFUNCTION("""COMPUTED_VALUE"""),72000)</f>
        <v>72000</v>
      </c>
      <c r="K85" s="17">
        <f ca="1">IFERROR(__xludf.DUMMYFUNCTION("""COMPUTED_VALUE"""),0)</f>
        <v>0</v>
      </c>
      <c r="L85" s="17">
        <f ca="1">IFERROR(__xludf.DUMMYFUNCTION("""COMPUTED_VALUE"""),0)</f>
        <v>0</v>
      </c>
      <c r="M85" s="17">
        <f ca="1">IFERROR(__xludf.DUMMYFUNCTION("""COMPUTED_VALUE"""),0)</f>
        <v>0</v>
      </c>
      <c r="N85" s="17">
        <f ca="1">IFERROR(__xludf.DUMMYFUNCTION("""COMPUTED_VALUE"""),0)</f>
        <v>0</v>
      </c>
      <c r="O85" s="17">
        <f ca="1">IFERROR(__xludf.DUMMYFUNCTION("""COMPUTED_VALUE"""),0)</f>
        <v>0</v>
      </c>
      <c r="P85" s="17">
        <f ca="1">IFERROR(__xludf.DUMMYFUNCTION("""COMPUTED_VALUE"""),524000)</f>
        <v>524000</v>
      </c>
      <c r="Q85" s="17">
        <f ca="1">IFERROR(__xludf.DUMMYFUNCTION("""COMPUTED_VALUE"""),596000)</f>
        <v>596000</v>
      </c>
      <c r="R85" s="17">
        <f ca="1">IFERROR(__xludf.DUMMYFUNCTION("""COMPUTED_VALUE"""),0)</f>
        <v>0</v>
      </c>
      <c r="S85" s="17">
        <f ca="1">IFERROR(__xludf.DUMMYFUNCTION("""COMPUTED_VALUE"""),0)</f>
        <v>0</v>
      </c>
      <c r="T85" s="17">
        <f ca="1">IFERROR(__xludf.DUMMYFUNCTION("""COMPUTED_VALUE"""),0)</f>
        <v>0</v>
      </c>
      <c r="U85" s="17">
        <f ca="1">IFERROR(__xludf.DUMMYFUNCTION("""COMPUTED_VALUE"""),0)</f>
        <v>0</v>
      </c>
      <c r="V85" s="17">
        <f ca="1">IFERROR(__xludf.DUMMYFUNCTION("""COMPUTED_VALUE"""),0)</f>
        <v>0</v>
      </c>
      <c r="W85" s="17"/>
      <c r="X85" s="17">
        <f ca="1">IFERROR(__xludf.DUMMYFUNCTION("""COMPUTED_VALUE"""),0)</f>
        <v>0</v>
      </c>
      <c r="Y85" s="17">
        <f ca="1">IFERROR(__xludf.DUMMYFUNCTION("""COMPUTED_VALUE"""),0)</f>
        <v>0</v>
      </c>
      <c r="Z85" s="17">
        <f ca="1">IFERROR(__xludf.DUMMYFUNCTION("""COMPUTED_VALUE"""),0)</f>
        <v>0</v>
      </c>
      <c r="AA85" s="16" t="str">
        <f ca="1">IFERROR(__xludf.DUMMYFUNCTION("""COMPUTED_VALUE"""),"Giảm trừ theo biên bản BB20250205-NGUYENKHAIMINH0107.pdf -524")</f>
        <v>Giảm trừ theo biên bản BB20250205-NGUYENKHAIMINH0107.pdf -524</v>
      </c>
      <c r="AB85" s="14"/>
      <c r="AC85" s="14"/>
      <c r="AD85" s="14"/>
      <c r="AE85" s="14"/>
      <c r="AF85" s="14"/>
      <c r="AG85" s="14"/>
      <c r="AH85" s="14"/>
      <c r="AI85" s="14"/>
    </row>
    <row r="86" spans="1:35" x14ac:dyDescent="0.2">
      <c r="A86" s="16">
        <v>79</v>
      </c>
      <c r="B86" s="16" t="str">
        <f ca="1">IFERROR(__xludf.DUMMYFUNCTION("""COMPUTED_VALUE"""),"BL3131")</f>
        <v>BL3131</v>
      </c>
      <c r="C86" s="16" t="str">
        <f ca="1">IFERROR(__xludf.DUMMYFUNCTION("""COMPUTED_VALUE"""),"ĐỖ TẤN ĐẠT - 0009")</f>
        <v>ĐỖ TẤN ĐẠT - 0009</v>
      </c>
      <c r="D86" s="17">
        <f ca="1">IFERROR(__xludf.DUMMYFUNCTION("""COMPUTED_VALUE"""),1206000)</f>
        <v>1206000</v>
      </c>
      <c r="E86" s="17">
        <f ca="1">IFERROR(__xludf.DUMMYFUNCTION("""COMPUTED_VALUE"""),1206000)</f>
        <v>1206000</v>
      </c>
      <c r="F86" s="17">
        <f ca="1">IFERROR(__xludf.DUMMYFUNCTION("""COMPUTED_VALUE"""),8)</f>
        <v>8</v>
      </c>
      <c r="G86" s="17">
        <f ca="1">IFERROR(__xludf.DUMMYFUNCTION("""COMPUTED_VALUE"""),142)</f>
        <v>142</v>
      </c>
      <c r="H86" s="17">
        <f ca="1">IFERROR(__xludf.DUMMYFUNCTION("""COMPUTED_VALUE"""),269)</f>
        <v>269</v>
      </c>
      <c r="I86" s="17">
        <f ca="1">IFERROR(__xludf.DUMMYFUNCTION("""COMPUTED_VALUE"""),127)</f>
        <v>127</v>
      </c>
      <c r="J86" s="16">
        <f ca="1">IFERROR(__xludf.DUMMYFUNCTION("""COMPUTED_VALUE"""),367500)</f>
        <v>367500</v>
      </c>
      <c r="K86" s="17">
        <f ca="1">IFERROR(__xludf.DUMMYFUNCTION("""COMPUTED_VALUE"""),0)</f>
        <v>0</v>
      </c>
      <c r="L86" s="17">
        <f ca="1">IFERROR(__xludf.DUMMYFUNCTION("""COMPUTED_VALUE"""),0)</f>
        <v>0</v>
      </c>
      <c r="M86" s="17">
        <f ca="1">IFERROR(__xludf.DUMMYFUNCTION("""COMPUTED_VALUE"""),0)</f>
        <v>0</v>
      </c>
      <c r="N86" s="17">
        <f ca="1">IFERROR(__xludf.DUMMYFUNCTION("""COMPUTED_VALUE"""),0)</f>
        <v>0</v>
      </c>
      <c r="O86" s="17">
        <f ca="1">IFERROR(__xludf.DUMMYFUNCTION("""COMPUTED_VALUE"""),0)</f>
        <v>0</v>
      </c>
      <c r="P86" s="17"/>
      <c r="Q86" s="17">
        <f ca="1">IFERROR(__xludf.DUMMYFUNCTION("""COMPUTED_VALUE"""),367500)</f>
        <v>367500</v>
      </c>
      <c r="R86" s="17">
        <f ca="1">IFERROR(__xludf.DUMMYFUNCTION("""COMPUTED_VALUE"""),230000)</f>
        <v>230000</v>
      </c>
      <c r="S86" s="17">
        <f ca="1">IFERROR(__xludf.DUMMYFUNCTION("""COMPUTED_VALUE"""),0)</f>
        <v>0</v>
      </c>
      <c r="T86" s="17">
        <f ca="1">IFERROR(__xludf.DUMMYFUNCTION("""COMPUTED_VALUE"""),0)</f>
        <v>0</v>
      </c>
      <c r="U86" s="17">
        <f ca="1">IFERROR(__xludf.DUMMYFUNCTION("""COMPUTED_VALUE"""),0)</f>
        <v>0</v>
      </c>
      <c r="V86" s="17">
        <f ca="1">IFERROR(__xludf.DUMMYFUNCTION("""COMPUTED_VALUE"""),0)</f>
        <v>0</v>
      </c>
      <c r="W86" s="17"/>
      <c r="X86" s="17">
        <f ca="1">IFERROR(__xludf.DUMMYFUNCTION("""COMPUTED_VALUE"""),230000)</f>
        <v>230000</v>
      </c>
      <c r="Y86" s="17">
        <f ca="1">IFERROR(__xludf.DUMMYFUNCTION("""COMPUTED_VALUE"""),0)</f>
        <v>0</v>
      </c>
      <c r="Z86" s="17">
        <f ca="1">IFERROR(__xludf.DUMMYFUNCTION("""COMPUTED_VALUE"""),0)</f>
        <v>0</v>
      </c>
      <c r="AA86" s="16"/>
      <c r="AB86" s="14"/>
      <c r="AC86" s="14"/>
      <c r="AD86" s="14"/>
      <c r="AE86" s="14"/>
      <c r="AF86" s="14"/>
      <c r="AG86" s="14"/>
      <c r="AH86" s="14"/>
      <c r="AI86" s="14"/>
    </row>
    <row r="87" spans="1:35" x14ac:dyDescent="0.2">
      <c r="A87" s="16">
        <v>80</v>
      </c>
      <c r="B87" s="16" t="str">
        <f ca="1">IFERROR(__xludf.DUMMYFUNCTION("""COMPUTED_VALUE"""),"BL3132")</f>
        <v>BL3132</v>
      </c>
      <c r="C87" s="16" t="str">
        <f ca="1">IFERROR(__xludf.DUMMYFUNCTION("""COMPUTED_VALUE"""),"HỒ VĂN CƯỜNG - 0067")</f>
        <v>HỒ VĂN CƯỜNG - 0067</v>
      </c>
      <c r="D87" s="17">
        <f ca="1">IFERROR(__xludf.DUMMYFUNCTION("""COMPUTED_VALUE"""),1247000)</f>
        <v>1247000</v>
      </c>
      <c r="E87" s="17">
        <f ca="1">IFERROR(__xludf.DUMMYFUNCTION("""COMPUTED_VALUE"""),1247000)</f>
        <v>1247000</v>
      </c>
      <c r="F87" s="17">
        <f ca="1">IFERROR(__xludf.DUMMYFUNCTION("""COMPUTED_VALUE"""),11)</f>
        <v>11</v>
      </c>
      <c r="G87" s="17">
        <f ca="1">IFERROR(__xludf.DUMMYFUNCTION("""COMPUTED_VALUE"""),135)</f>
        <v>135</v>
      </c>
      <c r="H87" s="17">
        <f ca="1">IFERROR(__xludf.DUMMYFUNCTION("""COMPUTED_VALUE"""),256)</f>
        <v>256</v>
      </c>
      <c r="I87" s="17">
        <f ca="1">IFERROR(__xludf.DUMMYFUNCTION("""COMPUTED_VALUE"""),121)</f>
        <v>121</v>
      </c>
      <c r="J87" s="16">
        <f ca="1">IFERROR(__xludf.DUMMYFUNCTION("""COMPUTED_VALUE"""),161500)</f>
        <v>161500</v>
      </c>
      <c r="K87" s="17">
        <f ca="1">IFERROR(__xludf.DUMMYFUNCTION("""COMPUTED_VALUE"""),0)</f>
        <v>0</v>
      </c>
      <c r="L87" s="17">
        <f ca="1">IFERROR(__xludf.DUMMYFUNCTION("""COMPUTED_VALUE"""),0)</f>
        <v>0</v>
      </c>
      <c r="M87" s="17">
        <f ca="1">IFERROR(__xludf.DUMMYFUNCTION("""COMPUTED_VALUE"""),0)</f>
        <v>0</v>
      </c>
      <c r="N87" s="17">
        <f ca="1">IFERROR(__xludf.DUMMYFUNCTION("""COMPUTED_VALUE"""),0)</f>
        <v>0</v>
      </c>
      <c r="O87" s="17">
        <f ca="1">IFERROR(__xludf.DUMMYFUNCTION("""COMPUTED_VALUE"""),0)</f>
        <v>0</v>
      </c>
      <c r="P87" s="17"/>
      <c r="Q87" s="17">
        <f ca="1">IFERROR(__xludf.DUMMYFUNCTION("""COMPUTED_VALUE"""),161500)</f>
        <v>161500</v>
      </c>
      <c r="R87" s="17">
        <f ca="1">IFERROR(__xludf.DUMMYFUNCTION("""COMPUTED_VALUE"""),18000)</f>
        <v>18000</v>
      </c>
      <c r="S87" s="17">
        <f ca="1">IFERROR(__xludf.DUMMYFUNCTION("""COMPUTED_VALUE"""),0)</f>
        <v>0</v>
      </c>
      <c r="T87" s="17">
        <f ca="1">IFERROR(__xludf.DUMMYFUNCTION("""COMPUTED_VALUE"""),0)</f>
        <v>0</v>
      </c>
      <c r="U87" s="17">
        <f ca="1">IFERROR(__xludf.DUMMYFUNCTION("""COMPUTED_VALUE"""),0)</f>
        <v>0</v>
      </c>
      <c r="V87" s="17">
        <f ca="1">IFERROR(__xludf.DUMMYFUNCTION("""COMPUTED_VALUE"""),0)</f>
        <v>0</v>
      </c>
      <c r="W87" s="17"/>
      <c r="X87" s="17">
        <f ca="1">IFERROR(__xludf.DUMMYFUNCTION("""COMPUTED_VALUE"""),18000)</f>
        <v>18000</v>
      </c>
      <c r="Y87" s="17">
        <f ca="1">IFERROR(__xludf.DUMMYFUNCTION("""COMPUTED_VALUE"""),0)</f>
        <v>0</v>
      </c>
      <c r="Z87" s="17">
        <f ca="1">IFERROR(__xludf.DUMMYFUNCTION("""COMPUTED_VALUE"""),0)</f>
        <v>0</v>
      </c>
      <c r="AA87" s="16"/>
      <c r="AB87" s="14"/>
      <c r="AC87" s="14"/>
      <c r="AD87" s="14"/>
      <c r="AE87" s="14"/>
      <c r="AF87" s="14"/>
      <c r="AG87" s="14"/>
      <c r="AH87" s="14"/>
      <c r="AI87" s="14"/>
    </row>
    <row r="88" spans="1:35" x14ac:dyDescent="0.2">
      <c r="A88" s="16">
        <v>81</v>
      </c>
      <c r="B88" s="16" t="str">
        <f ca="1">IFERROR(__xludf.DUMMYFUNCTION("""COMPUTED_VALUE"""),"BL3133")</f>
        <v>BL3133</v>
      </c>
      <c r="C88" s="16" t="str">
        <f ca="1">IFERROR(__xludf.DUMMYFUNCTION("""COMPUTED_VALUE"""),"BÙI VĂN ANH - 0079")</f>
        <v>BÙI VĂN ANH - 0079</v>
      </c>
      <c r="D88" s="17">
        <f ca="1">IFERROR(__xludf.DUMMYFUNCTION("""COMPUTED_VALUE"""),955000)</f>
        <v>955000</v>
      </c>
      <c r="E88" s="17">
        <f ca="1">IFERROR(__xludf.DUMMYFUNCTION("""COMPUTED_VALUE"""),930000)</f>
        <v>930000</v>
      </c>
      <c r="F88" s="17">
        <f ca="1">IFERROR(__xludf.DUMMYFUNCTION("""COMPUTED_VALUE"""),6)</f>
        <v>6</v>
      </c>
      <c r="G88" s="17">
        <f ca="1">IFERROR(__xludf.DUMMYFUNCTION("""COMPUTED_VALUE"""),33)</f>
        <v>33</v>
      </c>
      <c r="H88" s="17">
        <f ca="1">IFERROR(__xludf.DUMMYFUNCTION("""COMPUTED_VALUE"""),178)</f>
        <v>178</v>
      </c>
      <c r="I88" s="17">
        <f ca="1">IFERROR(__xludf.DUMMYFUNCTION("""COMPUTED_VALUE"""),145)</f>
        <v>145</v>
      </c>
      <c r="J88" s="16">
        <f ca="1">IFERROR(__xludf.DUMMYFUNCTION("""COMPUTED_VALUE"""),572500)</f>
        <v>572500</v>
      </c>
      <c r="K88" s="17">
        <f ca="1">IFERROR(__xludf.DUMMYFUNCTION("""COMPUTED_VALUE"""),0)</f>
        <v>0</v>
      </c>
      <c r="L88" s="17">
        <f ca="1">IFERROR(__xludf.DUMMYFUNCTION("""COMPUTED_VALUE"""),0)</f>
        <v>0</v>
      </c>
      <c r="M88" s="17">
        <f ca="1">IFERROR(__xludf.DUMMYFUNCTION("""COMPUTED_VALUE"""),0)</f>
        <v>0</v>
      </c>
      <c r="N88" s="17">
        <f ca="1">IFERROR(__xludf.DUMMYFUNCTION("""COMPUTED_VALUE"""),0)</f>
        <v>0</v>
      </c>
      <c r="O88" s="17">
        <f ca="1">IFERROR(__xludf.DUMMYFUNCTION("""COMPUTED_VALUE"""),0)</f>
        <v>0</v>
      </c>
      <c r="P88" s="17"/>
      <c r="Q88" s="17">
        <f ca="1">IFERROR(__xludf.DUMMYFUNCTION("""COMPUTED_VALUE"""),572500)</f>
        <v>572500</v>
      </c>
      <c r="R88" s="17">
        <f ca="1">IFERROR(__xludf.DUMMYFUNCTION("""COMPUTED_VALUE"""),0)</f>
        <v>0</v>
      </c>
      <c r="S88" s="17">
        <f ca="1">IFERROR(__xludf.DUMMYFUNCTION("""COMPUTED_VALUE"""),0)</f>
        <v>0</v>
      </c>
      <c r="T88" s="17">
        <f ca="1">IFERROR(__xludf.DUMMYFUNCTION("""COMPUTED_VALUE"""),0)</f>
        <v>0</v>
      </c>
      <c r="U88" s="17">
        <f ca="1">IFERROR(__xludf.DUMMYFUNCTION("""COMPUTED_VALUE"""),20500)</f>
        <v>20500</v>
      </c>
      <c r="V88" s="17">
        <f ca="1">IFERROR(__xludf.DUMMYFUNCTION("""COMPUTED_VALUE"""),0)</f>
        <v>0</v>
      </c>
      <c r="W88" s="17"/>
      <c r="X88" s="17">
        <f ca="1">IFERROR(__xludf.DUMMYFUNCTION("""COMPUTED_VALUE"""),20500)</f>
        <v>20500</v>
      </c>
      <c r="Y88" s="17">
        <f ca="1">IFERROR(__xludf.DUMMYFUNCTION("""COMPUTED_VALUE"""),0)</f>
        <v>0</v>
      </c>
      <c r="Z88" s="17">
        <f ca="1">IFERROR(__xludf.DUMMYFUNCTION("""COMPUTED_VALUE"""),25000)</f>
        <v>25000</v>
      </c>
      <c r="AA88" s="16"/>
      <c r="AB88" s="14"/>
      <c r="AC88" s="14"/>
      <c r="AD88" s="14"/>
      <c r="AE88" s="14"/>
      <c r="AF88" s="14"/>
      <c r="AG88" s="14"/>
      <c r="AH88" s="14"/>
      <c r="AI88" s="14"/>
    </row>
    <row r="89" spans="1:35" x14ac:dyDescent="0.2">
      <c r="A89" s="16">
        <v>82</v>
      </c>
      <c r="B89" s="16" t="str">
        <f ca="1">IFERROR(__xludf.DUMMYFUNCTION("""COMPUTED_VALUE"""),"BL3138")</f>
        <v>BL3138</v>
      </c>
      <c r="C89" s="16" t="str">
        <f ca="1">IFERROR(__xludf.DUMMYFUNCTION("""COMPUTED_VALUE"""),"LÊ PHONG THẠNH - 0065")</f>
        <v>LÊ PHONG THẠNH - 0065</v>
      </c>
      <c r="D89" s="17">
        <f ca="1">IFERROR(__xludf.DUMMYFUNCTION("""COMPUTED_VALUE"""),416000)</f>
        <v>416000</v>
      </c>
      <c r="E89" s="17">
        <f ca="1">IFERROR(__xludf.DUMMYFUNCTION("""COMPUTED_VALUE"""),416000)</f>
        <v>416000</v>
      </c>
      <c r="F89" s="17">
        <f ca="1">IFERROR(__xludf.DUMMYFUNCTION("""COMPUTED_VALUE"""),7)</f>
        <v>7</v>
      </c>
      <c r="G89" s="17">
        <f ca="1">IFERROR(__xludf.DUMMYFUNCTION("""COMPUTED_VALUE"""),55)</f>
        <v>55</v>
      </c>
      <c r="H89" s="17">
        <f ca="1">IFERROR(__xludf.DUMMYFUNCTION("""COMPUTED_VALUE"""),91)</f>
        <v>91</v>
      </c>
      <c r="I89" s="17">
        <f ca="1">IFERROR(__xludf.DUMMYFUNCTION("""COMPUTED_VALUE"""),36)</f>
        <v>36</v>
      </c>
      <c r="J89" s="16">
        <f ca="1">IFERROR(__xludf.DUMMYFUNCTION("""COMPUTED_VALUE"""),0)</f>
        <v>0</v>
      </c>
      <c r="K89" s="17">
        <f ca="1">IFERROR(__xludf.DUMMYFUNCTION("""COMPUTED_VALUE"""),0)</f>
        <v>0</v>
      </c>
      <c r="L89" s="17">
        <f ca="1">IFERROR(__xludf.DUMMYFUNCTION("""COMPUTED_VALUE"""),0)</f>
        <v>0</v>
      </c>
      <c r="M89" s="17">
        <f ca="1">IFERROR(__xludf.DUMMYFUNCTION("""COMPUTED_VALUE"""),0)</f>
        <v>0</v>
      </c>
      <c r="N89" s="17">
        <f ca="1">IFERROR(__xludf.DUMMYFUNCTION("""COMPUTED_VALUE"""),0)</f>
        <v>0</v>
      </c>
      <c r="O89" s="17">
        <f ca="1">IFERROR(__xludf.DUMMYFUNCTION("""COMPUTED_VALUE"""),0)</f>
        <v>0</v>
      </c>
      <c r="P89" s="17"/>
      <c r="Q89" s="17">
        <f ca="1">IFERROR(__xludf.DUMMYFUNCTION("""COMPUTED_VALUE"""),0)</f>
        <v>0</v>
      </c>
      <c r="R89" s="17">
        <f ca="1">IFERROR(__xludf.DUMMYFUNCTION("""COMPUTED_VALUE"""),0)</f>
        <v>0</v>
      </c>
      <c r="S89" s="17">
        <f ca="1">IFERROR(__xludf.DUMMYFUNCTION("""COMPUTED_VALUE"""),0)</f>
        <v>0</v>
      </c>
      <c r="T89" s="17">
        <f ca="1">IFERROR(__xludf.DUMMYFUNCTION("""COMPUTED_VALUE"""),0)</f>
        <v>0</v>
      </c>
      <c r="U89" s="17">
        <f ca="1">IFERROR(__xludf.DUMMYFUNCTION("""COMPUTED_VALUE"""),0)</f>
        <v>0</v>
      </c>
      <c r="V89" s="17">
        <f ca="1">IFERROR(__xludf.DUMMYFUNCTION("""COMPUTED_VALUE"""),0)</f>
        <v>0</v>
      </c>
      <c r="W89" s="17"/>
      <c r="X89" s="17">
        <f ca="1">IFERROR(__xludf.DUMMYFUNCTION("""COMPUTED_VALUE"""),0)</f>
        <v>0</v>
      </c>
      <c r="Y89" s="17">
        <f ca="1">IFERROR(__xludf.DUMMYFUNCTION("""COMPUTED_VALUE"""),0)</f>
        <v>0</v>
      </c>
      <c r="Z89" s="17">
        <f ca="1">IFERROR(__xludf.DUMMYFUNCTION("""COMPUTED_VALUE"""),0)</f>
        <v>0</v>
      </c>
      <c r="AA89" s="16"/>
      <c r="AB89" s="14"/>
      <c r="AC89" s="14"/>
      <c r="AD89" s="14"/>
      <c r="AE89" s="14"/>
      <c r="AF89" s="14"/>
      <c r="AG89" s="14"/>
      <c r="AH89" s="14"/>
      <c r="AI89" s="14"/>
    </row>
    <row r="90" spans="1:35" x14ac:dyDescent="0.2">
      <c r="A90" s="16">
        <v>83</v>
      </c>
      <c r="B90" s="16" t="str">
        <f ca="1">IFERROR(__xludf.DUMMYFUNCTION("""COMPUTED_VALUE"""),"BL3142")</f>
        <v>BL3142</v>
      </c>
      <c r="C90" s="16" t="str">
        <f ca="1">IFERROR(__xludf.DUMMYFUNCTION("""COMPUTED_VALUE"""),"NGUYỄN VĂN LINH - 0054")</f>
        <v>NGUYỄN VĂN LINH - 0054</v>
      </c>
      <c r="D90" s="17">
        <f ca="1">IFERROR(__xludf.DUMMYFUNCTION("""COMPUTED_VALUE"""),425000)</f>
        <v>425000</v>
      </c>
      <c r="E90" s="17">
        <f ca="1">IFERROR(__xludf.DUMMYFUNCTION("""COMPUTED_VALUE"""),478000)</f>
        <v>478000</v>
      </c>
      <c r="F90" s="17">
        <f ca="1">IFERROR(__xludf.DUMMYFUNCTION("""COMPUTED_VALUE"""),12)</f>
        <v>12</v>
      </c>
      <c r="G90" s="17">
        <f ca="1">IFERROR(__xludf.DUMMYFUNCTION("""COMPUTED_VALUE"""),54)</f>
        <v>54</v>
      </c>
      <c r="H90" s="17">
        <f ca="1">IFERROR(__xludf.DUMMYFUNCTION("""COMPUTED_VALUE"""),94)</f>
        <v>94</v>
      </c>
      <c r="I90" s="17">
        <f ca="1">IFERROR(__xludf.DUMMYFUNCTION("""COMPUTED_VALUE"""),40)</f>
        <v>40</v>
      </c>
      <c r="J90" s="16">
        <f ca="1">IFERROR(__xludf.DUMMYFUNCTION("""COMPUTED_VALUE"""),0)</f>
        <v>0</v>
      </c>
      <c r="K90" s="17">
        <f ca="1">IFERROR(__xludf.DUMMYFUNCTION("""COMPUTED_VALUE"""),0)</f>
        <v>0</v>
      </c>
      <c r="L90" s="17">
        <f ca="1">IFERROR(__xludf.DUMMYFUNCTION("""COMPUTED_VALUE"""),0)</f>
        <v>0</v>
      </c>
      <c r="M90" s="17">
        <f ca="1">IFERROR(__xludf.DUMMYFUNCTION("""COMPUTED_VALUE"""),0)</f>
        <v>0</v>
      </c>
      <c r="N90" s="17">
        <f ca="1">IFERROR(__xludf.DUMMYFUNCTION("""COMPUTED_VALUE"""),0)</f>
        <v>0</v>
      </c>
      <c r="O90" s="17">
        <f ca="1">IFERROR(__xludf.DUMMYFUNCTION("""COMPUTED_VALUE"""),0)</f>
        <v>0</v>
      </c>
      <c r="P90" s="17"/>
      <c r="Q90" s="17">
        <f ca="1">IFERROR(__xludf.DUMMYFUNCTION("""COMPUTED_VALUE"""),0)</f>
        <v>0</v>
      </c>
      <c r="R90" s="17">
        <f ca="1">IFERROR(__xludf.DUMMYFUNCTION("""COMPUTED_VALUE"""),0)</f>
        <v>0</v>
      </c>
      <c r="S90" s="17">
        <f ca="1">IFERROR(__xludf.DUMMYFUNCTION("""COMPUTED_VALUE"""),0)</f>
        <v>0</v>
      </c>
      <c r="T90" s="17">
        <f ca="1">IFERROR(__xludf.DUMMYFUNCTION("""COMPUTED_VALUE"""),0)</f>
        <v>0</v>
      </c>
      <c r="U90" s="17">
        <f ca="1">IFERROR(__xludf.DUMMYFUNCTION("""COMPUTED_VALUE"""),31000)</f>
        <v>31000</v>
      </c>
      <c r="V90" s="17">
        <f ca="1">IFERROR(__xludf.DUMMYFUNCTION("""COMPUTED_VALUE"""),0)</f>
        <v>0</v>
      </c>
      <c r="W90" s="17"/>
      <c r="X90" s="17">
        <f ca="1">IFERROR(__xludf.DUMMYFUNCTION("""COMPUTED_VALUE"""),31000)</f>
        <v>31000</v>
      </c>
      <c r="Y90" s="17">
        <f ca="1">IFERROR(__xludf.DUMMYFUNCTION("""COMPUTED_VALUE"""),59000)</f>
        <v>59000</v>
      </c>
      <c r="Z90" s="17">
        <f ca="1">IFERROR(__xludf.DUMMYFUNCTION("""COMPUTED_VALUE"""),6000)</f>
        <v>6000</v>
      </c>
      <c r="AA90" s="16"/>
      <c r="AB90" s="14"/>
      <c r="AC90" s="14"/>
      <c r="AD90" s="14"/>
      <c r="AE90" s="14"/>
      <c r="AF90" s="14"/>
      <c r="AG90" s="14"/>
      <c r="AH90" s="14"/>
      <c r="AI90" s="14"/>
    </row>
    <row r="91" spans="1:35" x14ac:dyDescent="0.2">
      <c r="A91" s="16">
        <v>84</v>
      </c>
      <c r="B91" s="16" t="str">
        <f ca="1">IFERROR(__xludf.DUMMYFUNCTION("""COMPUTED_VALUE"""),"BL3147")</f>
        <v>BL3147</v>
      </c>
      <c r="C91" s="16" t="str">
        <f ca="1">IFERROR(__xludf.DUMMYFUNCTION("""COMPUTED_VALUE"""),"CHUNG THANH CƯỜNG - 0064")</f>
        <v>CHUNG THANH CƯỜNG - 0064</v>
      </c>
      <c r="D91" s="17">
        <f ca="1">IFERROR(__xludf.DUMMYFUNCTION("""COMPUTED_VALUE"""),805000)</f>
        <v>805000</v>
      </c>
      <c r="E91" s="17">
        <f ca="1">IFERROR(__xludf.DUMMYFUNCTION("""COMPUTED_VALUE"""),805000)</f>
        <v>805000</v>
      </c>
      <c r="F91" s="17">
        <f ca="1">IFERROR(__xludf.DUMMYFUNCTION("""COMPUTED_VALUE"""),5)</f>
        <v>5</v>
      </c>
      <c r="G91" s="17">
        <f ca="1">IFERROR(__xludf.DUMMYFUNCTION("""COMPUTED_VALUE"""),38)</f>
        <v>38</v>
      </c>
      <c r="H91" s="17">
        <f ca="1">IFERROR(__xludf.DUMMYFUNCTION("""COMPUTED_VALUE"""),142)</f>
        <v>142</v>
      </c>
      <c r="I91" s="17">
        <f ca="1">IFERROR(__xludf.DUMMYFUNCTION("""COMPUTED_VALUE"""),104)</f>
        <v>104</v>
      </c>
      <c r="J91" s="16">
        <f ca="1">IFERROR(__xludf.DUMMYFUNCTION("""COMPUTED_VALUE"""),393500)</f>
        <v>393500</v>
      </c>
      <c r="K91" s="17">
        <f ca="1">IFERROR(__xludf.DUMMYFUNCTION("""COMPUTED_VALUE"""),0)</f>
        <v>0</v>
      </c>
      <c r="L91" s="17">
        <f ca="1">IFERROR(__xludf.DUMMYFUNCTION("""COMPUTED_VALUE"""),0)</f>
        <v>0</v>
      </c>
      <c r="M91" s="17">
        <f ca="1">IFERROR(__xludf.DUMMYFUNCTION("""COMPUTED_VALUE"""),0)</f>
        <v>0</v>
      </c>
      <c r="N91" s="17">
        <f ca="1">IFERROR(__xludf.DUMMYFUNCTION("""COMPUTED_VALUE"""),0)</f>
        <v>0</v>
      </c>
      <c r="O91" s="17">
        <f ca="1">IFERROR(__xludf.DUMMYFUNCTION("""COMPUTED_VALUE"""),0)</f>
        <v>0</v>
      </c>
      <c r="P91" s="17"/>
      <c r="Q91" s="17">
        <f ca="1">IFERROR(__xludf.DUMMYFUNCTION("""COMPUTED_VALUE"""),393500)</f>
        <v>393500</v>
      </c>
      <c r="R91" s="17">
        <f ca="1">IFERROR(__xludf.DUMMYFUNCTION("""COMPUTED_VALUE"""),58000)</f>
        <v>58000</v>
      </c>
      <c r="S91" s="17">
        <f ca="1">IFERROR(__xludf.DUMMYFUNCTION("""COMPUTED_VALUE"""),0)</f>
        <v>0</v>
      </c>
      <c r="T91" s="17">
        <f ca="1">IFERROR(__xludf.DUMMYFUNCTION("""COMPUTED_VALUE"""),0)</f>
        <v>0</v>
      </c>
      <c r="U91" s="17">
        <f ca="1">IFERROR(__xludf.DUMMYFUNCTION("""COMPUTED_VALUE"""),0)</f>
        <v>0</v>
      </c>
      <c r="V91" s="17">
        <f ca="1">IFERROR(__xludf.DUMMYFUNCTION("""COMPUTED_VALUE"""),0)</f>
        <v>0</v>
      </c>
      <c r="W91" s="17"/>
      <c r="X91" s="17">
        <f ca="1">IFERROR(__xludf.DUMMYFUNCTION("""COMPUTED_VALUE"""),58000)</f>
        <v>58000</v>
      </c>
      <c r="Y91" s="17">
        <f ca="1">IFERROR(__xludf.DUMMYFUNCTION("""COMPUTED_VALUE"""),0)</f>
        <v>0</v>
      </c>
      <c r="Z91" s="17">
        <f ca="1">IFERROR(__xludf.DUMMYFUNCTION("""COMPUTED_VALUE"""),0)</f>
        <v>0</v>
      </c>
      <c r="AA91" s="16"/>
      <c r="AB91" s="14"/>
      <c r="AC91" s="14"/>
      <c r="AD91" s="14"/>
      <c r="AE91" s="14"/>
      <c r="AF91" s="14"/>
      <c r="AG91" s="14"/>
      <c r="AH91" s="14"/>
      <c r="AI91" s="14"/>
    </row>
    <row r="92" spans="1:35" x14ac:dyDescent="0.2">
      <c r="A92" s="16">
        <v>85</v>
      </c>
      <c r="B92" s="16" t="str">
        <f ca="1">IFERROR(__xludf.DUMMYFUNCTION("""COMPUTED_VALUE"""),"BL3149")</f>
        <v>BL3149</v>
      </c>
      <c r="C92" s="16" t="str">
        <f ca="1">IFERROR(__xludf.DUMMYFUNCTION("""COMPUTED_VALUE"""),"ĐỒNG HOÀNG VỸ - 0095")</f>
        <v>ĐỒNG HOÀNG VỸ - 0095</v>
      </c>
      <c r="D92" s="17">
        <f ca="1">IFERROR(__xludf.DUMMYFUNCTION("""COMPUTED_VALUE"""),470000)</f>
        <v>470000</v>
      </c>
      <c r="E92" s="17">
        <f ca="1">IFERROR(__xludf.DUMMYFUNCTION("""COMPUTED_VALUE"""),470000)</f>
        <v>470000</v>
      </c>
      <c r="F92" s="17">
        <f ca="1">IFERROR(__xludf.DUMMYFUNCTION("""COMPUTED_VALUE"""),8)</f>
        <v>8</v>
      </c>
      <c r="G92" s="17">
        <f ca="1">IFERROR(__xludf.DUMMYFUNCTION("""COMPUTED_VALUE"""),34)</f>
        <v>34</v>
      </c>
      <c r="H92" s="17">
        <f ca="1">IFERROR(__xludf.DUMMYFUNCTION("""COMPUTED_VALUE"""),75)</f>
        <v>75</v>
      </c>
      <c r="I92" s="17">
        <f ca="1">IFERROR(__xludf.DUMMYFUNCTION("""COMPUTED_VALUE"""),41)</f>
        <v>41</v>
      </c>
      <c r="J92" s="16">
        <f ca="1">IFERROR(__xludf.DUMMYFUNCTION("""COMPUTED_VALUE"""),0)</f>
        <v>0</v>
      </c>
      <c r="K92" s="17">
        <f ca="1">IFERROR(__xludf.DUMMYFUNCTION("""COMPUTED_VALUE"""),0)</f>
        <v>0</v>
      </c>
      <c r="L92" s="17">
        <f ca="1">IFERROR(__xludf.DUMMYFUNCTION("""COMPUTED_VALUE"""),0)</f>
        <v>0</v>
      </c>
      <c r="M92" s="17">
        <f ca="1">IFERROR(__xludf.DUMMYFUNCTION("""COMPUTED_VALUE"""),0)</f>
        <v>0</v>
      </c>
      <c r="N92" s="17">
        <f ca="1">IFERROR(__xludf.DUMMYFUNCTION("""COMPUTED_VALUE"""),0)</f>
        <v>0</v>
      </c>
      <c r="O92" s="17">
        <f ca="1">IFERROR(__xludf.DUMMYFUNCTION("""COMPUTED_VALUE"""),0)</f>
        <v>0</v>
      </c>
      <c r="P92" s="17"/>
      <c r="Q92" s="17">
        <f ca="1">IFERROR(__xludf.DUMMYFUNCTION("""COMPUTED_VALUE"""),0)</f>
        <v>0</v>
      </c>
      <c r="R92" s="17">
        <f ca="1">IFERROR(__xludf.DUMMYFUNCTION("""COMPUTED_VALUE"""),0)</f>
        <v>0</v>
      </c>
      <c r="S92" s="17">
        <f ca="1">IFERROR(__xludf.DUMMYFUNCTION("""COMPUTED_VALUE"""),0)</f>
        <v>0</v>
      </c>
      <c r="T92" s="17">
        <f ca="1">IFERROR(__xludf.DUMMYFUNCTION("""COMPUTED_VALUE"""),0)</f>
        <v>0</v>
      </c>
      <c r="U92" s="17">
        <f ca="1">IFERROR(__xludf.DUMMYFUNCTION("""COMPUTED_VALUE"""),0)</f>
        <v>0</v>
      </c>
      <c r="V92" s="17">
        <f ca="1">IFERROR(__xludf.DUMMYFUNCTION("""COMPUTED_VALUE"""),0)</f>
        <v>0</v>
      </c>
      <c r="W92" s="17"/>
      <c r="X92" s="17">
        <f ca="1">IFERROR(__xludf.DUMMYFUNCTION("""COMPUTED_VALUE"""),0)</f>
        <v>0</v>
      </c>
      <c r="Y92" s="17">
        <f ca="1">IFERROR(__xludf.DUMMYFUNCTION("""COMPUTED_VALUE"""),0)</f>
        <v>0</v>
      </c>
      <c r="Z92" s="17">
        <f ca="1">IFERROR(__xludf.DUMMYFUNCTION("""COMPUTED_VALUE"""),0)</f>
        <v>0</v>
      </c>
      <c r="AA92" s="16"/>
      <c r="AB92" s="14"/>
      <c r="AC92" s="14"/>
      <c r="AD92" s="14"/>
      <c r="AE92" s="14"/>
      <c r="AF92" s="14"/>
      <c r="AG92" s="14"/>
      <c r="AH92" s="14"/>
      <c r="AI92" s="14"/>
    </row>
    <row r="93" spans="1:35" x14ac:dyDescent="0.2">
      <c r="A93" s="16">
        <v>86</v>
      </c>
      <c r="B93" s="16" t="str">
        <f ca="1">IFERROR(__xludf.DUMMYFUNCTION("""COMPUTED_VALUE"""),"BL3150")</f>
        <v>BL3150</v>
      </c>
      <c r="C93" s="16" t="str">
        <f ca="1">IFERROR(__xludf.DUMMYFUNCTION("""COMPUTED_VALUE"""),"ONG QUỐC THÁI - 0108")</f>
        <v>ONG QUỐC THÁI - 0108</v>
      </c>
      <c r="D93" s="17">
        <f ca="1">IFERROR(__xludf.DUMMYFUNCTION("""COMPUTED_VALUE"""),284000)</f>
        <v>284000</v>
      </c>
      <c r="E93" s="17">
        <f ca="1">IFERROR(__xludf.DUMMYFUNCTION("""COMPUTED_VALUE"""),284000)</f>
        <v>284000</v>
      </c>
      <c r="F93" s="17">
        <f ca="1">IFERROR(__xludf.DUMMYFUNCTION("""COMPUTED_VALUE"""),4)</f>
        <v>4</v>
      </c>
      <c r="G93" s="17">
        <f ca="1">IFERROR(__xludf.DUMMYFUNCTION("""COMPUTED_VALUE"""),4)</f>
        <v>4</v>
      </c>
      <c r="H93" s="17">
        <f ca="1">IFERROR(__xludf.DUMMYFUNCTION("""COMPUTED_VALUE"""),31)</f>
        <v>31</v>
      </c>
      <c r="I93" s="17">
        <f ca="1">IFERROR(__xludf.DUMMYFUNCTION("""COMPUTED_VALUE"""),27)</f>
        <v>27</v>
      </c>
      <c r="J93" s="16">
        <f ca="1">IFERROR(__xludf.DUMMYFUNCTION("""COMPUTED_VALUE"""),87500)</f>
        <v>87500</v>
      </c>
      <c r="K93" s="17">
        <f ca="1">IFERROR(__xludf.DUMMYFUNCTION("""COMPUTED_VALUE"""),0)</f>
        <v>0</v>
      </c>
      <c r="L93" s="17">
        <f ca="1">IFERROR(__xludf.DUMMYFUNCTION("""COMPUTED_VALUE"""),0)</f>
        <v>0</v>
      </c>
      <c r="M93" s="17">
        <f ca="1">IFERROR(__xludf.DUMMYFUNCTION("""COMPUTED_VALUE"""),0)</f>
        <v>0</v>
      </c>
      <c r="N93" s="17">
        <f ca="1">IFERROR(__xludf.DUMMYFUNCTION("""COMPUTED_VALUE"""),0)</f>
        <v>0</v>
      </c>
      <c r="O93" s="17">
        <f ca="1">IFERROR(__xludf.DUMMYFUNCTION("""COMPUTED_VALUE"""),0)</f>
        <v>0</v>
      </c>
      <c r="P93" s="17"/>
      <c r="Q93" s="17">
        <f ca="1">IFERROR(__xludf.DUMMYFUNCTION("""COMPUTED_VALUE"""),87500)</f>
        <v>87500</v>
      </c>
      <c r="R93" s="17">
        <f ca="1">IFERROR(__xludf.DUMMYFUNCTION("""COMPUTED_VALUE"""),0)</f>
        <v>0</v>
      </c>
      <c r="S93" s="17">
        <f ca="1">IFERROR(__xludf.DUMMYFUNCTION("""COMPUTED_VALUE"""),0)</f>
        <v>0</v>
      </c>
      <c r="T93" s="17">
        <f ca="1">IFERROR(__xludf.DUMMYFUNCTION("""COMPUTED_VALUE"""),25000)</f>
        <v>25000</v>
      </c>
      <c r="U93" s="17">
        <f ca="1">IFERROR(__xludf.DUMMYFUNCTION("""COMPUTED_VALUE"""),0)</f>
        <v>0</v>
      </c>
      <c r="V93" s="17">
        <f ca="1">IFERROR(__xludf.DUMMYFUNCTION("""COMPUTED_VALUE"""),0)</f>
        <v>0</v>
      </c>
      <c r="W93" s="17"/>
      <c r="X93" s="17">
        <f ca="1">IFERROR(__xludf.DUMMYFUNCTION("""COMPUTED_VALUE"""),25000)</f>
        <v>25000</v>
      </c>
      <c r="Y93" s="17">
        <f ca="1">IFERROR(__xludf.DUMMYFUNCTION("""COMPUTED_VALUE"""),0)</f>
        <v>0</v>
      </c>
      <c r="Z93" s="17">
        <f ca="1">IFERROR(__xludf.DUMMYFUNCTION("""COMPUTED_VALUE"""),0)</f>
        <v>0</v>
      </c>
      <c r="AA93" s="16"/>
      <c r="AB93" s="14"/>
      <c r="AC93" s="14"/>
      <c r="AD93" s="14"/>
      <c r="AE93" s="14"/>
      <c r="AF93" s="14"/>
      <c r="AG93" s="14"/>
      <c r="AH93" s="14"/>
      <c r="AI93" s="14"/>
    </row>
    <row r="94" spans="1:35" x14ac:dyDescent="0.2">
      <c r="A94" s="16">
        <v>87</v>
      </c>
      <c r="B94" s="16" t="str">
        <f ca="1">IFERROR(__xludf.DUMMYFUNCTION("""COMPUTED_VALUE"""),"BLCV01")</f>
        <v>BLCV01</v>
      </c>
      <c r="C94" s="16"/>
      <c r="D94" s="17">
        <f ca="1">IFERROR(__xludf.DUMMYFUNCTION("""COMPUTED_VALUE"""),0)</f>
        <v>0</v>
      </c>
      <c r="E94" s="17">
        <f ca="1">IFERROR(__xludf.DUMMYFUNCTION("""COMPUTED_VALUE"""),0)</f>
        <v>0</v>
      </c>
      <c r="F94" s="17">
        <f ca="1">IFERROR(__xludf.DUMMYFUNCTION("""COMPUTED_VALUE"""),0)</f>
        <v>0</v>
      </c>
      <c r="G94" s="17">
        <f ca="1">IFERROR(__xludf.DUMMYFUNCTION("""COMPUTED_VALUE"""),0)</f>
        <v>0</v>
      </c>
      <c r="H94" s="17">
        <f ca="1">IFERROR(__xludf.DUMMYFUNCTION("""COMPUTED_VALUE"""),0)</f>
        <v>0</v>
      </c>
      <c r="I94" s="17">
        <f ca="1">IFERROR(__xludf.DUMMYFUNCTION("""COMPUTED_VALUE"""),0)</f>
        <v>0</v>
      </c>
      <c r="J94" s="16">
        <f ca="1">IFERROR(__xludf.DUMMYFUNCTION("""COMPUTED_VALUE"""),0)</f>
        <v>0</v>
      </c>
      <c r="K94" s="17">
        <f ca="1">IFERROR(__xludf.DUMMYFUNCTION("""COMPUTED_VALUE"""),0)</f>
        <v>0</v>
      </c>
      <c r="L94" s="17">
        <f ca="1">IFERROR(__xludf.DUMMYFUNCTION("""COMPUTED_VALUE"""),0)</f>
        <v>0</v>
      </c>
      <c r="M94" s="17">
        <f ca="1">IFERROR(__xludf.DUMMYFUNCTION("""COMPUTED_VALUE"""),0)</f>
        <v>0</v>
      </c>
      <c r="N94" s="17">
        <f ca="1">IFERROR(__xludf.DUMMYFUNCTION("""COMPUTED_VALUE"""),0)</f>
        <v>0</v>
      </c>
      <c r="O94" s="17">
        <f ca="1">IFERROR(__xludf.DUMMYFUNCTION("""COMPUTED_VALUE"""),0)</f>
        <v>0</v>
      </c>
      <c r="P94" s="17"/>
      <c r="Q94" s="17">
        <f ca="1">IFERROR(__xludf.DUMMYFUNCTION("""COMPUTED_VALUE"""),0)</f>
        <v>0</v>
      </c>
      <c r="R94" s="17">
        <f ca="1">IFERROR(__xludf.DUMMYFUNCTION("""COMPUTED_VALUE"""),0)</f>
        <v>0</v>
      </c>
      <c r="S94" s="17">
        <f ca="1">IFERROR(__xludf.DUMMYFUNCTION("""COMPUTED_VALUE"""),0)</f>
        <v>0</v>
      </c>
      <c r="T94" s="17">
        <f ca="1">IFERROR(__xludf.DUMMYFUNCTION("""COMPUTED_VALUE"""),0)</f>
        <v>0</v>
      </c>
      <c r="U94" s="17">
        <f ca="1">IFERROR(__xludf.DUMMYFUNCTION("""COMPUTED_VALUE"""),0)</f>
        <v>0</v>
      </c>
      <c r="V94" s="17">
        <f ca="1">IFERROR(__xludf.DUMMYFUNCTION("""COMPUTED_VALUE"""),0)</f>
        <v>0</v>
      </c>
      <c r="W94" s="17"/>
      <c r="X94" s="17">
        <f ca="1">IFERROR(__xludf.DUMMYFUNCTION("""COMPUTED_VALUE"""),0)</f>
        <v>0</v>
      </c>
      <c r="Y94" s="17">
        <f ca="1">IFERROR(__xludf.DUMMYFUNCTION("""COMPUTED_VALUE"""),0)</f>
        <v>0</v>
      </c>
      <c r="Z94" s="17">
        <f ca="1">IFERROR(__xludf.DUMMYFUNCTION("""COMPUTED_VALUE"""),0)</f>
        <v>0</v>
      </c>
      <c r="AA94" s="16"/>
      <c r="AB94" s="14"/>
      <c r="AC94" s="14"/>
      <c r="AD94" s="14"/>
      <c r="AE94" s="14"/>
      <c r="AF94" s="14"/>
      <c r="AG94" s="14"/>
      <c r="AH94" s="14"/>
      <c r="AI94" s="14"/>
    </row>
    <row r="95" spans="1:35" x14ac:dyDescent="0.2">
      <c r="A95" s="20" t="s">
        <v>31</v>
      </c>
      <c r="B95" s="26"/>
      <c r="C95" s="27"/>
      <c r="D95" s="17">
        <f ca="1">SUM(D7:D94)</f>
        <v>65406000</v>
      </c>
      <c r="E95" s="17">
        <f ca="1">SUM(E7:E94)</f>
        <v>65362000</v>
      </c>
      <c r="F95" s="17">
        <f ca="1">SUM(F7:F94)</f>
        <v>658</v>
      </c>
      <c r="G95" s="17">
        <f ca="1">SUM(G7:G94)</f>
        <v>5614</v>
      </c>
      <c r="H95" s="17">
        <f ca="1">SUM(H7:H94)</f>
        <v>12894</v>
      </c>
      <c r="I95" s="17">
        <f ca="1">SUM(I7:I94)</f>
        <v>7280</v>
      </c>
      <c r="J95" s="17">
        <f ca="1">SUM(J7:J94)</f>
        <v>18023500</v>
      </c>
      <c r="K95" s="17">
        <f ca="1">SUM(K7:K94)</f>
        <v>53500</v>
      </c>
      <c r="L95" s="17">
        <f ca="1">SUM(L7:L94)</f>
        <v>25000</v>
      </c>
      <c r="M95" s="17">
        <f ca="1">SUM(M7:M94)</f>
        <v>1148500</v>
      </c>
      <c r="N95" s="17">
        <f ca="1">SUM(N7:N94)</f>
        <v>0</v>
      </c>
      <c r="O95" s="17">
        <f ca="1">SUM(O7:O94)</f>
        <v>0</v>
      </c>
      <c r="P95" s="17">
        <f ca="1">SUM(P7:P94)</f>
        <v>524000</v>
      </c>
      <c r="Q95" s="17">
        <f ca="1">SUM(Q7:Q94)</f>
        <v>19774500</v>
      </c>
      <c r="R95" s="17">
        <f ca="1">SUM(R7:R94)</f>
        <v>4408000</v>
      </c>
      <c r="S95" s="17">
        <f ca="1">SUM(S7:S94)</f>
        <v>42000</v>
      </c>
      <c r="T95" s="17">
        <f ca="1">SUM(T7:T94)</f>
        <v>300000</v>
      </c>
      <c r="U95" s="17">
        <f ca="1">SUM(U7:U94)</f>
        <v>1123000</v>
      </c>
      <c r="V95" s="17">
        <f ca="1">SUM(V7:V94)</f>
        <v>1000</v>
      </c>
      <c r="W95" s="17">
        <f ca="1">SUM(W7:W94)</f>
        <v>0</v>
      </c>
      <c r="X95" s="17">
        <f ca="1">SUM(X7:X94)</f>
        <v>5874000</v>
      </c>
      <c r="Y95" s="17">
        <f ca="1">SUM(Y7:Y94)</f>
        <v>320000</v>
      </c>
      <c r="Z95" s="17">
        <f ca="1">SUM(Z7:Z94)</f>
        <v>364000</v>
      </c>
      <c r="AA95" s="19"/>
      <c r="AB95" s="14"/>
      <c r="AC95" s="14"/>
      <c r="AD95" s="14"/>
      <c r="AE95" s="14"/>
      <c r="AF95" s="14"/>
      <c r="AG95" s="14"/>
      <c r="AH95" s="14"/>
      <c r="AI95" s="14"/>
    </row>
    <row r="96" spans="1:35" x14ac:dyDescent="0.2">
      <c r="A96" s="20" t="s">
        <v>32</v>
      </c>
      <c r="B96" s="26"/>
      <c r="C96" s="27"/>
      <c r="D96" s="30">
        <f ca="1">ROUNDUP(E95/COUNTIF(B8:B94,"&lt;&gt;"),-3)</f>
        <v>752000</v>
      </c>
      <c r="E96" s="2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hidden="1" x14ac:dyDescent="0.2">
      <c r="A98" s="21" t="s">
        <v>33</v>
      </c>
      <c r="B98" s="22"/>
      <c r="C98" s="22"/>
      <c r="D98" s="22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1:35" hidden="1" x14ac:dyDescent="0.2">
      <c r="A99" s="8" t="s">
        <v>2</v>
      </c>
      <c r="B99" s="8" t="s">
        <v>3</v>
      </c>
      <c r="C99" s="8" t="s">
        <v>4</v>
      </c>
      <c r="D99" s="9" t="s">
        <v>5</v>
      </c>
      <c r="E99" s="9" t="s">
        <v>6</v>
      </c>
      <c r="F99" s="9" t="s">
        <v>7</v>
      </c>
      <c r="G99" s="9" t="s">
        <v>34</v>
      </c>
      <c r="H99" s="9" t="s">
        <v>9</v>
      </c>
      <c r="I99" s="9" t="s">
        <v>10</v>
      </c>
      <c r="J99" s="12" t="s">
        <v>11</v>
      </c>
      <c r="K99" s="26"/>
      <c r="L99" s="26"/>
      <c r="M99" s="26"/>
      <c r="N99" s="27"/>
      <c r="O99" s="12" t="s">
        <v>35</v>
      </c>
      <c r="P99" s="26"/>
      <c r="Q99" s="26"/>
      <c r="R99" s="27"/>
      <c r="S99" s="10" t="s">
        <v>36</v>
      </c>
      <c r="T99" s="10" t="s">
        <v>37</v>
      </c>
      <c r="U99" s="10" t="s">
        <v>15</v>
      </c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hidden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10" t="s">
        <v>16</v>
      </c>
      <c r="K100" s="10" t="s">
        <v>38</v>
      </c>
      <c r="L100" s="10"/>
      <c r="M100" s="10"/>
      <c r="N100" s="10" t="s">
        <v>39</v>
      </c>
      <c r="O100" s="10" t="s">
        <v>40</v>
      </c>
      <c r="P100" s="10" t="s">
        <v>41</v>
      </c>
      <c r="Q100" s="10"/>
      <c r="R100" s="10" t="s">
        <v>39</v>
      </c>
      <c r="S100" s="10" t="s">
        <v>42</v>
      </c>
      <c r="T100" s="10" t="s">
        <v>43</v>
      </c>
      <c r="U100" s="31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hidden="1" x14ac:dyDescent="0.2">
      <c r="A101" s="16">
        <v>1</v>
      </c>
      <c r="B101" s="16" t="str">
        <f ca="1">IFERROR(__xludf.DUMMYFUNCTION("QUERY(DOANH_THU_LX_NGAY_DIEN!A2:AE1064,""Select Col19,Col8,Col18,Col9,Col10,Col17,Col11,Col12,Col24,Col25,Col26,Col27,Col28,Col29,Col30,Col31 where Col23&lt;&gt;'Xe Công ty' and Col3 = date'""&amp;text(BO_LOC_LUONG_XE_DIEN!C2,""yyyy-mm-dd"")&amp;""' "")"),"#N/A")</f>
        <v>#N/A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hidden="1" x14ac:dyDescent="0.2">
      <c r="A102" s="16">
        <v>2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hidden="1" x14ac:dyDescent="0.2">
      <c r="A103" s="16">
        <v>3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hidden="1" x14ac:dyDescent="0.2">
      <c r="A104" s="16">
        <v>4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 hidden="1" x14ac:dyDescent="0.2">
      <c r="A105" s="16">
        <v>5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hidden="1" x14ac:dyDescent="0.2">
      <c r="A106" s="16">
        <v>6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hidden="1" x14ac:dyDescent="0.2">
      <c r="A107" s="16">
        <v>7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hidden="1" x14ac:dyDescent="0.2">
      <c r="A108" s="16">
        <v>8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hidden="1" x14ac:dyDescent="0.2">
      <c r="A109" s="16">
        <v>9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hidden="1" x14ac:dyDescent="0.2">
      <c r="A110" s="16">
        <v>10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hidden="1" x14ac:dyDescent="0.2">
      <c r="A111" s="20" t="s">
        <v>31</v>
      </c>
      <c r="B111" s="26"/>
      <c r="C111" s="27"/>
      <c r="D111" s="16">
        <f t="shared" ref="D111:K111" si="0">SUM(D101:D110)</f>
        <v>0</v>
      </c>
      <c r="E111" s="16">
        <f t="shared" si="0"/>
        <v>0</v>
      </c>
      <c r="F111" s="16">
        <f t="shared" si="0"/>
        <v>0</v>
      </c>
      <c r="G111" s="16">
        <f t="shared" si="0"/>
        <v>0</v>
      </c>
      <c r="H111" s="16">
        <f t="shared" si="0"/>
        <v>0</v>
      </c>
      <c r="I111" s="16">
        <f t="shared" si="0"/>
        <v>0</v>
      </c>
      <c r="J111" s="16">
        <f t="shared" si="0"/>
        <v>0</v>
      </c>
      <c r="K111" s="16">
        <f t="shared" si="0"/>
        <v>0</v>
      </c>
      <c r="L111" s="16"/>
      <c r="M111" s="16"/>
      <c r="N111" s="16">
        <f t="shared" ref="N111:P111" si="1">SUM(N101:N110)</f>
        <v>0</v>
      </c>
      <c r="O111" s="16">
        <f t="shared" si="1"/>
        <v>0</v>
      </c>
      <c r="P111" s="16">
        <f t="shared" si="1"/>
        <v>0</v>
      </c>
      <c r="Q111" s="16"/>
      <c r="R111" s="16">
        <f t="shared" ref="R111:T111" si="2">SUM(R101:R110)</f>
        <v>0</v>
      </c>
      <c r="S111" s="16">
        <f t="shared" si="2"/>
        <v>0</v>
      </c>
      <c r="T111" s="16">
        <f t="shared" si="2"/>
        <v>0</v>
      </c>
      <c r="U111" s="16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hidden="1" x14ac:dyDescent="0.2">
      <c r="A112" s="20" t="s">
        <v>32</v>
      </c>
      <c r="B112" s="26"/>
      <c r="C112" s="27"/>
      <c r="D112" s="20">
        <f ca="1">ROUNDUP(E111/COUNTIF(B101:B110,"&lt;&gt;"),-3)</f>
        <v>0</v>
      </c>
      <c r="E112" s="27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ht="30" customHeight="1" x14ac:dyDescent="0.2">
      <c r="A114" s="32" t="s">
        <v>44</v>
      </c>
      <c r="B114" s="22"/>
      <c r="C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1:35" ht="24" customHeight="1" x14ac:dyDescent="0.2">
      <c r="A115" s="16" t="s">
        <v>2</v>
      </c>
      <c r="B115" s="16" t="s">
        <v>45</v>
      </c>
      <c r="C115" s="16" t="s">
        <v>46</v>
      </c>
      <c r="D115" s="16" t="s">
        <v>47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x14ac:dyDescent="0.2">
      <c r="A116" s="1">
        <v>1</v>
      </c>
      <c r="B116" s="1" t="s">
        <v>48</v>
      </c>
      <c r="C116" s="1" t="s">
        <v>49</v>
      </c>
      <c r="D116" s="2">
        <v>46000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 x14ac:dyDescent="0.2">
      <c r="A117" s="4" t="s">
        <v>31</v>
      </c>
      <c r="B117" s="5"/>
      <c r="C117" s="6"/>
      <c r="D117" s="3">
        <f>D116</f>
        <v>46000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1:3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1:3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1:3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1:3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1:3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1:3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1:3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1:3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1:3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1:3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1:3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1:3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1:3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1:3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1:3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1:3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1:3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1:3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1:3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1:3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1:3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1:3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1:3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1:3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1:3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1:3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1:3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1:3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1:3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1:3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1:3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1:3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1:3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1:3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1:3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1:3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1:3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1:3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1:3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1:3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1:3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1:3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1:3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1:3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1:3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1:3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1:3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1:3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1:3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1:3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1:3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1:3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1:3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1:3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1:3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1:3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1:3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1:3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1:3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1:3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1:3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1:3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1:3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1:3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1:3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1:3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1:3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1:3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1:3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1:3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1:3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1:3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1:3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1:3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1:3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1:3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1:3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1:3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1:3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1:3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1:3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1:3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1:3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1:3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1:3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1:3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1:3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1:3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1:3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1:3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1:3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1:3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1:3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1:3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1:3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1:3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1:3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1:3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1:3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1:3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1:3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1:3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1:3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1:3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1:3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1:3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1:3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1:3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1:3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1:3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1:3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1:3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1:3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1:3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1:3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1:3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1:3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1:3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1:3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1:3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1:3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1:3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1:3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1:3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1:3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1:3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1:3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1:3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1:3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1:3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1:3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1:3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1:3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1:3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1:3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spans="1:3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spans="1:3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spans="1:3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spans="1:3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spans="1:3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spans="1:3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spans="1:3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spans="1:3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spans="1:3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spans="1:3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spans="1:3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spans="1:3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spans="1:3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spans="1:3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spans="1:3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spans="1:3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spans="1:3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spans="1:3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spans="1:3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spans="1:3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spans="1:3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spans="1:3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spans="1:3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spans="1:3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spans="1:3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spans="1:3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spans="1:3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spans="1:3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spans="1:3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spans="1:3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spans="1:3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spans="1:3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spans="1:3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spans="1:3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spans="1:3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spans="1:3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spans="1:3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spans="1:3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spans="1:3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spans="1:3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spans="1:3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spans="1:3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spans="1:3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spans="1:3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spans="1:3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spans="1:3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spans="1:3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spans="1:3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spans="1:3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spans="1:3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spans="1:3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spans="1:3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spans="1:3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spans="1:3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spans="1:3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spans="1:3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spans="1:3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spans="1:3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spans="1:3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spans="1:3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spans="1:3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spans="1:3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spans="1:3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spans="1:3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spans="1:3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spans="1:3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spans="1:3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spans="1:3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spans="1:3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spans="1:3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spans="1:3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spans="1:3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spans="1:3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spans="1:3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spans="1:3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spans="1:3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spans="1:3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spans="1:3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spans="1:3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spans="1:3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spans="1:3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spans="1:3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spans="1:3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spans="1:3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spans="1:3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spans="1:3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spans="1:3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spans="1:3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spans="1:3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spans="1:3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spans="1:3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spans="1:3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spans="1:3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spans="1:3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spans="1:3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spans="1:3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spans="1:3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spans="1:3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spans="1:3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spans="1:3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spans="1:3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spans="1:3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spans="1:3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spans="1:3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spans="1:3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spans="1:3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spans="1:3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spans="1:3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spans="1:3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spans="1:3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spans="1:3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spans="1:3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spans="1:3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spans="1:3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spans="1:3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spans="1:3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spans="1:3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spans="1:3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spans="1:3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spans="1:3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spans="1:3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spans="1:3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spans="1:3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spans="1:3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spans="1:3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spans="1:3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spans="1:3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spans="1:3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spans="1:3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spans="1:3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spans="1:3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spans="1:3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spans="1:3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spans="1:3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spans="1:3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spans="1:3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spans="1:3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spans="1:3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spans="1:3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spans="1:3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spans="1:3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spans="1:3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spans="1:3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spans="1:3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spans="1:3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spans="1:3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spans="1:3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spans="1:3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spans="1:3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spans="1:3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spans="1:3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spans="1:3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spans="1:3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spans="1:3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spans="1:3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spans="1:3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spans="1:3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spans="1:3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spans="1:3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spans="1:3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spans="1:3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spans="1:3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spans="1:3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spans="1:3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spans="1:3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spans="1:3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spans="1:3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spans="1:3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spans="1:3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spans="1:3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spans="1:3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spans="1:3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spans="1:3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spans="1:3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spans="1:3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spans="1:3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spans="1:3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spans="1:3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spans="1:3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spans="1:3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spans="1:3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spans="1:3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spans="1:3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spans="1:3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spans="1:3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spans="1:3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spans="1:3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spans="1:3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spans="1:3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spans="1:3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spans="1:3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spans="1:3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spans="1:3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spans="1:3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spans="1:3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spans="1:3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spans="1:3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spans="1:3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spans="1:3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spans="1:3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spans="1:3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spans="1:3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spans="1:3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spans="1:3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spans="1:3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spans="1:3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spans="1:3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spans="1:3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spans="1:3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spans="1:3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spans="1:3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spans="1:3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spans="1:3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spans="1:3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spans="1:3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spans="1:3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spans="1:3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spans="1:3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spans="1:3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spans="1:3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spans="1:3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spans="1:3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spans="1:3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spans="1:3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spans="1:3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spans="1:3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spans="1:3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spans="1:3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spans="1:3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spans="1:3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spans="1:3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spans="1:3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spans="1:3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spans="1:3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spans="1:3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spans="1:3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spans="1:3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spans="1:3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spans="1:3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spans="1:3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spans="1:3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spans="1:3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spans="1:3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spans="1:3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spans="1:3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spans="1:3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spans="1:3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spans="1:3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spans="1:3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spans="1:3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spans="1:3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spans="1:3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spans="1:3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spans="1:3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spans="1:3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spans="1:3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spans="1:3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spans="1:3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spans="1:3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spans="1:3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spans="1:3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spans="1:3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spans="1:3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spans="1:3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spans="1:3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spans="1:3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spans="1:3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spans="1:3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spans="1:3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spans="1:3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spans="1:3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spans="1:3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spans="1:3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spans="1:3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spans="1:3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spans="1:3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spans="1:3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spans="1:3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spans="1:3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spans="1:3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spans="1:3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spans="1:3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spans="1:3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spans="1:3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spans="1:3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spans="1:3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spans="1:3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spans="1:3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spans="1:3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spans="1:3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spans="1:3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spans="1:3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spans="1:3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spans="1:3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spans="1:3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spans="1:3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spans="1:3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spans="1:3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spans="1:3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spans="1:3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spans="1:3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spans="1:3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spans="1:3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spans="1:3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spans="1:3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spans="1:3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spans="1:3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spans="1:3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spans="1:3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spans="1:3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spans="1:3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spans="1:3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spans="1:3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spans="1:3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spans="1:3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spans="1:3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spans="1:3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spans="1:3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spans="1:3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spans="1:3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spans="1:3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spans="1:3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spans="1:3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spans="1:3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spans="1:3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spans="1:3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spans="1:3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spans="1:3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spans="1:3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 spans="1:3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 spans="1:3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 spans="1:3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 spans="1:3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 spans="1:3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 spans="1:3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 spans="1:3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 spans="1:3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 spans="1:3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 spans="1:3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 spans="1:3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 spans="1:3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 spans="1:3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 spans="1:3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 spans="1:3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 spans="1:3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 spans="1:3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 spans="1:3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 spans="1:3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 spans="1:3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 spans="1:3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 spans="1:3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 spans="1:3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 spans="1:3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 spans="1:3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 spans="1:3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 spans="1:3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 spans="1:3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 spans="1:3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 spans="1:3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 spans="1:3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 spans="1:3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 spans="1:3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 spans="1:3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 spans="1:3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 spans="1:3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 spans="1:3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 spans="1:3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 spans="1:3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 spans="1:3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 spans="1:3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 spans="1:3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 spans="1:3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 spans="1:3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 spans="1:3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 spans="1:3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 spans="1:3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 spans="1:3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 spans="1:3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 spans="1:3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 spans="1:3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  <row r="1001" spans="1:35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</row>
    <row r="1002" spans="1:35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</row>
    <row r="1003" spans="1:35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</row>
    <row r="1004" spans="1:35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</row>
    <row r="1005" spans="1:35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</row>
    <row r="1006" spans="1:35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</row>
    <row r="1007" spans="1:35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</row>
    <row r="1008" spans="1:35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</row>
    <row r="1009" spans="1:35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</row>
    <row r="1010" spans="1:35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</row>
    <row r="1011" spans="1:35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</row>
    <row r="1012" spans="1:35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</row>
    <row r="1013" spans="1:35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</row>
    <row r="1014" spans="1:35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</row>
    <row r="1015" spans="1:35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</row>
    <row r="1016" spans="1:35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</row>
    <row r="1017" spans="1:35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</row>
    <row r="1018" spans="1:35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</row>
    <row r="1019" spans="1:35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</row>
    <row r="1020" spans="1:35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</row>
    <row r="1021" spans="1:35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</row>
    <row r="1022" spans="1:35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</row>
    <row r="1023" spans="1:35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</row>
    <row r="1024" spans="1:35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</row>
    <row r="1025" spans="1:35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</row>
    <row r="1026" spans="1:35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</row>
    <row r="1027" spans="1:35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</row>
    <row r="1028" spans="1:35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</row>
    <row r="1029" spans="1:35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</row>
    <row r="1030" spans="1:35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</row>
    <row r="1031" spans="1:35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</row>
    <row r="1032" spans="1:35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</row>
    <row r="1033" spans="1:35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</row>
    <row r="1034" spans="1:35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</row>
    <row r="1035" spans="1:35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</row>
    <row r="1036" spans="1:35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</row>
    <row r="1037" spans="1:35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</row>
    <row r="1038" spans="1:35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</row>
    <row r="1039" spans="1:35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</row>
    <row r="1040" spans="1:35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</row>
    <row r="1041" spans="1:35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</row>
    <row r="1042" spans="1:35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</row>
    <row r="1043" spans="1:35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</row>
    <row r="1044" spans="1:35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</row>
  </sheetData>
  <mergeCells count="37">
    <mergeCell ref="A111:C111"/>
    <mergeCell ref="A112:C112"/>
    <mergeCell ref="D112:E112"/>
    <mergeCell ref="A114:C114"/>
    <mergeCell ref="A117:C117"/>
    <mergeCell ref="F99:F100"/>
    <mergeCell ref="G99:G100"/>
    <mergeCell ref="H99:H100"/>
    <mergeCell ref="I99:I100"/>
    <mergeCell ref="J99:N99"/>
    <mergeCell ref="O99:R99"/>
    <mergeCell ref="AA5:AA6"/>
    <mergeCell ref="A95:C95"/>
    <mergeCell ref="A96:C96"/>
    <mergeCell ref="D96:E96"/>
    <mergeCell ref="A98:D98"/>
    <mergeCell ref="A99:A100"/>
    <mergeCell ref="B99:B100"/>
    <mergeCell ref="C99:C100"/>
    <mergeCell ref="D99:D100"/>
    <mergeCell ref="E99:E100"/>
    <mergeCell ref="H5:H6"/>
    <mergeCell ref="I5:I6"/>
    <mergeCell ref="J5:Q5"/>
    <mergeCell ref="R5:X5"/>
    <mergeCell ref="Y5:Y6"/>
    <mergeCell ref="Z5:Z6"/>
    <mergeCell ref="A1:D1"/>
    <mergeCell ref="A2:N3"/>
    <mergeCell ref="A4:D4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Văn Lưu Thiện</cp:lastModifiedBy>
  <dcterms:modified xsi:type="dcterms:W3CDTF">2025-02-07T03:56:32Z</dcterms:modified>
</cp:coreProperties>
</file>