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\Desktop\"/>
    </mc:Choice>
  </mc:AlternateContent>
  <bookViews>
    <workbookView xWindow="-270" yWindow="-225" windowWidth="14910" windowHeight="7260"/>
  </bookViews>
  <sheets>
    <sheet name="报价工具" sheetId="3" r:id="rId1"/>
    <sheet name="参数表" sheetId="4" r:id="rId2"/>
  </sheets>
  <calcPr calcId="162913"/>
</workbook>
</file>

<file path=xl/calcChain.xml><?xml version="1.0" encoding="utf-8"?>
<calcChain xmlns="http://schemas.openxmlformats.org/spreadsheetml/2006/main">
  <c r="J3" i="4" l="1"/>
  <c r="I3" i="4"/>
  <c r="D3" i="4"/>
  <c r="D7" i="4"/>
  <c r="D6" i="4"/>
  <c r="B14" i="4" l="1"/>
  <c r="L3" i="4"/>
  <c r="K3" i="4"/>
  <c r="M3" i="4" l="1"/>
  <c r="N3" i="4" s="1"/>
  <c r="F16" i="3"/>
  <c r="S4" i="3"/>
  <c r="N4" i="3" s="1"/>
  <c r="K13" i="3"/>
  <c r="I13" i="3"/>
  <c r="Q8" i="3" l="1"/>
  <c r="F8" i="3"/>
  <c r="D8" i="3"/>
  <c r="Q4" i="3"/>
  <c r="F4" i="3"/>
  <c r="J2" i="4" s="1"/>
  <c r="D4" i="3"/>
  <c r="I2" i="4" l="1"/>
  <c r="K8" i="3"/>
  <c r="O8" i="3" s="1"/>
  <c r="K4" i="3"/>
  <c r="N8" i="3" l="1"/>
  <c r="P8" i="3"/>
  <c r="L2" i="4"/>
  <c r="K2" i="4"/>
  <c r="L8" i="3" l="1"/>
  <c r="M8" i="3" s="1"/>
  <c r="M2" i="4"/>
  <c r="N2" i="4" l="1"/>
  <c r="O4" i="3" s="1"/>
  <c r="L4" i="3" l="1"/>
  <c r="P4" i="3"/>
  <c r="M4" i="3"/>
</calcChain>
</file>

<file path=xl/comments1.xml><?xml version="1.0" encoding="utf-8"?>
<comments xmlns="http://schemas.openxmlformats.org/spreadsheetml/2006/main">
  <authors>
    <author>User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在此填写人民币销售报价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请在此表格内填写薄膜厚度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密度自动生成，无需填写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在此填写帐期加点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在此填写人民币销售报价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请在此表格内填写薄膜厚度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密度自动生成，无需填写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在此填写帐期加点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</commentList>
</comments>
</file>

<file path=xl/sharedStrings.xml><?xml version="1.0" encoding="utf-8"?>
<sst xmlns="http://schemas.openxmlformats.org/spreadsheetml/2006/main" count="115" uniqueCount="80">
  <si>
    <t>PA含量</t>
    <phoneticPr fontId="4" type="noConversion"/>
  </si>
  <si>
    <t>密度</t>
    <phoneticPr fontId="4" type="noConversion"/>
  </si>
  <si>
    <t>*</t>
    <phoneticPr fontId="4" type="noConversion"/>
  </si>
  <si>
    <t>规格</t>
    <phoneticPr fontId="4" type="noConversion"/>
  </si>
  <si>
    <t>英寸</t>
    <phoneticPr fontId="4" type="noConversion"/>
  </si>
  <si>
    <t>毫米</t>
    <phoneticPr fontId="4" type="noConversion"/>
  </si>
  <si>
    <t>真空包装袋</t>
    <phoneticPr fontId="4" type="noConversion"/>
  </si>
  <si>
    <t>多层共挤膜</t>
    <phoneticPr fontId="4" type="noConversion"/>
  </si>
  <si>
    <t>*</t>
    <phoneticPr fontId="4" type="noConversion"/>
  </si>
  <si>
    <t>*</t>
    <phoneticPr fontId="4" type="noConversion"/>
  </si>
  <si>
    <t>长(M)</t>
    <phoneticPr fontId="4" type="noConversion"/>
  </si>
  <si>
    <t>宽(MM)</t>
    <phoneticPr fontId="4" type="noConversion"/>
  </si>
  <si>
    <t>厚(UM)</t>
    <phoneticPr fontId="4" type="noConversion"/>
  </si>
  <si>
    <t>PA含量</t>
    <phoneticPr fontId="4" type="noConversion"/>
  </si>
  <si>
    <t>重(kg)</t>
    <phoneticPr fontId="4" type="noConversion"/>
  </si>
  <si>
    <t>价格</t>
    <phoneticPr fontId="4" type="noConversion"/>
  </si>
  <si>
    <t>平米价格</t>
    <phoneticPr fontId="4" type="noConversion"/>
  </si>
  <si>
    <t>3''</t>
    <phoneticPr fontId="4" type="noConversion"/>
  </si>
  <si>
    <t>纸管</t>
    <phoneticPr fontId="4" type="noConversion"/>
  </si>
  <si>
    <t>半径</t>
    <phoneticPr fontId="4" type="noConversion"/>
  </si>
  <si>
    <t>6''</t>
    <phoneticPr fontId="4" type="noConversion"/>
  </si>
  <si>
    <t>质管尺寸</t>
    <phoneticPr fontId="4" type="noConversion"/>
  </si>
  <si>
    <t>膜卷外径(MM)</t>
    <phoneticPr fontId="4" type="noConversion"/>
  </si>
  <si>
    <t>3''</t>
  </si>
  <si>
    <t>彩印</t>
    <phoneticPr fontId="4" type="noConversion"/>
  </si>
  <si>
    <t>颜色</t>
    <phoneticPr fontId="4" type="noConversion"/>
  </si>
  <si>
    <t>单价</t>
    <phoneticPr fontId="4" type="noConversion"/>
  </si>
  <si>
    <t>1色</t>
    <phoneticPr fontId="4" type="noConversion"/>
  </si>
  <si>
    <t>2色</t>
    <phoneticPr fontId="4" type="noConversion"/>
  </si>
  <si>
    <t>3色</t>
    <phoneticPr fontId="4" type="noConversion"/>
  </si>
  <si>
    <t>4色</t>
    <phoneticPr fontId="4" type="noConversion"/>
  </si>
  <si>
    <t>5色</t>
    <phoneticPr fontId="4" type="noConversion"/>
  </si>
  <si>
    <t>6色</t>
    <phoneticPr fontId="4" type="noConversion"/>
  </si>
  <si>
    <t>7色</t>
    <phoneticPr fontId="4" type="noConversion"/>
  </si>
  <si>
    <t>8色</t>
    <phoneticPr fontId="4" type="noConversion"/>
  </si>
  <si>
    <t>0色</t>
    <phoneticPr fontId="4" type="noConversion"/>
  </si>
  <si>
    <t>元/1000个</t>
    <phoneticPr fontId="4" type="noConversion"/>
  </si>
  <si>
    <t>彩印单价
（￥元/平）</t>
    <phoneticPr fontId="4" type="noConversion"/>
  </si>
  <si>
    <t>other</t>
    <phoneticPr fontId="4" type="noConversion"/>
  </si>
  <si>
    <t>设备标准节拍</t>
    <phoneticPr fontId="4" type="noConversion"/>
  </si>
  <si>
    <t>名称</t>
    <phoneticPr fontId="4" type="noConversion"/>
  </si>
  <si>
    <t>值</t>
    <phoneticPr fontId="4" type="noConversion"/>
  </si>
  <si>
    <t>单位</t>
    <phoneticPr fontId="4" type="noConversion"/>
  </si>
  <si>
    <t>次/分钟</t>
    <phoneticPr fontId="4" type="noConversion"/>
  </si>
  <si>
    <t>接袋人数</t>
    <phoneticPr fontId="4" type="noConversion"/>
  </si>
  <si>
    <t>人</t>
    <phoneticPr fontId="4" type="noConversion"/>
  </si>
  <si>
    <t>调机人数</t>
    <phoneticPr fontId="4" type="noConversion"/>
  </si>
  <si>
    <t>接袋人员工资</t>
    <phoneticPr fontId="4" type="noConversion"/>
  </si>
  <si>
    <t>元/月</t>
    <phoneticPr fontId="4" type="noConversion"/>
  </si>
  <si>
    <t>调机人员工资</t>
    <phoneticPr fontId="4" type="noConversion"/>
  </si>
  <si>
    <t>水电费</t>
    <phoneticPr fontId="4" type="noConversion"/>
  </si>
  <si>
    <t>元/班</t>
    <phoneticPr fontId="4" type="noConversion"/>
  </si>
  <si>
    <t>饵料宽度</t>
    <phoneticPr fontId="4" type="noConversion"/>
  </si>
  <si>
    <t>mm</t>
    <phoneticPr fontId="4" type="noConversion"/>
  </si>
  <si>
    <t>包装成本</t>
    <phoneticPr fontId="4" type="noConversion"/>
  </si>
  <si>
    <t>合计班成本</t>
    <phoneticPr fontId="4" type="noConversion"/>
  </si>
  <si>
    <t>薄膜价格
（元/吨）</t>
    <phoneticPr fontId="4" type="noConversion"/>
  </si>
  <si>
    <t>制袋成本
（元/1000个）</t>
    <phoneticPr fontId="4" type="noConversion"/>
  </si>
  <si>
    <t>标准宽度</t>
    <phoneticPr fontId="4" type="noConversion"/>
  </si>
  <si>
    <t>标准长度</t>
    <phoneticPr fontId="4" type="noConversion"/>
  </si>
  <si>
    <t>次/班</t>
    <phoneticPr fontId="4" type="noConversion"/>
  </si>
  <si>
    <t>W</t>
    <phoneticPr fontId="4" type="noConversion"/>
  </si>
  <si>
    <t>L</t>
    <phoneticPr fontId="4" type="noConversion"/>
  </si>
  <si>
    <t>出袋率</t>
    <phoneticPr fontId="4" type="noConversion"/>
  </si>
  <si>
    <t>饵料率</t>
    <phoneticPr fontId="4" type="noConversion"/>
  </si>
  <si>
    <t>薄膜成本
元/1000个</t>
    <phoneticPr fontId="4" type="noConversion"/>
  </si>
  <si>
    <t>币种</t>
    <phoneticPr fontId="4" type="noConversion"/>
  </si>
  <si>
    <t>美元汇率</t>
    <phoneticPr fontId="4" type="noConversion"/>
  </si>
  <si>
    <t>综合报价
（元/1000个）</t>
    <phoneticPr fontId="4" type="noConversion"/>
  </si>
  <si>
    <t>重/个
(g)</t>
    <phoneticPr fontId="4" type="noConversion"/>
  </si>
  <si>
    <t>厚度
（um）</t>
    <phoneticPr fontId="4" type="noConversion"/>
  </si>
  <si>
    <t>综合单价
（元/吨）</t>
    <phoneticPr fontId="4" type="noConversion"/>
  </si>
  <si>
    <t>综合制袋成本
（元/吨）</t>
    <phoneticPr fontId="4" type="noConversion"/>
  </si>
  <si>
    <t>美金</t>
  </si>
  <si>
    <t>PET//PA/PE</t>
    <phoneticPr fontId="4" type="noConversion"/>
  </si>
  <si>
    <t>BOPA//PE</t>
    <phoneticPr fontId="4" type="noConversion"/>
  </si>
  <si>
    <t>Other</t>
  </si>
  <si>
    <t>Other</t>
    <phoneticPr fontId="4" type="noConversion"/>
  </si>
  <si>
    <t>6色</t>
  </si>
  <si>
    <t>人民币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</si>
</sst>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0_ "/>
    <numFmt numFmtId="178" formatCode="0_ "/>
    <numFmt numFmtId="179" formatCode="0.00_);[Red]\(0.00\)"/>
    <numFmt numFmtId="180" formatCode="0.000000_ "/>
    <numFmt numFmtId="181" formatCode="0.000000%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1" xfId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</xf>
    <xf numFmtId="176" fontId="0" fillId="3" borderId="4" xfId="0" applyNumberFormat="1" applyFill="1" applyBorder="1" applyAlignment="1" applyProtection="1">
      <alignment horizontal="center" vertical="center"/>
    </xf>
    <xf numFmtId="0" fontId="1" fillId="2" borderId="0" xfId="3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3" fillId="0" borderId="0" xfId="2" applyBorder="1" applyAlignment="1">
      <alignment horizontal="center" vertical="center"/>
    </xf>
    <xf numFmtId="0" fontId="3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2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176" fontId="12" fillId="3" borderId="4" xfId="0" applyNumberFormat="1" applyFont="1" applyFill="1" applyBorder="1" applyAlignment="1" applyProtection="1">
      <alignment horizontal="center" vertical="center"/>
    </xf>
    <xf numFmtId="176" fontId="13" fillId="3" borderId="4" xfId="0" applyNumberFormat="1" applyFont="1" applyFill="1" applyBorder="1" applyAlignment="1" applyProtection="1">
      <alignment horizontal="center" vertical="center"/>
    </xf>
    <xf numFmtId="0" fontId="1" fillId="2" borderId="4" xfId="3" applyBorder="1" applyAlignment="1" applyProtection="1">
      <alignment horizontal="center" vertical="center"/>
    </xf>
    <xf numFmtId="0" fontId="3" fillId="0" borderId="6" xfId="2" applyBorder="1" applyAlignment="1">
      <alignment vertical="center"/>
    </xf>
    <xf numFmtId="178" fontId="0" fillId="3" borderId="4" xfId="0" applyNumberFormat="1" applyFill="1" applyBorder="1" applyAlignment="1" applyProtection="1">
      <alignment horizontal="center" vertical="center"/>
    </xf>
    <xf numFmtId="177" fontId="0" fillId="3" borderId="4" xfId="0" applyNumberFormat="1" applyFill="1" applyBorder="1" applyAlignment="1" applyProtection="1">
      <alignment horizontal="center" vertical="center"/>
    </xf>
    <xf numFmtId="178" fontId="12" fillId="3" borderId="4" xfId="0" applyNumberFormat="1" applyFont="1" applyFill="1" applyBorder="1" applyAlignment="1" applyProtection="1">
      <alignment horizontal="center" vertical="center"/>
    </xf>
    <xf numFmtId="176" fontId="14" fillId="3" borderId="4" xfId="0" applyNumberFormat="1" applyFont="1" applyFill="1" applyBorder="1" applyAlignment="1" applyProtection="1">
      <alignment horizontal="center"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3" fillId="0" borderId="0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4" borderId="4" xfId="0" applyFill="1" applyBorder="1" applyAlignment="1" applyProtection="1">
      <alignment horizontal="center" vertical="center"/>
      <protection locked="0"/>
    </xf>
    <xf numFmtId="0" fontId="3" fillId="0" borderId="2" xfId="2" applyAlignment="1">
      <alignment horizontal="center" vertical="center"/>
    </xf>
    <xf numFmtId="0" fontId="6" fillId="0" borderId="0" xfId="2" applyFont="1" applyBorder="1" applyAlignment="1">
      <alignment horizontal="center" vertical="center" wrapText="1"/>
    </xf>
    <xf numFmtId="0" fontId="6" fillId="0" borderId="2" xfId="2" applyFont="1" applyAlignment="1">
      <alignment horizontal="center" vertical="center" wrapText="1"/>
    </xf>
    <xf numFmtId="0" fontId="3" fillId="0" borderId="5" xfId="2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">
    <cellStyle name="40% - 着色 2" xfId="3" builtinId="35"/>
    <cellStyle name="标题 2" xfId="1" builtinId="17"/>
    <cellStyle name="标题 3" xfId="2" builtinId="1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2755</xdr:colOff>
      <xdr:row>1</xdr:row>
      <xdr:rowOff>3490</xdr:rowOff>
    </xdr:to>
    <xdr:pic>
      <xdr:nvPicPr>
        <xdr:cNvPr id="2" name="图片 1" descr="Logo_small_no_T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1836000" cy="374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abSelected="1" zoomScale="80" zoomScaleNormal="80" workbookViewId="0">
      <selection activeCell="L18" sqref="L18"/>
    </sheetView>
  </sheetViews>
  <sheetFormatPr defaultRowHeight="13.5" x14ac:dyDescent="0.15"/>
  <cols>
    <col min="1" max="1" width="7" customWidth="1"/>
    <col min="2" max="2" width="2.25" customWidth="1"/>
    <col min="3" max="3" width="6.875" customWidth="1"/>
    <col min="4" max="4" width="8.125" customWidth="1"/>
    <col min="5" max="5" width="2.125" customWidth="1"/>
    <col min="6" max="6" width="8.5" customWidth="1"/>
    <col min="7" max="7" width="6.875" customWidth="1"/>
    <col min="8" max="8" width="19.75" customWidth="1"/>
    <col min="9" max="9" width="19.125" customWidth="1"/>
    <col min="10" max="10" width="9.75" customWidth="1"/>
    <col min="11" max="11" width="13.75" customWidth="1"/>
    <col min="12" max="12" width="15.75" customWidth="1"/>
    <col min="13" max="13" width="10.875" customWidth="1"/>
    <col min="14" max="14" width="11.5" customWidth="1"/>
    <col min="15" max="15" width="14.875" customWidth="1"/>
    <col min="16" max="16" width="13.25" customWidth="1"/>
    <col min="18" max="18" width="7.625" customWidth="1"/>
    <col min="19" max="19" width="13.25" customWidth="1"/>
    <col min="20" max="20" width="6.125" customWidth="1"/>
  </cols>
  <sheetData>
    <row r="1" spans="1:19" ht="31.5" customHeight="1" x14ac:dyDescent="0.15">
      <c r="A1" s="36" t="s">
        <v>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9" ht="14.25" customHeight="1" thickBot="1" x14ac:dyDescent="0.2">
      <c r="A2" s="38" t="s">
        <v>3</v>
      </c>
      <c r="B2" s="38"/>
      <c r="C2" s="38"/>
      <c r="D2" s="38"/>
      <c r="E2" s="38"/>
      <c r="F2" s="38"/>
      <c r="G2" s="34" t="s">
        <v>66</v>
      </c>
      <c r="H2" s="39" t="s">
        <v>56</v>
      </c>
      <c r="I2" s="34" t="s">
        <v>0</v>
      </c>
      <c r="J2" s="39" t="s">
        <v>70</v>
      </c>
      <c r="K2" s="33" t="s">
        <v>69</v>
      </c>
      <c r="L2" s="33" t="s">
        <v>68</v>
      </c>
      <c r="M2" s="33" t="s">
        <v>71</v>
      </c>
      <c r="N2" s="33" t="s">
        <v>65</v>
      </c>
      <c r="O2" s="33" t="s">
        <v>57</v>
      </c>
      <c r="P2" s="33" t="s">
        <v>72</v>
      </c>
      <c r="Q2" s="42" t="s">
        <v>1</v>
      </c>
      <c r="R2" s="39" t="s">
        <v>24</v>
      </c>
      <c r="S2" s="39" t="s">
        <v>37</v>
      </c>
    </row>
    <row r="3" spans="1:19" ht="27" customHeight="1" thickBot="1" x14ac:dyDescent="0.2">
      <c r="A3" s="41" t="s">
        <v>4</v>
      </c>
      <c r="B3" s="41"/>
      <c r="C3" s="41"/>
      <c r="D3" s="41" t="s">
        <v>5</v>
      </c>
      <c r="E3" s="41"/>
      <c r="F3" s="41"/>
      <c r="G3" s="38"/>
      <c r="H3" s="39"/>
      <c r="I3" s="34"/>
      <c r="J3" s="42"/>
      <c r="K3" s="34"/>
      <c r="L3" s="34"/>
      <c r="M3" s="34"/>
      <c r="N3" s="34"/>
      <c r="O3" s="33"/>
      <c r="P3" s="43"/>
      <c r="Q3" s="42"/>
      <c r="R3" s="40"/>
      <c r="S3" s="40"/>
    </row>
    <row r="4" spans="1:19" ht="30" customHeight="1" x14ac:dyDescent="0.15">
      <c r="A4" s="9">
        <v>6.25</v>
      </c>
      <c r="B4" s="10" t="s">
        <v>2</v>
      </c>
      <c r="C4" s="10">
        <v>10.5</v>
      </c>
      <c r="D4" s="6">
        <f>A4*25.4</f>
        <v>158.75</v>
      </c>
      <c r="E4" s="6" t="s">
        <v>2</v>
      </c>
      <c r="F4" s="6">
        <f>C4*25.4</f>
        <v>266.7</v>
      </c>
      <c r="G4" s="9" t="s">
        <v>73</v>
      </c>
      <c r="H4" s="20">
        <v>38500</v>
      </c>
      <c r="I4" s="21">
        <v>0.15</v>
      </c>
      <c r="J4" s="20">
        <v>108</v>
      </c>
      <c r="K4" s="7">
        <f>D4*F4*J4*2*Q4/1000000</f>
        <v>8.77933728</v>
      </c>
      <c r="L4" s="22">
        <f>N4+O4</f>
        <v>393.47685970513584</v>
      </c>
      <c r="M4" s="28">
        <f>L4/K4*1000</f>
        <v>44818.515014966579</v>
      </c>
      <c r="N4" s="23">
        <f>IF(S4=0,K4*H4/1000/1000,(K4*H4/1000/1000+D4*F4*2/1000/1000*S4/6)*1.1)*1000</f>
        <v>378.79080693300011</v>
      </c>
      <c r="O4" s="29">
        <f>K4*参数表!N2*H4/1000+IF(G4="人民币",参数表!B14/(参数表!M2*参数表!D3)*1000,参数表!B14/(参数表!M2*参数表!D3)*1000/参数表!B13/1.13)</f>
        <v>14.686052772135715</v>
      </c>
      <c r="P4" s="23">
        <f>O4/K4*1000</f>
        <v>1672.7974223739716</v>
      </c>
      <c r="Q4" s="24">
        <f>IF(I4="","",LOOKUP(I4,$I29:$I42,$J29:$J42))</f>
        <v>0.96</v>
      </c>
      <c r="R4" s="5" t="s">
        <v>78</v>
      </c>
      <c r="S4" s="8">
        <f>IF(R4="","",LOOKUP(R4,$V29:$V37,$W29:$W37))</f>
        <v>0.45</v>
      </c>
    </row>
    <row r="5" spans="1:19" ht="24" customHeight="1" x14ac:dyDescent="0.15"/>
    <row r="6" spans="1:19" ht="21" customHeight="1" thickBot="1" x14ac:dyDescent="0.2">
      <c r="A6" s="38" t="s">
        <v>3</v>
      </c>
      <c r="B6" s="38"/>
      <c r="C6" s="38"/>
      <c r="D6" s="38"/>
      <c r="E6" s="38"/>
      <c r="F6" s="38"/>
      <c r="G6" s="34" t="s">
        <v>66</v>
      </c>
      <c r="H6" s="39" t="s">
        <v>56</v>
      </c>
      <c r="I6" s="34" t="s">
        <v>0</v>
      </c>
      <c r="J6" s="39" t="s">
        <v>70</v>
      </c>
      <c r="K6" s="33" t="s">
        <v>69</v>
      </c>
      <c r="L6" s="33" t="s">
        <v>68</v>
      </c>
      <c r="M6" s="33" t="s">
        <v>71</v>
      </c>
      <c r="N6" s="34" t="s">
        <v>36</v>
      </c>
      <c r="O6" s="33" t="s">
        <v>57</v>
      </c>
      <c r="P6" s="33" t="s">
        <v>72</v>
      </c>
      <c r="Q6" s="42" t="s">
        <v>1</v>
      </c>
      <c r="R6" s="39"/>
    </row>
    <row r="7" spans="1:19" ht="18.75" customHeight="1" thickBot="1" x14ac:dyDescent="0.2">
      <c r="A7" s="41" t="s">
        <v>5</v>
      </c>
      <c r="B7" s="41"/>
      <c r="C7" s="41"/>
      <c r="D7" s="41" t="s">
        <v>4</v>
      </c>
      <c r="E7" s="41"/>
      <c r="F7" s="41"/>
      <c r="G7" s="38"/>
      <c r="H7" s="39"/>
      <c r="I7" s="34"/>
      <c r="J7" s="42"/>
      <c r="K7" s="34"/>
      <c r="L7" s="34"/>
      <c r="M7" s="34"/>
      <c r="N7" s="34"/>
      <c r="O7" s="33"/>
      <c r="P7" s="43"/>
      <c r="Q7" s="42"/>
      <c r="R7" s="40"/>
    </row>
    <row r="8" spans="1:19" ht="30" customHeight="1" x14ac:dyDescent="0.15">
      <c r="A8" s="9">
        <v>158.75</v>
      </c>
      <c r="B8" s="10" t="s">
        <v>2</v>
      </c>
      <c r="C8" s="10">
        <v>266.7</v>
      </c>
      <c r="D8" s="7">
        <f>A8/25.4</f>
        <v>6.25</v>
      </c>
      <c r="E8" s="6" t="s">
        <v>2</v>
      </c>
      <c r="F8" s="7">
        <f>C8/25.4</f>
        <v>10.5</v>
      </c>
      <c r="G8" s="9" t="s">
        <v>79</v>
      </c>
      <c r="H8" s="20">
        <v>38500</v>
      </c>
      <c r="I8" s="21">
        <v>0.2</v>
      </c>
      <c r="J8" s="20">
        <v>108</v>
      </c>
      <c r="K8" s="7">
        <f>A8*C8*J8*2*Q8/1000000</f>
        <v>8.9622401400000005</v>
      </c>
      <c r="L8" s="22">
        <f>N8+O8</f>
        <v>371.62840066508016</v>
      </c>
      <c r="M8" s="28">
        <f>L8/K8*1000</f>
        <v>41466.016850679945</v>
      </c>
      <c r="N8" s="23">
        <f>K8*H8/1000</f>
        <v>345.04624539000002</v>
      </c>
      <c r="O8" s="29">
        <f>K8*参数表!N3*H8/1000+IF(G8="人民币",参数表!B14/(参数表!M3*参数表!D3)*1000,参数表!B14/(参数表!M3*参数表!D3)*1000/参数表!B13/1.13)</f>
        <v>26.582155275080147</v>
      </c>
      <c r="P8" s="23">
        <f>O8/K8*1000</f>
        <v>2966.01685067994</v>
      </c>
      <c r="Q8" s="24">
        <f>IF(I8="","",LOOKUP(I8,$I29:$I42,$J29:$J42))</f>
        <v>0.98</v>
      </c>
      <c r="R8" s="5"/>
      <c r="S8" s="8"/>
    </row>
    <row r="9" spans="1:19" ht="12" customHeight="1" x14ac:dyDescent="0.15"/>
    <row r="10" spans="1:19" ht="26.25" customHeight="1" x14ac:dyDescent="0.15">
      <c r="A10" s="36" t="s">
        <v>7</v>
      </c>
      <c r="B10" s="36"/>
      <c r="C10" s="36"/>
      <c r="D10" s="36"/>
      <c r="E10" s="36"/>
      <c r="F10" s="36"/>
      <c r="G10" s="36"/>
      <c r="H10" s="36"/>
      <c r="I10" s="36"/>
      <c r="J10" s="36"/>
      <c r="K10" s="11"/>
      <c r="L10" s="11"/>
      <c r="M10" s="11"/>
      <c r="N10" s="11"/>
      <c r="O10" s="11"/>
      <c r="P10" s="11"/>
      <c r="Q10" s="11"/>
      <c r="R10" s="11"/>
    </row>
    <row r="11" spans="1:19" ht="20.25" customHeight="1" thickBot="1" x14ac:dyDescent="0.2">
      <c r="A11" s="38" t="s">
        <v>3</v>
      </c>
      <c r="B11" s="38"/>
      <c r="C11" s="38"/>
      <c r="D11" s="38"/>
      <c r="E11" s="38"/>
      <c r="F11" s="38"/>
      <c r="G11" s="14"/>
      <c r="H11" s="39" t="s">
        <v>13</v>
      </c>
      <c r="I11" s="34" t="s">
        <v>14</v>
      </c>
      <c r="J11" s="34" t="s">
        <v>21</v>
      </c>
      <c r="K11" s="34" t="s">
        <v>22</v>
      </c>
      <c r="L11" s="13"/>
      <c r="M11" s="13"/>
    </row>
    <row r="12" spans="1:19" ht="16.5" customHeight="1" x14ac:dyDescent="0.15">
      <c r="A12" s="25" t="s">
        <v>10</v>
      </c>
      <c r="B12" s="25" t="s">
        <v>8</v>
      </c>
      <c r="C12" s="25" t="s">
        <v>11</v>
      </c>
      <c r="D12" s="25" t="s">
        <v>9</v>
      </c>
      <c r="E12" s="35" t="s">
        <v>12</v>
      </c>
      <c r="F12" s="35"/>
      <c r="G12" s="35"/>
      <c r="H12" s="39"/>
      <c r="I12" s="34"/>
      <c r="J12" s="34"/>
      <c r="K12" s="34"/>
      <c r="L12" s="13"/>
      <c r="M12" s="13"/>
    </row>
    <row r="13" spans="1:19" ht="26.25" customHeight="1" x14ac:dyDescent="0.15">
      <c r="A13" s="10">
        <v>2000</v>
      </c>
      <c r="B13" s="6" t="s">
        <v>8</v>
      </c>
      <c r="C13" s="10">
        <v>120</v>
      </c>
      <c r="D13" s="6" t="s">
        <v>8</v>
      </c>
      <c r="E13" s="37">
        <v>90</v>
      </c>
      <c r="F13" s="37"/>
      <c r="G13" s="37"/>
      <c r="H13" s="21" t="s">
        <v>76</v>
      </c>
      <c r="I13" s="7">
        <f>A13*C13/1000*E13/1000*IF(H13="","",LOOKUP(H13,$N29:$N47,$Q29:$Q47))</f>
        <v>21.6</v>
      </c>
      <c r="J13" s="20" t="s">
        <v>23</v>
      </c>
      <c r="K13" s="26">
        <f>(A13*E13/3.1415926+IF(J13="","",LOOKUP(J13,$S29:$S30,$T29:$T30))^2)^(1/2)*2</f>
        <v>489.0635152633775</v>
      </c>
    </row>
    <row r="14" spans="1:19" ht="17.25" customHeight="1" thickBot="1" x14ac:dyDescent="0.2"/>
    <row r="15" spans="1:19" ht="20.25" customHeight="1" x14ac:dyDescent="0.15">
      <c r="A15" s="35" t="s">
        <v>12</v>
      </c>
      <c r="B15" s="35"/>
      <c r="C15" s="25" t="s">
        <v>13</v>
      </c>
      <c r="D15" s="35" t="s">
        <v>15</v>
      </c>
      <c r="E15" s="35"/>
      <c r="F15" s="25" t="s">
        <v>16</v>
      </c>
      <c r="G15" s="19"/>
    </row>
    <row r="16" spans="1:19" ht="21.75" customHeight="1" x14ac:dyDescent="0.15">
      <c r="A16" s="37">
        <v>70</v>
      </c>
      <c r="B16" s="37"/>
      <c r="C16" s="21">
        <v>0.2</v>
      </c>
      <c r="D16" s="37">
        <v>2650</v>
      </c>
      <c r="E16" s="37"/>
      <c r="F16" s="27">
        <f>ROUNDUP(D16/(1000000/A16/IF(C16="","",LOOKUP(C16,$I29:$I42,$J29:$J42))),3)</f>
        <v>0.182</v>
      </c>
    </row>
    <row r="28" spans="9:23" ht="15.75" thickBot="1" x14ac:dyDescent="0.2">
      <c r="I28" s="1" t="s">
        <v>0</v>
      </c>
      <c r="J28" s="4" t="s">
        <v>1</v>
      </c>
      <c r="N28" s="1" t="s">
        <v>0</v>
      </c>
      <c r="O28" s="1"/>
      <c r="P28" s="1"/>
      <c r="Q28" s="4" t="s">
        <v>1</v>
      </c>
      <c r="S28" s="1" t="s">
        <v>18</v>
      </c>
      <c r="T28" s="4" t="s">
        <v>19</v>
      </c>
      <c r="V28" s="12" t="s">
        <v>25</v>
      </c>
      <c r="W28" s="12" t="s">
        <v>26</v>
      </c>
    </row>
    <row r="29" spans="9:23" ht="14.25" thickTop="1" x14ac:dyDescent="0.15">
      <c r="I29" s="2">
        <v>0.1</v>
      </c>
      <c r="J29" s="3">
        <v>0.95</v>
      </c>
      <c r="N29" s="2">
        <v>0.1</v>
      </c>
      <c r="O29" s="2"/>
      <c r="P29" s="2"/>
      <c r="Q29" s="3">
        <v>0.94099999999999995</v>
      </c>
      <c r="S29" s="2" t="s">
        <v>17</v>
      </c>
      <c r="T29" s="3">
        <v>50</v>
      </c>
      <c r="V29" s="3" t="s">
        <v>35</v>
      </c>
      <c r="W29" s="3">
        <v>0</v>
      </c>
    </row>
    <row r="30" spans="9:23" x14ac:dyDescent="0.15">
      <c r="I30" s="2">
        <v>0.15</v>
      </c>
      <c r="J30" s="3">
        <v>0.96</v>
      </c>
      <c r="N30" s="2">
        <v>0.15</v>
      </c>
      <c r="O30" s="2"/>
      <c r="P30" s="2"/>
      <c r="Q30" s="3">
        <v>0.95099999999999996</v>
      </c>
      <c r="S30" s="2" t="s">
        <v>20</v>
      </c>
      <c r="T30" s="3">
        <v>90</v>
      </c>
      <c r="V30" s="3" t="s">
        <v>27</v>
      </c>
      <c r="W30" s="3">
        <v>0.15</v>
      </c>
    </row>
    <row r="31" spans="9:23" x14ac:dyDescent="0.15">
      <c r="I31" s="2">
        <v>0.18</v>
      </c>
      <c r="J31" s="3">
        <v>0.97499999999999998</v>
      </c>
      <c r="N31" s="2">
        <v>0.18</v>
      </c>
      <c r="O31" s="2"/>
      <c r="P31" s="2"/>
      <c r="Q31" s="3">
        <v>0.96</v>
      </c>
      <c r="S31" s="2"/>
      <c r="T31" s="3"/>
      <c r="V31" s="3" t="s">
        <v>28</v>
      </c>
      <c r="W31" s="3">
        <v>0.2</v>
      </c>
    </row>
    <row r="32" spans="9:23" x14ac:dyDescent="0.15">
      <c r="I32" s="2">
        <v>0.2</v>
      </c>
      <c r="J32" s="3">
        <v>0.98</v>
      </c>
      <c r="N32" s="2">
        <v>0.2</v>
      </c>
      <c r="O32" s="2"/>
      <c r="P32" s="2"/>
      <c r="Q32" s="3">
        <v>0.97</v>
      </c>
      <c r="S32" s="2"/>
      <c r="T32" s="3"/>
      <c r="V32" s="3" t="s">
        <v>29</v>
      </c>
      <c r="W32" s="3">
        <v>0.3</v>
      </c>
    </row>
    <row r="33" spans="9:23" x14ac:dyDescent="0.15">
      <c r="I33" s="2" t="s">
        <v>75</v>
      </c>
      <c r="J33" s="3">
        <v>0.99</v>
      </c>
      <c r="N33" s="2">
        <v>0.25</v>
      </c>
      <c r="O33" s="2"/>
      <c r="P33" s="2"/>
      <c r="Q33" s="3">
        <v>0.97199999999999998</v>
      </c>
      <c r="S33" s="2"/>
      <c r="T33" s="3"/>
      <c r="V33" s="3" t="s">
        <v>30</v>
      </c>
      <c r="W33" s="3">
        <v>0.35</v>
      </c>
    </row>
    <row r="34" spans="9:23" x14ac:dyDescent="0.15">
      <c r="I34" t="s">
        <v>77</v>
      </c>
      <c r="J34" s="3">
        <v>1</v>
      </c>
      <c r="N34" t="s">
        <v>38</v>
      </c>
      <c r="Q34" s="3">
        <v>1</v>
      </c>
      <c r="T34" s="3"/>
      <c r="V34" s="3" t="s">
        <v>31</v>
      </c>
      <c r="W34" s="3">
        <v>0.4</v>
      </c>
    </row>
    <row r="35" spans="9:23" x14ac:dyDescent="0.15">
      <c r="I35" t="s">
        <v>74</v>
      </c>
      <c r="J35" s="3">
        <v>1.06</v>
      </c>
      <c r="V35" s="3" t="s">
        <v>32</v>
      </c>
      <c r="W35" s="3">
        <v>0.45</v>
      </c>
    </row>
    <row r="36" spans="9:23" x14ac:dyDescent="0.15">
      <c r="J36" s="3"/>
      <c r="V36" s="3" t="s">
        <v>33</v>
      </c>
      <c r="W36" s="3">
        <v>0.5</v>
      </c>
    </row>
    <row r="37" spans="9:23" x14ac:dyDescent="0.15">
      <c r="V37" s="3" t="s">
        <v>34</v>
      </c>
      <c r="W37" s="3">
        <v>0.6</v>
      </c>
    </row>
  </sheetData>
  <mergeCells count="44">
    <mergeCell ref="S2:S3"/>
    <mergeCell ref="K11:K12"/>
    <mergeCell ref="Q2:Q3"/>
    <mergeCell ref="A3:C3"/>
    <mergeCell ref="D3:F3"/>
    <mergeCell ref="K2:K3"/>
    <mergeCell ref="N2:N3"/>
    <mergeCell ref="A2:F2"/>
    <mergeCell ref="I2:I3"/>
    <mergeCell ref="J2:J3"/>
    <mergeCell ref="O2:O3"/>
    <mergeCell ref="O6:O7"/>
    <mergeCell ref="G2:G3"/>
    <mergeCell ref="G6:G7"/>
    <mergeCell ref="P2:P3"/>
    <mergeCell ref="P6:P7"/>
    <mergeCell ref="A1:R1"/>
    <mergeCell ref="A11:F11"/>
    <mergeCell ref="H11:H12"/>
    <mergeCell ref="I11:I12"/>
    <mergeCell ref="H6:H7"/>
    <mergeCell ref="R6:R7"/>
    <mergeCell ref="A7:C7"/>
    <mergeCell ref="D7:F7"/>
    <mergeCell ref="A6:F6"/>
    <mergeCell ref="K6:K7"/>
    <mergeCell ref="N6:N7"/>
    <mergeCell ref="I6:I7"/>
    <mergeCell ref="J6:J7"/>
    <mergeCell ref="Q6:Q7"/>
    <mergeCell ref="H2:H3"/>
    <mergeCell ref="R2:R3"/>
    <mergeCell ref="A15:B15"/>
    <mergeCell ref="A16:B16"/>
    <mergeCell ref="D16:E16"/>
    <mergeCell ref="D15:E15"/>
    <mergeCell ref="J11:J12"/>
    <mergeCell ref="E13:G13"/>
    <mergeCell ref="L2:L3"/>
    <mergeCell ref="L6:L7"/>
    <mergeCell ref="M2:M3"/>
    <mergeCell ref="M6:M7"/>
    <mergeCell ref="E12:G12"/>
    <mergeCell ref="A10:J10"/>
  </mergeCells>
  <phoneticPr fontId="4" type="noConversion"/>
  <dataValidations count="5">
    <dataValidation type="list" allowBlank="1" showInputMessage="1" showErrorMessage="1" sqref="C16 I4 I8">
      <formula1>$I$29:$I$38</formula1>
    </dataValidation>
    <dataValidation type="list" allowBlank="1" showInputMessage="1" showErrorMessage="1" sqref="J13">
      <formula1>$S$29:$S$30</formula1>
    </dataValidation>
    <dataValidation type="list" allowBlank="1" showInputMessage="1" showErrorMessage="1" sqref="R4">
      <formula1>$V$29:$V$37</formula1>
    </dataValidation>
    <dataValidation type="list" allowBlank="1" showInputMessage="1" showErrorMessage="1" sqref="G4 G8">
      <formula1>"人民币,美金"</formula1>
    </dataValidation>
    <dataValidation type="list" allowBlank="1" showInputMessage="1" showErrorMessage="1" sqref="H13">
      <formula1>$I$29:$I$40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3" sqref="D3"/>
    </sheetView>
  </sheetViews>
  <sheetFormatPr defaultRowHeight="13.5" x14ac:dyDescent="0.15"/>
  <cols>
    <col min="1" max="1" width="13.625" customWidth="1"/>
    <col min="2" max="2" width="10.5" bestFit="1" customWidth="1"/>
    <col min="4" max="4" width="9.75" customWidth="1"/>
    <col min="12" max="12" width="9.875" customWidth="1"/>
    <col min="13" max="14" width="10.5" bestFit="1" customWidth="1"/>
  </cols>
  <sheetData>
    <row r="1" spans="1:14" x14ac:dyDescent="0.15">
      <c r="I1" s="15" t="s">
        <v>61</v>
      </c>
      <c r="J1" s="15" t="s">
        <v>62</v>
      </c>
      <c r="K1" s="15"/>
      <c r="M1" t="s">
        <v>63</v>
      </c>
      <c r="N1" s="15" t="s">
        <v>64</v>
      </c>
    </row>
    <row r="2" spans="1:14" ht="18.75" x14ac:dyDescent="0.15">
      <c r="A2" s="16" t="s">
        <v>40</v>
      </c>
      <c r="B2" s="16" t="s">
        <v>41</v>
      </c>
      <c r="C2" s="16" t="s">
        <v>42</v>
      </c>
      <c r="D2" s="16" t="s">
        <v>41</v>
      </c>
      <c r="E2" s="16" t="s">
        <v>42</v>
      </c>
      <c r="I2" s="15">
        <f>报价工具!D4</f>
        <v>158.75</v>
      </c>
      <c r="J2" s="15">
        <f>报价工具!F4</f>
        <v>266.7</v>
      </c>
      <c r="K2" s="15">
        <f>MIN(I2,J2)</f>
        <v>158.75</v>
      </c>
      <c r="L2" s="15">
        <f>MAX(I2,J2)</f>
        <v>266.7</v>
      </c>
      <c r="M2" s="32">
        <f>IF(OR(AND(L2&lt;B4,K2*2&lt;B5),AND(L2*2&lt;B5,K2&lt;B4)),2,IF(AND(L2*2&gt;B5,L2&lt;B5,K2&lt;B4),1,IF(AND(L2*2&lt;B5,K2&gt;B4,K2&lt;2*B4),1,IF(OR(AND(K2&lt;B5,L2&lt;B4*2),AND(L2*2&gt;B5,L2&lt;B5,K2&gt;B4,K2&lt;2*B4)),0.5,0.33))))</f>
        <v>2</v>
      </c>
      <c r="N2" s="31">
        <f>IF(M2=2,B11*4/L2/2,B11*4/L2)</f>
        <v>3.7495313085864269E-2</v>
      </c>
    </row>
    <row r="3" spans="1:14" ht="17.25" customHeight="1" x14ac:dyDescent="0.15">
      <c r="A3" t="s">
        <v>39</v>
      </c>
      <c r="B3" s="15">
        <v>70</v>
      </c>
      <c r="C3" t="s">
        <v>43</v>
      </c>
      <c r="D3" s="15">
        <f>B3*60*7</f>
        <v>29400</v>
      </c>
      <c r="E3" t="s">
        <v>60</v>
      </c>
      <c r="I3" s="15">
        <f>报价工具!A8</f>
        <v>158.75</v>
      </c>
      <c r="J3" s="15">
        <f>报价工具!C8</f>
        <v>266.7</v>
      </c>
      <c r="K3" s="15">
        <f>MIN(I3,J3)</f>
        <v>158.75</v>
      </c>
      <c r="L3" s="15">
        <f>MAX(I3,J3)</f>
        <v>266.7</v>
      </c>
      <c r="M3" s="15">
        <f>IF(OR(AND(L3&lt;B4,K3*2&lt;B5),AND(L3*2&lt;B5,K3&lt;B4)),2,IF(AND(L3*2&gt;B5,L3&lt;B5,K3&lt;B4),1,IF(AND(L3*2&lt;B5,K3&gt;B4,K3&lt;2*B4),1,IF(OR(AND(K3&lt;B5,L3&lt;B4*2),AND(L3*2&gt;B5,L3&lt;B5,K3&gt;B4,K3&lt;2*B4)),0.5,0.33))))</f>
        <v>2</v>
      </c>
      <c r="N3" s="30">
        <f>IF(M3=2,B11*4/L3/2,B11*4/L3)</f>
        <v>3.7495313085864269E-2</v>
      </c>
    </row>
    <row r="4" spans="1:14" ht="17.25" customHeight="1" x14ac:dyDescent="0.15">
      <c r="A4" t="s">
        <v>58</v>
      </c>
      <c r="B4" s="15">
        <v>310</v>
      </c>
      <c r="C4" t="s">
        <v>53</v>
      </c>
    </row>
    <row r="5" spans="1:14" ht="17.25" customHeight="1" x14ac:dyDescent="0.15">
      <c r="A5" t="s">
        <v>59</v>
      </c>
      <c r="B5" s="15">
        <v>560</v>
      </c>
      <c r="C5" t="s">
        <v>53</v>
      </c>
    </row>
    <row r="6" spans="1:14" ht="17.25" customHeight="1" x14ac:dyDescent="0.15">
      <c r="A6" t="s">
        <v>44</v>
      </c>
      <c r="B6" s="15">
        <v>2</v>
      </c>
      <c r="C6" t="s">
        <v>45</v>
      </c>
      <c r="D6" s="18">
        <f>B8/21.75/8*B6*8</f>
        <v>275.86206896551727</v>
      </c>
      <c r="E6" t="s">
        <v>51</v>
      </c>
    </row>
    <row r="7" spans="1:14" ht="17.25" customHeight="1" x14ac:dyDescent="0.15">
      <c r="A7" t="s">
        <v>46</v>
      </c>
      <c r="B7" s="17">
        <v>0.5</v>
      </c>
      <c r="C7" t="s">
        <v>45</v>
      </c>
      <c r="D7" s="18">
        <f>B9/21.75/8*B7*8</f>
        <v>126.43678160919541</v>
      </c>
      <c r="E7" t="s">
        <v>51</v>
      </c>
    </row>
    <row r="8" spans="1:14" ht="17.25" customHeight="1" x14ac:dyDescent="0.15">
      <c r="A8" t="s">
        <v>47</v>
      </c>
      <c r="B8" s="15">
        <v>3000</v>
      </c>
      <c r="C8" t="s">
        <v>48</v>
      </c>
    </row>
    <row r="9" spans="1:14" ht="17.25" customHeight="1" x14ac:dyDescent="0.15">
      <c r="A9" t="s">
        <v>49</v>
      </c>
      <c r="B9" s="15">
        <v>5500</v>
      </c>
      <c r="C9" t="s">
        <v>48</v>
      </c>
    </row>
    <row r="10" spans="1:14" ht="17.25" customHeight="1" x14ac:dyDescent="0.15">
      <c r="A10" t="s">
        <v>50</v>
      </c>
      <c r="B10" s="17">
        <v>200</v>
      </c>
      <c r="C10" t="s">
        <v>51</v>
      </c>
      <c r="D10" s="18"/>
    </row>
    <row r="11" spans="1:14" ht="17.25" customHeight="1" x14ac:dyDescent="0.15">
      <c r="A11" t="s">
        <v>52</v>
      </c>
      <c r="B11" s="17">
        <v>5</v>
      </c>
      <c r="C11" t="s">
        <v>53</v>
      </c>
      <c r="D11" s="18"/>
    </row>
    <row r="12" spans="1:14" ht="17.25" customHeight="1" x14ac:dyDescent="0.15">
      <c r="A12" t="s">
        <v>54</v>
      </c>
      <c r="B12" s="17">
        <v>200</v>
      </c>
      <c r="C12" t="s">
        <v>51</v>
      </c>
      <c r="D12" s="18"/>
    </row>
    <row r="13" spans="1:14" ht="17.25" customHeight="1" x14ac:dyDescent="0.15">
      <c r="A13" t="s">
        <v>67</v>
      </c>
      <c r="B13" s="17">
        <v>6</v>
      </c>
      <c r="D13" s="18"/>
    </row>
    <row r="14" spans="1:14" ht="17.25" customHeight="1" x14ac:dyDescent="0.15">
      <c r="A14" t="s">
        <v>55</v>
      </c>
      <c r="B14" s="17">
        <f>B10+B12+D6+D7</f>
        <v>802.29885057471256</v>
      </c>
      <c r="C14" t="s">
        <v>51</v>
      </c>
      <c r="D14" s="1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报价工具</vt:lpstr>
      <vt:lpstr>参数表</vt:lpstr>
    </vt:vector>
  </TitlesOfParts>
  <Company>www.microsoft.com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Lw</cp:lastModifiedBy>
  <dcterms:created xsi:type="dcterms:W3CDTF">2013-04-02T01:49:30Z</dcterms:created>
  <dcterms:modified xsi:type="dcterms:W3CDTF">2017-04-01T13:59:11Z</dcterms:modified>
</cp:coreProperties>
</file>