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pivotTables/pivotTable3.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5" yWindow="-15" windowWidth="12600" windowHeight="11655" tabRatio="629" activeTab="1"/>
  </bookViews>
  <sheets>
    <sheet name="总汇" sheetId="1" r:id="rId1"/>
    <sheet name="合同明细" sheetId="8" r:id="rId2"/>
    <sheet name="片区情况" sheetId="2" r:id="rId3"/>
    <sheet name="监控项目 " sheetId="12" r:id="rId4"/>
  </sheets>
  <definedNames>
    <definedName name="_xlnm._FilterDatabase" localSheetId="1" hidden="1">合同明细!$A$1:$D$199</definedName>
    <definedName name="_xlnm._FilterDatabase" localSheetId="3" hidden="1">'监控项目 '!$A$1:$R$53</definedName>
    <definedName name="_xlnm._FilterDatabase">#REF!</definedName>
  </definedNames>
  <calcPr calcId="124519"/>
  <pivotCaches>
    <pivotCache cacheId="0" r:id="rId5"/>
  </pivotCaches>
</workbook>
</file>

<file path=xl/calcChain.xml><?xml version="1.0" encoding="utf-8"?>
<calcChain xmlns="http://schemas.openxmlformats.org/spreadsheetml/2006/main">
  <c r="G7" i="1"/>
  <c r="G6"/>
  <c r="G21" l="1"/>
  <c r="P4"/>
  <c r="N34"/>
  <c r="N33"/>
  <c r="N32"/>
  <c r="N31"/>
  <c r="N30"/>
  <c r="N29"/>
  <c r="P10"/>
  <c r="P9"/>
  <c r="P8"/>
  <c r="P7"/>
  <c r="P6"/>
  <c r="P5"/>
  <c r="P3"/>
  <c r="O9"/>
  <c r="O8"/>
  <c r="O7"/>
  <c r="O6"/>
  <c r="O5"/>
  <c r="O4"/>
  <c r="O3"/>
  <c r="G14"/>
  <c r="G13"/>
  <c r="G12"/>
  <c r="G11"/>
  <c r="G10"/>
  <c r="G9"/>
  <c r="G8"/>
  <c r="G5"/>
  <c r="G4"/>
  <c r="G3"/>
  <c r="C14"/>
  <c r="C13"/>
  <c r="O10"/>
  <c r="C9"/>
  <c r="C3"/>
  <c r="C199" i="8"/>
  <c r="B199"/>
  <c r="A199"/>
  <c r="C198"/>
  <c r="B198"/>
  <c r="A198"/>
  <c r="C197"/>
  <c r="B197"/>
  <c r="A197"/>
  <c r="C196"/>
  <c r="B196"/>
  <c r="A196"/>
  <c r="C195"/>
  <c r="B195"/>
  <c r="A195"/>
  <c r="C194"/>
  <c r="B194"/>
  <c r="A194"/>
  <c r="C193"/>
  <c r="B193"/>
  <c r="A193"/>
  <c r="C192"/>
  <c r="B192"/>
  <c r="A192"/>
  <c r="C191"/>
  <c r="B191"/>
  <c r="A191"/>
  <c r="C190"/>
  <c r="B190"/>
  <c r="A190"/>
  <c r="C189"/>
  <c r="B189"/>
  <c r="A189"/>
  <c r="C188"/>
  <c r="B188"/>
  <c r="A188"/>
  <c r="C187"/>
  <c r="B187"/>
  <c r="A187"/>
  <c r="C186"/>
  <c r="B186"/>
  <c r="A186"/>
  <c r="C185"/>
  <c r="B185"/>
  <c r="A185"/>
  <c r="C184"/>
  <c r="B184"/>
  <c r="A184"/>
  <c r="C30"/>
  <c r="A30"/>
  <c r="C29"/>
  <c r="A29"/>
  <c r="C28"/>
  <c r="A28"/>
  <c r="C27"/>
  <c r="A27"/>
  <c r="C26"/>
  <c r="A26"/>
  <c r="C25"/>
  <c r="A25"/>
  <c r="C24"/>
  <c r="A24"/>
  <c r="C23"/>
  <c r="A23"/>
  <c r="C22"/>
  <c r="A22"/>
  <c r="C21"/>
  <c r="A21"/>
  <c r="C20"/>
  <c r="A20"/>
  <c r="C19"/>
  <c r="A19"/>
  <c r="C18"/>
  <c r="A18"/>
  <c r="C17"/>
  <c r="A17"/>
  <c r="C16"/>
  <c r="A16"/>
  <c r="C15"/>
  <c r="A15"/>
  <c r="C14"/>
  <c r="A14"/>
  <c r="C13"/>
  <c r="A13"/>
  <c r="C12"/>
  <c r="A12"/>
  <c r="C11"/>
  <c r="A11"/>
  <c r="C10"/>
  <c r="A10"/>
  <c r="C9"/>
  <c r="A9"/>
  <c r="C8"/>
  <c r="A8"/>
  <c r="C7"/>
  <c r="A7"/>
  <c r="C6"/>
  <c r="A6"/>
  <c r="C5"/>
  <c r="A5"/>
  <c r="C4"/>
  <c r="A4"/>
  <c r="C3"/>
  <c r="A3"/>
  <c r="C2"/>
  <c r="A2"/>
  <c r="C6" i="1" l="1"/>
  <c r="C11"/>
  <c r="K12"/>
  <c r="I12"/>
  <c r="C4"/>
  <c r="C5" s="1"/>
  <c r="I14"/>
  <c r="I3"/>
  <c r="I7"/>
  <c r="I11"/>
  <c r="K3"/>
  <c r="K7"/>
  <c r="K11"/>
  <c r="I6"/>
  <c r="I10"/>
  <c r="K6"/>
  <c r="K10"/>
  <c r="K14"/>
  <c r="C12"/>
  <c r="I5"/>
  <c r="I9"/>
  <c r="I13"/>
  <c r="K5"/>
  <c r="K9"/>
  <c r="K13"/>
  <c r="I4"/>
  <c r="I8"/>
  <c r="K8"/>
  <c r="C15" l="1"/>
  <c r="K15" l="1"/>
  <c r="G19" l="1"/>
  <c r="G18"/>
  <c r="G17"/>
  <c r="G20"/>
  <c r="I15"/>
  <c r="G22" s="1"/>
  <c r="G15"/>
  <c r="C8"/>
  <c r="C10" s="1"/>
</calcChain>
</file>

<file path=xl/comments1.xml><?xml version="1.0" encoding="utf-8"?>
<comments xmlns="http://schemas.openxmlformats.org/spreadsheetml/2006/main">
  <authors>
    <author>作者</author>
  </authors>
  <commentList>
    <comment ref="I1" authorId="0">
      <text>
        <r>
          <rPr>
            <b/>
            <sz val="9"/>
            <color indexed="81"/>
            <rFont val="宋体"/>
            <family val="3"/>
            <charset val="134"/>
          </rPr>
          <t>作者:</t>
        </r>
        <r>
          <rPr>
            <sz val="9"/>
            <color indexed="81"/>
            <rFont val="宋体"/>
            <family val="3"/>
            <charset val="134"/>
          </rPr>
          <t xml:space="preserve">
1:最高，不监控则失控；
2.介于中间，需要关注；
3.最低，项目如期进行；</t>
        </r>
      </text>
    </comment>
    <comment ref="J1" authorId="0">
      <text>
        <r>
          <rPr>
            <b/>
            <sz val="9"/>
            <color indexed="81"/>
            <rFont val="宋体"/>
            <family val="3"/>
            <charset val="134"/>
          </rPr>
          <t>作者:</t>
        </r>
        <r>
          <rPr>
            <sz val="9"/>
            <color indexed="81"/>
            <rFont val="宋体"/>
            <family val="3"/>
            <charset val="134"/>
          </rPr>
          <t xml:space="preserve">
是否提供了进度计划</t>
        </r>
      </text>
    </comment>
  </commentList>
</comments>
</file>

<file path=xl/sharedStrings.xml><?xml version="1.0" encoding="utf-8"?>
<sst xmlns="http://schemas.openxmlformats.org/spreadsheetml/2006/main" count="887" uniqueCount="376">
  <si>
    <t>合同分析</t>
  </si>
  <si>
    <t>总合同</t>
  </si>
  <si>
    <t>万</t>
  </si>
  <si>
    <t>往年结转合同</t>
  </si>
  <si>
    <t>今年新签合同</t>
  </si>
  <si>
    <t>本月新签合同</t>
  </si>
  <si>
    <t>工程状态分析</t>
  </si>
  <si>
    <t>EMS-EXT</t>
  </si>
  <si>
    <t>IES-600P</t>
  </si>
  <si>
    <t>琥珀能源有限公司</t>
  </si>
  <si>
    <t>广东电网公司阳江供电局</t>
  </si>
  <si>
    <t>QT-A</t>
  </si>
  <si>
    <t>DMS-EXT</t>
  </si>
  <si>
    <t>总计</t>
  </si>
  <si>
    <t>行标签</t>
  </si>
  <si>
    <t>北方</t>
  </si>
  <si>
    <t>南方</t>
  </si>
  <si>
    <t>西北</t>
  </si>
  <si>
    <t>西南</t>
  </si>
  <si>
    <t>新能源</t>
  </si>
  <si>
    <t>求和项:金额</t>
  </si>
  <si>
    <t>计数项:合同编号</t>
  </si>
  <si>
    <t>东南</t>
  </si>
  <si>
    <t>湖北省电力公司</t>
  </si>
  <si>
    <t>万</t>
    <phoneticPr fontId="2" type="noConversion"/>
  </si>
  <si>
    <t>合计</t>
    <phoneticPr fontId="2" type="noConversion"/>
  </si>
  <si>
    <t>K.已完成待验收</t>
  </si>
  <si>
    <t>G.发货在途</t>
  </si>
  <si>
    <t>D.需齐套</t>
  </si>
  <si>
    <t>L.已验收</t>
  </si>
  <si>
    <t>H.已到货待施工</t>
  </si>
  <si>
    <t>A.未执行</t>
  </si>
  <si>
    <t>C.工程设计</t>
  </si>
  <si>
    <t>I.软件合同待施工</t>
  </si>
  <si>
    <t>J.正在施工</t>
  </si>
  <si>
    <t>M.问题合同</t>
  </si>
  <si>
    <t>和田天力电业有限责任公司</t>
  </si>
  <si>
    <t>新疆农十四师电力公司调度主站</t>
  </si>
  <si>
    <t>国网辽宁省电力有限公司</t>
  </si>
  <si>
    <t>太原重工股份有限公司</t>
  </si>
  <si>
    <t>太原重工股份有限公司烟台天丰牟平水道风场综自、直流、并网监控系统</t>
  </si>
  <si>
    <t>华中华东</t>
  </si>
  <si>
    <t>管理中心</t>
  </si>
  <si>
    <t>各片区、产品室所属合同</t>
    <phoneticPr fontId="2" type="noConversion"/>
  </si>
  <si>
    <t>(空白)</t>
  </si>
  <si>
    <t>问题合同</t>
    <phoneticPr fontId="3" type="noConversion"/>
  </si>
  <si>
    <t>已完成工程量</t>
    <phoneticPr fontId="2" type="noConversion"/>
  </si>
  <si>
    <t>工程状态统计</t>
    <phoneticPr fontId="2" type="noConversion"/>
  </si>
  <si>
    <t>数据平台</t>
  </si>
  <si>
    <t>F.已总成待发货</t>
  </si>
  <si>
    <t>中科诺维（北京）科技有限公司</t>
  </si>
  <si>
    <t>月份</t>
    <phoneticPr fontId="2" type="noConversion"/>
  </si>
  <si>
    <t>1月</t>
    <phoneticPr fontId="2" type="noConversion"/>
  </si>
  <si>
    <t>2月</t>
    <phoneticPr fontId="2" type="noConversion"/>
  </si>
  <si>
    <t>3月</t>
  </si>
  <si>
    <t>4月</t>
  </si>
  <si>
    <t>5月</t>
  </si>
  <si>
    <t>6月</t>
  </si>
  <si>
    <t>7月</t>
  </si>
  <si>
    <t>8月</t>
  </si>
  <si>
    <t>9月</t>
  </si>
  <si>
    <t>10月</t>
  </si>
  <si>
    <t>11月</t>
  </si>
  <si>
    <t>12月</t>
  </si>
  <si>
    <t>计划完成</t>
    <phoneticPr fontId="2" type="noConversion"/>
  </si>
  <si>
    <t>实际完成</t>
    <phoneticPr fontId="2" type="noConversion"/>
  </si>
  <si>
    <t>发货量</t>
    <phoneticPr fontId="2" type="noConversion"/>
  </si>
  <si>
    <t>当前科室负责合同</t>
    <phoneticPr fontId="2" type="noConversion"/>
  </si>
  <si>
    <t>第三季度</t>
    <phoneticPr fontId="2" type="noConversion"/>
  </si>
  <si>
    <t>第四季度</t>
    <phoneticPr fontId="2" type="noConversion"/>
  </si>
  <si>
    <t>第一季度</t>
    <phoneticPr fontId="2" type="noConversion"/>
  </si>
  <si>
    <t>第二季度</t>
    <phoneticPr fontId="2" type="noConversion"/>
  </si>
  <si>
    <t>完成待审</t>
    <phoneticPr fontId="2" type="noConversion"/>
  </si>
  <si>
    <t>待完成额</t>
    <phoneticPr fontId="2" type="noConversion"/>
  </si>
  <si>
    <t>iES-NE</t>
  </si>
  <si>
    <t>iES-700</t>
  </si>
  <si>
    <t>济南东新热电有限公司</t>
  </si>
  <si>
    <t>华中大区</t>
  </si>
  <si>
    <t>南方大区</t>
  </si>
  <si>
    <t>北方大区</t>
  </si>
  <si>
    <t>企业能源</t>
  </si>
  <si>
    <t>营销大区</t>
    <phoneticPr fontId="3" type="noConversion"/>
  </si>
  <si>
    <t>西北大区</t>
  </si>
  <si>
    <t>华东大区</t>
  </si>
  <si>
    <t>电网部</t>
  </si>
  <si>
    <t>调度主站</t>
    <phoneticPr fontId="2" type="noConversion"/>
  </si>
  <si>
    <t>配网主站</t>
    <phoneticPr fontId="2" type="noConversion"/>
  </si>
  <si>
    <t>应用软件</t>
    <phoneticPr fontId="2" type="noConversion"/>
  </si>
  <si>
    <t>新能源</t>
    <phoneticPr fontId="2" type="noConversion"/>
  </si>
  <si>
    <t>电网其他</t>
    <phoneticPr fontId="2" type="noConversion"/>
  </si>
  <si>
    <t>数据平台</t>
    <phoneticPr fontId="2" type="noConversion"/>
  </si>
  <si>
    <t>可实施总工程量</t>
    <phoneticPr fontId="2" type="noConversion"/>
  </si>
  <si>
    <t>待完成工程量</t>
    <phoneticPr fontId="2" type="noConversion"/>
  </si>
  <si>
    <t>往年结转合同完成额</t>
    <phoneticPr fontId="2" type="noConversion"/>
  </si>
  <si>
    <t>今年新签合同完成额</t>
    <phoneticPr fontId="2" type="noConversion"/>
  </si>
  <si>
    <t>已完成合同个数</t>
    <phoneticPr fontId="2" type="noConversion"/>
  </si>
  <si>
    <t>个</t>
    <phoneticPr fontId="2" type="noConversion"/>
  </si>
  <si>
    <t>年计划完成工程量</t>
    <phoneticPr fontId="3" type="noConversion"/>
  </si>
  <si>
    <t>DMS1000E</t>
  </si>
  <si>
    <t>PAS</t>
  </si>
  <si>
    <t>IDP600</t>
  </si>
  <si>
    <t>北方片区</t>
    <phoneticPr fontId="2" type="noConversion"/>
  </si>
  <si>
    <t>西北片区</t>
    <phoneticPr fontId="2" type="noConversion"/>
  </si>
  <si>
    <t>西南片区</t>
    <phoneticPr fontId="2" type="noConversion"/>
  </si>
  <si>
    <t>南方片区</t>
    <phoneticPr fontId="2" type="noConversion"/>
  </si>
  <si>
    <t>东南片区</t>
    <phoneticPr fontId="2" type="noConversion"/>
  </si>
  <si>
    <t>新能源</t>
    <phoneticPr fontId="2" type="noConversion"/>
  </si>
  <si>
    <t>服务片区</t>
    <phoneticPr fontId="2" type="noConversion"/>
  </si>
  <si>
    <t>单位</t>
    <phoneticPr fontId="2" type="noConversion"/>
  </si>
  <si>
    <t>万</t>
    <phoneticPr fontId="2" type="noConversion"/>
  </si>
  <si>
    <t>华中华东</t>
    <phoneticPr fontId="2" type="noConversion"/>
  </si>
  <si>
    <t>合同额</t>
    <phoneticPr fontId="2" type="noConversion"/>
  </si>
  <si>
    <t>完成额</t>
    <phoneticPr fontId="2" type="noConversion"/>
  </si>
  <si>
    <r>
      <rPr>
        <b/>
        <sz val="16"/>
        <rFont val="Times New Roman"/>
        <family val="1"/>
      </rPr>
      <t>2015</t>
    </r>
    <r>
      <rPr>
        <b/>
        <sz val="16"/>
        <rFont val="宋体"/>
        <family val="3"/>
        <charset val="134"/>
      </rPr>
      <t>年工程状态数据一览表</t>
    </r>
    <phoneticPr fontId="3" type="noConversion"/>
  </si>
  <si>
    <t>值</t>
  </si>
  <si>
    <t>片区合同及完成额</t>
    <phoneticPr fontId="2" type="noConversion"/>
  </si>
  <si>
    <t xml:space="preserve"> 工程量月统计 </t>
    <phoneticPr fontId="2" type="noConversion"/>
  </si>
  <si>
    <t>数据平台</t>
    <phoneticPr fontId="2" type="noConversion"/>
  </si>
  <si>
    <t>A.未开工</t>
  </si>
  <si>
    <t>衢州普星燃机热电有限公司AVC设备采购</t>
  </si>
  <si>
    <t>AVC</t>
  </si>
  <si>
    <t>J2013-1770</t>
  </si>
  <si>
    <t>济南东新热电有限公司RTU及自动化数据网建设调试合同</t>
  </si>
  <si>
    <t>2013年阳江供电局地调EMS一体化调度功能扩充建设（智能告警模块）</t>
  </si>
  <si>
    <t>DOTS</t>
  </si>
  <si>
    <t>池州供电公司</t>
  </si>
  <si>
    <t>陕西省电力公司</t>
  </si>
  <si>
    <t>2015年陕西停电配变信息监测系统合同</t>
  </si>
  <si>
    <t>2015年安徽池州调度自动化主站升级项目</t>
  </si>
  <si>
    <t>IES-600</t>
  </si>
  <si>
    <t>iES-IDP600</t>
  </si>
  <si>
    <t>A.无需研发</t>
  </si>
  <si>
    <t>√</t>
  </si>
  <si>
    <t>B.正常进行</t>
  </si>
  <si>
    <t>C.系统调试</t>
  </si>
  <si>
    <t>C.正在研发</t>
  </si>
  <si>
    <t>B.正在设计</t>
  </si>
  <si>
    <t>D.研发完成</t>
  </si>
  <si>
    <t>D.应用调试</t>
  </si>
  <si>
    <t>A.设备发货</t>
  </si>
  <si>
    <t>E.试运行</t>
  </si>
  <si>
    <t>D.轻微滞后</t>
  </si>
  <si>
    <t>B.硬件施工</t>
  </si>
  <si>
    <t>E.严重滞后</t>
  </si>
  <si>
    <t>2015-03</t>
    <phoneticPr fontId="2" type="noConversion"/>
  </si>
  <si>
    <t>ABCDEFGH</t>
    <phoneticPr fontId="2" type="noConversion"/>
  </si>
  <si>
    <t>刘自勇</t>
    <phoneticPr fontId="2" type="noConversion"/>
  </si>
  <si>
    <t>J2015-0302</t>
    <phoneticPr fontId="3" type="noConversion"/>
  </si>
  <si>
    <t>CDEFGH</t>
    <phoneticPr fontId="2" type="noConversion"/>
  </si>
  <si>
    <t>贾久龙</t>
    <phoneticPr fontId="2" type="noConversion"/>
  </si>
  <si>
    <t>J2015-0285</t>
    <phoneticPr fontId="3" type="noConversion"/>
  </si>
  <si>
    <t>孙文吉</t>
    <phoneticPr fontId="2" type="noConversion"/>
  </si>
  <si>
    <t>南岸公司地调智能全息可视调度系统新建</t>
    <phoneticPr fontId="3" type="noConversion"/>
  </si>
  <si>
    <t>重庆市电力公司</t>
    <phoneticPr fontId="3" type="noConversion"/>
  </si>
  <si>
    <t>J2015-0206</t>
    <phoneticPr fontId="3" type="noConversion"/>
  </si>
  <si>
    <t>CFGH</t>
    <phoneticPr fontId="2" type="noConversion"/>
  </si>
  <si>
    <t>张坤广</t>
    <phoneticPr fontId="2" type="noConversion"/>
  </si>
  <si>
    <t>2015年安徽省电力公司调度自动化主站OMS接口项目</t>
    <phoneticPr fontId="3" type="noConversion"/>
  </si>
  <si>
    <t>安徽省电力公司</t>
    <phoneticPr fontId="3" type="noConversion"/>
  </si>
  <si>
    <t>J2015-0142</t>
    <phoneticPr fontId="3" type="noConversion"/>
  </si>
  <si>
    <t>王德强</t>
    <phoneticPr fontId="2" type="noConversion"/>
  </si>
  <si>
    <t>华电枣庄新能源发电有限公司台儿庄风电场一期并网调度自动化系统采购合同</t>
    <phoneticPr fontId="3" type="noConversion"/>
  </si>
  <si>
    <t>华电国际山东物资有限公司</t>
    <phoneticPr fontId="3" type="noConversion"/>
  </si>
  <si>
    <t>J2014-2579</t>
    <phoneticPr fontId="3" type="noConversion"/>
  </si>
  <si>
    <t>BCDEFGH</t>
    <phoneticPr fontId="2" type="noConversion"/>
  </si>
  <si>
    <t>王鑫</t>
    <phoneticPr fontId="2" type="noConversion"/>
  </si>
  <si>
    <t>内蒙古磴口供电公司调控一体化系统采购项目</t>
    <phoneticPr fontId="3" type="noConversion"/>
  </si>
  <si>
    <t>内蒙古巴彦淖尔电业局</t>
    <phoneticPr fontId="3" type="noConversion"/>
  </si>
  <si>
    <t>J2014-2578</t>
    <phoneticPr fontId="3" type="noConversion"/>
  </si>
  <si>
    <t>协调研发给出FAT时间，用户希望看系统后对需求进行进一步完善</t>
    <phoneticPr fontId="2" type="noConversion"/>
  </si>
  <si>
    <t>ABCEFGH</t>
    <phoneticPr fontId="2" type="noConversion"/>
  </si>
  <si>
    <t>刘志国</t>
    <phoneticPr fontId="2" type="noConversion"/>
  </si>
  <si>
    <t>重庆电网调度技术支持系统一体化综合监控平台建设工程</t>
    <phoneticPr fontId="3" type="noConversion"/>
  </si>
  <si>
    <t>J2014-2549</t>
    <phoneticPr fontId="3" type="noConversion"/>
  </si>
  <si>
    <t>陈义江</t>
    <phoneticPr fontId="2" type="noConversion"/>
  </si>
  <si>
    <t>2014年山东潍坊国电电力诸城皇华并网调度技术支持系统</t>
    <phoneticPr fontId="3" type="noConversion"/>
  </si>
  <si>
    <t>国电电力诸城风力发电有限公司</t>
    <phoneticPr fontId="3" type="noConversion"/>
  </si>
  <si>
    <t>J2014-2533</t>
    <phoneticPr fontId="3" type="noConversion"/>
  </si>
  <si>
    <t>EFGH</t>
    <phoneticPr fontId="2" type="noConversion"/>
  </si>
  <si>
    <t>张合宝</t>
    <phoneticPr fontId="2" type="noConversion"/>
  </si>
  <si>
    <t>2014年山东省调智能配网运行监控数据接入（鲁能软件）项目实施、服务合同</t>
    <phoneticPr fontId="3" type="noConversion"/>
  </si>
  <si>
    <t>山东鲁能软件技术有限公司</t>
    <phoneticPr fontId="3" type="noConversion"/>
  </si>
  <si>
    <t>J2014-2532</t>
    <phoneticPr fontId="3" type="noConversion"/>
  </si>
  <si>
    <t>林吉华</t>
    <phoneticPr fontId="2" type="noConversion"/>
  </si>
  <si>
    <t>2014年山东大唐滨州热电联产工程</t>
    <phoneticPr fontId="3" type="noConversion"/>
  </si>
  <si>
    <t>大唐滨州发电有限公司</t>
    <phoneticPr fontId="3" type="noConversion"/>
  </si>
  <si>
    <t>iES-NE</t>
    <phoneticPr fontId="3" type="noConversion"/>
  </si>
  <si>
    <t>J2014-2517</t>
    <phoneticPr fontId="3" type="noConversion"/>
  </si>
  <si>
    <t>DEFGH</t>
    <phoneticPr fontId="2" type="noConversion"/>
  </si>
  <si>
    <t>√</t>
    <phoneticPr fontId="2" type="noConversion"/>
  </si>
  <si>
    <t>李可峰</t>
    <phoneticPr fontId="2" type="noConversion"/>
  </si>
  <si>
    <t>14年肇庆供电局配网自动化CIM模型数据转换和校验维护</t>
    <phoneticPr fontId="3" type="noConversion"/>
  </si>
  <si>
    <t>广东电网肇庆供电公司</t>
    <phoneticPr fontId="3" type="noConversion"/>
  </si>
  <si>
    <t>J2014-2513</t>
    <phoneticPr fontId="3" type="noConversion"/>
  </si>
  <si>
    <t>徐祗威</t>
    <phoneticPr fontId="2" type="noConversion"/>
  </si>
  <si>
    <t>广西电网公司崇左供电局地区电网调度自动化系统分布式建模功能扩容改造项目</t>
    <phoneticPr fontId="3" type="noConversion"/>
  </si>
  <si>
    <t>广西电网公司崇左供电局</t>
    <phoneticPr fontId="3" type="noConversion"/>
  </si>
  <si>
    <t>J2014-2450</t>
    <phoneticPr fontId="3" type="noConversion"/>
  </si>
  <si>
    <t>德州华鲁恒升热电联产II期脱硫脱销、除尘系统合同提前执行</t>
    <phoneticPr fontId="3" type="noConversion"/>
  </si>
  <si>
    <t>山东华鲁恒升化工股份有限公司</t>
    <phoneticPr fontId="3" type="noConversion"/>
  </si>
  <si>
    <t>J2014-2435</t>
    <phoneticPr fontId="3" type="noConversion"/>
  </si>
  <si>
    <t>14年贵州电网公司培训与评价中心10KV及以下典型配网及自动化实训研究项目配网仿真培训主站硬件部分设</t>
    <phoneticPr fontId="3" type="noConversion"/>
  </si>
  <si>
    <t>广东省电力设计研究院</t>
    <phoneticPr fontId="3" type="noConversion"/>
  </si>
  <si>
    <t>J2014-2433</t>
    <phoneticPr fontId="3" type="noConversion"/>
  </si>
  <si>
    <t>14年惠州供电局配网自动化规划设计技术支持系统开发科技项目功能开发及系统集成部分工程</t>
    <phoneticPr fontId="3" type="noConversion"/>
  </si>
  <si>
    <t>广东电网公司惠州供电局</t>
    <phoneticPr fontId="3" type="noConversion"/>
  </si>
  <si>
    <t>J2014-2383</t>
    <phoneticPr fontId="3" type="noConversion"/>
  </si>
  <si>
    <t>钟瑞艳</t>
    <phoneticPr fontId="2" type="noConversion"/>
  </si>
  <si>
    <t>2014年山东省电力公司调控中心火电机组烟气排放监测平台主站系统改造工程采购合同</t>
    <phoneticPr fontId="3" type="noConversion"/>
  </si>
  <si>
    <t>国网山东省电力公司物资公司</t>
    <phoneticPr fontId="3" type="noConversion"/>
  </si>
  <si>
    <t>J2014-2342</t>
    <phoneticPr fontId="3" type="noConversion"/>
  </si>
  <si>
    <t>苏宝振</t>
    <phoneticPr fontId="2" type="noConversion"/>
  </si>
  <si>
    <t>包头固阳电力公司变电站仿真系统工程</t>
    <phoneticPr fontId="3" type="noConversion"/>
  </si>
  <si>
    <t>固阳电力有限责任公司</t>
    <phoneticPr fontId="3" type="noConversion"/>
  </si>
  <si>
    <t>J2014-2337</t>
    <phoneticPr fontId="3" type="noConversion"/>
  </si>
  <si>
    <t>二期风机系统调试工作一直无法完成，导致我们的工作无法推进；</t>
    <phoneticPr fontId="2" type="noConversion"/>
  </si>
  <si>
    <t>F.暂停施工</t>
  </si>
  <si>
    <t>吴广超</t>
    <phoneticPr fontId="2" type="noConversion"/>
  </si>
  <si>
    <t>华润邹城风场二期风功率预测系统扩容设备采购与服务合同</t>
    <phoneticPr fontId="3" type="noConversion"/>
  </si>
  <si>
    <t>华润新能源风能（济宁）有限公司</t>
    <phoneticPr fontId="3" type="noConversion"/>
  </si>
  <si>
    <t>J2014-2324</t>
    <phoneticPr fontId="3" type="noConversion"/>
  </si>
  <si>
    <t>14年深圳局配网自动化主站系统仿真软件项目</t>
    <phoneticPr fontId="3" type="noConversion"/>
  </si>
  <si>
    <t>深圳供电局有限公司</t>
    <phoneticPr fontId="3" type="noConversion"/>
  </si>
  <si>
    <t>J2014-2306</t>
    <phoneticPr fontId="3" type="noConversion"/>
  </si>
  <si>
    <t>2015-04</t>
    <phoneticPr fontId="2" type="noConversion"/>
  </si>
  <si>
    <t>石少杰</t>
    <phoneticPr fontId="2" type="noConversion"/>
  </si>
  <si>
    <t>内蒙古鄂托克旗电力公司配网主站建设项目</t>
    <phoneticPr fontId="3" type="noConversion"/>
  </si>
  <si>
    <t>鄂托克旗电力有限责任公司</t>
    <phoneticPr fontId="3" type="noConversion"/>
  </si>
  <si>
    <t>J2014-2296</t>
    <phoneticPr fontId="3" type="noConversion"/>
  </si>
  <si>
    <t>BDEFGH</t>
    <phoneticPr fontId="2" type="noConversion"/>
  </si>
  <si>
    <t>山东日照新源热力2×300MW机组热电联产烟气监测系统合同</t>
    <phoneticPr fontId="3" type="noConversion"/>
  </si>
  <si>
    <t>山东安正系统工程有限公司</t>
    <phoneticPr fontId="3" type="noConversion"/>
  </si>
  <si>
    <t>J2014-2119</t>
    <phoneticPr fontId="3" type="noConversion"/>
  </si>
  <si>
    <t>CEFGH</t>
    <phoneticPr fontId="2" type="noConversion"/>
  </si>
  <si>
    <t>王宗治</t>
    <phoneticPr fontId="2" type="noConversion"/>
  </si>
  <si>
    <t>配电自动化主站数据转发及算法交互接口开发</t>
    <phoneticPr fontId="3" type="noConversion"/>
  </si>
  <si>
    <t>辽宁沈阳供电公司</t>
    <phoneticPr fontId="3" type="noConversion"/>
  </si>
  <si>
    <t>J2014-2092</t>
    <phoneticPr fontId="3" type="noConversion"/>
  </si>
  <si>
    <t>广西电网公司南宁供电局新建OS2地级主站配网及用电调度技术支撑系统项目</t>
    <phoneticPr fontId="3" type="noConversion"/>
  </si>
  <si>
    <t>广西博联信息通信技术有限责任公司</t>
    <phoneticPr fontId="3" type="noConversion"/>
  </si>
  <si>
    <t>J2014-1980</t>
    <phoneticPr fontId="3" type="noConversion"/>
  </si>
  <si>
    <t>王国华</t>
    <phoneticPr fontId="2" type="noConversion"/>
  </si>
  <si>
    <t>国家电网公司2014年调度自动化系统软件采购-临沂电网调度技术支持系统</t>
    <phoneticPr fontId="3" type="noConversion"/>
  </si>
  <si>
    <t>国网山东省电力公司临沂供电公司</t>
    <phoneticPr fontId="3" type="noConversion"/>
  </si>
  <si>
    <t>J2014-1961</t>
    <phoneticPr fontId="3" type="noConversion"/>
  </si>
  <si>
    <t>模型检查及修改问题需要局方协调解决；</t>
    <phoneticPr fontId="2" type="noConversion"/>
  </si>
  <si>
    <t>国家电网公司2014年调度自动化系统软件采购-临沂电网调度网络分析系统</t>
    <phoneticPr fontId="3" type="noConversion"/>
  </si>
  <si>
    <t>J2014-1941</t>
    <phoneticPr fontId="3" type="noConversion"/>
  </si>
  <si>
    <t>孔令帅</t>
    <phoneticPr fontId="2" type="noConversion"/>
  </si>
  <si>
    <t>2014年国网调度自动化系统软件竞争性谈判滨州供电公司EMS系统采购合同</t>
    <phoneticPr fontId="3" type="noConversion"/>
  </si>
  <si>
    <t>J2014-1828</t>
    <phoneticPr fontId="3" type="noConversion"/>
  </si>
  <si>
    <t>2015-05</t>
    <phoneticPr fontId="2" type="noConversion"/>
  </si>
  <si>
    <t>曾建</t>
    <phoneticPr fontId="2" type="noConversion"/>
  </si>
  <si>
    <t>四川甘孜电网地县级备调系统新建工程备调新建改造工程集成、电网运行稳态监控、基础平台采购合同</t>
    <phoneticPr fontId="3" type="noConversion"/>
  </si>
  <si>
    <t>四川省电力公司甘孜公司</t>
    <phoneticPr fontId="3" type="noConversion"/>
  </si>
  <si>
    <t>J2014-1814</t>
    <phoneticPr fontId="3" type="noConversion"/>
  </si>
  <si>
    <t>甲方条件不具备,等待施工</t>
    <phoneticPr fontId="2" type="noConversion"/>
  </si>
  <si>
    <t>刘洋</t>
    <phoneticPr fontId="2" type="noConversion"/>
  </si>
  <si>
    <t>永州东安等五县调地县一体化EMS工程</t>
    <phoneticPr fontId="3" type="noConversion"/>
  </si>
  <si>
    <t>湖南永州电业局</t>
    <phoneticPr fontId="3" type="noConversion"/>
  </si>
  <si>
    <t>J2014-1809</t>
    <phoneticPr fontId="3" type="noConversion"/>
  </si>
  <si>
    <t>永州地区等三县地县调自动化系统一体化建设</t>
    <phoneticPr fontId="3" type="noConversion"/>
  </si>
  <si>
    <t>J2014-1808</t>
    <phoneticPr fontId="3" type="noConversion"/>
  </si>
  <si>
    <t>升级方案已提交给客户，但具体实施时间局方一直未定，需领导协调解决</t>
    <phoneticPr fontId="2" type="noConversion"/>
  </si>
  <si>
    <t>2014年阳江供电局调度自动化系统智能功能扩充建设</t>
    <phoneticPr fontId="3" type="noConversion"/>
  </si>
  <si>
    <t>广东电网公司阳江供电局</t>
    <phoneticPr fontId="3" type="noConversion"/>
  </si>
  <si>
    <t>J2014-1805</t>
    <phoneticPr fontId="3" type="noConversion"/>
  </si>
  <si>
    <t>BCEFGH</t>
    <phoneticPr fontId="2" type="noConversion"/>
  </si>
  <si>
    <t>岳彩娟</t>
    <phoneticPr fontId="2" type="noConversion"/>
  </si>
  <si>
    <t>阳泉供电公司地县级电网备用调度建设工程</t>
    <phoneticPr fontId="3" type="noConversion"/>
  </si>
  <si>
    <t>山西阳泉供电分公司</t>
    <phoneticPr fontId="3" type="noConversion"/>
  </si>
  <si>
    <t>J2014-1728</t>
    <phoneticPr fontId="3" type="noConversion"/>
  </si>
  <si>
    <t>晋中供电公司地县级电网备用调度建设工程</t>
    <phoneticPr fontId="3" type="noConversion"/>
  </si>
  <si>
    <t>山西省电力公司晋中供电分公司</t>
    <phoneticPr fontId="3" type="noConversion"/>
  </si>
  <si>
    <t>J2014-1727</t>
    <phoneticPr fontId="3" type="noConversion"/>
  </si>
  <si>
    <t>王金喜</t>
    <phoneticPr fontId="2" type="noConversion"/>
  </si>
  <si>
    <t>云南电网公司西双版纳供电局OS2地级主站配网分析应用模块</t>
    <phoneticPr fontId="3" type="noConversion"/>
  </si>
  <si>
    <t>云南电网公司西双版纳供电局</t>
    <phoneticPr fontId="3" type="noConversion"/>
  </si>
  <si>
    <t>J2014-1713</t>
    <phoneticPr fontId="3" type="noConversion"/>
  </si>
  <si>
    <t>EF</t>
    <phoneticPr fontId="2" type="noConversion"/>
  </si>
  <si>
    <t>华润新能源2014年度第五批电气设备招标杨村风电场风功率预测系统</t>
    <phoneticPr fontId="3" type="noConversion"/>
  </si>
  <si>
    <t>湖北省电力公司</t>
    <phoneticPr fontId="3" type="noConversion"/>
  </si>
  <si>
    <t>J2014-1710</t>
    <phoneticPr fontId="3" type="noConversion"/>
  </si>
  <si>
    <t>配网分析应用模块与OS2平台数据交互需要客户找东方电子进行确定</t>
    <phoneticPr fontId="2" type="noConversion"/>
  </si>
  <si>
    <t>云南电网公司临沧供电局OS2地级主站配网分析应用模块</t>
    <phoneticPr fontId="3" type="noConversion"/>
  </si>
  <si>
    <t>云南省临沧供电局</t>
    <phoneticPr fontId="3" type="noConversion"/>
  </si>
  <si>
    <t>J2014-1709</t>
    <phoneticPr fontId="3" type="noConversion"/>
  </si>
  <si>
    <t>14年南瑞科技调度系统模型拼接接口开发项目</t>
    <phoneticPr fontId="3" type="noConversion"/>
  </si>
  <si>
    <t>国电南瑞科技股份有限公司（南区）</t>
    <phoneticPr fontId="3" type="noConversion"/>
  </si>
  <si>
    <t>J2014-1707</t>
    <phoneticPr fontId="3" type="noConversion"/>
  </si>
  <si>
    <t>云南电网公司曲靖供电局OCS系统建设项目-OS2地级主站配网分析应用</t>
    <phoneticPr fontId="3" type="noConversion"/>
  </si>
  <si>
    <t>云南电网公司曲靖供电局</t>
    <phoneticPr fontId="3" type="noConversion"/>
  </si>
  <si>
    <t>J2014-1680</t>
    <phoneticPr fontId="3" type="noConversion"/>
  </si>
  <si>
    <t>赣西供电公司非统调系统</t>
    <phoneticPr fontId="3" type="noConversion"/>
  </si>
  <si>
    <t>国网江西省电力公司</t>
    <phoneticPr fontId="3" type="noConversion"/>
  </si>
  <si>
    <t>EMS-EXT</t>
    <phoneticPr fontId="3" type="noConversion"/>
  </si>
  <si>
    <t>J2014-1598</t>
    <phoneticPr fontId="3" type="noConversion"/>
  </si>
  <si>
    <t>CEF</t>
    <phoneticPr fontId="2" type="noConversion"/>
  </si>
  <si>
    <t>华能新能源辽宁阜新风电场集控项目</t>
    <phoneticPr fontId="3" type="noConversion"/>
  </si>
  <si>
    <t>J2014-1287</t>
    <phoneticPr fontId="3" type="noConversion"/>
  </si>
  <si>
    <t>王明杰</t>
    <phoneticPr fontId="2" type="noConversion"/>
  </si>
  <si>
    <t>大唐邹城风电场并网监控系统</t>
    <phoneticPr fontId="3" type="noConversion"/>
  </si>
  <si>
    <t>大唐邹城风力发电有限公司</t>
    <phoneticPr fontId="3" type="noConversion"/>
  </si>
  <si>
    <t>J2014-0978</t>
    <phoneticPr fontId="3" type="noConversion"/>
  </si>
  <si>
    <t>该项目未签合同，因此实施及验收有不确定性；</t>
    <phoneticPr fontId="2" type="noConversion"/>
  </si>
  <si>
    <t>济宁供电公司调度大屏展示系统</t>
    <phoneticPr fontId="3" type="noConversion"/>
  </si>
  <si>
    <t>国网山东省电力公司济宁供电公司</t>
    <phoneticPr fontId="3" type="noConversion"/>
  </si>
  <si>
    <t>iES-600</t>
    <phoneticPr fontId="3" type="noConversion"/>
  </si>
  <si>
    <t>J2014-0821</t>
    <phoneticPr fontId="3" type="noConversion"/>
  </si>
  <si>
    <t>内蒙古鄂托克旗电力公司调控一体化系统建设工程</t>
    <phoneticPr fontId="3" type="noConversion"/>
  </si>
  <si>
    <t>IES-600P</t>
    <phoneticPr fontId="3" type="noConversion"/>
  </si>
  <si>
    <t>J2014-0715</t>
    <phoneticPr fontId="3" type="noConversion"/>
  </si>
  <si>
    <r>
      <rPr>
        <sz val="10"/>
        <rFont val="宋体"/>
        <family val="2"/>
        <charset val="134"/>
      </rPr>
      <t>北方</t>
    </r>
    <phoneticPr fontId="3" type="noConversion"/>
  </si>
  <si>
    <t>中电普华的项目进展情况决定我方后期工作进度，时间节点不好控制</t>
    <phoneticPr fontId="2" type="noConversion"/>
  </si>
  <si>
    <t>林国春</t>
    <phoneticPr fontId="2" type="noConversion"/>
  </si>
  <si>
    <t>中电普华营销基础数据平台公共模型信息技术合同</t>
    <phoneticPr fontId="3" type="noConversion"/>
  </si>
  <si>
    <t>J2014-0191</t>
    <phoneticPr fontId="3" type="noConversion"/>
  </si>
  <si>
    <t>梁凯</t>
    <phoneticPr fontId="2" type="noConversion"/>
  </si>
  <si>
    <t>J2014-0080</t>
    <phoneticPr fontId="3" type="noConversion"/>
  </si>
  <si>
    <t>DMS-EXT</t>
    <phoneticPr fontId="3" type="noConversion"/>
  </si>
  <si>
    <t>J2013-1864</t>
    <phoneticPr fontId="3" type="noConversion"/>
  </si>
  <si>
    <t>张晓伟</t>
    <phoneticPr fontId="2" type="noConversion"/>
  </si>
  <si>
    <t>需领导协调研发部加快研发速度；</t>
    <phoneticPr fontId="2" type="noConversion"/>
  </si>
  <si>
    <t>G.项目收尾</t>
    <phoneticPr fontId="2" type="noConversion"/>
  </si>
  <si>
    <t>马兵</t>
    <phoneticPr fontId="2" type="noConversion"/>
  </si>
  <si>
    <t>电科院配网测试平台科技项目</t>
    <phoneticPr fontId="3" type="noConversion"/>
  </si>
  <si>
    <t>J2013-1659</t>
    <phoneticPr fontId="3" type="noConversion"/>
  </si>
  <si>
    <t>辽宁省朝阳市区配网自动化工程配电主站系统，大/中规模配电主站</t>
    <phoneticPr fontId="3" type="noConversion"/>
  </si>
  <si>
    <t>J2013-1372</t>
    <phoneticPr fontId="3" type="noConversion"/>
  </si>
  <si>
    <t>局方建设新大楼，具体施工日期无法预估；</t>
    <phoneticPr fontId="2" type="noConversion"/>
  </si>
  <si>
    <t>J2013-1191</t>
    <phoneticPr fontId="3" type="noConversion"/>
  </si>
  <si>
    <t>陕西府谷清水川电厂AVC合同</t>
    <phoneticPr fontId="3" type="noConversion"/>
  </si>
  <si>
    <t>陕西府谷清水川（2×300MW）电厂</t>
    <phoneticPr fontId="3" type="noConversion"/>
  </si>
  <si>
    <t>J2013-0886</t>
    <phoneticPr fontId="3" type="noConversion"/>
  </si>
  <si>
    <t>2013年阳江供电局阳春县调一体化接入建设（主站软件含主站端和客户端）</t>
    <phoneticPr fontId="3" type="noConversion"/>
  </si>
  <si>
    <t>J2013-0879</t>
    <phoneticPr fontId="3" type="noConversion"/>
  </si>
  <si>
    <t>AVC</t>
    <phoneticPr fontId="3" type="noConversion"/>
  </si>
  <si>
    <t>J2012-1421</t>
    <phoneticPr fontId="3" type="noConversion"/>
  </si>
  <si>
    <t>备注</t>
    <phoneticPr fontId="2" type="noConversion"/>
  </si>
  <si>
    <t>资料归档</t>
    <phoneticPr fontId="2" type="noConversion"/>
  </si>
  <si>
    <t>进展情况</t>
    <phoneticPr fontId="2" type="noConversion"/>
  </si>
  <si>
    <t>开始时间</t>
    <phoneticPr fontId="2" type="noConversion"/>
  </si>
  <si>
    <t>施工阶段</t>
    <phoneticPr fontId="2" type="noConversion"/>
  </si>
  <si>
    <t>研发阶段</t>
    <phoneticPr fontId="2" type="noConversion"/>
  </si>
  <si>
    <t>适用阶段</t>
    <phoneticPr fontId="2" type="noConversion"/>
  </si>
  <si>
    <t>进度计划</t>
    <phoneticPr fontId="2" type="noConversion"/>
  </si>
  <si>
    <t>监控等级</t>
    <phoneticPr fontId="2" type="noConversion"/>
  </si>
  <si>
    <t>进度</t>
    <phoneticPr fontId="2" type="noConversion"/>
  </si>
  <si>
    <t>项目经理</t>
    <phoneticPr fontId="2" type="noConversion"/>
  </si>
  <si>
    <t>金额</t>
    <phoneticPr fontId="3" type="noConversion"/>
  </si>
  <si>
    <t>产品名称</t>
    <phoneticPr fontId="3" type="noConversion"/>
  </si>
  <si>
    <t>单位名称</t>
    <phoneticPr fontId="3" type="noConversion"/>
  </si>
  <si>
    <t>产品分类</t>
    <phoneticPr fontId="3" type="noConversion"/>
  </si>
  <si>
    <t>合同编号</t>
    <phoneticPr fontId="3" type="noConversion"/>
  </si>
  <si>
    <t>科室</t>
    <phoneticPr fontId="3" type="noConversion"/>
  </si>
  <si>
    <t>周报</t>
    <phoneticPr fontId="2" type="noConversion"/>
  </si>
  <si>
    <t>序号</t>
    <phoneticPr fontId="2" type="noConversion"/>
  </si>
  <si>
    <t>验收月份</t>
    <phoneticPr fontId="3" type="noConversion"/>
  </si>
  <si>
    <t>合同月份</t>
    <phoneticPr fontId="3" type="noConversion"/>
  </si>
  <si>
    <t>发货
月份</t>
    <phoneticPr fontId="3" type="noConversion"/>
  </si>
  <si>
    <t>需求</t>
    <phoneticPr fontId="2" type="noConversion"/>
  </si>
  <si>
    <t>备注</t>
    <phoneticPr fontId="2" type="noConversion"/>
  </si>
  <si>
    <t>#1</t>
    <phoneticPr fontId="2" type="noConversion"/>
  </si>
  <si>
    <t>使用session记录登录状态</t>
    <phoneticPr fontId="2" type="noConversion"/>
  </si>
  <si>
    <t>下达时间</t>
    <phoneticPr fontId="2" type="noConversion"/>
  </si>
  <si>
    <t>完成时间</t>
    <phoneticPr fontId="2" type="noConversion"/>
  </si>
  <si>
    <t>#2</t>
    <phoneticPr fontId="2" type="noConversion"/>
  </si>
  <si>
    <t>后台管理-管理员设置</t>
    <phoneticPr fontId="2" type="noConversion"/>
  </si>
  <si>
    <t>#3</t>
    <phoneticPr fontId="2" type="noConversion"/>
  </si>
  <si>
    <t>如何设置url不能直接访问</t>
    <phoneticPr fontId="2" type="noConversion"/>
  </si>
  <si>
    <t>#4</t>
  </si>
  <si>
    <t>设置登录后返回到之前请求的页面</t>
    <phoneticPr fontId="2" type="noConversion"/>
  </si>
  <si>
    <t>#5</t>
  </si>
  <si>
    <t>如何调试ajax失败原因</t>
    <phoneticPr fontId="2" type="noConversion"/>
  </si>
  <si>
    <t>#6</t>
  </si>
  <si>
    <t>php与jquery的datetime对接</t>
    <phoneticPr fontId="2" type="noConversion"/>
  </si>
</sst>
</file>

<file path=xl/styles.xml><?xml version="1.0" encoding="utf-8"?>
<styleSheet xmlns="http://schemas.openxmlformats.org/spreadsheetml/2006/main">
  <numFmts count="6">
    <numFmt numFmtId="176" formatCode="&quot;【统计日期： &quot;yyyy/mm/dd&quot;】&quot;"/>
    <numFmt numFmtId="177" formatCode="0.00_ "/>
    <numFmt numFmtId="178" formatCode="#,##0.00_ "/>
    <numFmt numFmtId="179" formatCode="0_ "/>
    <numFmt numFmtId="180" formatCode="#,##0.00_);[Red]\(#,##0.00\)"/>
    <numFmt numFmtId="181" formatCode="yyyy/m/d\ h:mm;@"/>
  </numFmts>
  <fonts count="28">
    <font>
      <sz val="11"/>
      <color theme="1"/>
      <name val="宋体"/>
      <family val="2"/>
      <charset val="134"/>
      <scheme val="minor"/>
    </font>
    <font>
      <sz val="10"/>
      <color theme="1"/>
      <name val="宋体"/>
      <family val="2"/>
      <charset val="134"/>
      <scheme val="minor"/>
    </font>
    <font>
      <sz val="9"/>
      <name val="宋体"/>
      <family val="2"/>
      <charset val="134"/>
      <scheme val="minor"/>
    </font>
    <font>
      <sz val="9"/>
      <name val="宋体"/>
      <family val="3"/>
      <charset val="134"/>
    </font>
    <font>
      <sz val="12"/>
      <name val="宋体"/>
      <family val="3"/>
      <charset val="134"/>
    </font>
    <font>
      <b/>
      <sz val="11"/>
      <name val="宋体"/>
      <family val="3"/>
      <charset val="134"/>
    </font>
    <font>
      <sz val="10"/>
      <name val="宋体"/>
      <family val="3"/>
      <charset val="134"/>
    </font>
    <font>
      <b/>
      <sz val="11"/>
      <color rgb="FFFF0000"/>
      <name val="宋体"/>
      <family val="3"/>
      <charset val="134"/>
      <scheme val="minor"/>
    </font>
    <font>
      <sz val="11"/>
      <name val="宋体"/>
      <family val="3"/>
      <charset val="134"/>
      <scheme val="minor"/>
    </font>
    <font>
      <sz val="10"/>
      <color theme="1"/>
      <name val="宋体"/>
      <family val="3"/>
      <charset val="134"/>
    </font>
    <font>
      <sz val="11"/>
      <color theme="1"/>
      <name val="宋体"/>
      <family val="3"/>
      <charset val="134"/>
      <scheme val="minor"/>
    </font>
    <font>
      <sz val="10"/>
      <color theme="1"/>
      <name val="宋体"/>
      <family val="3"/>
      <charset val="134"/>
      <scheme val="minor"/>
    </font>
    <font>
      <sz val="10"/>
      <name val="宋体"/>
      <family val="3"/>
      <charset val="134"/>
      <scheme val="minor"/>
    </font>
    <font>
      <sz val="10"/>
      <name val="宋体"/>
      <family val="2"/>
      <charset val="134"/>
      <scheme val="minor"/>
    </font>
    <font>
      <b/>
      <sz val="11"/>
      <color theme="1"/>
      <name val="宋体"/>
      <family val="2"/>
      <charset val="134"/>
      <scheme val="minor"/>
    </font>
    <font>
      <sz val="10"/>
      <name val="Arial Narrow"/>
      <family val="2"/>
    </font>
    <font>
      <b/>
      <sz val="11"/>
      <name val="宋体"/>
      <family val="3"/>
      <charset val="134"/>
      <scheme val="minor"/>
    </font>
    <font>
      <b/>
      <sz val="11"/>
      <name val="宋体"/>
      <family val="2"/>
      <charset val="134"/>
      <scheme val="minor"/>
    </font>
    <font>
      <b/>
      <sz val="16"/>
      <name val="宋体"/>
      <family val="3"/>
      <charset val="134"/>
    </font>
    <font>
      <b/>
      <sz val="16"/>
      <name val="Times New Roman"/>
      <family val="1"/>
    </font>
    <font>
      <b/>
      <sz val="11"/>
      <color rgb="FFFF0000"/>
      <name val="宋体"/>
      <family val="3"/>
      <charset val="134"/>
    </font>
    <font>
      <sz val="10"/>
      <name val="宋体"/>
      <family val="2"/>
      <charset val="134"/>
    </font>
    <font>
      <b/>
      <sz val="11"/>
      <color rgb="FFFF0000"/>
      <name val="施工开始"/>
      <family val="3"/>
      <charset val="134"/>
    </font>
    <font>
      <sz val="10"/>
      <color indexed="8"/>
      <name val="宋体"/>
      <family val="3"/>
      <charset val="134"/>
    </font>
    <font>
      <sz val="9"/>
      <color theme="1"/>
      <name val="宋体"/>
      <family val="3"/>
      <charset val="134"/>
      <scheme val="minor"/>
    </font>
    <font>
      <b/>
      <sz val="9"/>
      <color indexed="81"/>
      <name val="宋体"/>
      <family val="3"/>
      <charset val="134"/>
    </font>
    <font>
      <sz val="9"/>
      <color indexed="81"/>
      <name val="宋体"/>
      <family val="3"/>
      <charset val="134"/>
    </font>
    <font>
      <b/>
      <sz val="11"/>
      <color theme="9" tint="-0.249977111117893"/>
      <name val="宋体"/>
      <family val="3"/>
      <charset val="134"/>
      <scheme val="minor"/>
    </font>
  </fonts>
  <fills count="9">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6"/>
        <bgColor indexed="64"/>
      </patternFill>
    </fill>
  </fills>
  <borders count="45">
    <border>
      <left/>
      <right/>
      <top/>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right style="medium">
        <color indexed="64"/>
      </right>
      <top style="thin">
        <color indexed="8"/>
      </top>
      <bottom style="thin">
        <color indexed="8"/>
      </bottom>
      <diagonal/>
    </border>
    <border>
      <left/>
      <right/>
      <top/>
      <bottom style="medium">
        <color indexed="64"/>
      </bottom>
      <diagonal/>
    </border>
    <border>
      <left/>
      <right style="medium">
        <color indexed="64"/>
      </right>
      <top style="thin">
        <color indexed="8"/>
      </top>
      <bottom/>
      <diagonal/>
    </border>
    <border>
      <left style="thin">
        <color indexed="64"/>
      </left>
      <right style="thin">
        <color indexed="64"/>
      </right>
      <top style="thin">
        <color indexed="64"/>
      </top>
      <bottom style="thin">
        <color indexed="64"/>
      </bottom>
      <diagonal/>
    </border>
    <border>
      <left/>
      <right style="medium">
        <color indexed="64"/>
      </right>
      <top style="thin">
        <color indexed="8"/>
      </top>
      <bottom style="medium">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thin">
        <color indexed="64"/>
      </left>
      <right/>
      <top style="thin">
        <color indexed="64"/>
      </top>
      <bottom style="thin">
        <color indexed="64"/>
      </bottom>
      <diagonal/>
    </border>
    <border>
      <left style="medium">
        <color indexed="64"/>
      </left>
      <right/>
      <top style="thin">
        <color indexed="8"/>
      </top>
      <bottom/>
      <diagonal/>
    </border>
    <border>
      <left style="thin">
        <color indexed="64"/>
      </left>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style="medium">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thin">
        <color indexed="8"/>
      </top>
      <bottom style="medium">
        <color indexed="64"/>
      </bottom>
      <diagonal/>
    </border>
    <border>
      <left style="medium">
        <color indexed="64"/>
      </left>
      <right style="thin">
        <color indexed="64"/>
      </right>
      <top style="medium">
        <color indexed="64"/>
      </top>
      <bottom style="thin">
        <color indexed="8"/>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theme="3"/>
      </right>
      <top/>
      <bottom/>
      <diagonal/>
    </border>
    <border>
      <left style="thin">
        <color theme="3"/>
      </left>
      <right style="thin">
        <color theme="3"/>
      </right>
      <top/>
      <bottom/>
      <diagonal/>
    </border>
    <border>
      <left style="thin">
        <color theme="4"/>
      </left>
      <right style="thin">
        <color theme="4"/>
      </right>
      <top style="thin">
        <color theme="4"/>
      </top>
      <bottom style="thin">
        <color theme="4"/>
      </bottom>
      <diagonal/>
    </border>
  </borders>
  <cellStyleXfs count="3">
    <xf numFmtId="0" fontId="0" fillId="0" borderId="0">
      <alignment vertical="center"/>
    </xf>
    <xf numFmtId="0" fontId="6" fillId="0" borderId="0"/>
    <xf numFmtId="0" fontId="10" fillId="0" borderId="0">
      <alignment vertical="center"/>
    </xf>
  </cellStyleXfs>
  <cellXfs count="129">
    <xf numFmtId="0" fontId="0" fillId="0" borderId="0" xfId="0">
      <alignment vertical="center"/>
    </xf>
    <xf numFmtId="0" fontId="0" fillId="0" borderId="0" xfId="0" applyAlignment="1"/>
    <xf numFmtId="0" fontId="4" fillId="0" borderId="0" xfId="0" applyFont="1" applyAlignment="1">
      <alignment vertical="center"/>
    </xf>
    <xf numFmtId="0" fontId="4" fillId="0" borderId="0" xfId="0" applyFont="1" applyFill="1" applyAlignment="1">
      <alignment vertical="center"/>
    </xf>
    <xf numFmtId="0" fontId="0" fillId="0" borderId="0" xfId="0" applyAlignment="1">
      <alignment horizontal="left" vertical="center"/>
    </xf>
    <xf numFmtId="0" fontId="0" fillId="0" borderId="0" xfId="0" applyNumberFormat="1">
      <alignment vertical="center"/>
    </xf>
    <xf numFmtId="0" fontId="10" fillId="0" borderId="0" xfId="0" applyFont="1">
      <alignment vertical="center"/>
    </xf>
    <xf numFmtId="0" fontId="6" fillId="0" borderId="6" xfId="0" applyNumberFormat="1" applyFont="1" applyFill="1" applyBorder="1" applyAlignment="1">
      <alignment vertical="center"/>
    </xf>
    <xf numFmtId="0" fontId="9" fillId="0" borderId="6" xfId="0" applyNumberFormat="1" applyFont="1" applyFill="1" applyBorder="1" applyAlignment="1">
      <alignment vertical="center"/>
    </xf>
    <xf numFmtId="14" fontId="12" fillId="0" borderId="6" xfId="0" applyNumberFormat="1" applyFont="1" applyBorder="1">
      <alignment vertical="center"/>
    </xf>
    <xf numFmtId="14" fontId="12" fillId="0" borderId="6" xfId="0" applyNumberFormat="1" applyFont="1" applyBorder="1" applyAlignment="1">
      <alignment horizontal="left" vertical="center"/>
    </xf>
    <xf numFmtId="0" fontId="13" fillId="0" borderId="6" xfId="0" applyFont="1" applyFill="1" applyBorder="1">
      <alignment vertical="center"/>
    </xf>
    <xf numFmtId="0" fontId="13" fillId="0" borderId="6" xfId="0" applyFont="1" applyBorder="1">
      <alignment vertical="center"/>
    </xf>
    <xf numFmtId="0" fontId="15" fillId="0" borderId="6" xfId="0" applyNumberFormat="1" applyFont="1" applyFill="1" applyBorder="1" applyAlignment="1">
      <alignment vertical="center"/>
    </xf>
    <xf numFmtId="14" fontId="15" fillId="0" borderId="6" xfId="0" applyNumberFormat="1" applyFont="1" applyBorder="1" applyAlignment="1">
      <alignment horizontal="left" vertical="center"/>
    </xf>
    <xf numFmtId="14" fontId="15" fillId="0" borderId="6" xfId="0" applyNumberFormat="1" applyFont="1" applyBorder="1">
      <alignment vertical="center"/>
    </xf>
    <xf numFmtId="0" fontId="0" fillId="0" borderId="0" xfId="0" applyBorder="1" applyAlignment="1"/>
    <xf numFmtId="0" fontId="14" fillId="0" borderId="0" xfId="0" applyFont="1" applyAlignment="1"/>
    <xf numFmtId="0" fontId="14" fillId="0" borderId="0" xfId="0" applyFont="1">
      <alignment vertical="center"/>
    </xf>
    <xf numFmtId="0" fontId="0" fillId="0" borderId="0" xfId="0" applyFont="1" applyAlignment="1"/>
    <xf numFmtId="176" fontId="16" fillId="6" borderId="2" xfId="0" applyNumberFormat="1" applyFont="1" applyFill="1" applyBorder="1" applyAlignment="1">
      <alignment horizontal="center" vertical="center"/>
    </xf>
    <xf numFmtId="177" fontId="16" fillId="0" borderId="11" xfId="0" applyNumberFormat="1" applyFont="1" applyBorder="1" applyAlignment="1">
      <alignment vertical="center"/>
    </xf>
    <xf numFmtId="176" fontId="16" fillId="6" borderId="12" xfId="0" applyNumberFormat="1" applyFont="1" applyFill="1" applyBorder="1" applyAlignment="1">
      <alignment horizontal="center" vertical="center"/>
    </xf>
    <xf numFmtId="177" fontId="16" fillId="0" borderId="13" xfId="0" applyNumberFormat="1" applyFont="1" applyBorder="1" applyAlignment="1">
      <alignment vertical="center"/>
    </xf>
    <xf numFmtId="0" fontId="8" fillId="0" borderId="0" xfId="0" applyFont="1" applyFill="1" applyAlignment="1">
      <alignment vertical="center"/>
    </xf>
    <xf numFmtId="0" fontId="16" fillId="2" borderId="16" xfId="0" applyFont="1" applyFill="1" applyBorder="1" applyAlignment="1">
      <alignment horizontal="center" vertical="center"/>
    </xf>
    <xf numFmtId="0" fontId="16" fillId="2" borderId="17" xfId="0" applyFont="1" applyFill="1" applyBorder="1" applyAlignment="1">
      <alignment horizontal="center" vertical="center"/>
    </xf>
    <xf numFmtId="0" fontId="16" fillId="2" borderId="22" xfId="0" applyFont="1" applyFill="1" applyBorder="1" applyAlignment="1">
      <alignment horizontal="center" vertical="center"/>
    </xf>
    <xf numFmtId="0" fontId="16" fillId="2" borderId="15" xfId="0" applyFont="1" applyFill="1" applyBorder="1" applyAlignment="1">
      <alignment horizontal="center" vertical="center"/>
    </xf>
    <xf numFmtId="0" fontId="16" fillId="2" borderId="14" xfId="0" applyFont="1" applyFill="1" applyBorder="1" applyAlignment="1">
      <alignment horizontal="center" vertical="center"/>
    </xf>
    <xf numFmtId="0" fontId="16" fillId="2" borderId="19" xfId="0" applyFont="1" applyFill="1" applyBorder="1" applyAlignment="1">
      <alignment horizontal="center" vertical="center"/>
    </xf>
    <xf numFmtId="0" fontId="16" fillId="2" borderId="8" xfId="0" applyFont="1" applyFill="1" applyBorder="1" applyAlignment="1">
      <alignment horizontal="center" vertical="center"/>
    </xf>
    <xf numFmtId="0" fontId="16" fillId="2" borderId="10" xfId="0" applyFont="1" applyFill="1" applyBorder="1" applyAlignment="1">
      <alignment horizontal="center" vertical="center"/>
    </xf>
    <xf numFmtId="0" fontId="16" fillId="0" borderId="5" xfId="0" applyFont="1" applyBorder="1" applyAlignment="1">
      <alignment horizontal="center" vertical="center"/>
    </xf>
    <xf numFmtId="0" fontId="16" fillId="0" borderId="7" xfId="0" applyFont="1" applyBorder="1" applyAlignment="1">
      <alignment horizontal="center" vertical="center"/>
    </xf>
    <xf numFmtId="0" fontId="16" fillId="0" borderId="21" xfId="0" applyFont="1" applyBorder="1" applyAlignment="1">
      <alignment horizontal="center" vertical="center"/>
    </xf>
    <xf numFmtId="178" fontId="16" fillId="0" borderId="3" xfId="0" applyNumberFormat="1" applyFont="1" applyBorder="1" applyAlignment="1">
      <alignment horizontal="center" vertical="center"/>
    </xf>
    <xf numFmtId="178" fontId="16" fillId="0" borderId="7" xfId="0" applyNumberFormat="1" applyFont="1" applyBorder="1" applyAlignment="1">
      <alignment horizontal="center" vertical="center"/>
    </xf>
    <xf numFmtId="178" fontId="16" fillId="0" borderId="21" xfId="0" applyNumberFormat="1" applyFont="1" applyBorder="1" applyAlignment="1">
      <alignment horizontal="center" vertical="center"/>
    </xf>
    <xf numFmtId="0" fontId="16" fillId="2" borderId="9" xfId="0" applyFont="1" applyFill="1" applyBorder="1" applyAlignment="1">
      <alignment horizontal="center" vertical="center"/>
    </xf>
    <xf numFmtId="178" fontId="16" fillId="0" borderId="1" xfId="0" applyNumberFormat="1" applyFont="1" applyBorder="1" applyAlignment="1">
      <alignment horizontal="center" vertical="center"/>
    </xf>
    <xf numFmtId="178" fontId="16" fillId="0" borderId="25" xfId="0" applyNumberFormat="1" applyFont="1" applyBorder="1" applyAlignment="1">
      <alignment horizontal="center" vertical="center"/>
    </xf>
    <xf numFmtId="0" fontId="16" fillId="2" borderId="26" xfId="0" applyFont="1" applyFill="1" applyBorder="1" applyAlignment="1">
      <alignment horizontal="center" vertical="center"/>
    </xf>
    <xf numFmtId="0" fontId="0" fillId="0" borderId="0" xfId="0" applyBorder="1">
      <alignment vertical="center"/>
    </xf>
    <xf numFmtId="0" fontId="0" fillId="0" borderId="0" xfId="0" applyNumberFormat="1" applyBorder="1">
      <alignment vertical="center"/>
    </xf>
    <xf numFmtId="177" fontId="16" fillId="0" borderId="6" xfId="0" applyNumberFormat="1" applyFont="1" applyBorder="1" applyAlignment="1">
      <alignment vertical="center"/>
    </xf>
    <xf numFmtId="0" fontId="16" fillId="6" borderId="27" xfId="0" applyFont="1" applyFill="1" applyBorder="1" applyAlignment="1">
      <alignment horizontal="center" vertical="center"/>
    </xf>
    <xf numFmtId="0" fontId="16" fillId="6" borderId="29" xfId="0" applyFont="1" applyFill="1" applyBorder="1" applyAlignment="1">
      <alignment horizontal="center" vertical="center"/>
    </xf>
    <xf numFmtId="178" fontId="0" fillId="0" borderId="0" xfId="0" applyNumberFormat="1">
      <alignment vertical="center"/>
    </xf>
    <xf numFmtId="178" fontId="4" fillId="0" borderId="0" xfId="0" applyNumberFormat="1" applyFont="1" applyAlignment="1">
      <alignment vertical="center"/>
    </xf>
    <xf numFmtId="177" fontId="0" fillId="0" borderId="0" xfId="0" applyNumberFormat="1">
      <alignment vertical="center"/>
    </xf>
    <xf numFmtId="0" fontId="18" fillId="6" borderId="9" xfId="0" applyFont="1" applyFill="1" applyBorder="1" applyAlignment="1">
      <alignment horizontal="center" vertical="center" wrapText="1"/>
    </xf>
    <xf numFmtId="177" fontId="16" fillId="0" borderId="30" xfId="0" applyNumberFormat="1" applyFont="1" applyBorder="1" applyAlignment="1">
      <alignment vertical="center"/>
    </xf>
    <xf numFmtId="179" fontId="16" fillId="0" borderId="6" xfId="0" applyNumberFormat="1" applyFont="1" applyBorder="1" applyAlignment="1">
      <alignment vertical="center"/>
    </xf>
    <xf numFmtId="176" fontId="16" fillId="6" borderId="27" xfId="0" applyNumberFormat="1" applyFont="1" applyFill="1" applyBorder="1" applyAlignment="1">
      <alignment horizontal="center" vertical="center"/>
    </xf>
    <xf numFmtId="176" fontId="16" fillId="6" borderId="37" xfId="0" applyNumberFormat="1" applyFont="1" applyFill="1" applyBorder="1" applyAlignment="1">
      <alignment horizontal="center" vertical="center"/>
    </xf>
    <xf numFmtId="177" fontId="16" fillId="0" borderId="36" xfId="0" applyNumberFormat="1" applyFont="1" applyBorder="1" applyAlignment="1">
      <alignment vertical="center"/>
    </xf>
    <xf numFmtId="0" fontId="16" fillId="0" borderId="28" xfId="0" applyFont="1" applyBorder="1" applyAlignment="1">
      <alignment vertical="center"/>
    </xf>
    <xf numFmtId="0" fontId="16" fillId="0" borderId="38" xfId="0" applyFont="1" applyBorder="1" applyAlignment="1">
      <alignment vertical="center"/>
    </xf>
    <xf numFmtId="0" fontId="16" fillId="0" borderId="39" xfId="0" applyFont="1" applyBorder="1" applyAlignment="1">
      <alignment vertical="center"/>
    </xf>
    <xf numFmtId="0" fontId="16" fillId="0" borderId="31" xfId="0" applyFont="1" applyBorder="1" applyAlignment="1">
      <alignment vertical="center"/>
    </xf>
    <xf numFmtId="177" fontId="8" fillId="0" borderId="12" xfId="0" applyNumberFormat="1" applyFont="1" applyBorder="1" applyAlignment="1">
      <alignment horizontal="right" vertical="center"/>
    </xf>
    <xf numFmtId="177" fontId="10" fillId="0" borderId="22" xfId="0" applyNumberFormat="1" applyFont="1" applyBorder="1">
      <alignment vertical="center"/>
    </xf>
    <xf numFmtId="177" fontId="8" fillId="0" borderId="2" xfId="0" applyNumberFormat="1" applyFont="1" applyBorder="1" applyAlignment="1">
      <alignment horizontal="right" vertical="center"/>
    </xf>
    <xf numFmtId="177" fontId="10" fillId="0" borderId="20" xfId="0" applyNumberFormat="1" applyFont="1" applyBorder="1">
      <alignment vertical="center"/>
    </xf>
    <xf numFmtId="177" fontId="8" fillId="0" borderId="22" xfId="0" applyNumberFormat="1" applyFont="1" applyBorder="1" applyAlignment="1">
      <alignment horizontal="right" vertical="center"/>
    </xf>
    <xf numFmtId="0" fontId="16" fillId="2" borderId="33" xfId="0" applyFont="1" applyFill="1" applyBorder="1" applyAlignment="1">
      <alignment horizontal="center" vertical="center"/>
    </xf>
    <xf numFmtId="0" fontId="16" fillId="2" borderId="34" xfId="0" applyFont="1" applyFill="1" applyBorder="1" applyAlignment="1">
      <alignment horizontal="center" vertical="center"/>
    </xf>
    <xf numFmtId="0" fontId="16" fillId="2" borderId="35" xfId="0" applyFont="1" applyFill="1" applyBorder="1" applyAlignment="1">
      <alignment horizontal="center" vertical="center"/>
    </xf>
    <xf numFmtId="0" fontId="10" fillId="0" borderId="27" xfId="0" applyFont="1" applyBorder="1">
      <alignment vertical="center"/>
    </xf>
    <xf numFmtId="0" fontId="10" fillId="0" borderId="28" xfId="0" applyFont="1" applyBorder="1">
      <alignment vertical="center"/>
    </xf>
    <xf numFmtId="0" fontId="10" fillId="0" borderId="31" xfId="0" applyFont="1" applyBorder="1">
      <alignment vertical="center"/>
    </xf>
    <xf numFmtId="177" fontId="10" fillId="0" borderId="6" xfId="0" applyNumberFormat="1" applyFont="1" applyBorder="1">
      <alignment vertical="center"/>
    </xf>
    <xf numFmtId="177" fontId="10" fillId="0" borderId="30" xfId="0" applyNumberFormat="1" applyFont="1" applyBorder="1">
      <alignment vertical="center"/>
    </xf>
    <xf numFmtId="0" fontId="4" fillId="0" borderId="0" xfId="0" applyFont="1" applyAlignment="1">
      <alignment horizontal="right" vertical="center"/>
    </xf>
    <xf numFmtId="0" fontId="10" fillId="0" borderId="29" xfId="0" applyFont="1" applyFill="1" applyBorder="1">
      <alignment vertical="center"/>
    </xf>
    <xf numFmtId="0" fontId="1" fillId="0" borderId="0" xfId="0" applyFont="1">
      <alignment vertical="center"/>
    </xf>
    <xf numFmtId="49" fontId="1" fillId="0" borderId="0" xfId="0" applyNumberFormat="1" applyFont="1">
      <alignment vertical="center"/>
    </xf>
    <xf numFmtId="0" fontId="1" fillId="0" borderId="0" xfId="0" applyFont="1" applyAlignment="1">
      <alignment horizontal="center" vertical="center"/>
    </xf>
    <xf numFmtId="9" fontId="1" fillId="0" borderId="0" xfId="0" applyNumberFormat="1" applyFont="1">
      <alignment vertical="center"/>
    </xf>
    <xf numFmtId="0" fontId="1" fillId="0" borderId="6" xfId="0" applyFont="1" applyBorder="1">
      <alignment vertical="center"/>
    </xf>
    <xf numFmtId="49" fontId="1" fillId="0" borderId="6" xfId="0" applyNumberFormat="1" applyFont="1" applyBorder="1">
      <alignment vertical="center"/>
    </xf>
    <xf numFmtId="0" fontId="1" fillId="0" borderId="6" xfId="0" applyFont="1" applyBorder="1" applyAlignment="1">
      <alignment horizontal="center" vertical="center"/>
    </xf>
    <xf numFmtId="9" fontId="1" fillId="0" borderId="6" xfId="0" applyNumberFormat="1" applyFont="1" applyBorder="1">
      <alignment vertical="center"/>
    </xf>
    <xf numFmtId="0" fontId="20" fillId="3" borderId="40" xfId="0" applyNumberFormat="1" applyFont="1" applyFill="1" applyBorder="1" applyAlignment="1">
      <alignment horizontal="center" vertical="center"/>
    </xf>
    <xf numFmtId="9" fontId="20" fillId="3" borderId="40" xfId="0" applyNumberFormat="1" applyFont="1" applyFill="1" applyBorder="1" applyAlignment="1">
      <alignment horizontal="center" vertical="center"/>
    </xf>
    <xf numFmtId="0" fontId="5" fillId="3" borderId="32" xfId="0" applyNumberFormat="1" applyFont="1" applyFill="1" applyBorder="1" applyAlignment="1">
      <alignment horizontal="center" vertical="center"/>
    </xf>
    <xf numFmtId="49" fontId="22" fillId="3" borderId="40" xfId="0" applyNumberFormat="1" applyFont="1" applyFill="1" applyBorder="1" applyAlignment="1">
      <alignment horizontal="center" vertical="center"/>
    </xf>
    <xf numFmtId="0" fontId="15" fillId="0" borderId="6" xfId="0" applyNumberFormat="1" applyFont="1" applyFill="1" applyBorder="1" applyAlignment="1">
      <alignment horizontal="left" vertical="center"/>
    </xf>
    <xf numFmtId="180" fontId="15" fillId="0" borderId="6" xfId="0" applyNumberFormat="1" applyFont="1" applyFill="1" applyBorder="1" applyAlignment="1">
      <alignment vertical="center" wrapText="1"/>
    </xf>
    <xf numFmtId="0" fontId="15" fillId="5" borderId="6" xfId="0" applyFont="1" applyFill="1" applyBorder="1" applyAlignment="1">
      <alignment horizontal="left" vertical="center"/>
    </xf>
    <xf numFmtId="0" fontId="15" fillId="0" borderId="6" xfId="0" applyFont="1" applyFill="1" applyBorder="1">
      <alignment vertical="center"/>
    </xf>
    <xf numFmtId="180" fontId="15" fillId="0" borderId="6" xfId="0" applyNumberFormat="1" applyFont="1" applyFill="1" applyBorder="1" applyAlignment="1">
      <alignment horizontal="right" vertical="center" wrapText="1"/>
    </xf>
    <xf numFmtId="0" fontId="15" fillId="0" borderId="6" xfId="0" applyFont="1" applyFill="1" applyBorder="1" applyAlignment="1">
      <alignment horizontal="left" vertical="center"/>
    </xf>
    <xf numFmtId="0" fontId="23" fillId="0" borderId="6" xfId="0" applyNumberFormat="1" applyFont="1" applyFill="1" applyBorder="1" applyAlignment="1">
      <alignment vertical="center"/>
    </xf>
    <xf numFmtId="0" fontId="11" fillId="0" borderId="6" xfId="0" applyFont="1" applyBorder="1">
      <alignment vertical="center"/>
    </xf>
    <xf numFmtId="0" fontId="15" fillId="0" borderId="6" xfId="0" applyFont="1" applyBorder="1">
      <alignment vertical="center"/>
    </xf>
    <xf numFmtId="0" fontId="24" fillId="0" borderId="6" xfId="0" applyFont="1" applyBorder="1">
      <alignment vertical="center"/>
    </xf>
    <xf numFmtId="0" fontId="0" fillId="0" borderId="6" xfId="0" applyBorder="1">
      <alignment vertical="center"/>
    </xf>
    <xf numFmtId="0" fontId="0" fillId="0" borderId="0" xfId="0" pivotButton="1">
      <alignment vertical="center"/>
    </xf>
    <xf numFmtId="0" fontId="0" fillId="0" borderId="0" xfId="0" applyBorder="1" applyAlignment="1">
      <alignment horizontal="left" vertical="center"/>
    </xf>
    <xf numFmtId="0" fontId="0" fillId="0" borderId="41" xfId="0" applyNumberFormat="1" applyBorder="1">
      <alignment vertical="center"/>
    </xf>
    <xf numFmtId="0" fontId="0" fillId="0" borderId="41" xfId="0" applyBorder="1" applyAlignment="1">
      <alignment horizontal="left" vertical="center"/>
    </xf>
    <xf numFmtId="0" fontId="1" fillId="7" borderId="6" xfId="0" applyFont="1" applyFill="1" applyBorder="1">
      <alignment vertical="center"/>
    </xf>
    <xf numFmtId="0" fontId="1" fillId="0" borderId="6" xfId="0" applyFont="1" applyFill="1" applyBorder="1">
      <alignment vertical="center"/>
    </xf>
    <xf numFmtId="0" fontId="11" fillId="0" borderId="0" xfId="0" applyFont="1" applyAlignment="1">
      <alignment horizontal="center" vertical="center"/>
    </xf>
    <xf numFmtId="0" fontId="11" fillId="0" borderId="0" xfId="0" applyFont="1" applyBorder="1" applyAlignment="1">
      <alignment horizontal="center" vertical="center"/>
    </xf>
    <xf numFmtId="0" fontId="11" fillId="0" borderId="42" xfId="0" applyFont="1" applyBorder="1" applyAlignment="1">
      <alignment horizontal="center" vertical="center"/>
    </xf>
    <xf numFmtId="0" fontId="11" fillId="0" borderId="43" xfId="0" applyFont="1" applyBorder="1" applyAlignment="1">
      <alignment horizontal="center" vertical="center"/>
    </xf>
    <xf numFmtId="0" fontId="27" fillId="8" borderId="44" xfId="0" applyNumberFormat="1" applyFont="1" applyFill="1" applyBorder="1" applyAlignment="1">
      <alignment horizontal="center" vertical="center"/>
    </xf>
    <xf numFmtId="0" fontId="27" fillId="8" borderId="44" xfId="0" applyFont="1" applyFill="1" applyBorder="1" applyAlignment="1">
      <alignment horizontal="center" vertical="center"/>
    </xf>
    <xf numFmtId="0" fontId="11" fillId="4" borderId="44" xfId="0" applyFont="1" applyFill="1" applyBorder="1" applyAlignment="1">
      <alignment horizontal="center" vertical="center"/>
    </xf>
    <xf numFmtId="0" fontId="11" fillId="0" borderId="44" xfId="0" applyFont="1" applyBorder="1" applyAlignment="1">
      <alignment horizontal="center" vertical="center"/>
    </xf>
    <xf numFmtId="181" fontId="11" fillId="0" borderId="44" xfId="0" applyNumberFormat="1" applyFont="1" applyBorder="1" applyAlignment="1">
      <alignment horizontal="center" vertical="center"/>
    </xf>
    <xf numFmtId="9" fontId="11" fillId="0" borderId="44" xfId="0" applyNumberFormat="1" applyFont="1" applyBorder="1" applyAlignment="1">
      <alignment horizontal="center" vertical="center"/>
    </xf>
    <xf numFmtId="0" fontId="18" fillId="2" borderId="23"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6" borderId="22"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2" borderId="24" xfId="0" applyFont="1" applyFill="1" applyBorder="1" applyAlignment="1">
      <alignment horizontal="center" vertical="center" wrapText="1"/>
    </xf>
    <xf numFmtId="0" fontId="18" fillId="2" borderId="4" xfId="0" applyFont="1" applyFill="1" applyBorder="1" applyAlignment="1">
      <alignment horizontal="center" vertical="center" wrapText="1"/>
    </xf>
    <xf numFmtId="176" fontId="17" fillId="6" borderId="14" xfId="0" applyNumberFormat="1" applyFont="1" applyFill="1" applyBorder="1" applyAlignment="1">
      <alignment horizontal="center" vertical="center"/>
    </xf>
    <xf numFmtId="176" fontId="17" fillId="6" borderId="18" xfId="0" applyNumberFormat="1" applyFont="1" applyFill="1" applyBorder="1" applyAlignment="1">
      <alignment horizontal="center" vertical="center"/>
    </xf>
    <xf numFmtId="176" fontId="17" fillId="6" borderId="19" xfId="0" applyNumberFormat="1" applyFont="1" applyFill="1" applyBorder="1" applyAlignment="1">
      <alignment horizontal="center" vertical="center"/>
    </xf>
    <xf numFmtId="176" fontId="17" fillId="6" borderId="22" xfId="0" applyNumberFormat="1" applyFont="1" applyFill="1" applyBorder="1" applyAlignment="1">
      <alignment horizontal="center" vertical="center"/>
    </xf>
    <xf numFmtId="176" fontId="17" fillId="6" borderId="20" xfId="0" applyNumberFormat="1" applyFont="1" applyFill="1" applyBorder="1" applyAlignment="1">
      <alignment horizontal="center" vertical="center"/>
    </xf>
    <xf numFmtId="176" fontId="17" fillId="6" borderId="21" xfId="0" applyNumberFormat="1" applyFont="1" applyFill="1" applyBorder="1" applyAlignment="1">
      <alignment horizontal="center" vertical="center"/>
    </xf>
    <xf numFmtId="0" fontId="7" fillId="0" borderId="0" xfId="0" applyFont="1" applyAlignment="1">
      <alignment horizontal="center" vertical="center"/>
    </xf>
    <xf numFmtId="9" fontId="27" fillId="8" borderId="44" xfId="0" applyNumberFormat="1" applyFont="1" applyFill="1" applyBorder="1" applyAlignment="1">
      <alignment horizontal="center" vertical="center"/>
    </xf>
  </cellXfs>
  <cellStyles count="3">
    <cellStyle name="常规" xfId="0" builtinId="0"/>
    <cellStyle name="常规 2" xfId="1"/>
    <cellStyle name="常规 3" xfId="2"/>
  </cellStyles>
  <dxfs count="22">
    <dxf>
      <font>
        <color auto="1"/>
      </font>
      <fill>
        <patternFill>
          <bgColor rgb="FFFFC000"/>
        </patternFill>
      </fill>
    </dxf>
    <dxf>
      <fill>
        <patternFill>
          <bgColor rgb="FFFF0000"/>
        </patternFill>
      </fill>
    </dxf>
    <dxf>
      <border>
        <horizontal/>
      </border>
    </dxf>
    <dxf>
      <border>
        <horizontal/>
      </border>
    </dxf>
    <dxf>
      <border>
        <horizontal/>
      </border>
    </dxf>
    <dxf>
      <border>
        <horizontal/>
      </border>
    </dxf>
    <dxf>
      <border>
        <bottom style="thin">
          <color indexed="64"/>
        </bottom>
      </border>
    </dxf>
    <dxf>
      <border>
        <bottom style="thin">
          <color indexed="64"/>
        </bottom>
      </border>
    </dxf>
    <dxf>
      <border>
        <horizontal/>
      </border>
    </dxf>
    <dxf>
      <border>
        <horizontal/>
      </border>
    </dxf>
    <dxf>
      <border>
        <horizontal/>
      </border>
    </dxf>
    <dxf>
      <border>
        <horizontal/>
      </border>
    </dxf>
    <dxf>
      <border>
        <bottom style="thin">
          <color indexed="64"/>
        </bottom>
      </border>
    </dxf>
    <dxf>
      <border>
        <bottom style="thin">
          <color indexed="64"/>
        </bottom>
      </border>
    </dxf>
    <dxf>
      <border>
        <bottom style="thin">
          <color indexed="64"/>
        </bottom>
      </border>
    </dxf>
    <dxf>
      <border>
        <horizontal/>
      </border>
    </dxf>
    <dxf>
      <border>
        <horizontal/>
      </border>
    </dxf>
    <dxf>
      <border>
        <horizontal/>
      </border>
    </dxf>
    <dxf>
      <border>
        <horizontal/>
      </border>
    </dxf>
    <dxf>
      <border>
        <bottom style="thin">
          <color indexed="64"/>
        </bottom>
      </border>
    </dxf>
    <dxf>
      <border>
        <bottom style="thin">
          <color indexed="64"/>
        </bottom>
      </border>
    </dxf>
    <dxf>
      <border>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zh-CN" sz="1800" b="1" i="0" baseline="0">
                <a:effectLst/>
              </a:rPr>
              <a:t>完成工程量分布图</a:t>
            </a:r>
            <a:endParaRPr lang="zh-CN" altLang="zh-CN">
              <a:effectLst/>
            </a:endParaRPr>
          </a:p>
        </c:rich>
      </c:tx>
      <c:layout>
        <c:manualLayout>
          <c:xMode val="edge"/>
          <c:yMode val="edge"/>
          <c:x val="0.33409369270190381"/>
          <c:y val="1.8099521716576483E-2"/>
        </c:manualLayout>
      </c:layout>
      <c:overlay val="1"/>
    </c:title>
    <c:plotArea>
      <c:layout>
        <c:manualLayout>
          <c:layoutTarget val="inner"/>
          <c:xMode val="edge"/>
          <c:yMode val="edge"/>
          <c:x val="8.5914537004857558E-2"/>
          <c:y val="0.17285803324231341"/>
          <c:w val="0.9027486774259188"/>
          <c:h val="0.7061668538375736"/>
        </c:manualLayout>
      </c:layout>
      <c:barChart>
        <c:barDir val="col"/>
        <c:grouping val="clustered"/>
        <c:ser>
          <c:idx val="1"/>
          <c:order val="0"/>
          <c:tx>
            <c:strRef>
              <c:f>总汇!$F$2</c:f>
              <c:strCache>
                <c:ptCount val="1"/>
                <c:pt idx="0">
                  <c:v>月份</c:v>
                </c:pt>
              </c:strCache>
            </c:strRef>
          </c:tx>
          <c:val>
            <c:numRef>
              <c:f>总汇!$I$3:$I$14</c:f>
              <c:numCache>
                <c:formatCode>0.00_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axId val="149408384"/>
        <c:axId val="159544064"/>
      </c:barChart>
      <c:catAx>
        <c:axId val="149408384"/>
        <c:scaling>
          <c:orientation val="minMax"/>
        </c:scaling>
        <c:axPos val="b"/>
        <c:tickLblPos val="nextTo"/>
        <c:crossAx val="159544064"/>
        <c:crosses val="autoZero"/>
        <c:auto val="1"/>
        <c:lblAlgn val="ctr"/>
        <c:lblOffset val="100"/>
      </c:catAx>
      <c:valAx>
        <c:axId val="159544064"/>
        <c:scaling>
          <c:orientation val="minMax"/>
        </c:scaling>
        <c:axPos val="l"/>
        <c:majorGridlines/>
        <c:numFmt formatCode="0.00_ " sourceLinked="1"/>
        <c:tickLblPos val="nextTo"/>
        <c:crossAx val="14940838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sz="1800" b="1" i="0" baseline="0">
                <a:effectLst/>
              </a:rPr>
              <a:t>发货</a:t>
            </a:r>
            <a:r>
              <a:rPr lang="zh-CN" altLang="zh-CN" sz="1800" b="1" i="0" baseline="0">
                <a:effectLst/>
              </a:rPr>
              <a:t>量分布图</a:t>
            </a:r>
            <a:endParaRPr lang="zh-CN" altLang="zh-CN">
              <a:effectLst/>
            </a:endParaRPr>
          </a:p>
        </c:rich>
      </c:tx>
      <c:layout>
        <c:manualLayout>
          <c:xMode val="edge"/>
          <c:yMode val="edge"/>
          <c:x val="0.33409369270190381"/>
          <c:y val="1.8099521716576483E-2"/>
        </c:manualLayout>
      </c:layout>
      <c:overlay val="1"/>
    </c:title>
    <c:plotArea>
      <c:layout>
        <c:manualLayout>
          <c:layoutTarget val="inner"/>
          <c:xMode val="edge"/>
          <c:yMode val="edge"/>
          <c:x val="8.5914537004857558E-2"/>
          <c:y val="0.17285803324231341"/>
          <c:w val="0.9027486774259188"/>
          <c:h val="0.7061668538375736"/>
        </c:manualLayout>
      </c:layout>
      <c:barChart>
        <c:barDir val="col"/>
        <c:grouping val="clustered"/>
        <c:ser>
          <c:idx val="0"/>
          <c:order val="0"/>
          <c:spPr>
            <a:solidFill>
              <a:srgbClr val="0070C0"/>
            </a:solidFill>
          </c:spPr>
          <c:val>
            <c:numRef>
              <c:f>总汇!$K$3:$K$14</c:f>
              <c:numCache>
                <c:formatCode>0.00_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axId val="159568256"/>
        <c:axId val="159569792"/>
      </c:barChart>
      <c:catAx>
        <c:axId val="159568256"/>
        <c:scaling>
          <c:orientation val="minMax"/>
        </c:scaling>
        <c:axPos val="b"/>
        <c:tickLblPos val="nextTo"/>
        <c:crossAx val="159569792"/>
        <c:crosses val="autoZero"/>
        <c:auto val="1"/>
        <c:lblAlgn val="ctr"/>
        <c:lblOffset val="100"/>
      </c:catAx>
      <c:valAx>
        <c:axId val="159569792"/>
        <c:scaling>
          <c:orientation val="minMax"/>
        </c:scaling>
        <c:axPos val="l"/>
        <c:majorGridlines/>
        <c:numFmt formatCode="0_ " sourceLinked="0"/>
        <c:tickLblPos val="nextTo"/>
        <c:crossAx val="159568256"/>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完成工程量饼图</a:t>
            </a:r>
          </a:p>
        </c:rich>
      </c:tx>
      <c:layout>
        <c:manualLayout>
          <c:xMode val="edge"/>
          <c:yMode val="edge"/>
          <c:x val="0.27276416666666681"/>
          <c:y val="1.2164750957854404E-2"/>
        </c:manualLayout>
      </c:layout>
      <c:overlay val="1"/>
    </c:title>
    <c:plotArea>
      <c:layout/>
      <c:pieChart>
        <c:varyColors val="1"/>
        <c:ser>
          <c:idx val="0"/>
          <c:order val="0"/>
          <c:spPr>
            <a:solidFill>
              <a:srgbClr val="0070C0"/>
            </a:solidFill>
          </c:spPr>
          <c:explosion val="2"/>
          <c:dPt>
            <c:idx val="0"/>
            <c:spPr>
              <a:solidFill>
                <a:srgbClr val="00B050"/>
              </a:solidFill>
            </c:spPr>
          </c:dPt>
          <c:dPt>
            <c:idx val="1"/>
            <c:spPr>
              <a:solidFill>
                <a:srgbClr val="00B0F0"/>
              </a:solidFill>
            </c:spPr>
          </c:dPt>
          <c:dPt>
            <c:idx val="2"/>
            <c:spPr>
              <a:solidFill>
                <a:srgbClr val="FFC000"/>
              </a:solidFill>
            </c:spPr>
          </c:dPt>
          <c:dPt>
            <c:idx val="4"/>
            <c:spPr>
              <a:solidFill>
                <a:srgbClr val="C00000"/>
              </a:solidFill>
            </c:spPr>
          </c:dPt>
          <c:dPt>
            <c:idx val="5"/>
            <c:spPr>
              <a:solidFill>
                <a:schemeClr val="bg1">
                  <a:lumMod val="50000"/>
                </a:schemeClr>
              </a:solidFill>
            </c:spPr>
          </c:dPt>
          <c:dLbls>
            <c:dLbl>
              <c:idx val="0"/>
              <c:layout>
                <c:manualLayout>
                  <c:x val="0.39813416666667051"/>
                  <c:y val="9.5797413793103567E-2"/>
                </c:manualLayout>
              </c:layout>
              <c:dLblPos val="bestFit"/>
              <c:showVal val="1"/>
              <c:showCatName val="1"/>
              <c:showPercent val="1"/>
              <c:separator> </c:separator>
              <c:extLst>
                <c:ext xmlns:c15="http://schemas.microsoft.com/office/drawing/2012/chart" uri="{CE6537A1-D6FC-4f65-9D91-7224C49458BB}"/>
              </c:extLst>
            </c:dLbl>
            <c:dLbl>
              <c:idx val="1"/>
              <c:layout>
                <c:manualLayout>
                  <c:x val="0.4121761111111113"/>
                  <c:y val="0.31545306513410576"/>
                </c:manualLayout>
              </c:layout>
              <c:dLblPos val="bestFit"/>
              <c:showVal val="1"/>
              <c:showCatName val="1"/>
              <c:showPercent val="1"/>
              <c:separator> </c:separator>
              <c:extLst>
                <c:ext xmlns:c15="http://schemas.microsoft.com/office/drawing/2012/chart" uri="{CE6537A1-D6FC-4f65-9D91-7224C49458BB}"/>
              </c:extLst>
            </c:dLbl>
            <c:dLbl>
              <c:idx val="2"/>
              <c:layout>
                <c:manualLayout>
                  <c:x val="0.41515055555555558"/>
                  <c:y val="0.52916666666666656"/>
                </c:manualLayout>
              </c:layout>
              <c:dLblPos val="bestFit"/>
              <c:showVal val="1"/>
              <c:showCatName val="1"/>
              <c:showPercent val="1"/>
              <c:separator> </c:separator>
              <c:extLst>
                <c:ext xmlns:c15="http://schemas.microsoft.com/office/drawing/2012/chart" uri="{CE6537A1-D6FC-4f65-9D91-7224C49458BB}"/>
              </c:extLst>
            </c:dLbl>
            <c:dLbl>
              <c:idx val="3"/>
              <c:layout>
                <c:manualLayout>
                  <c:x val="0.41311277777778388"/>
                  <c:y val="0.73928544061303536"/>
                </c:manualLayout>
              </c:layout>
              <c:dLblPos val="bestFit"/>
              <c:showVal val="1"/>
              <c:showCatName val="1"/>
              <c:showPercent val="1"/>
              <c:separator> </c:separator>
              <c:extLst>
                <c:ext xmlns:c15="http://schemas.microsoft.com/office/drawing/2012/chart" uri="{CE6537A1-D6FC-4f65-9D91-7224C49458BB}"/>
              </c:extLst>
            </c:dLbl>
            <c:dLbl>
              <c:idx val="4"/>
              <c:layout>
                <c:manualLayout>
                  <c:x val="-0.45032388888888958"/>
                  <c:y val="0.10492097701149426"/>
                </c:manualLayout>
              </c:layout>
              <c:dLblPos val="bestFit"/>
              <c:showVal val="1"/>
              <c:showCatName val="1"/>
              <c:showPercent val="1"/>
              <c:separator> </c:separator>
              <c:extLst>
                <c:ext xmlns:c15="http://schemas.microsoft.com/office/drawing/2012/chart" uri="{CE6537A1-D6FC-4f65-9D91-7224C49458BB}"/>
              </c:extLst>
            </c:dLbl>
            <c:dLbl>
              <c:idx val="5"/>
              <c:layout>
                <c:manualLayout>
                  <c:x val="-0.28481887755102792"/>
                  <c:y val="4.2576628352490424E-2"/>
                </c:manualLayout>
              </c:layout>
              <c:dLblPos val="bestFit"/>
              <c:showVal val="1"/>
              <c:showCatName val="1"/>
              <c:showPercent val="1"/>
              <c:separator> </c:separator>
              <c:extLst>
                <c:ext xmlns:c15="http://schemas.microsoft.com/office/drawing/2012/chart" uri="{CE6537A1-D6FC-4f65-9D91-7224C49458BB}"/>
              </c:extLst>
            </c:dLbl>
            <c:numFmt formatCode="0.0%" sourceLinked="0"/>
            <c:spPr>
              <a:solidFill>
                <a:schemeClr val="bg1"/>
              </a:solidFill>
              <a:scene3d>
                <a:camera prst="orthographicFront"/>
                <a:lightRig rig="threePt" dir="t"/>
              </a:scene3d>
              <a:sp3d>
                <a:bevelT w="0"/>
              </a:sp3d>
            </c:spPr>
            <c:dLblPos val="bestFit"/>
            <c:showVal val="1"/>
            <c:showCatName val="1"/>
            <c:showPercent val="1"/>
            <c:separator> </c:separator>
            <c:showLeaderLines val="1"/>
            <c:extLst>
              <c:ext xmlns:c15="http://schemas.microsoft.com/office/drawing/2012/chart" uri="{CE6537A1-D6FC-4f65-9D91-7224C49458BB}"/>
            </c:extLst>
          </c:dLbls>
          <c:cat>
            <c:strRef>
              <c:f>总汇!$F$17:$F$22</c:f>
              <c:strCache>
                <c:ptCount val="6"/>
                <c:pt idx="0">
                  <c:v>第一季度</c:v>
                </c:pt>
                <c:pt idx="1">
                  <c:v>第二季度</c:v>
                </c:pt>
                <c:pt idx="2">
                  <c:v>第三季度</c:v>
                </c:pt>
                <c:pt idx="3">
                  <c:v>第四季度</c:v>
                </c:pt>
                <c:pt idx="4">
                  <c:v>完成待审</c:v>
                </c:pt>
                <c:pt idx="5">
                  <c:v>待完成额</c:v>
                </c:pt>
              </c:strCache>
            </c:strRef>
          </c:cat>
          <c:val>
            <c:numRef>
              <c:f>总汇!$G$17:$G$22</c:f>
              <c:numCache>
                <c:formatCode>#,##0.00_ </c:formatCode>
                <c:ptCount val="6"/>
                <c:pt idx="0">
                  <c:v>0</c:v>
                </c:pt>
                <c:pt idx="1">
                  <c:v>0</c:v>
                </c:pt>
                <c:pt idx="2">
                  <c:v>0</c:v>
                </c:pt>
                <c:pt idx="3">
                  <c:v>0</c:v>
                </c:pt>
                <c:pt idx="4">
                  <c:v>0</c:v>
                </c:pt>
                <c:pt idx="5">
                  <c:v>0</c:v>
                </c:pt>
              </c:numCache>
            </c:numRef>
          </c:val>
        </c:ser>
        <c:firstSliceAng val="0"/>
      </c:pieChart>
    </c:plotArea>
    <c:plotVisOnly val="1"/>
    <c:dispBlanksAs val="zero"/>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片区合同额饼图</a:t>
            </a:r>
          </a:p>
        </c:rich>
      </c:tx>
      <c:layout>
        <c:manualLayout>
          <c:xMode val="edge"/>
          <c:yMode val="edge"/>
          <c:x val="0.25161472222222231"/>
          <c:y val="2.3088122605364012E-2"/>
        </c:manualLayout>
      </c:layout>
      <c:overlay val="1"/>
    </c:title>
    <c:plotArea>
      <c:layout/>
      <c:pieChart>
        <c:varyColors val="1"/>
        <c:ser>
          <c:idx val="0"/>
          <c:order val="0"/>
          <c:dLbls>
            <c:dLbl>
              <c:idx val="1"/>
              <c:layout>
                <c:manualLayout>
                  <c:x val="5.6531388888888888E-2"/>
                  <c:y val="-2.7638888888889407E-3"/>
                </c:manualLayout>
              </c:layout>
              <c:showCatName val="1"/>
              <c:showPercent val="1"/>
            </c:dLbl>
            <c:dLbl>
              <c:idx val="2"/>
              <c:layout>
                <c:manualLayout>
                  <c:x val="7.1175833333333327E-2"/>
                  <c:y val="0"/>
                </c:manualLayout>
              </c:layout>
              <c:showCatName val="1"/>
              <c:showPercent val="1"/>
            </c:dLbl>
            <c:dLbl>
              <c:idx val="3"/>
              <c:layout>
                <c:manualLayout>
                  <c:x val="-5.6238888888888866E-2"/>
                  <c:y val="3.1243773946360406E-2"/>
                </c:manualLayout>
              </c:layout>
              <c:showCatName val="1"/>
              <c:showPercent val="1"/>
            </c:dLbl>
            <c:dLbl>
              <c:idx val="4"/>
              <c:layout>
                <c:manualLayout>
                  <c:x val="-6.1255833333333336E-2"/>
                  <c:y val="3.8830459770114942E-2"/>
                </c:manualLayout>
              </c:layout>
              <c:showCatName val="1"/>
              <c:showPercent val="1"/>
            </c:dLbl>
            <c:dLbl>
              <c:idx val="5"/>
              <c:layout>
                <c:manualLayout>
                  <c:x val="-0.10968222222222389"/>
                  <c:y val="8.6488026819923319E-2"/>
                </c:manualLayout>
              </c:layout>
              <c:showCatName val="1"/>
              <c:showPercent val="1"/>
            </c:dLbl>
            <c:dLbl>
              <c:idx val="6"/>
              <c:layout>
                <c:manualLayout>
                  <c:x val="-0.2062172328262544"/>
                  <c:y val="1.2987012987012988E-2"/>
                </c:manualLayout>
              </c:layout>
              <c:showCatName val="1"/>
              <c:showPercent val="1"/>
            </c:dLbl>
            <c:dLbl>
              <c:idx val="7"/>
              <c:layout>
                <c:manualLayout>
                  <c:x val="-0.16017944444444446"/>
                  <c:y val="0"/>
                </c:manualLayout>
              </c:layout>
              <c:showCatName val="1"/>
              <c:showPercent val="1"/>
            </c:dLbl>
            <c:numFmt formatCode="0.0%" sourceLinked="0"/>
            <c:showCatName val="1"/>
            <c:showPercent val="1"/>
            <c:showLeaderLines val="1"/>
          </c:dLbls>
          <c:cat>
            <c:strRef>
              <c:f>总汇!$N$3:$N$10</c:f>
              <c:strCache>
                <c:ptCount val="8"/>
                <c:pt idx="0">
                  <c:v>北方片区</c:v>
                </c:pt>
                <c:pt idx="1">
                  <c:v>西北片区</c:v>
                </c:pt>
                <c:pt idx="2">
                  <c:v>华中华东</c:v>
                </c:pt>
                <c:pt idx="3">
                  <c:v>西南片区</c:v>
                </c:pt>
                <c:pt idx="4">
                  <c:v>东南片区</c:v>
                </c:pt>
                <c:pt idx="5">
                  <c:v>南方片区</c:v>
                </c:pt>
                <c:pt idx="6">
                  <c:v>新能源</c:v>
                </c:pt>
                <c:pt idx="7">
                  <c:v>数据平台</c:v>
                </c:pt>
              </c:strCache>
            </c:strRef>
          </c:cat>
          <c:val>
            <c:numRef>
              <c:f>总汇!$O$3:$O$10</c:f>
              <c:numCache>
                <c:formatCode>0.00_ </c:formatCode>
                <c:ptCount val="8"/>
                <c:pt idx="0">
                  <c:v>0</c:v>
                </c:pt>
                <c:pt idx="1">
                  <c:v>0</c:v>
                </c:pt>
                <c:pt idx="2">
                  <c:v>0</c:v>
                </c:pt>
                <c:pt idx="3">
                  <c:v>0</c:v>
                </c:pt>
                <c:pt idx="4">
                  <c:v>0</c:v>
                </c:pt>
                <c:pt idx="5">
                  <c:v>0</c:v>
                </c:pt>
                <c:pt idx="6">
                  <c:v>0</c:v>
                </c:pt>
                <c:pt idx="7">
                  <c:v>0</c:v>
                </c:pt>
              </c:numCache>
            </c:numRef>
          </c:val>
        </c:ser>
        <c:dLbls>
          <c:showVal val="1"/>
          <c:showCatName val="1"/>
        </c:dLbls>
        <c:firstSliceAng val="0"/>
      </c:pieChart>
    </c:plotArea>
    <c:plotVisOnly val="1"/>
    <c:dispBlanksAs val="zero"/>
  </c:chart>
  <c:printSettings>
    <c:headerFooter/>
    <c:pageMargins b="0.75000000000000722" l="0.70000000000000062" r="0.70000000000000062" t="0.750000000000007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zh-CN" sz="1800" b="1" i="0" u="none" strike="noStrike" baseline="0"/>
              <a:t>产品</a:t>
            </a:r>
            <a:r>
              <a:rPr lang="zh-CN" altLang="en-US" sz="1800" b="1" i="0" u="none" strike="noStrike" baseline="0"/>
              <a:t>构成饼图</a:t>
            </a:r>
            <a:endParaRPr lang="zh-CN" altLang="en-US"/>
          </a:p>
        </c:rich>
      </c:tx>
      <c:layout>
        <c:manualLayout>
          <c:xMode val="edge"/>
          <c:yMode val="edge"/>
          <c:x val="0.29366666666667113"/>
          <c:y val="1.3888888888889119E-2"/>
        </c:manualLayout>
      </c:layout>
      <c:overlay val="1"/>
    </c:title>
    <c:plotArea>
      <c:layout/>
      <c:pieChart>
        <c:varyColors val="1"/>
        <c:ser>
          <c:idx val="0"/>
          <c:order val="0"/>
          <c:dLbls>
            <c:dLbl>
              <c:idx val="1"/>
              <c:layout>
                <c:manualLayout>
                  <c:x val="0.11970924545960092"/>
                  <c:y val="-3.3762517882689612E-3"/>
                </c:manualLayout>
              </c:layout>
              <c:showVal val="1"/>
              <c:showCatName val="1"/>
              <c:showPercent val="1"/>
            </c:dLbl>
            <c:dLbl>
              <c:idx val="2"/>
              <c:layout>
                <c:manualLayout>
                  <c:x val="-7.2300493269441782E-2"/>
                  <c:y val="3.7586203012177216E-2"/>
                </c:manualLayout>
              </c:layout>
              <c:showVal val="1"/>
              <c:showCatName val="1"/>
              <c:showPercent val="1"/>
            </c:dLbl>
            <c:dLbl>
              <c:idx val="4"/>
              <c:layout>
                <c:manualLayout>
                  <c:x val="-8.7858535109384794E-2"/>
                  <c:y val="5.4471066653149082E-2"/>
                </c:manualLayout>
              </c:layout>
              <c:showVal val="1"/>
              <c:showCatName val="1"/>
              <c:showPercent val="1"/>
            </c:dLbl>
            <c:dLbl>
              <c:idx val="5"/>
              <c:layout>
                <c:manualLayout>
                  <c:x val="-9.3916531211078513E-2"/>
                  <c:y val="1.2875536480686695E-2"/>
                </c:manualLayout>
              </c:layout>
              <c:showVal val="1"/>
              <c:showCatName val="1"/>
              <c:showPercent val="1"/>
            </c:dLbl>
            <c:numFmt formatCode="0.00%" sourceLinked="0"/>
            <c:showVal val="1"/>
            <c:showCatName val="1"/>
            <c:showPercent val="1"/>
            <c:showLeaderLines val="1"/>
          </c:dLbls>
          <c:cat>
            <c:strRef>
              <c:f>总汇!$M$29:$M$34</c:f>
              <c:strCache>
                <c:ptCount val="6"/>
                <c:pt idx="0">
                  <c:v>调度主站</c:v>
                </c:pt>
                <c:pt idx="1">
                  <c:v>配网主站</c:v>
                </c:pt>
                <c:pt idx="2">
                  <c:v>应用软件</c:v>
                </c:pt>
                <c:pt idx="3">
                  <c:v>新能源</c:v>
                </c:pt>
                <c:pt idx="4">
                  <c:v>数据平台</c:v>
                </c:pt>
                <c:pt idx="5">
                  <c:v>电网其他</c:v>
                </c:pt>
              </c:strCache>
            </c:strRef>
          </c:cat>
          <c:val>
            <c:numRef>
              <c:f>总汇!$N$29:$N$34</c:f>
              <c:numCache>
                <c:formatCode>0.00_ </c:formatCode>
                <c:ptCount val="6"/>
                <c:pt idx="0">
                  <c:v>0</c:v>
                </c:pt>
                <c:pt idx="1">
                  <c:v>0</c:v>
                </c:pt>
                <c:pt idx="2" formatCode="General">
                  <c:v>0</c:v>
                </c:pt>
                <c:pt idx="3" formatCode="General">
                  <c:v>0</c:v>
                </c:pt>
                <c:pt idx="4" formatCode="General">
                  <c:v>0</c:v>
                </c:pt>
                <c:pt idx="5" formatCode="General">
                  <c:v>0</c:v>
                </c:pt>
              </c:numCache>
            </c:numRef>
          </c:val>
        </c:ser>
        <c:dLbls>
          <c:showVal val="1"/>
          <c:showCatName val="1"/>
        </c:dLbls>
        <c:firstSliceAng val="0"/>
      </c:pieChart>
    </c:plotArea>
    <c:plotVisOnly val="1"/>
    <c:dispBlanksAs val="zero"/>
  </c:chart>
  <c:printSettings>
    <c:headerFooter/>
    <c:pageMargins b="0.75000000000000711" l="0.70000000000000062" r="0.70000000000000062" t="0.750000000000007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片区完成额饼图</a:t>
            </a:r>
          </a:p>
        </c:rich>
      </c:tx>
      <c:layout>
        <c:manualLayout>
          <c:xMode val="edge"/>
          <c:yMode val="edge"/>
          <c:x val="0.25571888888888888"/>
          <c:y val="3.0411877394636015E-2"/>
        </c:manualLayout>
      </c:layout>
      <c:overlay val="1"/>
    </c:title>
    <c:plotArea>
      <c:layout/>
      <c:pieChart>
        <c:varyColors val="1"/>
        <c:ser>
          <c:idx val="0"/>
          <c:order val="0"/>
          <c:dLbls>
            <c:dLbl>
              <c:idx val="0"/>
              <c:layout>
                <c:manualLayout>
                  <c:x val="0.30609583333333334"/>
                  <c:y val="0.12925047892720309"/>
                </c:manualLayout>
              </c:layout>
              <c:showVal val="1"/>
              <c:showCatName val="1"/>
              <c:showPercent val="1"/>
            </c:dLbl>
            <c:dLbl>
              <c:idx val="2"/>
              <c:layout>
                <c:manualLayout>
                  <c:x val="-0.10121875000000002"/>
                  <c:y val="0.15042624521072934"/>
                </c:manualLayout>
              </c:layout>
              <c:showVal val="1"/>
              <c:showCatName val="1"/>
              <c:showPercent val="1"/>
            </c:dLbl>
            <c:dLbl>
              <c:idx val="7"/>
              <c:layout>
                <c:manualLayout>
                  <c:x val="-0.2791015277777778"/>
                  <c:y val="1.8247126436781627E-2"/>
                </c:manualLayout>
              </c:layout>
              <c:showVal val="1"/>
              <c:showCatName val="1"/>
              <c:showPercent val="1"/>
            </c:dLbl>
            <c:numFmt formatCode="0.00%" sourceLinked="0"/>
            <c:showVal val="1"/>
            <c:showCatName val="1"/>
            <c:showPercent val="1"/>
            <c:showLeaderLines val="1"/>
          </c:dLbls>
          <c:cat>
            <c:strRef>
              <c:f>总汇!$N$3:$N$10</c:f>
              <c:strCache>
                <c:ptCount val="8"/>
                <c:pt idx="0">
                  <c:v>北方片区</c:v>
                </c:pt>
                <c:pt idx="1">
                  <c:v>西北片区</c:v>
                </c:pt>
                <c:pt idx="2">
                  <c:v>华中华东</c:v>
                </c:pt>
                <c:pt idx="3">
                  <c:v>西南片区</c:v>
                </c:pt>
                <c:pt idx="4">
                  <c:v>东南片区</c:v>
                </c:pt>
                <c:pt idx="5">
                  <c:v>南方片区</c:v>
                </c:pt>
                <c:pt idx="6">
                  <c:v>新能源</c:v>
                </c:pt>
                <c:pt idx="7">
                  <c:v>数据平台</c:v>
                </c:pt>
              </c:strCache>
            </c:strRef>
          </c:cat>
          <c:val>
            <c:numRef>
              <c:f>总汇!$P$3:$P$10</c:f>
              <c:numCache>
                <c:formatCode>0.00_ </c:formatCode>
                <c:ptCount val="8"/>
                <c:pt idx="0">
                  <c:v>0</c:v>
                </c:pt>
                <c:pt idx="1">
                  <c:v>0</c:v>
                </c:pt>
                <c:pt idx="2">
                  <c:v>0</c:v>
                </c:pt>
                <c:pt idx="3">
                  <c:v>0</c:v>
                </c:pt>
                <c:pt idx="4">
                  <c:v>0</c:v>
                </c:pt>
                <c:pt idx="5">
                  <c:v>0</c:v>
                </c:pt>
                <c:pt idx="6">
                  <c:v>0</c:v>
                </c:pt>
                <c:pt idx="7">
                  <c:v>0</c:v>
                </c:pt>
              </c:numCache>
            </c:numRef>
          </c:val>
        </c:ser>
        <c:firstSliceAng val="0"/>
      </c:pieChart>
    </c:plotArea>
    <c:plotVisOnly val="1"/>
    <c:dispBlanksAs val="zero"/>
  </c:chart>
  <c:printSettings>
    <c:headerFooter/>
    <c:pageMargins b="0.75000000000000699" l="0.70000000000000062" r="0.70000000000000062" t="0.7500000000000069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xdr:colOff>
      <xdr:row>15</xdr:row>
      <xdr:rowOff>38097</xdr:rowOff>
    </xdr:from>
    <xdr:to>
      <xdr:col>5</xdr:col>
      <xdr:colOff>18601</xdr:colOff>
      <xdr:row>27</xdr:row>
      <xdr:rowOff>2022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390526</xdr:colOff>
      <xdr:row>15</xdr:row>
      <xdr:rowOff>38097</xdr:rowOff>
    </xdr:from>
    <xdr:to>
      <xdr:col>15</xdr:col>
      <xdr:colOff>752026</xdr:colOff>
      <xdr:row>27</xdr:row>
      <xdr:rowOff>2022</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133351</xdr:colOff>
      <xdr:row>15</xdr:row>
      <xdr:rowOff>38097</xdr:rowOff>
    </xdr:from>
    <xdr:to>
      <xdr:col>10</xdr:col>
      <xdr:colOff>294826</xdr:colOff>
      <xdr:row>27</xdr:row>
      <xdr:rowOff>2022</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27</xdr:row>
      <xdr:rowOff>133350</xdr:rowOff>
    </xdr:from>
    <xdr:to>
      <xdr:col>5</xdr:col>
      <xdr:colOff>18601</xdr:colOff>
      <xdr:row>39</xdr:row>
      <xdr:rowOff>163950</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381001</xdr:colOff>
      <xdr:row>27</xdr:row>
      <xdr:rowOff>133350</xdr:rowOff>
    </xdr:from>
    <xdr:to>
      <xdr:col>15</xdr:col>
      <xdr:colOff>742501</xdr:colOff>
      <xdr:row>39</xdr:row>
      <xdr:rowOff>163950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123826</xdr:colOff>
      <xdr:row>27</xdr:row>
      <xdr:rowOff>133350</xdr:rowOff>
    </xdr:from>
    <xdr:to>
      <xdr:col>10</xdr:col>
      <xdr:colOff>285301</xdr:colOff>
      <xdr:row>39</xdr:row>
      <xdr:rowOff>163950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2108.608936689816" createdVersion="3" refreshedVersion="4" minRefreshableVersion="3" recordCount="176">
  <cacheSource type="worksheet">
    <worksheetSource ref="A1:A1048576" sheet="合同明细"/>
  </cacheSource>
  <cacheFields count="17">
    <cacheField name="科室" numFmtId="0">
      <sharedItems containsBlank="1" count="9">
        <s v="南方"/>
        <s v="新能源"/>
        <s v="东南"/>
        <s v="北方"/>
        <s v="西北"/>
        <s v="华中华东"/>
        <s v="数据平台"/>
        <s v="西南"/>
        <m/>
      </sharedItems>
    </cacheField>
    <cacheField name="合同编号" numFmtId="0">
      <sharedItems containsBlank="1"/>
    </cacheField>
    <cacheField name="产品分类" numFmtId="0">
      <sharedItems containsBlank="1"/>
    </cacheField>
    <cacheField name="单位名称" numFmtId="0">
      <sharedItems containsBlank="1"/>
    </cacheField>
    <cacheField name="产品名称" numFmtId="0">
      <sharedItems containsBlank="1"/>
    </cacheField>
    <cacheField name="金额" numFmtId="0">
      <sharedItems containsString="0" containsBlank="1" containsNumber="1" minValue="0" maxValue="10564000"/>
    </cacheField>
    <cacheField name="工程状态" numFmtId="0">
      <sharedItems containsBlank="1" count="12">
        <s v="K.已完成待验收"/>
        <s v="M.问题合同"/>
        <s v="J.正在施工"/>
        <s v="I.软件合同待施工"/>
        <s v="H.已到货待施工"/>
        <s v="L.已验收"/>
        <s v="A.未执行"/>
        <s v="F.已总成待发货"/>
        <s v="G.发货在途"/>
        <s v="D.需齐套"/>
        <s v="C.工程设计"/>
        <m/>
      </sharedItems>
    </cacheField>
    <cacheField name="当前科室" numFmtId="0">
      <sharedItems containsBlank="1" count="10">
        <s v="南方"/>
        <s v="新能源"/>
        <s v="东南"/>
        <m/>
        <s v="西北"/>
        <s v="北方"/>
        <s v="华中华东"/>
        <s v="数据平台"/>
        <s v="西南"/>
        <s v="管理中心"/>
      </sharedItems>
    </cacheField>
    <cacheField name="进度" numFmtId="9">
      <sharedItems containsString="0" containsBlank="1" containsNumber="1" minValue="0.1" maxValue="1"/>
    </cacheField>
    <cacheField name="工程进展情况" numFmtId="0">
      <sharedItems containsBlank="1"/>
    </cacheField>
    <cacheField name="预计验&#10;收月份" numFmtId="0">
      <sharedItems containsString="0" containsBlank="1" containsNumber="1" containsInteger="1" minValue="1" maxValue="12"/>
    </cacheField>
    <cacheField name="合同形&#10;成日期" numFmtId="14">
      <sharedItems containsNonDate="0" containsDate="1" containsString="0" containsBlank="1" minDate="2011-06-02T00:00:00" maxDate="2015-04-10T00:00:00"/>
    </cacheField>
    <cacheField name="负责人" numFmtId="0">
      <sharedItems containsBlank="1"/>
    </cacheField>
    <cacheField name="验收&#10;时间" numFmtId="14">
      <sharedItems containsNonDate="0" containsDate="1" containsString="0" containsBlank="1" minDate="2015-01-23T00:00:00" maxDate="2015-04-14T00:00:00"/>
    </cacheField>
    <cacheField name="需求时间" numFmtId="14">
      <sharedItems containsDate="1" containsBlank="1" containsMixedTypes="1" minDate="2013-08-15T00:00:00" maxDate="2016-01-01T00:00:00"/>
    </cacheField>
    <cacheField name="备注" numFmtId="0">
      <sharedItems containsBlank="1" containsMixedTypes="1" containsNumber="1" minValue="7.2463768115942032E-2" maxValue="0.98"/>
    </cacheField>
    <cacheField name="发货时间 " numFmtId="14">
      <sharedItems containsNonDate="0" containsDate="1" containsString="0" containsBlank="1" minDate="2015-01-05T00:00:00" maxDate="2015-04-09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
  <r>
    <x v="0"/>
    <s v="J2011-0535"/>
    <s v="IES-600P"/>
    <s v="深圳市领步科技有限公司"/>
    <s v="深圳供电局电能质量主站升级项目系统（领步科技）"/>
    <n v="930000"/>
    <x v="0"/>
    <x v="0"/>
    <n v="0.9"/>
    <s v="【2015-4-10】项目暂时搁置，需要部门领导帮助协调。"/>
    <m/>
    <d v="2011-06-02T00:00:00"/>
    <s v="任杰"/>
    <m/>
    <s v="可能"/>
    <n v="0.3"/>
    <m/>
  </r>
  <r>
    <x v="1"/>
    <s v="J2012-0460"/>
    <s v="iES-DDS2000"/>
    <s v="太仓市水利局"/>
    <s v="太仓市水利综合监控系统"/>
    <n v="491420"/>
    <x v="1"/>
    <x v="1"/>
    <m/>
    <m/>
    <m/>
    <d v="2012-05-04T00:00:00"/>
    <s v="李德海"/>
    <m/>
    <s v="企业能源管理项目"/>
    <m/>
    <m/>
  </r>
  <r>
    <x v="1"/>
    <s v="J2012-1421"/>
    <s v="AVC"/>
    <s v="琥珀能源有限公司"/>
    <s v="衢州普星燃机热电有限公司AVC设备采购"/>
    <n v="382500"/>
    <x v="2"/>
    <x v="1"/>
    <m/>
    <s v="【2015-3-10】2015年验收，施工完毕，有块坏的硬盘未换，等电力研究院出调试报告，电力研究院在走审批流程。"/>
    <n v="4"/>
    <d v="2012-10-25T00:00:00"/>
    <s v="杜基平"/>
    <m/>
    <s v="火电AVC"/>
    <n v="0.9"/>
    <m/>
  </r>
  <r>
    <x v="2"/>
    <s v="J2013-0794"/>
    <s v="EMS-EXT"/>
    <s v="福建厦门同安县电力公司"/>
    <s v="2013-6-17厦门市同安电力有限公司小水电电量数据接入软件采购合同"/>
    <n v="55000"/>
    <x v="3"/>
    <x v="2"/>
    <m/>
    <m/>
    <n v="4"/>
    <d v="2013-06-19T00:00:00"/>
    <s v="魏洋洋"/>
    <m/>
    <m/>
    <s v="已回全款"/>
    <m/>
  </r>
  <r>
    <x v="0"/>
    <s v="J2013-0879"/>
    <s v="EMS-EXT"/>
    <s v="广东电网公司阳江供电局"/>
    <s v="2013年阳江供电局阳春县调一体化接入建设（主站软件含主站端和客户端）"/>
    <n v="200000"/>
    <x v="2"/>
    <x v="0"/>
    <m/>
    <s v="【2015-4-10】等待主站系统升级后进行，时间待定。。"/>
    <n v="6"/>
    <d v="2013-06-29T00:00:00"/>
    <s v="高正"/>
    <m/>
    <m/>
    <s v="已回全款"/>
    <m/>
  </r>
  <r>
    <x v="1"/>
    <s v="J2013-0886"/>
    <s v="AVC"/>
    <s v="陕西府谷清水川（2×300MW）电厂"/>
    <s v="陕西府谷清水川电厂AVC合同"/>
    <n v="238000"/>
    <x v="4"/>
    <x v="1"/>
    <m/>
    <s v="【2015-3-10】电厂被取消"/>
    <n v="6"/>
    <d v="2013-07-01T00:00:00"/>
    <s v="周学良"/>
    <m/>
    <s v="火电"/>
    <m/>
    <m/>
  </r>
  <r>
    <x v="3"/>
    <s v="J2013-1073"/>
    <s v="QT-B"/>
    <s v="山东聊城茌平希望电厂"/>
    <s v="山东聊城茌平希望电厂改造-QT-B"/>
    <n v="878120"/>
    <x v="5"/>
    <x v="3"/>
    <n v="1"/>
    <m/>
    <m/>
    <d v="2013-08-05T00:00:00"/>
    <s v="巴晓哲"/>
    <d v="2015-03-25T00:00:00"/>
    <d v="2013-08-15T00:00:00"/>
    <n v="0.68062679360451872"/>
    <m/>
  </r>
  <r>
    <x v="4"/>
    <s v="J2013-1191"/>
    <s v="IES-600P"/>
    <s v="和田天力电业有限责任公司"/>
    <s v="新疆农十四师电力公司调度主站"/>
    <n v="2690000"/>
    <x v="4"/>
    <x v="4"/>
    <m/>
    <s v="【2014-8-15】局方需要建设新大楼，具体施工时间待定"/>
    <m/>
    <d v="2013-08-23T00:00:00"/>
    <s v="刘政建"/>
    <m/>
    <d v="2013-10-10T00:00:00"/>
    <n v="0.5"/>
    <m/>
  </r>
  <r>
    <x v="3"/>
    <s v="J2013-1372"/>
    <s v="DMS1000E"/>
    <s v="国网辽宁省电力有限公司"/>
    <s v="辽宁省朝阳市区配网自动化工程配电主站系统，大/中规模配电主站"/>
    <n v="6904200"/>
    <x v="2"/>
    <x v="5"/>
    <m/>
    <s v="【2015-3-26】正在施工"/>
    <n v="6"/>
    <d v="2013-09-18T00:00:00"/>
    <s v="闫浩"/>
    <m/>
    <m/>
    <n v="0.5"/>
    <d v="2015-01-24T00:00:00"/>
  </r>
  <r>
    <x v="3"/>
    <s v="J2013-1423"/>
    <s v="QT-A"/>
    <s v="济南市历城区供电公司"/>
    <s v="济南历城调度备品备件采购合同"/>
    <n v="92800"/>
    <x v="5"/>
    <x v="3"/>
    <n v="0.9"/>
    <m/>
    <n v="1"/>
    <d v="2013-09-25T00:00:00"/>
    <s v="潘秀娟"/>
    <d v="2015-01-30T00:00:00"/>
    <d v="2013-10-30T00:00:00"/>
    <s v="回款96%"/>
    <m/>
  </r>
  <r>
    <x v="3"/>
    <s v="J2013-1593"/>
    <s v="QT-A"/>
    <s v="茌平信发华宇氧化铝有限公司"/>
    <s v="茌平信发华宇氧化铝有限公司RTU设备及数据网改造工程"/>
    <n v="246000"/>
    <x v="2"/>
    <x v="5"/>
    <n v="0.7"/>
    <s v="【2015-3-6】已完成，报告待拿"/>
    <n v="4"/>
    <d v="2013-10-25T00:00:00"/>
    <s v="巴晓哲"/>
    <m/>
    <d v="2013-11-25T00:00:00"/>
    <n v="0.6"/>
    <m/>
  </r>
  <r>
    <x v="4"/>
    <s v="J2013-1613"/>
    <s v="QT-A"/>
    <s v="陕西省地方电力（集团）公司"/>
    <s v="陕西彬县调配一体化主站施工维护合同"/>
    <n v="65040"/>
    <x v="5"/>
    <x v="3"/>
    <n v="1"/>
    <m/>
    <n v="3"/>
    <d v="2013-10-30T00:00:00"/>
    <s v="周学良"/>
    <d v="2015-03-25T00:00:00"/>
    <d v="2013-11-10T00:00:00"/>
    <m/>
    <m/>
  </r>
  <r>
    <x v="5"/>
    <s v="J2013-1659"/>
    <s v="QT-A"/>
    <s v="湖北省电力公司"/>
    <s v="电科院配网测试平台科技项目"/>
    <n v="1460000"/>
    <x v="2"/>
    <x v="6"/>
    <m/>
    <s v="【2015-4-1】初定4月份进行项目验收"/>
    <n v="4"/>
    <d v="2013-11-07T00:00:00"/>
    <s v="李孝伟"/>
    <m/>
    <d v="2014-06-01T00:00:00"/>
    <n v="0.5"/>
    <m/>
  </r>
  <r>
    <x v="5"/>
    <s v="J2013-1721"/>
    <s v="EMS-EXT"/>
    <s v="湖北省电力公司"/>
    <s v="随州调度主站顺控软件项目"/>
    <n v="300000"/>
    <x v="0"/>
    <x v="6"/>
    <n v="0.9"/>
    <s v="【2015-4-1】已经调试完毕，验收报告已拿,但没有跟客户签合同。"/>
    <m/>
    <d v="2013-11-14T00:00:00"/>
    <s v="李孝伟"/>
    <m/>
    <d v="2013-11-30T00:00:00"/>
    <m/>
    <m/>
  </r>
  <r>
    <x v="3"/>
    <s v="J2013-1742"/>
    <s v="QT-A"/>
    <s v="中玻蓝星（临沂）玻璃有限公司"/>
    <s v="中玻蓝星（临沂）玻璃有限公司市局调度接入配件"/>
    <n v="50000"/>
    <x v="1"/>
    <x v="5"/>
    <m/>
    <s v="【2015-3-6】合同已经取消"/>
    <m/>
    <d v="2013-11-17T00:00:00"/>
    <s v="李杰"/>
    <m/>
    <d v="2013-11-25T00:00:00"/>
    <s v="已回全款"/>
    <m/>
  </r>
  <r>
    <x v="3"/>
    <s v="J2013-1770"/>
    <s v="QT-A"/>
    <s v="济南东新热电有限公司"/>
    <s v="济南东新热电有限公司RTU及自动化数据网建设调试合同"/>
    <n v="154590"/>
    <x v="4"/>
    <x v="5"/>
    <m/>
    <s v="【2015-3-26】已完成，报告待拿"/>
    <n v="5"/>
    <d v="2013-11-19T00:00:00"/>
    <s v="潘秀娟"/>
    <m/>
    <d v="2013-12-10T00:00:00"/>
    <n v="0.78693219609530884"/>
    <m/>
  </r>
  <r>
    <x v="0"/>
    <s v="J2013-1864"/>
    <s v="DMS-EXT"/>
    <s v="广东电网公司阳江供电局"/>
    <s v="2013年阳江供电局地调EMS一体化调度功能扩充建设（智能告警模块）"/>
    <n v="192000"/>
    <x v="2"/>
    <x v="0"/>
    <m/>
    <s v="【2015-4-10】等待主站系统升级后进行，时间待定。"/>
    <n v="5"/>
    <d v="2013-11-28T00:00:00"/>
    <s v="高正"/>
    <m/>
    <m/>
    <n v="0.98"/>
    <m/>
  </r>
  <r>
    <x v="3"/>
    <s v="J2013-2176"/>
    <s v="PAS"/>
    <s v="国网山东省电力公司聊城供电公司"/>
    <s v="2013年山东聊城供电公司调度气象接入合同"/>
    <n v="338500"/>
    <x v="1"/>
    <x v="5"/>
    <m/>
    <s v="【2015-3-26】该合同没有签订！"/>
    <m/>
    <d v="2013-12-19T00:00:00"/>
    <s v="巴晓哲"/>
    <m/>
    <d v="2014-03-20T00:00:00"/>
    <m/>
    <m/>
  </r>
  <r>
    <x v="3"/>
    <s v="J2013-2201"/>
    <s v="QT-A"/>
    <s v="济南鲁源电力公司"/>
    <s v="济南供电公司备品备件（鲁源集团采购）价格确认单"/>
    <n v="299000"/>
    <x v="5"/>
    <x v="3"/>
    <n v="1"/>
    <m/>
    <n v="3"/>
    <d v="2013-12-23T00:00:00"/>
    <s v="潘秀娟"/>
    <d v="2015-03-20T00:00:00"/>
    <d v="2014-03-01T00:00:00"/>
    <n v="0.9"/>
    <m/>
  </r>
  <r>
    <x v="1"/>
    <s v="J2014-0080"/>
    <s v="iES-NE"/>
    <s v="太原重工股份有限公司"/>
    <s v="太原重工股份有限公司烟台天丰牟平水道风场综自、直流、并网监控系统"/>
    <n v="2260000"/>
    <x v="4"/>
    <x v="1"/>
    <m/>
    <s v="【2015-3-10】新风场建设进展缓慢，民事协同出现问题，现场无法开工，预计2015年才能开始施工。"/>
    <m/>
    <d v="2014-01-16T00:00:00"/>
    <s v="马宁"/>
    <m/>
    <s v="风电"/>
    <m/>
    <m/>
  </r>
  <r>
    <x v="6"/>
    <s v="J2014-0191"/>
    <s v="IDP600"/>
    <s v="中电普华营销基础数据平台公共模型信息技术合同"/>
    <s v="中电普华营销基础数据平台公共模型信息技术合同"/>
    <n v="2360000"/>
    <x v="2"/>
    <x v="7"/>
    <m/>
    <s v="【2015-4-1】用户培训完成，第二笔回款，等待最终用户验收。"/>
    <n v="12"/>
    <d v="2014-02-24T00:00:00"/>
    <s v="林国春"/>
    <m/>
    <d v="2014-04-30T00:00:00"/>
    <n v="0.6"/>
    <m/>
  </r>
  <r>
    <x v="0"/>
    <s v="J2014-0417"/>
    <s v="QT-A"/>
    <s v="广东电网公司阳江供电局"/>
    <s v="2014年阳江供电局维保合同"/>
    <n v="78000"/>
    <x v="5"/>
    <x v="3"/>
    <n v="1"/>
    <m/>
    <m/>
    <d v="2014-03-31T00:00:00"/>
    <s v="高正"/>
    <d v="2015-02-28T00:00:00"/>
    <d v="2014-12-31T00:00:00"/>
    <s v="已回全款"/>
    <m/>
  </r>
  <r>
    <x v="0"/>
    <s v="J2014-0437"/>
    <s v="QT-A"/>
    <s v="广州供电局有限公司"/>
    <s v="14年广州局中心知识城20kV保护装置主站接入项目"/>
    <n v="0"/>
    <x v="3"/>
    <x v="0"/>
    <n v="0.5"/>
    <s v="【2015-4-10】功能已开发完成，等待客户确定实施时间。"/>
    <m/>
    <d v="2014-04-02T00:00:00"/>
    <s v="刘基强"/>
    <m/>
    <d v="2014-12-31T00:00:00"/>
    <m/>
    <m/>
  </r>
  <r>
    <x v="3"/>
    <s v="J2014-0715"/>
    <s v="IES-600P"/>
    <s v="鄂托克旗电力有限责任公司"/>
    <s v="内蒙古鄂托克旗电力公司调控一体化系统建设工程"/>
    <n v="2590000"/>
    <x v="4"/>
    <x v="5"/>
    <m/>
    <s v="【2015-3-26】货已发到现场，不具备施工条件"/>
    <m/>
    <d v="2014-05-09T00:00:00"/>
    <s v="鲁文"/>
    <m/>
    <d v="2014-05-20T00:00:00"/>
    <n v="0.7"/>
    <m/>
  </r>
  <r>
    <x v="0"/>
    <s v="J2014-0732"/>
    <s v="QT-A"/>
    <s v="广东梅州供电局"/>
    <s v="蕉岭、平远县调调度自动化系统系统集成商维保技术服务合同"/>
    <n v="78500"/>
    <x v="5"/>
    <x v="3"/>
    <n v="1"/>
    <m/>
    <n v="3"/>
    <d v="2014-05-14T00:00:00"/>
    <s v="王鹏"/>
    <d v="2015-03-28T00:00:00"/>
    <d v="2014-10-30T00:00:00"/>
    <n v="0.8"/>
    <m/>
  </r>
  <r>
    <x v="1"/>
    <s v="J2014-0818"/>
    <s v="iES-NE"/>
    <s v="莒南力源热电有限公司"/>
    <s v="2014年莒南力源热电有限公司热电联产在线监测系统项目"/>
    <n v="310000"/>
    <x v="5"/>
    <x v="1"/>
    <n v="1"/>
    <s v="【2015-3-3】验收审批中…"/>
    <n v="5"/>
    <d v="2014-05-27T00:00:00"/>
    <s v="李杰"/>
    <m/>
    <d v="2014-06-10T00:00:00"/>
    <m/>
    <m/>
  </r>
  <r>
    <x v="1"/>
    <s v="J2014-0819"/>
    <s v="iES-NE"/>
    <s v="大唐荣成新能源有限公司"/>
    <s v="大唐荣成新能源有限公司八河风电场并网调度自动化Ⅰ区监控设备采购合同"/>
    <n v="539000"/>
    <x v="5"/>
    <x v="3"/>
    <n v="1"/>
    <m/>
    <n v="3"/>
    <d v="2014-05-27T00:00:00"/>
    <s v="马宁"/>
    <d v="2015-03-26T00:00:00"/>
    <d v="2014-08-10T00:00:00"/>
    <n v="0.9"/>
    <m/>
  </r>
  <r>
    <x v="3"/>
    <s v="J2014-0821"/>
    <s v="iES-600"/>
    <s v="国网山东省电力公司济宁供电公司"/>
    <s v="济宁供电公司调度大屏展示系统"/>
    <n v="1345262"/>
    <x v="2"/>
    <x v="5"/>
    <m/>
    <s v="【2015-3-26】提前执行合同，金额无法统计入验收"/>
    <m/>
    <d v="2014-05-28T00:00:00"/>
    <s v="巴晓哲"/>
    <m/>
    <d v="2014-05-30T00:00:00"/>
    <m/>
    <m/>
  </r>
  <r>
    <x v="6"/>
    <s v="J2014-0869"/>
    <s v="IDP600"/>
    <s v="国网山东省电力公司信息通信公司"/>
    <s v="2014年山东第3批综合信通公司山东电网变电站集中监控系统运维服务合同"/>
    <n v="840000"/>
    <x v="5"/>
    <x v="7"/>
    <n v="1"/>
    <s v="【2015-3-25】验收审批中…"/>
    <n v="4"/>
    <d v="2014-06-09T00:00:00"/>
    <s v="潘秀娟"/>
    <m/>
    <d v="2014-12-30T00:00:00"/>
    <n v="0.3"/>
    <m/>
  </r>
  <r>
    <x v="1"/>
    <s v="J2014-0978"/>
    <s v="iES-NE"/>
    <s v="大唐邹城风力发电有限公司"/>
    <s v="大唐邹城风电场并网监控系统"/>
    <n v="1643920"/>
    <x v="4"/>
    <x v="1"/>
    <m/>
    <s v="【2015-3-10】新风场建设进展缓慢，不具备施工条件。"/>
    <n v="5"/>
    <d v="2014-06-17T00:00:00"/>
    <s v="巴晓哲"/>
    <m/>
    <d v="2014-07-30T00:00:00"/>
    <m/>
    <d v="2015-01-05T00:00:00"/>
  </r>
  <r>
    <x v="7"/>
    <s v="J2014-1009"/>
    <s v="EMS-EXT"/>
    <s v="重庆市电力公司"/>
    <s v="重庆市电力公司万州公司输电网网损统计功能改造"/>
    <n v="479934"/>
    <x v="5"/>
    <x v="8"/>
    <n v="0.9"/>
    <s v="【2015-4-10】验收审批中…"/>
    <n v="4"/>
    <d v="2014-06-20T00:00:00"/>
    <s v="陈鹏"/>
    <m/>
    <s v="6月底"/>
    <n v="0.89999999999999991"/>
    <m/>
  </r>
  <r>
    <x v="1"/>
    <s v="J2014-1011"/>
    <s v="AVC"/>
    <s v="浙江北仑电厂"/>
    <s v="北仑电厂#1机AVC装置介入RTU双平面系统项目"/>
    <n v="100000"/>
    <x v="5"/>
    <x v="3"/>
    <m/>
    <m/>
    <n v="1"/>
    <d v="2014-06-23T00:00:00"/>
    <s v="张晓亮"/>
    <d v="2015-01-23T00:00:00"/>
    <d v="2014-07-19T00:00:00"/>
    <m/>
    <m/>
  </r>
  <r>
    <x v="3"/>
    <s v="J2014-1062"/>
    <s v="QT-A"/>
    <s v="国网山东济宁市任城区供电公司"/>
    <s v="2014年山东省第一批服务类招标济宁供电公司调度自动化技术支持系统维修工程"/>
    <n v="595000"/>
    <x v="5"/>
    <x v="5"/>
    <n v="1"/>
    <s v="【2015-3-26】预留费用,多次提起验收，业务员不同意"/>
    <n v="4"/>
    <d v="2014-06-26T00:00:00"/>
    <s v="巴晓哲"/>
    <m/>
    <d v="2014-12-30T00:00:00"/>
    <n v="0.33613445378151263"/>
    <m/>
  </r>
  <r>
    <x v="0"/>
    <s v="J2014-1073"/>
    <s v="DMS-EXT"/>
    <s v="广东电网公司江门供电局"/>
    <s v="14年广东江门供电局配网用电调度管理功能模块采购合同"/>
    <n v="425000"/>
    <x v="5"/>
    <x v="3"/>
    <n v="1"/>
    <m/>
    <n v="2"/>
    <d v="2014-06-30T00:00:00"/>
    <s v="高正"/>
    <d v="2015-02-28T00:00:00"/>
    <s v="2014年8月30"/>
    <s v="已回全款"/>
    <m/>
  </r>
  <r>
    <x v="2"/>
    <s v="J2014-1188"/>
    <s v="EMS-EXT"/>
    <s v="福建省电力有限公司"/>
    <s v="国网福建省厦门供电公司电网未来态图模管理系统建设采购合同（2014-7-11）"/>
    <n v="1173000"/>
    <x v="5"/>
    <x v="3"/>
    <n v="1"/>
    <m/>
    <n v="2"/>
    <d v="2014-07-14T00:00:00"/>
    <s v="魏洋洋"/>
    <d v="2015-02-28T00:00:00"/>
    <d v="2014-07-20T00:00:00"/>
    <n v="0.4"/>
    <m/>
  </r>
  <r>
    <x v="3"/>
    <s v="J2014-1267"/>
    <s v="EMS-EXT"/>
    <s v="国网山东省电力公司物资公司"/>
    <s v="山东2014年第三批物资招标-泰安地区EMS系统变电运行实时监控设备改造工程能量管理系统,地调采购合"/>
    <n v="618000"/>
    <x v="5"/>
    <x v="5"/>
    <m/>
    <s v="【2015-4-7】 预留款，验收报告"/>
    <n v="6"/>
    <d v="2014-07-24T00:00:00"/>
    <s v="李杰"/>
    <m/>
    <d v="2014-10-30T00:00:00"/>
    <n v="0.5"/>
    <m/>
  </r>
  <r>
    <x v="3"/>
    <s v="J2014-1286"/>
    <s v="QT-A"/>
    <s v="国网山东省电力公司泰安供电公司"/>
    <s v="山东2014年第一批服务类非招标项目-泰安供电公司调度自动化系统设备维修工程"/>
    <n v="360000"/>
    <x v="5"/>
    <x v="5"/>
    <m/>
    <s v="【2015-4-7】 预留款，验收报告"/>
    <n v="4"/>
    <d v="2014-07-25T00:00:00"/>
    <s v="李杰"/>
    <m/>
    <d v="2015-05-30T00:00:00"/>
    <n v="0.9"/>
    <m/>
  </r>
  <r>
    <x v="1"/>
    <s v="J2014-1287"/>
    <s v="iES-NE"/>
    <s v="中科诺维（北京）科技有限公司"/>
    <s v="华能新能源辽宁阜新风电场集控项目"/>
    <n v="180000"/>
    <x v="3"/>
    <x v="1"/>
    <m/>
    <s v="【2015-3-10】已完成数据接入及调试，处于用户功能完善阶段。"/>
    <n v="6"/>
    <d v="2014-07-28T00:00:00"/>
    <s v="王众全"/>
    <m/>
    <d v="2014-09-20T00:00:00"/>
    <m/>
    <m/>
  </r>
  <r>
    <x v="2"/>
    <s v="J2014-1301"/>
    <s v="QT-A"/>
    <s v="福建龙岩电业局"/>
    <s v="2014-7-29国网龙岩供电公司一体化前置串口联网板采购合同"/>
    <n v="88000"/>
    <x v="0"/>
    <x v="2"/>
    <n v="0.9"/>
    <s v="【2015-3-3硬件采购】"/>
    <m/>
    <d v="2014-07-30T00:00:00"/>
    <s v="魏洋洋"/>
    <m/>
    <d v="2014-08-10T00:00:00"/>
    <m/>
    <m/>
  </r>
  <r>
    <x v="2"/>
    <s v="J2014-1334"/>
    <s v="DMS-EXT"/>
    <s v="福建省电力有限公司"/>
    <s v="福建省三明公司非统调电厂信息采集系统升级及与调控一体系统接口改造合同（2014.07.28）"/>
    <n v="393000"/>
    <x v="5"/>
    <x v="3"/>
    <m/>
    <m/>
    <n v="1"/>
    <d v="2014-08-04T00:00:00"/>
    <s v="李英杰"/>
    <d v="2015-01-23T00:00:00"/>
    <d v="2014-08-20T00:00:00"/>
    <s v="回款90%"/>
    <m/>
  </r>
  <r>
    <x v="4"/>
    <s v="J2014-1338"/>
    <s v="EMS-EXT"/>
    <s v="山西省电力公司"/>
    <s v="山西省电力公司临汾等五地区SCADA系统五防功能完善"/>
    <n v="995000"/>
    <x v="5"/>
    <x v="3"/>
    <m/>
    <m/>
    <n v="1"/>
    <d v="2014-08-04T00:00:00"/>
    <s v="靳艳强"/>
    <d v="2015-01-30T00:00:00"/>
    <d v="2014-08-20T00:00:00"/>
    <m/>
    <m/>
  </r>
  <r>
    <x v="6"/>
    <s v="J2014-1474"/>
    <s v="IDP600"/>
    <s v="国网山东省电力公司信息通信公司"/>
    <s v="2014年山东第四批综合招标信通公司调控中心电能质量在线监测系统调度配套建设项目"/>
    <n v="2356000"/>
    <x v="5"/>
    <x v="7"/>
    <n v="1"/>
    <s v="【2015-3-25】验收审批中…"/>
    <n v="4"/>
    <d v="2014-08-20T00:00:00"/>
    <s v="潘秀娟"/>
    <m/>
    <d v="2014-09-10T00:00:00"/>
    <n v="0.3"/>
    <m/>
  </r>
  <r>
    <x v="5"/>
    <s v="J2014-1598"/>
    <s v="EMS-EXT"/>
    <s v="国网江西省电力公司"/>
    <s v="赣西供电公司非统调系统"/>
    <n v="658900"/>
    <x v="2"/>
    <x v="6"/>
    <m/>
    <s v="【2015-4-1】硬件安装完成，通讯不具备，不能软件调试"/>
    <n v="5"/>
    <d v="2014-09-04T00:00:00"/>
    <s v="陈步东"/>
    <m/>
    <d v="2014-09-25T00:00:00"/>
    <n v="0.4"/>
    <m/>
  </r>
  <r>
    <x v="7"/>
    <s v="J2014-1617"/>
    <s v="QT-A"/>
    <s v="重庆市电力公司"/>
    <s v="垫江供电分公司调度主站维护项目"/>
    <n v="32000"/>
    <x v="5"/>
    <x v="3"/>
    <n v="1"/>
    <m/>
    <n v="4"/>
    <d v="2014-09-05T00:00:00"/>
    <s v="陈鹏"/>
    <d v="2015-04-03T00:00:00"/>
    <d v="2014-10-05T00:00:00"/>
    <m/>
    <m/>
  </r>
  <r>
    <x v="5"/>
    <s v="J2014-1622"/>
    <s v="QT-A"/>
    <s v="湖北省电力公司"/>
    <s v="配电自动化系统测试关键技术研究及应用-远动通道测试仪采购"/>
    <n v="97500"/>
    <x v="5"/>
    <x v="3"/>
    <n v="1"/>
    <m/>
    <m/>
    <d v="2014-09-09T00:00:00"/>
    <s v="冯君"/>
    <d v="2015-02-13T00:00:00"/>
    <d v="2014-09-15T00:00:00"/>
    <s v="已回全款"/>
    <m/>
  </r>
  <r>
    <x v="2"/>
    <s v="J2014-1628"/>
    <s v="QT-A"/>
    <s v="福建省厦门电业局"/>
    <s v="2014-9-5厦门供电公司服务器采购合同"/>
    <n v="40000"/>
    <x v="0"/>
    <x v="2"/>
    <n v="0.9"/>
    <s v="【2015-3-3硬件采购】"/>
    <m/>
    <d v="2014-09-09T00:00:00"/>
    <s v="魏洋洋"/>
    <m/>
    <d v="2014-09-15T00:00:00"/>
    <m/>
    <m/>
  </r>
  <r>
    <x v="3"/>
    <s v="J2014-1654"/>
    <s v="QT-A"/>
    <s v="杭州国电吉诚电子有限公司"/>
    <s v="2014年薛家湾调度主站前置板卡采购合同3"/>
    <n v="16800"/>
    <x v="5"/>
    <x v="3"/>
    <n v="1"/>
    <m/>
    <n v="1"/>
    <d v="2014-09-11T00:00:00"/>
    <s v="陈明光"/>
    <d v="2015-01-30T00:00:00"/>
    <d v="2014-09-15T00:00:00"/>
    <m/>
    <m/>
  </r>
  <r>
    <x v="3"/>
    <s v="J2014-1660"/>
    <s v="QT-A"/>
    <s v="国网山东省电力公司泰安供电公司"/>
    <s v="泰安电力调控人员业务技能培训管理系统"/>
    <n v="10000"/>
    <x v="5"/>
    <x v="5"/>
    <m/>
    <s v="【2015-4-7】预留款，验收报告"/>
    <n v="4"/>
    <d v="2014-09-12T00:00:00"/>
    <s v="李杰"/>
    <m/>
    <d v="2014-11-20T00:00:00"/>
    <s v="已回全款"/>
    <m/>
  </r>
  <r>
    <x v="3"/>
    <s v="J2014-1671"/>
    <s v="QT-A"/>
    <s v="国网山东济南市历城区供电公司"/>
    <s v="历城供电公司调度自动化主站系统维护工程施工合同"/>
    <n v="67000"/>
    <x v="5"/>
    <x v="3"/>
    <n v="1"/>
    <m/>
    <n v="1"/>
    <d v="2014-09-12T00:00:00"/>
    <s v="潘秀娟"/>
    <d v="2015-01-30T00:00:00"/>
    <d v="2014-09-30T00:00:00"/>
    <m/>
    <m/>
  </r>
  <r>
    <x v="0"/>
    <s v="J2014-1680"/>
    <s v="DMS1000E"/>
    <s v="云南电网公司曲靖供电局"/>
    <s v="云南电网公司曲靖供电局OCS系统建设项目-OS2地级主站配网分析应用"/>
    <n v="1470000"/>
    <x v="2"/>
    <x v="0"/>
    <m/>
    <s v="【2015-4-10】下周去南京系统总成。"/>
    <m/>
    <d v="2014-09-15T00:00:00"/>
    <s v="彭贵革"/>
    <m/>
    <d v="2014-10-30T00:00:00"/>
    <m/>
    <m/>
  </r>
  <r>
    <x v="0"/>
    <s v="J2014-1694"/>
    <s v="DMS-EXT"/>
    <s v="深圳供电局有限公司"/>
    <s v="14年深圳供电局配网主站维保项目"/>
    <n v="724200"/>
    <x v="2"/>
    <x v="0"/>
    <n v="0.5"/>
    <s v="【2015-4-10】维保合同，计划9月份验收。"/>
    <n v="9"/>
    <d v="2014-09-18T00:00:00"/>
    <s v="刘基强"/>
    <m/>
    <d v="2014-12-10T00:00:00"/>
    <n v="0.4"/>
    <m/>
  </r>
  <r>
    <x v="0"/>
    <s v="J2014-1695"/>
    <s v="EMS-EXT"/>
    <s v="广东电网公司云浮供电局"/>
    <s v="14年云浮调度自动化系统检修（县调调度自动化系统集成商）运行维护服务"/>
    <n v="98000"/>
    <x v="5"/>
    <x v="3"/>
    <n v="1"/>
    <m/>
    <n v="3"/>
    <d v="2014-09-18T00:00:00"/>
    <s v="高正"/>
    <d v="2015-03-25T00:00:00"/>
    <d v="2014-09-30T00:00:00"/>
    <s v="已回全款"/>
    <m/>
  </r>
  <r>
    <x v="5"/>
    <s v="J2014-1705"/>
    <s v="EMS-EXT"/>
    <s v="池州供电公司"/>
    <s v="安徽省池州公司2014年地县一体化体系技术支持系统建设项目"/>
    <n v="1568000"/>
    <x v="5"/>
    <x v="3"/>
    <n v="1"/>
    <m/>
    <n v="1"/>
    <d v="2014-09-18T00:00:00"/>
    <s v="晋亮亮"/>
    <d v="2015-01-23T00:00:00"/>
    <d v="2014-09-30T00:00:00"/>
    <m/>
    <m/>
  </r>
  <r>
    <x v="0"/>
    <s v="J2014-1707"/>
    <s v="EMS-EXT"/>
    <s v="国电南瑞科技股份有限公司（南区）"/>
    <s v="14年南瑞科技调度系统模型拼接接口开发项目"/>
    <n v="100000"/>
    <x v="2"/>
    <x v="0"/>
    <m/>
    <s v="【2015-4-10】已完成联调，准备拿报告。"/>
    <n v="4"/>
    <d v="2014-09-18T00:00:00"/>
    <s v="刘基强"/>
    <m/>
    <d v="2014-12-10T00:00:00"/>
    <m/>
    <m/>
  </r>
  <r>
    <x v="0"/>
    <s v="J2014-1709"/>
    <s v="DMS1000E"/>
    <s v="云南省临沧供电局"/>
    <s v="云南电网公司临沧供电局OS2地级主站配网分析应用模块"/>
    <n v="1470000"/>
    <x v="3"/>
    <x v="0"/>
    <m/>
    <s v="【2015-4-10】在烟台东方电子总部工厂总成。"/>
    <m/>
    <d v="2014-09-19T00:00:00"/>
    <s v="商建文"/>
    <m/>
    <d v="2014-12-10T00:00:00"/>
    <m/>
    <m/>
  </r>
  <r>
    <x v="1"/>
    <s v="J2014-1710"/>
    <s v="iES-NE"/>
    <s v="湖北省电力公司"/>
    <s v="华润新能源2014年度第五批电气设备招标杨村风电场风功率预测系统"/>
    <n v="370000"/>
    <x v="6"/>
    <x v="9"/>
    <m/>
    <s v="硬件设备外包"/>
    <m/>
    <d v="2014-09-19T00:00:00"/>
    <s v="刘腾"/>
    <m/>
    <d v="2014-09-30T00:00:00"/>
    <m/>
    <m/>
  </r>
  <r>
    <x v="0"/>
    <s v="J2014-1713"/>
    <s v="DMS1000E"/>
    <s v="云南电网公司西双版纳供电局"/>
    <s v="云南电网公司西双版纳供电局OS2地级主站配网分析应用模块"/>
    <n v="810000"/>
    <x v="3"/>
    <x v="0"/>
    <m/>
    <s v="【2015-4-10】软件开发阶段。"/>
    <m/>
    <d v="2014-09-19T00:00:00"/>
    <s v="商建文"/>
    <m/>
    <d v="2015-03-01T00:00:00"/>
    <m/>
    <m/>
  </r>
  <r>
    <x v="4"/>
    <s v="J2014-1727"/>
    <s v="EMS-EXT"/>
    <s v="山西省电力公司晋中供电分公司"/>
    <s v="晋中供电公司地县级电网备用调度建设工程"/>
    <n v="1796000"/>
    <x v="3"/>
    <x v="4"/>
    <m/>
    <s v="【2015-3-24】机房装修基本完毕，网络布线图已发给做机房装修的厂家。"/>
    <n v="4"/>
    <d v="2014-09-23T00:00:00"/>
    <s v="陈伟"/>
    <m/>
    <d v="2014-10-10T00:00:00"/>
    <n v="0.9"/>
    <m/>
  </r>
  <r>
    <x v="4"/>
    <s v="J2014-1728"/>
    <s v="EMS-EXT"/>
    <s v="山西阳泉供电分公司"/>
    <s v="阳泉供电公司地县级电网备用调度建设工程"/>
    <n v="1796000"/>
    <x v="3"/>
    <x v="4"/>
    <m/>
    <s v="【2015-3-24】机房装修基本完毕，网络布线图已发给做机房装修的厂家。"/>
    <n v="6"/>
    <d v="2014-09-23T00:00:00"/>
    <s v="陈伟"/>
    <m/>
    <d v="2014-10-10T00:00:00"/>
    <m/>
    <m/>
  </r>
  <r>
    <x v="0"/>
    <s v="J2014-1730"/>
    <s v="QT-A"/>
    <s v="广东电网公司湛江供电局"/>
    <s v="14年湛江调度自动化系统检修（县调系统系统集成商维保）"/>
    <n v="90000"/>
    <x v="5"/>
    <x v="3"/>
    <n v="1"/>
    <m/>
    <n v="4"/>
    <d v="2014-09-23T00:00:00"/>
    <s v="高正"/>
    <d v="2015-04-08T00:00:00"/>
    <d v="2014-10-15T00:00:00"/>
    <s v="已回全款"/>
    <m/>
  </r>
  <r>
    <x v="4"/>
    <s v="J2014-1735"/>
    <s v="QT-A"/>
    <s v="新疆天富能源股份有限公司"/>
    <s v="新疆天富能源股份有限公司石河子电网调度自动化工程配套辅助设备采购（DLP大屏幕显示系统）"/>
    <n v="4990000"/>
    <x v="7"/>
    <x v="9"/>
    <m/>
    <m/>
    <n v="6"/>
    <d v="2014-09-24T00:00:00"/>
    <s v="刘政建"/>
    <m/>
    <d v="2014-09-15T00:00:00"/>
    <n v="0.3"/>
    <m/>
  </r>
  <r>
    <x v="1"/>
    <s v="J2014-1745"/>
    <s v="iES-NE"/>
    <s v="山东济矿鲁能煤电股份有限公司阳城电厂"/>
    <s v="山东省济宁市阳城电厂热电联产及脱硫脱硝除烟除尘检测系统"/>
    <n v="530000"/>
    <x v="5"/>
    <x v="3"/>
    <m/>
    <m/>
    <n v="1"/>
    <d v="2014-09-24T00:00:00"/>
    <s v="巴晓哲"/>
    <d v="2015-01-26T00:00:00"/>
    <d v="2014-10-10T00:00:00"/>
    <s v="回款30%"/>
    <m/>
  </r>
  <r>
    <x v="2"/>
    <s v="J2014-1747"/>
    <s v="QT-A"/>
    <s v="福建省电力有限公司"/>
    <s v="2014-9-19厦门公司EMS一体化继电保护整定计算系统建设采购合同"/>
    <n v="1097500"/>
    <x v="3"/>
    <x v="2"/>
    <m/>
    <s v="【2014-2-13】转包合同"/>
    <m/>
    <d v="2014-09-24T00:00:00"/>
    <s v="魏洋洋"/>
    <m/>
    <d v="2014-09-25T00:00:00"/>
    <n v="0.53439635535307517"/>
    <m/>
  </r>
  <r>
    <x v="3"/>
    <s v="J2014-1769"/>
    <s v="QT-A"/>
    <s v="济南章源电力有限公司"/>
    <s v="章丘14年调度自动化系统及其辅助设施维修工程"/>
    <n v="174000"/>
    <x v="0"/>
    <x v="5"/>
    <n v="0.1"/>
    <s v="【2015-3-26】预留费用未回款 报告已拿 王克明处"/>
    <n v="9"/>
    <d v="2014-09-26T00:00:00"/>
    <s v="潘秀娟"/>
    <m/>
    <d v="2014-10-30T00:00:00"/>
    <m/>
    <m/>
  </r>
  <r>
    <x v="0"/>
    <s v="J2014-1805"/>
    <s v="EMS-EXT"/>
    <s v="广东电网公司阳江供电局"/>
    <s v="2014年阳江供电局调度自动化系统智能功能扩充建设"/>
    <n v="120000"/>
    <x v="2"/>
    <x v="0"/>
    <m/>
    <s v="【2015-4-10】等待主站系统升级后进行，时间待定。。"/>
    <n v="5"/>
    <d v="2014-09-29T00:00:00"/>
    <s v="高正"/>
    <m/>
    <d v="2014-11-30T00:00:00"/>
    <s v="已回全款"/>
    <m/>
  </r>
  <r>
    <x v="5"/>
    <s v="J2014-1808"/>
    <s v="IES-600P"/>
    <s v="湖南永州电业局"/>
    <s v="永州地区等三县地县调自动化系统一体化建设"/>
    <n v="815888.71"/>
    <x v="8"/>
    <x v="6"/>
    <m/>
    <s v="【2015-4-1】现场县局不具备条件接入。"/>
    <n v="5"/>
    <d v="2014-09-29T00:00:00"/>
    <s v="王文政"/>
    <m/>
    <d v="2014-10-31T00:00:00"/>
    <m/>
    <d v="2015-04-08T00:00:00"/>
  </r>
  <r>
    <x v="5"/>
    <s v="J2014-1809"/>
    <s v="IES-600P"/>
    <s v="湖南永州电业局"/>
    <s v="永州东安等五县调地县一体化EMS工程"/>
    <n v="896047.85"/>
    <x v="8"/>
    <x v="6"/>
    <m/>
    <s v="【2015-4-1】现场县局不具备条件接入。"/>
    <n v="6"/>
    <d v="2014-09-29T00:00:00"/>
    <s v="王文政"/>
    <m/>
    <d v="2014-10-31T00:00:00"/>
    <m/>
    <d v="2015-04-08T00:00:00"/>
  </r>
  <r>
    <x v="7"/>
    <s v="J2014-1814"/>
    <s v="IES-600P"/>
    <s v="四川省电力公司甘孜公司"/>
    <s v="四川甘孜电网地县级备调系统新建工程备调新建改造工程集成、电网运行稳态监控、基础平台采购合同"/>
    <n v="1207700"/>
    <x v="9"/>
    <x v="9"/>
    <m/>
    <s v="【20150306】正在协调用户发货到公司参加总成"/>
    <n v="6"/>
    <d v="2014-09-30T00:00:00"/>
    <s v="杨爱平"/>
    <m/>
    <d v="2015-01-15T00:00:00"/>
    <m/>
    <m/>
  </r>
  <r>
    <x v="1"/>
    <s v="J2014-1815"/>
    <s v="iES-NE"/>
    <s v="华能嘉祥发电有限公司"/>
    <s v="华能嘉祥电厂烟气排放检测平台改造"/>
    <n v="290000"/>
    <x v="5"/>
    <x v="3"/>
    <m/>
    <m/>
    <n v="1"/>
    <d v="2014-09-30T00:00:00"/>
    <s v="巴晓哲"/>
    <d v="2015-01-26T00:00:00"/>
    <d v="2014-10-15T00:00:00"/>
    <m/>
    <m/>
  </r>
  <r>
    <x v="4"/>
    <s v="J2014-1818"/>
    <s v="IES-600P"/>
    <s v="大同同煤集体电业有限责任公司"/>
    <s v="同煤集团智能电网信息化建设项目SCADA系统设备项目"/>
    <n v="765000"/>
    <x v="5"/>
    <x v="3"/>
    <n v="1"/>
    <m/>
    <n v="2"/>
    <d v="2014-09-30T00:00:00"/>
    <s v="靳艳强"/>
    <d v="2015-02-28T00:00:00"/>
    <d v="2014-10-15T00:00:00"/>
    <m/>
    <m/>
  </r>
  <r>
    <x v="3"/>
    <s v="J2014-1828"/>
    <s v="iES-700"/>
    <s v="国网山东省电力公司物资公司"/>
    <s v="2014年国网调度自动化系统软件竞争性谈判滨州供电公司EMS系统采购合同"/>
    <n v="10564000"/>
    <x v="5"/>
    <x v="5"/>
    <m/>
    <s v="【2015-3-26】已拿到报告，SCADA现场接入调试中"/>
    <n v="6"/>
    <d v="2014-10-09T00:00:00"/>
    <s v="王凯"/>
    <m/>
    <d v="2015-06-30T00:00:00"/>
    <n v="0.9"/>
    <m/>
  </r>
  <r>
    <x v="2"/>
    <s v="J2014-1864"/>
    <s v="QT-A"/>
    <s v="福建宁德电业局"/>
    <s v="福建省宁德公司配网主站服务器机柜及配件采购合同（2014.10.10）"/>
    <n v="92500"/>
    <x v="5"/>
    <x v="3"/>
    <n v="1"/>
    <m/>
    <n v="1"/>
    <d v="2014-10-13T00:00:00"/>
    <s v="李英杰"/>
    <d v="2015-01-30T00:00:00"/>
    <d v="2014-11-25T00:00:00"/>
    <m/>
    <m/>
  </r>
  <r>
    <x v="3"/>
    <s v="J2014-1923"/>
    <s v="EMS-EXT"/>
    <s v="SM广场（天津）有限公司"/>
    <s v="天津东丽SM城市广场用户站接入东丽调度端工程"/>
    <n v="18000"/>
    <x v="5"/>
    <x v="3"/>
    <n v="1"/>
    <m/>
    <n v="4"/>
    <d v="2014-10-17T00:00:00"/>
    <s v="王全强"/>
    <d v="2015-04-13T00:00:00"/>
    <d v="2014-10-25T00:00:00"/>
    <m/>
    <m/>
  </r>
  <r>
    <x v="3"/>
    <s v="J2014-1941"/>
    <s v="PAS"/>
    <s v="国网山东省电力公司临沂供电公司"/>
    <s v="国家电网公司2014年调度自动化系统软件采购-临沂电网调度网络分析系统"/>
    <n v="1253000"/>
    <x v="3"/>
    <x v="5"/>
    <m/>
    <m/>
    <n v="6"/>
    <d v="2014-10-20T00:00:00"/>
    <s v="李杰"/>
    <m/>
    <d v="2014-12-30T00:00:00"/>
    <n v="0.9"/>
    <m/>
  </r>
  <r>
    <x v="3"/>
    <s v="J2014-1946"/>
    <s v="PAS"/>
    <s v="国网山东省电力公司临沂供电公司"/>
    <s v="国家电网公司2014年调度自动化系统软件采购-临沂电网调度员培训仿真系统"/>
    <n v="405000"/>
    <x v="3"/>
    <x v="5"/>
    <n v="0.1"/>
    <m/>
    <n v="6"/>
    <d v="2014-10-20T00:00:00"/>
    <s v="李杰"/>
    <m/>
    <d v="2014-12-30T00:00:00"/>
    <n v="0.9"/>
    <m/>
  </r>
  <r>
    <x v="3"/>
    <s v="J2014-1947"/>
    <s v="PAS"/>
    <s v="国网山东省电力公司临沂供电公司"/>
    <s v="国家电网公司2014年调度自动化系统软件采购-临沂电网自动电压控制AVC系统"/>
    <n v="240000"/>
    <x v="3"/>
    <x v="5"/>
    <n v="0.1"/>
    <m/>
    <n v="6"/>
    <d v="2014-10-20T00:00:00"/>
    <s v="李杰"/>
    <m/>
    <d v="2014-12-30T00:00:00"/>
    <m/>
    <m/>
  </r>
  <r>
    <x v="3"/>
    <s v="J2014-1961"/>
    <s v="iES-700"/>
    <s v="国网山东省电力公司临沂供电公司"/>
    <s v="国家电网公司2014年调度自动化系统软件采购-临沂电网调度技术支持系统"/>
    <n v="8990600"/>
    <x v="5"/>
    <x v="3"/>
    <n v="0.5"/>
    <m/>
    <n v="3"/>
    <d v="2014-10-22T00:00:00"/>
    <s v="李杰"/>
    <d v="2015-03-28T00:00:00"/>
    <d v="2014-12-30T00:00:00"/>
    <n v="0.89999999888772719"/>
    <m/>
  </r>
  <r>
    <x v="1"/>
    <s v="J2014-1973"/>
    <s v="iES-NE"/>
    <s v="大唐黄岛发电有限责任公司"/>
    <s v="大唐黄岛发电有限责任公司脱硫脱硝烟气监测系统"/>
    <n v="187672"/>
    <x v="5"/>
    <x v="3"/>
    <n v="1"/>
    <m/>
    <n v="4"/>
    <d v="2014-10-22T00:00:00"/>
    <s v="韩霖"/>
    <d v="2015-04-10T00:00:00"/>
    <d v="2014-10-31T00:00:00"/>
    <n v="0.14696470588235294"/>
    <m/>
  </r>
  <r>
    <x v="0"/>
    <s v="J2014-1980"/>
    <s v="DMS1000E"/>
    <s v="广西博联信息通信技术有限责任公司"/>
    <s v="广西电网公司南宁供电局新建OS2地级主站配网及用电调度技术支撑系统项目"/>
    <n v="603000"/>
    <x v="2"/>
    <x v="0"/>
    <m/>
    <s v="【2015-4-10】正在完善功能。"/>
    <n v="4"/>
    <d v="2014-10-23T00:00:00"/>
    <s v="李萍"/>
    <m/>
    <d v="2014-11-20T00:00:00"/>
    <m/>
    <m/>
  </r>
  <r>
    <x v="1"/>
    <s v="J2014-2024"/>
    <s v="AVC"/>
    <s v="国电物资山东配送有限公司"/>
    <s v="国电聊城发电有限公司AVC工控机采购"/>
    <n v="27000"/>
    <x v="5"/>
    <x v="3"/>
    <n v="0.9"/>
    <m/>
    <n v="1"/>
    <d v="2014-10-28T00:00:00"/>
    <s v="巴晓哲"/>
    <d v="2015-01-30T00:00:00"/>
    <d v="2014-11-15T00:00:00"/>
    <s v="已回全款"/>
    <m/>
  </r>
  <r>
    <x v="7"/>
    <s v="J2014-2064"/>
    <s v="QT-A"/>
    <s v="重庆市电力公司"/>
    <s v="重庆江北局配网自动化DMS主站系统软件运行维护和技术支持服务合同"/>
    <n v="50000"/>
    <x v="2"/>
    <x v="8"/>
    <n v="0.3"/>
    <s v="【20150315】运维合同，正在实施"/>
    <n v="6"/>
    <d v="2014-11-03T00:00:00"/>
    <s v="陈鹏"/>
    <m/>
    <d v="2014-11-30T00:00:00"/>
    <n v="0.9"/>
    <m/>
  </r>
  <r>
    <x v="3"/>
    <s v="J2014-2065"/>
    <s v="DMS1000E"/>
    <s v="西乌旗电力有限责任公司"/>
    <s v="2014年锡林郭勒盟西乌旗配网主站及终端采购项目"/>
    <n v="971600"/>
    <x v="4"/>
    <x v="5"/>
    <n v="0.1"/>
    <s v="【2015-3-26】集成合同，东方电子软件施工"/>
    <n v="6"/>
    <d v="2014-11-03T00:00:00"/>
    <s v="杨景"/>
    <m/>
    <d v="2014-11-20T00:00:00"/>
    <n v="0.5650473445862495"/>
    <m/>
  </r>
  <r>
    <x v="3"/>
    <s v="J2014-2067"/>
    <s v="QT-A"/>
    <s v="国网山东省电力公司聊城供电公司"/>
    <s v="国网山东省电力公司聊城供电公司调控中心技术革新合同"/>
    <n v="21200"/>
    <x v="6"/>
    <x v="9"/>
    <m/>
    <s v="【2015-3-26】预留费用"/>
    <n v="6"/>
    <d v="2014-11-03T00:00:00"/>
    <s v="巴晓哲"/>
    <m/>
    <d v="2014-11-30T00:00:00"/>
    <m/>
    <m/>
  </r>
  <r>
    <x v="3"/>
    <s v="J2014-2092"/>
    <s v="DMS-EXT"/>
    <s v="辽宁沈阳供电公司"/>
    <s v="配电自动化主站数据转发及算法交互接口开发"/>
    <n v="245000"/>
    <x v="3"/>
    <x v="5"/>
    <m/>
    <m/>
    <m/>
    <d v="2014-11-05T00:00:00"/>
    <s v="闫浩"/>
    <m/>
    <d v="2014-12-30T00:00:00"/>
    <n v="0.3"/>
    <m/>
  </r>
  <r>
    <x v="1"/>
    <s v="J2014-2119"/>
    <s v="iES-NE"/>
    <s v="山东安正系统工程有限公司"/>
    <s v="山东日照新源热力2×300MW机组热电联产烟气监测系统合同"/>
    <n v="200000"/>
    <x v="2"/>
    <x v="1"/>
    <m/>
    <s v="【2015-3-10】硬件已安装，现场条件不具备，数据尚未接入。"/>
    <n v="4"/>
    <d v="2014-11-07T00:00:00"/>
    <s v="韩霖"/>
    <m/>
    <d v="2014-11-25T00:00:00"/>
    <s v="已回全款"/>
    <m/>
  </r>
  <r>
    <x v="3"/>
    <s v="J2014-2138"/>
    <s v="QT-A"/>
    <s v="杭州国电吉诚电子有限公司"/>
    <s v="2014年薛家湾调度主站前置板卡采购合同4"/>
    <n v="8700"/>
    <x v="5"/>
    <x v="3"/>
    <n v="0.9"/>
    <m/>
    <n v="1"/>
    <d v="2014-11-11T00:00:00"/>
    <s v="朱文豹"/>
    <d v="2015-01-30T00:00:00"/>
    <d v="2014-11-11T00:00:00"/>
    <m/>
    <m/>
  </r>
  <r>
    <x v="0"/>
    <s v="J2014-2156"/>
    <s v="QT-A"/>
    <s v="广西电网公司灵山供电公司"/>
    <s v="广西电网钦州供电局地调直采灵山供电公司县调35kV厂站自动化信息改造项目"/>
    <n v="30000"/>
    <x v="4"/>
    <x v="0"/>
    <n v="0.1"/>
    <s v="【2015-4-10】等待变电站改造施工。"/>
    <m/>
    <d v="2014-11-14T00:00:00"/>
    <s v="李萍"/>
    <m/>
    <d v="2014-12-10T00:00:00"/>
    <s v="已回全款"/>
    <m/>
  </r>
  <r>
    <x v="1"/>
    <s v="J2014-2167"/>
    <s v="iES-NE"/>
    <s v="曲阜圣城热电有限公司"/>
    <s v="曲阜圣城热电有限公司烟气排放监测平台子站"/>
    <n v="395000"/>
    <x v="5"/>
    <x v="3"/>
    <n v="1"/>
    <m/>
    <m/>
    <d v="2014-11-17T00:00:00"/>
    <s v="巴晓哲"/>
    <d v="2015-01-26T00:00:00"/>
    <d v="2014-11-30T00:00:00"/>
    <m/>
    <m/>
  </r>
  <r>
    <x v="7"/>
    <s v="J2014-2168"/>
    <s v="QT-A"/>
    <s v="云龙供电有限公司"/>
    <s v="云南省大理供电局云龙公司调度自动化系统维护合同"/>
    <n v="22000"/>
    <x v="5"/>
    <x v="3"/>
    <n v="0.9"/>
    <m/>
    <m/>
    <d v="2014-11-17T00:00:00"/>
    <s v="乔鑫"/>
    <d v="2015-01-27T00:00:00"/>
    <d v="2014-11-20T00:00:00"/>
    <s v="已回全款"/>
    <m/>
  </r>
  <r>
    <x v="5"/>
    <s v="J2014-2247"/>
    <s v="QT-A"/>
    <s v="国网湖北省电力公司电力科学研究院"/>
    <s v="2014年11月湖北电科院加密服务器设备采购"/>
    <n v="55000"/>
    <x v="5"/>
    <x v="3"/>
    <n v="1"/>
    <m/>
    <m/>
    <d v="2014-11-26T00:00:00"/>
    <s v="冯君"/>
    <d v="2015-02-13T00:00:00"/>
    <d v="2014-12-15T00:00:00"/>
    <m/>
    <m/>
  </r>
  <r>
    <x v="3"/>
    <s v="J2014-2250"/>
    <s v="QT-A"/>
    <s v="国网山东章丘市供电公司"/>
    <s v="章丘14年调度自动化系统及其辅助设施维修工程（2）"/>
    <n v="27350"/>
    <x v="6"/>
    <x v="9"/>
    <m/>
    <s v="【2015-3-26】预留费用"/>
    <n v="6"/>
    <d v="2014-11-27T00:00:00"/>
    <s v="潘秀娟"/>
    <m/>
    <d v="2014-12-20T00:00:00"/>
    <m/>
    <m/>
  </r>
  <r>
    <x v="0"/>
    <s v="J2014-2257"/>
    <s v="QT-A"/>
    <s v="广东电网公司阳江供电局"/>
    <s v="2014年阳江地调电源插件采购"/>
    <n v="48600"/>
    <x v="5"/>
    <x v="3"/>
    <n v="1"/>
    <m/>
    <m/>
    <d v="2014-11-27T00:00:00"/>
    <s v="高正"/>
    <d v="2015-01-30T00:00:00"/>
    <d v="2014-12-03T00:00:00"/>
    <s v="已回全款"/>
    <m/>
  </r>
  <r>
    <x v="7"/>
    <s v="J2014-2264"/>
    <s v="EMS-EXT"/>
    <s v="四川眉山洪雅供电有限公司"/>
    <s v="四川洪雅供电公司调度主站扩容"/>
    <n v="198000"/>
    <x v="5"/>
    <x v="3"/>
    <n v="1"/>
    <m/>
    <n v="2"/>
    <d v="2014-11-28T00:00:00"/>
    <s v="冯益军"/>
    <d v="2015-02-28T00:00:00"/>
    <d v="2014-12-01T00:00:00"/>
    <n v="0.9"/>
    <m/>
  </r>
  <r>
    <x v="4"/>
    <s v="J2014-2269"/>
    <s v="PAS"/>
    <s v="陕西省电力公司商洛市供电公司"/>
    <s v="2014年陕西省商洛电力系统AVC程序修改技术服务合同"/>
    <n v="148000"/>
    <x v="5"/>
    <x v="3"/>
    <n v="1"/>
    <m/>
    <n v="1"/>
    <d v="2014-12-02T00:00:00"/>
    <s v="周学良"/>
    <d v="2015-01-28T00:00:00"/>
    <d v="2014-12-12T00:00:00"/>
    <s v="已回款50%"/>
    <m/>
  </r>
  <r>
    <x v="7"/>
    <s v="J2014-2272"/>
    <s v="QT-A"/>
    <s v="重庆涪陵聚龙电力有限公司"/>
    <s v="重庆聚龙电力调度自动化系统搬迁配置报价"/>
    <n v="80000"/>
    <x v="2"/>
    <x v="8"/>
    <n v="0.7"/>
    <s v="【20150306】系统搬迁正在实施，用户拟更换设备尚未到货"/>
    <n v="5"/>
    <d v="2014-12-02T00:00:00"/>
    <s v="陈宗成"/>
    <m/>
    <d v="2014-12-10T00:00:00"/>
    <m/>
    <m/>
  </r>
  <r>
    <x v="7"/>
    <s v="J2014-2290"/>
    <s v="QT-A"/>
    <s v="云南电网公司大理供电局"/>
    <s v="云南省大理供电局洱源公司调度自动化系统检修项目"/>
    <n v="60000"/>
    <x v="5"/>
    <x v="3"/>
    <n v="0.9"/>
    <s v="【20150118】用户要求2015年去现场接站维护"/>
    <m/>
    <d v="2014-12-03T00:00:00"/>
    <s v="乔鑫"/>
    <d v="2015-01-30T00:00:00"/>
    <d v="2015-05-31T00:00:00"/>
    <s v="已回全款"/>
    <m/>
  </r>
  <r>
    <x v="3"/>
    <s v="J2014-2296"/>
    <s v="DMS1000E"/>
    <s v="鄂托克旗电力有限责任公司"/>
    <s v="内蒙古鄂托克旗电力公司配网主站建设项目"/>
    <n v="1100000"/>
    <x v="7"/>
    <x v="9"/>
    <m/>
    <s v="【2015-3-26】现场不具备施工条件，等业务员通知发货"/>
    <m/>
    <d v="2014-12-04T00:00:00"/>
    <s v="朱文豹"/>
    <m/>
    <d v="2015-01-03T00:00:00"/>
    <m/>
    <m/>
  </r>
  <r>
    <x v="0"/>
    <s v="J2014-2306"/>
    <s v="DMS1000E"/>
    <s v="深圳供电局有限公司"/>
    <s v="14年深圳局配网自动化主站系统仿真软件项目"/>
    <n v="468000"/>
    <x v="3"/>
    <x v="0"/>
    <m/>
    <s v="【2015-4-10】正在进行功能开发。"/>
    <n v="6"/>
    <d v="2014-12-05T00:00:00"/>
    <s v="刘基强"/>
    <m/>
    <d v="2014-12-30T00:00:00"/>
    <m/>
    <m/>
  </r>
  <r>
    <x v="1"/>
    <s v="J2014-2324"/>
    <s v="iES-NE"/>
    <s v="华润新能源风能（济宁）有限公司"/>
    <s v="华润邹城风场二期风功率预测系统扩容设备采购与服务合同"/>
    <n v="100000"/>
    <x v="2"/>
    <x v="1"/>
    <m/>
    <s v="【2015-3-10】已完成风功率预测扩容，风机数据不具备接入条件。"/>
    <n v="5"/>
    <d v="2014-12-08T00:00:00"/>
    <s v="潘秀娟"/>
    <m/>
    <d v="2014-12-30T00:00:00"/>
    <m/>
    <m/>
  </r>
  <r>
    <x v="3"/>
    <s v="J2014-2336"/>
    <s v="QT-A"/>
    <s v="国网山东省电力公司泰安供电公司"/>
    <s v="山东2014年第九批服务类非招标采购-泰安供电公司地区AVC系统改造建设工程建设合同"/>
    <n v="915000"/>
    <x v="6"/>
    <x v="9"/>
    <m/>
    <s v="【2015-3-26】预留费用"/>
    <m/>
    <d v="2014-12-08T00:00:00"/>
    <s v="李杰"/>
    <m/>
    <d v="2014-12-30T00:00:00"/>
    <m/>
    <m/>
  </r>
  <r>
    <x v="3"/>
    <s v="J2014-2337"/>
    <s v="DOTS"/>
    <s v="固阳电力有限责任公司"/>
    <s v="包头固阳电力公司变电站仿真系统工程"/>
    <n v="340000"/>
    <x v="4"/>
    <x v="5"/>
    <m/>
    <m/>
    <m/>
    <d v="2014-12-08T00:00:00"/>
    <s v="陈明光"/>
    <m/>
    <d v="2014-12-22T00:00:00"/>
    <m/>
    <d v="2015-01-06T00:00:00"/>
  </r>
  <r>
    <x v="1"/>
    <s v="J2014-2339"/>
    <s v="iES-NE"/>
    <s v="齐鲁石化分公司热电厂"/>
    <s v="2014年山东淄博齐鲁石化热电机组在线监测系统"/>
    <n v="280000"/>
    <x v="5"/>
    <x v="1"/>
    <n v="1"/>
    <s v="【2015-3-3】电子版验收报告"/>
    <n v="4"/>
    <d v="2014-12-08T00:00:00"/>
    <s v="王凯"/>
    <m/>
    <d v="2014-12-20T00:00:00"/>
    <m/>
    <d v="2015-01-06T00:00:00"/>
  </r>
  <r>
    <x v="6"/>
    <s v="J2014-2342"/>
    <s v="IDP600"/>
    <s v="国网山东省电力公司物资公司"/>
    <s v="2014年山东省电力公司调控中心火电机组烟气排放监测平台主站系统改造工程采购合同"/>
    <n v="1790000"/>
    <x v="2"/>
    <x v="7"/>
    <m/>
    <s v="【2015-4-1】正在实施中"/>
    <n v="6"/>
    <d v="2014-12-10T00:00:00"/>
    <s v="潘秀娟"/>
    <m/>
    <d v="2015-01-30T00:00:00"/>
    <m/>
    <m/>
  </r>
  <r>
    <x v="0"/>
    <s v="J2014-2343"/>
    <s v="QT-B"/>
    <s v="广西宾阳县供电公司"/>
    <s v="广西电网宾阳供电公司调度自动化主站系统软件技术支持服务项目"/>
    <n v="70000"/>
    <x v="5"/>
    <x v="3"/>
    <n v="1"/>
    <m/>
    <m/>
    <d v="2014-12-10T00:00:00"/>
    <s v="李萍"/>
    <d v="2015-01-30T00:00:00"/>
    <d v="2014-12-15T00:00:00"/>
    <s v="已回全款"/>
    <m/>
  </r>
  <r>
    <x v="5"/>
    <s v="J2014-2351"/>
    <s v="QT-A"/>
    <s v="孝感供电公司"/>
    <s v="国网湖北省孝感供电公司220千伏变电站继电保护信息子站改造"/>
    <n v="409000"/>
    <x v="6"/>
    <x v="6"/>
    <m/>
    <m/>
    <m/>
    <d v="2014-12-10T00:00:00"/>
    <s v="许飞"/>
    <m/>
    <s v="无须备货施工"/>
    <m/>
    <m/>
  </r>
  <r>
    <x v="3"/>
    <s v="J2014-2364"/>
    <s v="QT-A"/>
    <s v="杭州国电吉诚电子有限公司"/>
    <s v="2014年薛家湾供电局板卡采购项目"/>
    <n v="7600"/>
    <x v="5"/>
    <x v="3"/>
    <n v="1"/>
    <m/>
    <m/>
    <d v="2014-12-10T00:00:00"/>
    <s v="杨景"/>
    <d v="2015-01-30T00:00:00"/>
    <d v="2014-12-07T00:00:00"/>
    <m/>
    <m/>
  </r>
  <r>
    <x v="2"/>
    <s v="J2014-2380"/>
    <s v="PAS"/>
    <s v="福建龙岩电业局"/>
    <s v="2014-12-10龙岩公司应用无功补偿装置改善电能质量和提高效益的示范工程研究（AVC功能扩展）项"/>
    <n v="182750"/>
    <x v="4"/>
    <x v="2"/>
    <n v="0.1"/>
    <s v="【2015-4-1】硬件采购"/>
    <n v="5"/>
    <d v="2014-12-11T00:00:00"/>
    <s v="魏洋洋"/>
    <m/>
    <d v="2014-12-20T00:00:00"/>
    <m/>
    <d v="2015-01-09T00:00:00"/>
  </r>
  <r>
    <x v="7"/>
    <s v="J2014-2381"/>
    <s v="QT-A"/>
    <s v="富民供电有限公司"/>
    <s v="云南电网有限责任公司昆明供电局富民供电有限公司调度自动化系统维护项目"/>
    <n v="33000"/>
    <x v="4"/>
    <x v="8"/>
    <n v="0.1"/>
    <m/>
    <m/>
    <d v="2014-12-11T00:00:00"/>
    <s v="彭贵革"/>
    <m/>
    <d v="2014-12-15T00:00:00"/>
    <m/>
    <m/>
  </r>
  <r>
    <x v="0"/>
    <s v="J2014-2383"/>
    <s v="DMS-EXT"/>
    <s v="广东电网公司惠州供电局"/>
    <s v="14年惠州供电局配网自动化规划设计技术支持系统开发科技项目功能开发及系统集成部分工程"/>
    <n v="675000"/>
    <x v="9"/>
    <x v="9"/>
    <m/>
    <s v="【2015-4-10】正在进行功能开发。"/>
    <m/>
    <d v="2014-12-11T00:00:00"/>
    <s v="刘基强"/>
    <m/>
    <d v="2015-06-30T00:00:00"/>
    <n v="0.3"/>
    <m/>
  </r>
  <r>
    <x v="7"/>
    <s v="J2014-2399"/>
    <s v="EMS-EXT"/>
    <s v="国网四川省电力公司阿坝供电公司"/>
    <s v="四川阿坝调控系统配网故障停电信息收集工具部署技术服务"/>
    <n v="50000"/>
    <x v="5"/>
    <x v="3"/>
    <n v="1"/>
    <m/>
    <n v="3"/>
    <d v="2014-12-15T00:00:00"/>
    <s v="郑丽"/>
    <d v="2015-03-25T00:00:00"/>
    <s v="等待客户通知"/>
    <m/>
    <m/>
  </r>
  <r>
    <x v="3"/>
    <s v="J2014-2401"/>
    <s v="QT-A"/>
    <s v="无棣县弘业电气有限责任公司"/>
    <s v="2014年无棣县弘业电气有限责任公司配件采购合同"/>
    <n v="80000"/>
    <x v="5"/>
    <x v="3"/>
    <n v="1"/>
    <m/>
    <n v="3"/>
    <d v="2014-12-16T00:00:00"/>
    <s v="王凯"/>
    <d v="2015-03-25T00:00:00"/>
    <d v="2015-02-01T00:00:00"/>
    <n v="0.9"/>
    <m/>
  </r>
  <r>
    <x v="7"/>
    <s v="J2014-2427"/>
    <s v="EMS-EXT"/>
    <s v="国网四川省电力公司甘孜供电公司"/>
    <s v="四川甘孜供电公司配网故障停电信息收集工具部署技术服务"/>
    <n v="50000"/>
    <x v="5"/>
    <x v="3"/>
    <n v="1"/>
    <m/>
    <n v="3"/>
    <d v="2014-12-17T00:00:00"/>
    <s v="崔鑫"/>
    <d v="2015-03-25T00:00:00"/>
    <d v="2014-12-31T00:00:00"/>
    <m/>
    <m/>
  </r>
  <r>
    <x v="0"/>
    <s v="J2014-2433"/>
    <s v="QT-A"/>
    <s v="广东省电力设计研究院"/>
    <s v="14年贵州电网公司培训与评价中心10KV及以下典型配网及自动化实训研究项目配网仿真培训主站硬件部分设"/>
    <n v="557000"/>
    <x v="10"/>
    <x v="9"/>
    <m/>
    <s v="【2015-4-10】硬件已到车间，5月份机器总成。"/>
    <n v="6"/>
    <d v="2014-12-17T00:00:00"/>
    <s v="刘基强"/>
    <m/>
    <d v="2015-01-30T00:00:00"/>
    <m/>
    <m/>
  </r>
  <r>
    <x v="1"/>
    <s v="J2014-2435"/>
    <s v="iES-NE"/>
    <s v="山东华鲁恒升化工股份有限公司"/>
    <s v="德州华鲁恒升热电联产II期脱硫脱销、除尘系统合同提前执行"/>
    <n v="219000"/>
    <x v="2"/>
    <x v="1"/>
    <m/>
    <s v="【2015-3-10】脱硫已接入，除尘、脱销未接入。"/>
    <n v="6"/>
    <d v="2014-12-17T00:00:00"/>
    <s v="潘秀娟"/>
    <m/>
    <d v="2014-12-26T00:00:00"/>
    <m/>
    <d v="2015-01-09T00:00:00"/>
  </r>
  <r>
    <x v="0"/>
    <s v="J2014-2450"/>
    <s v="EMS-EXT"/>
    <s v="广西电网公司崇左供电局"/>
    <s v="广西电网公司崇左供电局地区电网调度自动化系统远程调阅和线路跳闸损失负荷自动统计功能改造项目"/>
    <n v="497000"/>
    <x v="3"/>
    <x v="0"/>
    <m/>
    <s v="【2015-4-10】软件功能开发阶段。"/>
    <n v="5"/>
    <d v="2014-12-17T00:00:00"/>
    <s v="李萍"/>
    <m/>
    <d v="2015-01-20T00:00:00"/>
    <m/>
    <m/>
  </r>
  <r>
    <x v="7"/>
    <s v="J2014-2486"/>
    <s v="QT-A"/>
    <s v="四川省电力公司甘孜公司"/>
    <s v="四川甘孜调度前置配件销售"/>
    <n v="329000"/>
    <x v="5"/>
    <x v="3"/>
    <n v="1"/>
    <m/>
    <m/>
    <d v="2014-12-19T00:00:00"/>
    <s v="蒋春亮"/>
    <d v="2015-02-13T00:00:00"/>
    <d v="2014-12-31T00:00:00"/>
    <n v="0.7905775075987842"/>
    <d v="2015-01-15T00:00:00"/>
  </r>
  <r>
    <x v="0"/>
    <s v="J2014-2513"/>
    <s v="DMS-EXT"/>
    <s v="广东电网肇庆供电公司"/>
    <s v="14年肇庆供电局配网自动化CIM模型数据转换和校验维护"/>
    <n v="68700"/>
    <x v="2"/>
    <x v="0"/>
    <m/>
    <s v="【2015-4-10】已部署，正在试用。"/>
    <n v="4"/>
    <d v="2014-12-19T00:00:00"/>
    <s v="高正"/>
    <m/>
    <d v="2014-12-31T00:00:00"/>
    <m/>
    <m/>
  </r>
  <r>
    <x v="1"/>
    <s v="J2014-2517"/>
    <s v="iES-NE"/>
    <s v="大唐滨州发电有限公司"/>
    <s v="2014年山东大唐滨州热电联产工程"/>
    <n v="387800"/>
    <x v="4"/>
    <x v="1"/>
    <m/>
    <m/>
    <m/>
    <d v="2014-12-22T00:00:00"/>
    <s v="王凯"/>
    <m/>
    <d v="2015-01-10T00:00:00"/>
    <m/>
    <d v="2015-01-19T00:00:00"/>
  </r>
  <r>
    <x v="6"/>
    <s v="J2014-2532"/>
    <s v="IDP600"/>
    <s v="山东鲁能软件技术有限公司"/>
    <s v="2014年山东省调智能配网运行监控数据接入（鲁能软件）项目实施、服务合同"/>
    <n v="2180000"/>
    <x v="0"/>
    <x v="7"/>
    <m/>
    <s v="【2015-4-1】功能已完成，业务员正与鲁能软件沟通验收事宜"/>
    <n v="5"/>
    <d v="2014-12-23T00:00:00"/>
    <s v="潘秀娟"/>
    <m/>
    <d v="2015-01-30T00:00:00"/>
    <m/>
    <m/>
  </r>
  <r>
    <x v="1"/>
    <s v="J2014-2533"/>
    <s v="iES-NE"/>
    <s v="国电电力诸城风力发电有限公司"/>
    <s v="2014年山东潍坊国电电力诸城皇华并网调度技术支持系统"/>
    <n v="1380000"/>
    <x v="4"/>
    <x v="1"/>
    <m/>
    <m/>
    <n v="6"/>
    <d v="2014-12-23T00:00:00"/>
    <s v="王凯"/>
    <m/>
    <d v="2015-01-15T00:00:00"/>
    <n v="7.2463768115942032E-2"/>
    <d v="2015-01-26T00:00:00"/>
  </r>
  <r>
    <x v="3"/>
    <s v="J2014-2545"/>
    <s v="PAS"/>
    <s v="国网山东省电力公司济宁供电公司"/>
    <s v="济宁供电公司省地县一体化AVC系统维修工程"/>
    <n v="1058580"/>
    <x v="6"/>
    <x v="9"/>
    <m/>
    <s v="【2015-3-26】预留费用"/>
    <m/>
    <d v="2014-12-26T00:00:00"/>
    <s v="巴晓哲"/>
    <m/>
    <d v="2015-03-15T00:00:00"/>
    <n v="0.66126320164749008"/>
    <m/>
  </r>
  <r>
    <x v="7"/>
    <s v="J2014-2549"/>
    <s v="EMS-EXT"/>
    <s v="重庆市电力公司"/>
    <s v="重庆电网调度技术支持系统一体化综合监控平台建设工程"/>
    <n v="5021195.4000000004"/>
    <x v="9"/>
    <x v="9"/>
    <m/>
    <s v="【20150306】正在进行开发和设备总成"/>
    <m/>
    <d v="2014-12-30T00:00:00"/>
    <s v="陈鹏"/>
    <m/>
    <d v="2015-01-31T00:00:00"/>
    <m/>
    <m/>
  </r>
  <r>
    <x v="3"/>
    <s v="J2014-2578"/>
    <s v="IES-600P"/>
    <s v="内蒙古巴彦淖尔电业局"/>
    <s v="内蒙古磴口供电公司调控一体化系统采购项目"/>
    <n v="1980000"/>
    <x v="4"/>
    <x v="5"/>
    <m/>
    <s v="【2015-3-26】货已到现场，等待国电集成的机柜到后才能施工"/>
    <n v="6"/>
    <d v="2014-12-31T00:00:00"/>
    <s v="朱文豹"/>
    <m/>
    <d v="2014-01-13T00:00:00"/>
    <m/>
    <d v="2015-03-13T00:00:00"/>
  </r>
  <r>
    <x v="1"/>
    <s v="J2014-2579"/>
    <s v="iES-NE"/>
    <s v="华电国际山东物资有限公司"/>
    <s v="华电枣庄新能源发电有限公司台儿庄风电场一期并网调度自动化系统采购合同"/>
    <n v="2080000"/>
    <x v="7"/>
    <x v="9"/>
    <m/>
    <m/>
    <m/>
    <d v="2014-12-31T00:00:00"/>
    <s v="李杰"/>
    <m/>
    <d v="2015-03-30T00:00:00"/>
    <m/>
    <m/>
  </r>
  <r>
    <x v="4"/>
    <s v="J2014-2592"/>
    <s v="EMS-EXT"/>
    <s v="陕西省电力公司"/>
    <s v="2014年陕西省电能质量在线监测调度侧接口合同"/>
    <n v="950000"/>
    <x v="5"/>
    <x v="3"/>
    <n v="1"/>
    <m/>
    <n v="3"/>
    <d v="2014-12-31T00:00:00"/>
    <s v="周学良"/>
    <d v="2015-03-28T00:00:00"/>
    <s v="2015.01.20"/>
    <n v="0.9"/>
    <m/>
  </r>
  <r>
    <x v="1"/>
    <s v="J2015-0007"/>
    <s v="iES-NE"/>
    <s v="广州市兆能有限公司"/>
    <s v="恒运电厂AVC维保项目（定值修改）"/>
    <n v="12000"/>
    <x v="0"/>
    <x v="1"/>
    <n v="0.9"/>
    <s v="【2015-3-10】现场服务2014年6月份完成"/>
    <m/>
    <d v="2015-01-04T00:00:00"/>
    <s v="高正"/>
    <m/>
    <d v="2015-01-31T00:00:00"/>
    <m/>
    <m/>
  </r>
  <r>
    <x v="3"/>
    <s v="J2015-0013"/>
    <s v="QT-A"/>
    <s v="北京中科伏瑞电气技术有限公司"/>
    <s v="北京中科伏瑞电气技术有限公司（省调备品备件）采购合同"/>
    <n v="129000"/>
    <x v="6"/>
    <x v="9"/>
    <m/>
    <m/>
    <m/>
    <d v="2015-01-05T00:00:00"/>
    <s v="潘秀娟"/>
    <m/>
    <d v="2015-01-30T00:00:00"/>
    <s v="已回全款"/>
    <m/>
  </r>
  <r>
    <x v="2"/>
    <s v="J2015-0027"/>
    <s v="QT-A"/>
    <s v="福州亿力电力工程有限公司远通分公司"/>
    <s v="2015-1-5福州亿力电力工程有限公司远通分公司电力工程劳务作业协作合同（福州公司配电自动化系统大"/>
    <n v="97100"/>
    <x v="3"/>
    <x v="2"/>
    <n v="0.1"/>
    <m/>
    <m/>
    <d v="2015-01-06T00:00:00"/>
    <s v="魏洋洋"/>
    <m/>
    <d v="2015-01-10T00:00:00"/>
    <m/>
    <m/>
  </r>
  <r>
    <x v="7"/>
    <s v="J2015-0037"/>
    <s v="QT-A"/>
    <s v="云南淳汇电力科技有限公司"/>
    <s v="云南淳汇电力科技有限公司采购南瑞纵向加密装置合同"/>
    <n v="45000"/>
    <x v="0"/>
    <x v="8"/>
    <n v="0.9"/>
    <s v="【2015-2-6】硬件采购直发现场"/>
    <m/>
    <d v="2015-01-07T00:00:00"/>
    <s v="王众全"/>
    <m/>
    <d v="2015-01-12T00:00:00"/>
    <s v="已回全款"/>
    <m/>
  </r>
  <r>
    <x v="2"/>
    <s v="J2015-0060"/>
    <s v="QT-A"/>
    <s v="福州亿力电力工程有限公司远通分公司"/>
    <s v="2015-1-8福州亿力电力工程有限公司远通分公司配网系统服务器配件等采购合同（福州公司配电自动化系"/>
    <n v="132329"/>
    <x v="3"/>
    <x v="2"/>
    <n v="0.1"/>
    <m/>
    <m/>
    <d v="2015-01-12T00:00:00"/>
    <s v="魏洋洋"/>
    <m/>
    <d v="2015-01-15T00:00:00"/>
    <s v="已回全款"/>
    <m/>
  </r>
  <r>
    <x v="3"/>
    <s v="J2015-0070"/>
    <s v="QT-A"/>
    <s v="呼和浩特市华仁达科技有限责任公司"/>
    <s v="2015年包头市达茂电业局调度主站前置部分扩容"/>
    <n v="72000"/>
    <x v="5"/>
    <x v="5"/>
    <n v="1"/>
    <s v="【2015-4-10】验收审批中…"/>
    <n v="4"/>
    <d v="2015-01-13T00:00:00"/>
    <s v="陈明光"/>
    <m/>
    <d v="2015-01-20T00:00:00"/>
    <m/>
    <d v="2015-01-26T00:00:00"/>
  </r>
  <r>
    <x v="5"/>
    <s v="J2015-0092"/>
    <s v="PAS-EXT"/>
    <s v="湖北省电力公司"/>
    <s v="神农架供电公司调度主站负荷预测"/>
    <n v="278000"/>
    <x v="5"/>
    <x v="3"/>
    <n v="1"/>
    <m/>
    <n v="2"/>
    <d v="2015-01-16T00:00:00"/>
    <s v="刘腾"/>
    <d v="2015-02-28T00:00:00"/>
    <d v="2015-02-01T00:00:00"/>
    <m/>
    <m/>
  </r>
  <r>
    <x v="7"/>
    <s v="J2015-0098"/>
    <s v="EMS-EXT"/>
    <s v="四川省电力公司"/>
    <s v="四川电能质量在线监测阿坝甘孜地调配套改造实施服务"/>
    <n v="238000"/>
    <x v="5"/>
    <x v="8"/>
    <n v="1"/>
    <s v="【2015-3-20】验收审批中…"/>
    <n v="4"/>
    <d v="2015-01-16T00:00:00"/>
    <s v="杨爱平"/>
    <m/>
    <d v="2015-01-30T00:00:00"/>
    <m/>
    <m/>
  </r>
  <r>
    <x v="0"/>
    <s v="J2015-0101"/>
    <s v="DMS-EXT"/>
    <s v="广州供电局有限公司"/>
    <s v="2015年广州供电局配网自动化主站系统年度维保服务合同"/>
    <n v="460000"/>
    <x v="3"/>
    <x v="0"/>
    <n v="0.3"/>
    <s v="【2015-4-10】维保合同，计划12月份验收。"/>
    <m/>
    <d v="2015-01-19T00:00:00"/>
    <s v="高正"/>
    <m/>
    <d v="2015-12-31T00:00:00"/>
    <m/>
    <m/>
  </r>
  <r>
    <x v="5"/>
    <s v="J2015-0142"/>
    <s v="EMS-EXT"/>
    <s v="安徽省电力公司"/>
    <s v="2015年安徽省电力公司调度自动化主站OMS接口项目"/>
    <n v="100000"/>
    <x v="2"/>
    <x v="6"/>
    <m/>
    <s v="【2015-4-1】正在施工，走的提前执行，真正的合同还未签订"/>
    <n v="5"/>
    <d v="2015-01-26T00:00:00"/>
    <s v="晋亮亮"/>
    <m/>
    <s v="一周完成"/>
    <m/>
    <m/>
  </r>
  <r>
    <x v="2"/>
    <s v="J2015-0143"/>
    <s v="DMS-EXT"/>
    <s v="福建省电力有限公司"/>
    <s v="福建省电力有限公司公专变数据接入配网主站系统研发技术服务合同（2015.01.20）"/>
    <n v="2250000"/>
    <x v="5"/>
    <x v="3"/>
    <n v="1"/>
    <m/>
    <m/>
    <d v="2015-01-26T00:00:00"/>
    <s v="李英杰"/>
    <d v="2015-03-20T00:00:00"/>
    <d v="2015-01-30T00:00:00"/>
    <m/>
    <m/>
  </r>
  <r>
    <x v="5"/>
    <s v="J2015-0145"/>
    <s v="QT-A"/>
    <s v="湖北省电力公司"/>
    <s v="湖北丹江口电源模块采购"/>
    <n v="900"/>
    <x v="5"/>
    <x v="3"/>
    <n v="1"/>
    <m/>
    <n v="3"/>
    <d v="2015-01-27T00:00:00"/>
    <s v="刘腾"/>
    <d v="2015-03-25T00:00:00"/>
    <d v="2015-01-28T00:00:00"/>
    <m/>
    <d v="2015-01-26T00:00:00"/>
  </r>
  <r>
    <x v="7"/>
    <s v="J2015-0156"/>
    <s v="EMS-EXT"/>
    <s v="重庆市电力公司"/>
    <s v="重庆秀山供电有限责任公司调度自动化系统搬家"/>
    <n v="106000"/>
    <x v="5"/>
    <x v="3"/>
    <n v="1"/>
    <m/>
    <n v="4"/>
    <d v="2015-01-27T00:00:00"/>
    <s v="陈鹏"/>
    <d v="2015-04-03T00:00:00"/>
    <d v="2015-01-30T00:00:00"/>
    <m/>
    <d v="2015-01-30T00:00:00"/>
  </r>
  <r>
    <x v="1"/>
    <s v="J2015-0180"/>
    <s v="iES-NE"/>
    <s v="大唐(赤峰)新能源有限公司"/>
    <s v="2015年内蒙古大唐(赤峰)新能源有限公司集控中心技改硬件设备采购"/>
    <n v="1607100"/>
    <x v="4"/>
    <x v="1"/>
    <m/>
    <s v="只提供硬件设备"/>
    <m/>
    <d v="2015-02-04T00:00:00"/>
    <s v="陈明光"/>
    <m/>
    <d v="2015-03-12T00:00:00"/>
    <m/>
    <d v="2015-03-25T00:00:00"/>
  </r>
  <r>
    <x v="2"/>
    <s v="J2015-0200"/>
    <s v="DMS-EXT"/>
    <s v="福建福州电业局"/>
    <s v="福建省福州公司配网防误研究与应用研发合同"/>
    <n v="1150000"/>
    <x v="3"/>
    <x v="2"/>
    <n v="0.3"/>
    <s v="【2015-4-1】转包合同"/>
    <m/>
    <d v="2015-02-09T00:00:00"/>
    <s v="李英杰"/>
    <m/>
    <d v="2015-02-17T00:00:00"/>
    <m/>
    <m/>
  </r>
  <r>
    <x v="2"/>
    <s v="J2015-0201"/>
    <s v="QT-A"/>
    <s v="福建省泉州电业局"/>
    <s v="2015-2-5泉州供电公司新建35kV马甲变10kV祈梅线智能化遥视工程及2个开闭所环境监测工程技"/>
    <n v="551022.80000000005"/>
    <x v="3"/>
    <x v="2"/>
    <m/>
    <m/>
    <m/>
    <d v="2015-02-09T00:00:00"/>
    <s v="魏洋洋"/>
    <m/>
    <d v="2015-03-30T00:00:00"/>
    <m/>
    <m/>
  </r>
  <r>
    <x v="6"/>
    <s v="J2015-0206"/>
    <s v="IDP600"/>
    <s v="重庆市电力公司"/>
    <s v="南岸公司地调智能全息可视调度系统新建"/>
    <n v="1799501.5"/>
    <x v="4"/>
    <x v="7"/>
    <m/>
    <m/>
    <n v="6"/>
    <d v="2015-02-11T00:00:00"/>
    <s v="陈鹏"/>
    <m/>
    <d v="2015-01-31T00:00:00"/>
    <m/>
    <d v="2015-03-26T00:00:00"/>
  </r>
  <r>
    <x v="1"/>
    <s v="J2015-0237"/>
    <s v="iES-NE"/>
    <s v="济南一川科技发展有限公司"/>
    <s v="2015年济南一川科技发展有限公司AVC控制输出板采购合同"/>
    <n v="16000"/>
    <x v="5"/>
    <x v="3"/>
    <n v="1"/>
    <m/>
    <m/>
    <d v="2015-02-28T00:00:00"/>
    <s v="韩霖"/>
    <d v="2015-03-30T00:00:00"/>
    <d v="2015-03-05T00:00:00"/>
    <m/>
    <d v="2015-03-06T00:00:00"/>
  </r>
  <r>
    <x v="0"/>
    <s v="J2015-0264"/>
    <s v="QT-A"/>
    <s v="广东电网公司阳江供电局"/>
    <s v="2015年阳江供电局地调自动化系统软件与前置系统运行维护"/>
    <n v="148000"/>
    <x v="3"/>
    <x v="0"/>
    <n v="0.3"/>
    <s v="【2015-4-10】维保合同，计划12月份验收。"/>
    <m/>
    <d v="2015-03-06T00:00:00"/>
    <s v="高正"/>
    <m/>
    <d v="2015-12-31T00:00:00"/>
    <m/>
    <m/>
  </r>
  <r>
    <x v="2"/>
    <s v="J2015-0265"/>
    <s v="QT-A"/>
    <s v="福建省泉州电业局"/>
    <s v="2015-3-3泉州电力综合服务公司配网运维服务采购合同（泉州配网系统运维）"/>
    <n v="99000"/>
    <x v="3"/>
    <x v="2"/>
    <m/>
    <m/>
    <m/>
    <d v="2015-03-06T00:00:00"/>
    <s v="魏洋洋"/>
    <m/>
    <d v="2015-03-16T00:00:00"/>
    <m/>
    <m/>
  </r>
  <r>
    <x v="5"/>
    <s v="J2015-0272"/>
    <s v="QT-A"/>
    <s v="新乡卫辉县电业局"/>
    <s v="卫辉县电业局磁盘阵列维护"/>
    <n v="47000"/>
    <x v="5"/>
    <x v="3"/>
    <n v="1"/>
    <m/>
    <n v="4"/>
    <d v="2015-03-09T00:00:00"/>
    <s v="袁久明"/>
    <d v="2015-04-07T00:00:00"/>
    <d v="2015-03-16T00:00:00"/>
    <m/>
    <m/>
  </r>
  <r>
    <x v="6"/>
    <s v="J2015-0285"/>
    <s v="IDP600"/>
    <s v="陕西省电力公司"/>
    <s v="2015年陕西停电配变信息监测系统合同"/>
    <n v="3032000"/>
    <x v="3"/>
    <x v="7"/>
    <m/>
    <s v="【2015-4-1】正在实施中"/>
    <n v="11"/>
    <d v="2015-03-10T00:00:00"/>
    <s v="周学良"/>
    <m/>
    <d v="2015-03-16T00:00:00"/>
    <m/>
    <m/>
  </r>
  <r>
    <x v="1"/>
    <s v="J2015-0291"/>
    <s v="iES-NE"/>
    <s v="华能新能源有限公司"/>
    <s v="2015年华能通榆新华风电场能量管理系统设备采购"/>
    <n v="233120"/>
    <x v="9"/>
    <x v="9"/>
    <m/>
    <m/>
    <m/>
    <d v="2015-03-11T00:00:00"/>
    <s v="闫浩"/>
    <m/>
    <d v="2015-04-30T00:00:00"/>
    <m/>
    <m/>
  </r>
  <r>
    <x v="5"/>
    <s v="J2015-0302"/>
    <s v="iES-600"/>
    <s v="池州供电公司"/>
    <s v="2015年安徽池州调度自动化主站升级项目"/>
    <n v="380000"/>
    <x v="9"/>
    <x v="9"/>
    <m/>
    <s v="【2015-4-1】采购硬件。"/>
    <n v="5"/>
    <d v="2015-03-13T00:00:00"/>
    <s v="晋亮亮"/>
    <m/>
    <d v="2015-03-23T00:00:00"/>
    <m/>
    <m/>
  </r>
  <r>
    <x v="2"/>
    <s v="J2015-0303"/>
    <s v="QT-A"/>
    <s v="福建省平和电力公司"/>
    <s v="2015-3-13国网平和县供电有限公司调度系统配套设备采购合同"/>
    <n v="119000"/>
    <x v="6"/>
    <x v="9"/>
    <m/>
    <m/>
    <m/>
    <d v="2015-03-13T00:00:00"/>
    <s v="魏洋洋"/>
    <m/>
    <d v="2015-04-05T00:00:00"/>
    <m/>
    <m/>
  </r>
  <r>
    <x v="2"/>
    <s v="J2015-0334"/>
    <s v="QT-A"/>
    <s v="福建宁德古田县电力公司"/>
    <s v="国网福建古田县供电有限公司主站前置扩容设备采购合同"/>
    <n v="106000"/>
    <x v="9"/>
    <x v="9"/>
    <m/>
    <m/>
    <m/>
    <d v="2015-03-20T00:00:00"/>
    <s v="李英杰"/>
    <m/>
    <d v="2015-04-15T00:00:00"/>
    <m/>
    <m/>
  </r>
  <r>
    <x v="2"/>
    <s v="J2015-0338"/>
    <s v="EMS-EXT"/>
    <s v="福建省电力有限公司"/>
    <s v="福建省三明公司调控实时数据展示系统建设采购合同"/>
    <n v="339768"/>
    <x v="9"/>
    <x v="9"/>
    <m/>
    <m/>
    <m/>
    <d v="2015-03-20T00:00:00"/>
    <s v="李英杰"/>
    <m/>
    <d v="2015-06-20T00:00:00"/>
    <m/>
    <m/>
  </r>
  <r>
    <x v="2"/>
    <s v="J2015-0358"/>
    <s v="EMS-EXT"/>
    <s v="福建龙岩电业局"/>
    <s v="福建省龙岩公司2015年信息系统运行维护和技术支持服务合同"/>
    <n v="893000"/>
    <x v="6"/>
    <x v="9"/>
    <m/>
    <m/>
    <n v="6"/>
    <d v="2015-03-25T00:00:00"/>
    <s v="魏洋洋"/>
    <m/>
    <d v="2015-03-30T00:00:00"/>
    <m/>
    <m/>
  </r>
  <r>
    <x v="2"/>
    <s v="J2015-0359"/>
    <s v="EMS-EXT"/>
    <s v="福建漳州电业局"/>
    <s v="福建省漳州公司2015年信息系统运行维护和技术支持服务合同"/>
    <n v="893000"/>
    <x v="6"/>
    <x v="9"/>
    <m/>
    <m/>
    <n v="6"/>
    <d v="2015-03-25T00:00:00"/>
    <s v="魏洋洋"/>
    <m/>
    <d v="2015-03-30T00:00:00"/>
    <m/>
    <m/>
  </r>
  <r>
    <x v="2"/>
    <s v="J2015-0360"/>
    <s v="EMS-EXT"/>
    <s v="福建省厦门电业局"/>
    <s v="福建省厦门公司2015年信息系统运行维护和技术支持服务合同"/>
    <n v="1093000"/>
    <x v="6"/>
    <x v="9"/>
    <m/>
    <m/>
    <n v="6"/>
    <d v="2015-03-25T00:00:00"/>
    <s v="魏洋洋"/>
    <m/>
    <d v="2015-03-30T00:00:00"/>
    <m/>
    <m/>
  </r>
  <r>
    <x v="2"/>
    <s v="J2015-0361"/>
    <s v="EMS-EXT"/>
    <s v="福建省泉州电业局"/>
    <s v="福建省泉州公司2015年信息系统运行维护和技术支持服务合同"/>
    <n v="1093000"/>
    <x v="6"/>
    <x v="9"/>
    <m/>
    <m/>
    <n v="6"/>
    <d v="2015-03-25T00:00:00"/>
    <s v="魏洋洋"/>
    <m/>
    <d v="2015-03-30T00:00:00"/>
    <m/>
    <m/>
  </r>
  <r>
    <x v="2"/>
    <s v="J2015-0362"/>
    <s v="EMS-EXT"/>
    <s v="福建三明电业局"/>
    <s v="福建省三明公司2015年信息系统运行维护和技术支持服务合同"/>
    <n v="893000"/>
    <x v="6"/>
    <x v="9"/>
    <m/>
    <m/>
    <n v="6"/>
    <d v="2015-03-25T00:00:00"/>
    <s v="李英杰"/>
    <m/>
    <d v="2015-03-30T00:00:00"/>
    <m/>
    <m/>
  </r>
  <r>
    <x v="2"/>
    <s v="J2015-0363"/>
    <s v="EMS-EXT"/>
    <s v="福建宁德电业局"/>
    <s v="福建省宁德公司2015年信息系统运行维护和技术支持服务合同"/>
    <n v="893000"/>
    <x v="6"/>
    <x v="9"/>
    <m/>
    <m/>
    <n v="6"/>
    <d v="2015-03-25T00:00:00"/>
    <s v="李英杰"/>
    <m/>
    <d v="2015-03-30T00:00:00"/>
    <m/>
    <m/>
  </r>
  <r>
    <x v="1"/>
    <s v="J2015-0374"/>
    <s v="iES-NE"/>
    <s v="山西华信瑞通科技有限公司"/>
    <s v="山西永济电厂电网火电机组综合监测信息子站系统"/>
    <n v="265000"/>
    <x v="7"/>
    <x v="9"/>
    <m/>
    <s v="【2015-4-10】等业务员落实收货人信息"/>
    <m/>
    <d v="2015-03-26T00:00:00"/>
    <s v="靳艳强"/>
    <m/>
    <d v="2015-04-10T00:00:00"/>
    <m/>
    <m/>
  </r>
  <r>
    <x v="2"/>
    <s v="J2015-0376"/>
    <s v="EMS-EXT"/>
    <s v="福建龙岩电业局"/>
    <s v="2015-3-24龙岩公司调控一体化信息分层分区监控功能改造采购合同"/>
    <n v="1017900"/>
    <x v="9"/>
    <x v="9"/>
    <m/>
    <m/>
    <m/>
    <d v="2015-03-26T00:00:00"/>
    <s v="魏洋洋"/>
    <m/>
    <d v="2015-04-15T00:00:00"/>
    <m/>
    <m/>
  </r>
  <r>
    <x v="0"/>
    <s v="J2015-0377"/>
    <s v="DMS-EXT"/>
    <s v="广东省电力设计研究院"/>
    <s v="15年贵州电网公司培训与评价中心10KV及以下典型配网及自动化实训研究项目配网仿真培训主站软件部分设"/>
    <n v="689000"/>
    <x v="10"/>
    <x v="9"/>
    <n v="0.1"/>
    <s v="【2015-4-10】软件功能开发阶段。"/>
    <n v="6"/>
    <d v="2015-03-26T00:00:00"/>
    <s v="刘基强"/>
    <m/>
    <d v="2015-05-30T00:00:00"/>
    <m/>
    <m/>
  </r>
  <r>
    <x v="2"/>
    <s v="J2015-0388"/>
    <s v="QT-A"/>
    <s v="福建宁德电业局"/>
    <s v="福建省宁德公司调控主站磁盘阵列扩容设备采购合同"/>
    <n v="126400"/>
    <x v="9"/>
    <x v="9"/>
    <m/>
    <m/>
    <m/>
    <d v="2015-03-30T00:00:00"/>
    <s v="李英杰"/>
    <m/>
    <d v="2015-04-25T00:00:00"/>
    <m/>
    <m/>
  </r>
  <r>
    <x v="5"/>
    <s v="J2015-0449"/>
    <s v="iES-DMS1000E"/>
    <s v="郑州万特电气股份有限公司"/>
    <s v="万特电气-佛山电校配网自动化主站实训系统（行业外）"/>
    <n v="320000"/>
    <x v="9"/>
    <x v="9"/>
    <m/>
    <m/>
    <m/>
    <d v="2015-04-02T00:00:00"/>
    <s v="韩伟斌"/>
    <m/>
    <d v="2015-04-15T00:00:00"/>
    <m/>
    <m/>
  </r>
  <r>
    <x v="7"/>
    <s v="J2015-0463"/>
    <s v="QT-A"/>
    <s v="重庆市电力公司"/>
    <s v="重庆市电力公司调度备用系统"/>
    <n v="3973097.7"/>
    <x v="10"/>
    <x v="9"/>
    <m/>
    <m/>
    <m/>
    <d v="2015-04-07T00:00:00"/>
    <s v="陈鹏"/>
    <m/>
    <d v="2015-04-10T00:00:00"/>
    <m/>
    <m/>
  </r>
  <r>
    <x v="4"/>
    <s v="J2015-0464"/>
    <s v="QT-A"/>
    <s v="陕西省电力公司西安市供电公司"/>
    <s v="2015年陕西西安调控一体化系统扩容合同"/>
    <n v="188000"/>
    <x v="9"/>
    <x v="9"/>
    <m/>
    <m/>
    <m/>
    <d v="2015-04-07T00:00:00"/>
    <s v="周学良"/>
    <m/>
    <d v="2015-05-25T00:00:00"/>
    <m/>
    <m/>
  </r>
  <r>
    <x v="7"/>
    <s v="J2015-0466"/>
    <s v="EMS-EXT"/>
    <s v="国网重庆市电力公司万州供电分公司"/>
    <s v="重庆万州供电分公司多位分析展示、跨辖区一体化智能防务系统及网络设备改造合同"/>
    <n v="3329820"/>
    <x v="10"/>
    <x v="9"/>
    <m/>
    <m/>
    <m/>
    <d v="2015-04-07T00:00:00"/>
    <s v="陈鹏"/>
    <m/>
    <s v="5月底"/>
    <m/>
    <m/>
  </r>
  <r>
    <x v="5"/>
    <s v="J2015-0469"/>
    <s v="IES-600P"/>
    <s v="中康建设管理股份有限公司"/>
    <s v="上海电车管控中心综合整治维护项目SCADA供电监控系统设备采购"/>
    <n v="1801600"/>
    <x v="10"/>
    <x v="9"/>
    <m/>
    <m/>
    <m/>
    <d v="2015-04-07T00:00:00"/>
    <s v="李德海"/>
    <m/>
    <s v="合同签定30天"/>
    <m/>
    <m/>
  </r>
  <r>
    <x v="2"/>
    <s v="J2015-0480"/>
    <s v="EMS-EXT"/>
    <s v="福建和盛高科技产业有限公司"/>
    <s v="福建省和盛公司调度运行数据接口及视频联动软件采购合同"/>
    <n v="170000"/>
    <x v="3"/>
    <x v="2"/>
    <m/>
    <m/>
    <m/>
    <d v="2015-04-09T00:00:00"/>
    <s v="李英杰"/>
    <m/>
    <d v="2015-04-20T00:00:00"/>
    <m/>
    <m/>
  </r>
  <r>
    <x v="2"/>
    <s v="J2015-0481"/>
    <s v="QT-A"/>
    <s v="福建泉州惠安县电力公司"/>
    <s v="2015-4-7国网惠安县供电有限公司2015-2016年DMS数据维护采购合同采购合同"/>
    <n v="200000"/>
    <x v="6"/>
    <x v="9"/>
    <m/>
    <m/>
    <m/>
    <d v="2015-04-09T00:00:00"/>
    <s v="魏洋洋"/>
    <m/>
    <d v="2015-04-30T00:00:00"/>
    <m/>
    <m/>
  </r>
  <r>
    <x v="2"/>
    <s v="J2015-0482"/>
    <s v="QT-A"/>
    <s v="福建省石狮市电力联营公司"/>
    <s v="2015-4-7国网石狮市供电有限公司2015-2016年DMS数据维护采购合同"/>
    <n v="200000"/>
    <x v="6"/>
    <x v="9"/>
    <m/>
    <m/>
    <m/>
    <d v="2015-04-09T00:00:00"/>
    <s v="魏洋洋"/>
    <m/>
    <d v="2015-04-30T00:00:00"/>
    <m/>
    <m/>
  </r>
  <r>
    <x v="8"/>
    <m/>
    <m/>
    <m/>
    <m/>
    <m/>
    <x v="11"/>
    <x v="3"/>
    <m/>
    <m/>
    <m/>
    <m/>
    <m/>
    <m/>
    <m/>
    <m/>
    <m/>
  </r>
  <r>
    <x v="8"/>
    <m/>
    <m/>
    <m/>
    <m/>
    <m/>
    <x v="11"/>
    <x v="3"/>
    <m/>
    <m/>
    <m/>
    <m/>
    <m/>
    <m/>
    <m/>
    <m/>
    <m/>
  </r>
  <r>
    <x v="8"/>
    <m/>
    <m/>
    <m/>
    <m/>
    <m/>
    <x v="11"/>
    <x v="3"/>
    <m/>
    <m/>
    <m/>
    <m/>
    <m/>
    <m/>
    <m/>
    <m/>
    <m/>
  </r>
  <r>
    <x v="8"/>
    <m/>
    <m/>
    <m/>
    <m/>
    <m/>
    <x v="11"/>
    <x v="3"/>
    <m/>
    <m/>
    <m/>
    <m/>
    <m/>
    <m/>
    <m/>
    <m/>
    <m/>
  </r>
  <r>
    <x v="8"/>
    <m/>
    <m/>
    <m/>
    <m/>
    <m/>
    <x v="11"/>
    <x v="3"/>
    <m/>
    <m/>
    <m/>
    <m/>
    <m/>
    <m/>
    <m/>
    <m/>
    <m/>
  </r>
  <r>
    <x v="8"/>
    <m/>
    <m/>
    <m/>
    <m/>
    <m/>
    <x v="11"/>
    <x v="3"/>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applyNumberFormats="0" applyBorderFormats="0" applyFontFormats="0" applyPatternFormats="0" applyAlignmentFormats="0" applyWidthHeightFormats="1" dataCaption="值" updatedVersion="4" minRefreshableVersion="3" showCalcMbrs="0" useAutoFormatting="1" itemPrintTitles="1" createdVersion="3" indent="0" outline="1" outlineData="1" multipleFieldFilters="0">
  <location ref="I2:K16" firstHeaderRow="1" firstDataRow="2" firstDataCol="1"/>
  <pivotFields count="17">
    <pivotField showAll="0"/>
    <pivotField dataField="1" showAll="0"/>
    <pivotField showAll="0"/>
    <pivotField showAll="0"/>
    <pivotField showAll="0"/>
    <pivotField dataField="1" showAll="0"/>
    <pivotField axis="axisRow" showAll="0">
      <items count="13">
        <item x="6"/>
        <item x="10"/>
        <item x="9"/>
        <item x="7"/>
        <item x="8"/>
        <item x="4"/>
        <item x="3"/>
        <item x="2"/>
        <item x="0"/>
        <item x="5"/>
        <item x="1"/>
        <item x="11"/>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13">
    <i>
      <x/>
    </i>
    <i>
      <x v="1"/>
    </i>
    <i>
      <x v="2"/>
    </i>
    <i>
      <x v="3"/>
    </i>
    <i>
      <x v="4"/>
    </i>
    <i>
      <x v="5"/>
    </i>
    <i>
      <x v="6"/>
    </i>
    <i>
      <x v="7"/>
    </i>
    <i>
      <x v="8"/>
    </i>
    <i>
      <x v="9"/>
    </i>
    <i>
      <x v="10"/>
    </i>
    <i>
      <x v="11"/>
    </i>
    <i t="grand">
      <x/>
    </i>
  </rowItems>
  <colFields count="1">
    <field x="-2"/>
  </colFields>
  <colItems count="2">
    <i>
      <x/>
    </i>
    <i i="1">
      <x v="1"/>
    </i>
  </colItems>
  <dataFields count="2">
    <dataField name="计数项:合同编号" fld="1" subtotal="count" baseField="0" baseItem="0"/>
    <dataField name="求和项:金额" fld="5" baseField="0" baseItem="0"/>
  </dataFields>
  <formats count="6">
    <format dxfId="7">
      <pivotArea collapsedLevelsAreSubtotals="1" fieldPosition="0">
        <references count="1">
          <reference field="6" count="0"/>
        </references>
      </pivotArea>
    </format>
    <format dxfId="6">
      <pivotArea dataOnly="0" labelOnly="1" fieldPosition="0">
        <references count="1">
          <reference field="6" count="0"/>
        </references>
      </pivotArea>
    </format>
    <format dxfId="5">
      <pivotArea collapsedLevelsAreSubtotals="1" fieldPosition="0">
        <references count="1">
          <reference field="6" count="4">
            <x v="8"/>
            <x v="9"/>
            <x v="10"/>
            <x v="11"/>
          </reference>
        </references>
      </pivotArea>
    </format>
    <format dxfId="4">
      <pivotArea grandRow="1" outline="0" collapsedLevelsAreSubtotals="1" fieldPosition="0"/>
    </format>
    <format dxfId="3">
      <pivotArea dataOnly="0" labelOnly="1" fieldPosition="0">
        <references count="1">
          <reference field="6" count="4">
            <x v="8"/>
            <x v="9"/>
            <x v="10"/>
            <x v="11"/>
          </reference>
        </references>
      </pivotArea>
    </format>
    <format dxfId="2">
      <pivotArea dataOnly="0" labelOnly="1" grandRow="1" outline="0"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数据透视表6" cacheId="0" applyNumberFormats="0" applyBorderFormats="0" applyFontFormats="0" applyPatternFormats="0" applyAlignmentFormats="0" applyWidthHeightFormats="1" dataCaption="值" updatedVersion="4" minRefreshableVersion="3" showCalcMbrs="0" useAutoFormatting="1" itemPrintTitles="1" createdVersion="3" indent="0" outline="1" outlineData="1" multipleFieldFilters="0">
  <location ref="E2:G14" firstHeaderRow="1" firstDataRow="2" firstDataCol="1"/>
  <pivotFields count="17">
    <pivotField showAll="0"/>
    <pivotField dataField="1" showAll="0"/>
    <pivotField showAll="0"/>
    <pivotField showAll="0"/>
    <pivotField showAll="0"/>
    <pivotField dataField="1" showAll="0"/>
    <pivotField showAll="0"/>
    <pivotField axis="axisRow" showAll="0">
      <items count="11">
        <item x="5"/>
        <item x="2"/>
        <item x="9"/>
        <item x="6"/>
        <item x="0"/>
        <item x="7"/>
        <item x="4"/>
        <item x="8"/>
        <item x="1"/>
        <item x="3"/>
        <item t="default"/>
      </items>
    </pivotField>
    <pivotField showAll="0"/>
    <pivotField showAll="0"/>
    <pivotField showAll="0"/>
    <pivotField showAll="0"/>
    <pivotField showAll="0"/>
    <pivotField showAll="0"/>
    <pivotField showAll="0"/>
    <pivotField showAll="0"/>
    <pivotField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计数项:合同编号" fld="1" subtotal="count" baseField="0" baseItem="0"/>
    <dataField name="求和项:金额" fld="5" baseField="0" baseItem="0"/>
  </dataFields>
  <formats count="7">
    <format dxfId="14">
      <pivotArea outline="0" collapsedLevelsAreSubtotals="1" fieldPosition="0"/>
    </format>
    <format dxfId="13">
      <pivotArea dataOnly="0" labelOnly="1" fieldPosition="0">
        <references count="1">
          <reference field="7" count="0"/>
        </references>
      </pivotArea>
    </format>
    <format dxfId="12">
      <pivotArea dataOnly="0" labelOnly="1" grandRow="1" outline="0" fieldPosition="0"/>
    </format>
    <format dxfId="11">
      <pivotArea collapsedLevelsAreSubtotals="1" fieldPosition="0">
        <references count="1">
          <reference field="7" count="2">
            <x v="8"/>
            <x v="9"/>
          </reference>
        </references>
      </pivotArea>
    </format>
    <format dxfId="10">
      <pivotArea grandRow="1" outline="0" collapsedLevelsAreSubtotals="1" fieldPosition="0"/>
    </format>
    <format dxfId="9">
      <pivotArea dataOnly="0" labelOnly="1" fieldPosition="0">
        <references count="1">
          <reference field="7" count="2">
            <x v="8"/>
            <x v="9"/>
          </reference>
        </references>
      </pivotArea>
    </format>
    <format dxfId="8">
      <pivotArea dataOnly="0" labelOnly="1" grandRow="1" outline="0" fieldPosition="0"/>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数据透视表5" cacheId="0" applyNumberFormats="0" applyBorderFormats="0" applyFontFormats="0" applyPatternFormats="0" applyAlignmentFormats="0" applyWidthHeightFormats="1" dataCaption="值" updatedVersion="4" minRefreshableVersion="3" showCalcMbrs="0" useAutoFormatting="1" itemPrintTitles="1" createdVersion="3" indent="0" outline="1" outlineData="1" multipleFieldFilters="0">
  <location ref="A2:C13" firstHeaderRow="1" firstDataRow="2" firstDataCol="1"/>
  <pivotFields count="17">
    <pivotField axis="axisRow" showAll="0">
      <items count="10">
        <item x="3"/>
        <item x="2"/>
        <item x="5"/>
        <item x="0"/>
        <item x="6"/>
        <item x="4"/>
        <item x="7"/>
        <item x="1"/>
        <item x="8"/>
        <item t="default"/>
      </items>
    </pivotField>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计数项:合同编号" fld="1" subtotal="count" baseField="0" baseItem="0"/>
    <dataField name="求和项:金额" fld="5" baseField="0" baseItem="0"/>
  </dataFields>
  <formats count="7">
    <format dxfId="21">
      <pivotArea outline="0" collapsedLevelsAreSubtotals="1" fieldPosition="0"/>
    </format>
    <format dxfId="20">
      <pivotArea dataOnly="0" labelOnly="1" grandRow="1" outline="0" fieldPosition="0"/>
    </format>
    <format dxfId="19">
      <pivotArea dataOnly="0" labelOnly="1" fieldPosition="0">
        <references count="1">
          <reference field="0" count="0"/>
        </references>
      </pivotArea>
    </format>
    <format dxfId="18">
      <pivotArea collapsedLevelsAreSubtotals="1" fieldPosition="0">
        <references count="1">
          <reference field="0" count="1">
            <x v="8"/>
          </reference>
        </references>
      </pivotArea>
    </format>
    <format dxfId="17">
      <pivotArea grandRow="1" outline="0" collapsedLevelsAreSubtotals="1" fieldPosition="0"/>
    </format>
    <format dxfId="16">
      <pivotArea dataOnly="0" labelOnly="1" fieldPosition="0">
        <references count="1">
          <reference field="0" count="1">
            <x v="8"/>
          </reference>
        </references>
      </pivotArea>
    </format>
    <format dxfId="15">
      <pivotArea dataOnly="0" labelOnly="1" grandRow="1" outline="0"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R35"/>
  <sheetViews>
    <sheetView workbookViewId="0">
      <selection activeCell="R33" sqref="R33"/>
    </sheetView>
  </sheetViews>
  <sheetFormatPr defaultRowHeight="13.5"/>
  <cols>
    <col min="1" max="1" width="1.625" customWidth="1"/>
    <col min="2" max="2" width="20.75" customWidth="1"/>
    <col min="3" max="3" width="16.5" customWidth="1"/>
    <col min="4" max="4" width="5.125" customWidth="1"/>
    <col min="5" max="5" width="4.625" customWidth="1"/>
    <col min="6" max="6" width="10.5" customWidth="1"/>
    <col min="7" max="7" width="13.875" customWidth="1"/>
    <col min="8" max="8" width="3.75" customWidth="1"/>
    <col min="9" max="9" width="13.375" customWidth="1"/>
    <col min="10" max="10" width="3.625" customWidth="1"/>
    <col min="11" max="11" width="12.375" customWidth="1"/>
    <col min="12" max="12" width="4.5" customWidth="1"/>
    <col min="13" max="13" width="3.75" customWidth="1"/>
    <col min="14" max="14" width="9.5" bestFit="1" customWidth="1"/>
    <col min="15" max="15" width="12.375" customWidth="1"/>
    <col min="16" max="16" width="13.875" customWidth="1"/>
    <col min="17" max="17" width="5.75" bestFit="1" customWidth="1"/>
    <col min="18" max="18" width="14.5" bestFit="1" customWidth="1"/>
  </cols>
  <sheetData>
    <row r="1" spans="1:17" s="18" customFormat="1" ht="21" customHeight="1" thickBot="1">
      <c r="A1" s="17"/>
      <c r="B1" s="117" t="s">
        <v>113</v>
      </c>
      <c r="C1" s="118"/>
      <c r="D1" s="51"/>
      <c r="E1" s="17"/>
      <c r="F1" s="119" t="s">
        <v>116</v>
      </c>
      <c r="G1" s="120"/>
      <c r="H1" s="120"/>
      <c r="I1" s="120"/>
      <c r="J1" s="120"/>
      <c r="K1" s="120"/>
      <c r="L1" s="120"/>
      <c r="N1" s="115" t="s">
        <v>115</v>
      </c>
      <c r="O1" s="116"/>
      <c r="P1" s="116"/>
      <c r="Q1" s="116"/>
    </row>
    <row r="2" spans="1:17" s="6" customFormat="1" ht="15" customHeight="1">
      <c r="A2" s="19"/>
      <c r="B2" s="121" t="s">
        <v>0</v>
      </c>
      <c r="C2" s="122"/>
      <c r="D2" s="123"/>
      <c r="E2" s="19"/>
      <c r="F2" s="28" t="s">
        <v>51</v>
      </c>
      <c r="G2" s="29" t="s">
        <v>64</v>
      </c>
      <c r="H2" s="30" t="s">
        <v>2</v>
      </c>
      <c r="I2" s="31" t="s">
        <v>65</v>
      </c>
      <c r="J2" s="39" t="s">
        <v>2</v>
      </c>
      <c r="K2" s="42" t="s">
        <v>66</v>
      </c>
      <c r="L2" s="32" t="s">
        <v>2</v>
      </c>
      <c r="N2" s="66" t="s">
        <v>107</v>
      </c>
      <c r="O2" s="67" t="s">
        <v>111</v>
      </c>
      <c r="P2" s="67" t="s">
        <v>112</v>
      </c>
      <c r="Q2" s="68" t="s">
        <v>108</v>
      </c>
    </row>
    <row r="3" spans="1:17" s="6" customFormat="1" ht="15" customHeight="1">
      <c r="A3" s="19"/>
      <c r="B3" s="20" t="s">
        <v>1</v>
      </c>
      <c r="C3" s="21" t="e">
        <f>SUM(合同明细!#REF!)/10000</f>
        <v>#REF!</v>
      </c>
      <c r="D3" s="57" t="s">
        <v>2</v>
      </c>
      <c r="E3" s="19"/>
      <c r="F3" s="25" t="s">
        <v>52</v>
      </c>
      <c r="G3" s="61" t="e">
        <f>SUMIF(合同明细!#REF!,"1",合同明细!#REF!)/10000</f>
        <v>#REF!</v>
      </c>
      <c r="H3" s="33" t="s">
        <v>2</v>
      </c>
      <c r="I3" s="63" t="e">
        <f>SUMIF(合同明细!A:A,"1",合同明细!#REF!)/10000</f>
        <v>#REF!</v>
      </c>
      <c r="J3" s="40" t="s">
        <v>2</v>
      </c>
      <c r="K3" s="63" t="e">
        <f>SUMIF(合同明细!C:C,1,合同明细!#REF!)/10000</f>
        <v>#REF!</v>
      </c>
      <c r="L3" s="36" t="s">
        <v>2</v>
      </c>
      <c r="N3" s="69" t="s">
        <v>101</v>
      </c>
      <c r="O3" s="72" t="e">
        <f>SUMIF(合同明细!#REF!,"北方",合同明细!#REF!)/10000</f>
        <v>#REF!</v>
      </c>
      <c r="P3" s="72" t="e">
        <f>SUMIFS(合同明细!#REF!,合同明细!#REF!,"&lt;&gt;",合同明细!#REF!,"北方")/10000</f>
        <v>#REF!</v>
      </c>
      <c r="Q3" s="70" t="s">
        <v>109</v>
      </c>
    </row>
    <row r="4" spans="1:17" s="6" customFormat="1" ht="15" customHeight="1">
      <c r="A4" s="19"/>
      <c r="B4" s="20" t="s">
        <v>3</v>
      </c>
      <c r="C4" s="21" t="e">
        <f>SUMIF(合同明细!B:B,"",合同明细!#REF!)/10000</f>
        <v>#REF!</v>
      </c>
      <c r="D4" s="57" t="s">
        <v>2</v>
      </c>
      <c r="E4" s="19"/>
      <c r="F4" s="25" t="s">
        <v>53</v>
      </c>
      <c r="G4" s="61" t="e">
        <f>SUMIF(合同明细!#REF!,"2",合同明细!#REF!)/10000</f>
        <v>#REF!</v>
      </c>
      <c r="H4" s="33" t="s">
        <v>2</v>
      </c>
      <c r="I4" s="63" t="e">
        <f>SUMIF(合同明细!A:A,"2",合同明细!#REF!)/10000</f>
        <v>#REF!</v>
      </c>
      <c r="J4" s="40" t="s">
        <v>2</v>
      </c>
      <c r="K4" s="63">
        <v>0</v>
      </c>
      <c r="L4" s="36" t="s">
        <v>2</v>
      </c>
      <c r="N4" s="69" t="s">
        <v>102</v>
      </c>
      <c r="O4" s="72" t="e">
        <f>SUMIF(合同明细!#REF!,"西北",合同明细!#REF!)/10000</f>
        <v>#REF!</v>
      </c>
      <c r="P4" s="72" t="e">
        <f>SUMIFS(合同明细!#REF!,合同明细!#REF!,"&lt;&gt;",合同明细!#REF!,"西北")/10000</f>
        <v>#REF!</v>
      </c>
      <c r="Q4" s="70" t="s">
        <v>109</v>
      </c>
    </row>
    <row r="5" spans="1:17" s="6" customFormat="1" ht="15" customHeight="1">
      <c r="A5" s="19"/>
      <c r="B5" s="20" t="s">
        <v>4</v>
      </c>
      <c r="C5" s="21" t="e">
        <f>SUM(合同明细!#REF!)/10000-C4</f>
        <v>#REF!</v>
      </c>
      <c r="D5" s="57" t="s">
        <v>2</v>
      </c>
      <c r="E5" s="19"/>
      <c r="F5" s="25" t="s">
        <v>54</v>
      </c>
      <c r="G5" s="61" t="e">
        <f>SUMIF(合同明细!#REF!,"3",合同明细!#REF!)/10000</f>
        <v>#REF!</v>
      </c>
      <c r="H5" s="33" t="s">
        <v>2</v>
      </c>
      <c r="I5" s="63" t="e">
        <f>SUMIF(合同明细!A:A,"3",合同明细!#REF!)/10000</f>
        <v>#REF!</v>
      </c>
      <c r="J5" s="40" t="s">
        <v>2</v>
      </c>
      <c r="K5" s="63" t="e">
        <f>SUMIF(合同明细!C:C,3,合同明细!#REF!)/10000</f>
        <v>#REF!</v>
      </c>
      <c r="L5" s="36" t="s">
        <v>2</v>
      </c>
      <c r="N5" s="69" t="s">
        <v>110</v>
      </c>
      <c r="O5" s="72" t="e">
        <f>SUMIF(合同明细!#REF!,"华中华东",合同明细!#REF!)/10000</f>
        <v>#REF!</v>
      </c>
      <c r="P5" s="72" t="e">
        <f>SUMIFS(合同明细!#REF!,合同明细!#REF!,"&lt;&gt;",合同明细!#REF!,"华中华东")/10000</f>
        <v>#REF!</v>
      </c>
      <c r="Q5" s="70" t="s">
        <v>109</v>
      </c>
    </row>
    <row r="6" spans="1:17" s="6" customFormat="1" ht="15" customHeight="1" thickBot="1">
      <c r="A6" s="19"/>
      <c r="B6" s="22" t="s">
        <v>5</v>
      </c>
      <c r="C6" s="23" t="e">
        <f>SUMIF(合同明细!B:B,"4",合同明细!#REF!)/10000</f>
        <v>#REF!</v>
      </c>
      <c r="D6" s="58" t="s">
        <v>2</v>
      </c>
      <c r="E6" s="19"/>
      <c r="F6" s="25" t="s">
        <v>55</v>
      </c>
      <c r="G6" s="61" t="e">
        <f>SUMIF(合同明细!#REF!,"4",合同明细!#REF!)/10000</f>
        <v>#REF!</v>
      </c>
      <c r="H6" s="33" t="s">
        <v>2</v>
      </c>
      <c r="I6" s="63" t="e">
        <f>SUMIF(合同明细!A:A,"4",合同明细!#REF!)/10000</f>
        <v>#REF!</v>
      </c>
      <c r="J6" s="40" t="s">
        <v>2</v>
      </c>
      <c r="K6" s="63" t="e">
        <f>SUMIF(合同明细!C:C,4,合同明细!#REF!)/10000</f>
        <v>#REF!</v>
      </c>
      <c r="L6" s="36" t="s">
        <v>2</v>
      </c>
      <c r="N6" s="69" t="s">
        <v>103</v>
      </c>
      <c r="O6" s="72" t="e">
        <f>SUMIF(合同明细!#REF!,"西南",合同明细!#REF!)/10000</f>
        <v>#REF!</v>
      </c>
      <c r="P6" s="72" t="e">
        <f>SUMIFS(合同明细!#REF!,合同明细!#REF!,"&lt;&gt;",合同明细!#REF!,"西南")/10000</f>
        <v>#REF!</v>
      </c>
      <c r="Q6" s="70" t="s">
        <v>109</v>
      </c>
    </row>
    <row r="7" spans="1:17" s="6" customFormat="1" ht="15" customHeight="1" thickBot="1">
      <c r="A7" s="19"/>
      <c r="B7" s="124" t="s">
        <v>6</v>
      </c>
      <c r="C7" s="125"/>
      <c r="D7" s="126"/>
      <c r="E7" s="19"/>
      <c r="F7" s="25" t="s">
        <v>56</v>
      </c>
      <c r="G7" s="61" t="e">
        <f>SUMIF(合同明细!#REF!,"5",合同明细!#REF!)/10000</f>
        <v>#REF!</v>
      </c>
      <c r="H7" s="33" t="s">
        <v>2</v>
      </c>
      <c r="I7" s="63" t="e">
        <f>SUMIF(合同明细!A:A,"5",合同明细!#REF!)/10000</f>
        <v>#REF!</v>
      </c>
      <c r="J7" s="40" t="s">
        <v>2</v>
      </c>
      <c r="K7" s="63" t="e">
        <f>SUMIF(合同明细!C:C,5,合同明细!#REF!)/10000</f>
        <v>#REF!</v>
      </c>
      <c r="L7" s="36" t="s">
        <v>2</v>
      </c>
      <c r="N7" s="69" t="s">
        <v>105</v>
      </c>
      <c r="O7" s="72" t="e">
        <f>SUMIF(合同明细!#REF!,"东南",合同明细!#REF!)/10000</f>
        <v>#REF!</v>
      </c>
      <c r="P7" s="72" t="e">
        <f>SUMIFS(合同明细!#REF!,合同明细!#REF!,"&lt;&gt;",合同明细!#REF!,"东南")/10000</f>
        <v>#REF!</v>
      </c>
      <c r="Q7" s="70" t="s">
        <v>109</v>
      </c>
    </row>
    <row r="8" spans="1:17" s="6" customFormat="1" ht="15" customHeight="1">
      <c r="A8" s="19"/>
      <c r="B8" s="55" t="s">
        <v>91</v>
      </c>
      <c r="C8" s="56" t="e">
        <f>C3-C14</f>
        <v>#REF!</v>
      </c>
      <c r="D8" s="59" t="s">
        <v>2</v>
      </c>
      <c r="E8" s="19"/>
      <c r="F8" s="25" t="s">
        <v>57</v>
      </c>
      <c r="G8" s="61" t="e">
        <f>SUMIF(合同明细!#REF!,"6",合同明细!#REF!)/10000</f>
        <v>#REF!</v>
      </c>
      <c r="H8" s="33" t="s">
        <v>2</v>
      </c>
      <c r="I8" s="63" t="e">
        <f>SUMIF(合同明细!A:A,"6",合同明细!#REF!)/10000</f>
        <v>#REF!</v>
      </c>
      <c r="J8" s="40" t="s">
        <v>2</v>
      </c>
      <c r="K8" s="63" t="e">
        <f>SUMIF(合同明细!C:C,6,合同明细!#REF!)/10000</f>
        <v>#REF!</v>
      </c>
      <c r="L8" s="36" t="s">
        <v>2</v>
      </c>
      <c r="N8" s="69" t="s">
        <v>104</v>
      </c>
      <c r="O8" s="72" t="e">
        <f>SUMIF(合同明细!#REF!,"南方",合同明细!#REF!)/10000</f>
        <v>#REF!</v>
      </c>
      <c r="P8" s="72" t="e">
        <f>SUMIFS(合同明细!#REF!,合同明细!#REF!,"&lt;&gt;",合同明细!#REF!,"南方")/10000</f>
        <v>#REF!</v>
      </c>
      <c r="Q8" s="70" t="s">
        <v>109</v>
      </c>
    </row>
    <row r="9" spans="1:17" s="6" customFormat="1" ht="15" customHeight="1">
      <c r="A9" s="19"/>
      <c r="B9" s="46" t="s">
        <v>46</v>
      </c>
      <c r="C9" s="45" t="e">
        <f>SUMIF(合同明细!#REF!,"L.已验收",合同明细!#REF!)/10000</f>
        <v>#REF!</v>
      </c>
      <c r="D9" s="57" t="s">
        <v>2</v>
      </c>
      <c r="E9" s="19"/>
      <c r="F9" s="25" t="s">
        <v>58</v>
      </c>
      <c r="G9" s="61" t="e">
        <f>SUMIF(合同明细!#REF!,"7",合同明细!#REF!)/10000</f>
        <v>#REF!</v>
      </c>
      <c r="H9" s="33" t="s">
        <v>2</v>
      </c>
      <c r="I9" s="63" t="e">
        <f>SUMIF(合同明细!A:A,"7",合同明细!#REF!)/10000</f>
        <v>#REF!</v>
      </c>
      <c r="J9" s="40" t="s">
        <v>2</v>
      </c>
      <c r="K9" s="63" t="e">
        <f>SUMIF(合同明细!C:C,7,合同明细!#REF!)/10000</f>
        <v>#REF!</v>
      </c>
      <c r="L9" s="36" t="s">
        <v>2</v>
      </c>
      <c r="N9" s="69" t="s">
        <v>106</v>
      </c>
      <c r="O9" s="72" t="e">
        <f>SUMIF(合同明细!#REF!,"新能源",合同明细!#REF!)/10000</f>
        <v>#REF!</v>
      </c>
      <c r="P9" s="72" t="e">
        <f>SUMIFS(合同明细!#REF!,合同明细!#REF!,"&lt;&gt;",合同明细!#REF!,"新能源")/10000</f>
        <v>#REF!</v>
      </c>
      <c r="Q9" s="70" t="s">
        <v>109</v>
      </c>
    </row>
    <row r="10" spans="1:17" s="6" customFormat="1" ht="15" customHeight="1" thickBot="1">
      <c r="A10" s="19"/>
      <c r="B10" s="46" t="s">
        <v>92</v>
      </c>
      <c r="C10" s="45" t="e">
        <f>C8-C9</f>
        <v>#REF!</v>
      </c>
      <c r="D10" s="57" t="s">
        <v>2</v>
      </c>
      <c r="E10" s="19"/>
      <c r="F10" s="25" t="s">
        <v>59</v>
      </c>
      <c r="G10" s="61" t="e">
        <f>SUMIF(合同明细!#REF!,"8",合同明细!#REF!)/10000</f>
        <v>#REF!</v>
      </c>
      <c r="H10" s="33" t="s">
        <v>2</v>
      </c>
      <c r="I10" s="63" t="e">
        <f>SUMIF(合同明细!A:A,"8",合同明细!#REF!)/10000</f>
        <v>#REF!</v>
      </c>
      <c r="J10" s="40" t="s">
        <v>2</v>
      </c>
      <c r="K10" s="63" t="e">
        <f>SUMIF(合同明细!C:C,8,合同明细!#REF!)/10000</f>
        <v>#REF!</v>
      </c>
      <c r="L10" s="36" t="s">
        <v>2</v>
      </c>
      <c r="N10" s="75" t="s">
        <v>117</v>
      </c>
      <c r="O10" s="73" t="e">
        <f>SUMIF(合同明细!#REF!,"数据平台",合同明细!#REF!)/10000</f>
        <v>#REF!</v>
      </c>
      <c r="P10" s="73" t="e">
        <f>SUMIFS(合同明细!#REF!,合同明细!#REF!,"&lt;&gt;",合同明细!#REF!,"数据平台")/10000</f>
        <v>#REF!</v>
      </c>
      <c r="Q10" s="71" t="s">
        <v>109</v>
      </c>
    </row>
    <row r="11" spans="1:17" s="6" customFormat="1" ht="15" customHeight="1">
      <c r="A11" s="19"/>
      <c r="B11" s="46" t="s">
        <v>93</v>
      </c>
      <c r="C11" s="45" t="e">
        <f>SUMIFS(合同明细!#REF!,合同明细!#REF!,"&lt;&gt;",合同明细!B:B,"")/10000</f>
        <v>#REF!</v>
      </c>
      <c r="D11" s="57" t="s">
        <v>2</v>
      </c>
      <c r="E11" s="19"/>
      <c r="F11" s="25" t="s">
        <v>60</v>
      </c>
      <c r="G11" s="61" t="e">
        <f>SUMIF(合同明细!#REF!,"9",合同明细!#REF!)/10000</f>
        <v>#REF!</v>
      </c>
      <c r="H11" s="33" t="s">
        <v>2</v>
      </c>
      <c r="I11" s="63" t="e">
        <f>SUMIF(合同明细!A:A,"9",合同明细!#REF!)/10000</f>
        <v>#REF!</v>
      </c>
      <c r="J11" s="40" t="s">
        <v>2</v>
      </c>
      <c r="K11" s="63" t="e">
        <f>SUMIF(合同明细!C:C,9,合同明细!#REF!)/10000</f>
        <v>#REF!</v>
      </c>
      <c r="L11" s="36" t="s">
        <v>2</v>
      </c>
    </row>
    <row r="12" spans="1:17" s="6" customFormat="1" ht="15" customHeight="1">
      <c r="A12" s="19"/>
      <c r="B12" s="54" t="s">
        <v>94</v>
      </c>
      <c r="C12" s="45" t="e">
        <f>SUMIFS(合同明细!#REF!,合同明细!#REF!,"&lt;&gt;",合同明细!B:B,"&lt;&gt;")/10000</f>
        <v>#REF!</v>
      </c>
      <c r="D12" s="57" t="s">
        <v>2</v>
      </c>
      <c r="E12" s="19"/>
      <c r="F12" s="25" t="s">
        <v>61</v>
      </c>
      <c r="G12" s="61" t="e">
        <f>SUMIF(合同明细!#REF!,"10",合同明细!#REF!)/10000</f>
        <v>#REF!</v>
      </c>
      <c r="H12" s="33" t="s">
        <v>2</v>
      </c>
      <c r="I12" s="63" t="e">
        <f>SUMIF(合同明细!A:A,"10",合同明细!#REF!)/10000</f>
        <v>#REF!</v>
      </c>
      <c r="J12" s="40" t="s">
        <v>2</v>
      </c>
      <c r="K12" s="63" t="e">
        <f>SUMIF(合同明细!C:C,10,合同明细!#REF!)/10000</f>
        <v>#REF!</v>
      </c>
      <c r="L12" s="36" t="s">
        <v>2</v>
      </c>
    </row>
    <row r="13" spans="1:17" s="6" customFormat="1" ht="15" customHeight="1">
      <c r="A13" s="19"/>
      <c r="B13" s="46" t="s">
        <v>95</v>
      </c>
      <c r="C13" s="53">
        <f>COUNTA(合同明细!#REF!)-1</f>
        <v>0</v>
      </c>
      <c r="D13" s="57" t="s">
        <v>96</v>
      </c>
      <c r="E13" s="19"/>
      <c r="F13" s="25" t="s">
        <v>62</v>
      </c>
      <c r="G13" s="61" t="e">
        <f>SUMIF(合同明细!#REF!,"11",合同明细!#REF!)/10000</f>
        <v>#REF!</v>
      </c>
      <c r="H13" s="33" t="s">
        <v>2</v>
      </c>
      <c r="I13" s="63" t="e">
        <f>SUMIF(合同明细!A:A,"11",合同明细!#REF!)/10000</f>
        <v>#REF!</v>
      </c>
      <c r="J13" s="40" t="s">
        <v>2</v>
      </c>
      <c r="K13" s="63" t="e">
        <f>SUMIF(合同明细!C:C,11,合同明细!#REF!)/10000</f>
        <v>#REF!</v>
      </c>
      <c r="L13" s="36" t="s">
        <v>2</v>
      </c>
    </row>
    <row r="14" spans="1:17" s="6" customFormat="1" ht="15" customHeight="1" thickBot="1">
      <c r="A14" s="19"/>
      <c r="B14" s="46" t="s">
        <v>45</v>
      </c>
      <c r="C14" s="45" t="e">
        <f>SUMIF(合同明细!#REF!,"M.问题合同",合同明细!#REF!)/10000</f>
        <v>#REF!</v>
      </c>
      <c r="D14" s="57" t="s">
        <v>2</v>
      </c>
      <c r="E14" s="19"/>
      <c r="F14" s="26" t="s">
        <v>63</v>
      </c>
      <c r="G14" s="61" t="e">
        <f>SUMIF(合同明细!#REF!,"12",合同明细!#REF!)/10000</f>
        <v>#REF!</v>
      </c>
      <c r="H14" s="34" t="s">
        <v>2</v>
      </c>
      <c r="I14" s="63" t="e">
        <f>SUMIF(合同明细!A:A,"12",合同明细!#REF!)/10000</f>
        <v>#REF!</v>
      </c>
      <c r="J14" s="41" t="s">
        <v>2</v>
      </c>
      <c r="K14" s="63" t="e">
        <f>SUMIF(合同明细!C:C,12,合同明细!#REF!)/10000</f>
        <v>#REF!</v>
      </c>
      <c r="L14" s="37" t="s">
        <v>2</v>
      </c>
    </row>
    <row r="15" spans="1:17" s="6" customFormat="1" ht="15" customHeight="1" thickBot="1">
      <c r="A15" s="19"/>
      <c r="B15" s="47" t="s">
        <v>97</v>
      </c>
      <c r="C15" s="52">
        <f>28500</f>
        <v>28500</v>
      </c>
      <c r="D15" s="60" t="s">
        <v>2</v>
      </c>
      <c r="E15" s="24"/>
      <c r="F15" s="27" t="s">
        <v>25</v>
      </c>
      <c r="G15" s="62" t="e">
        <f>SUM(G3:G14)</f>
        <v>#REF!</v>
      </c>
      <c r="H15" s="35" t="s">
        <v>24</v>
      </c>
      <c r="I15" s="64" t="e">
        <f>SUM(I3:I14)</f>
        <v>#REF!</v>
      </c>
      <c r="J15" s="38" t="s">
        <v>2</v>
      </c>
      <c r="K15" s="65" t="e">
        <f>SUM(K3:K14)</f>
        <v>#REF!</v>
      </c>
      <c r="L15" s="38" t="s">
        <v>2</v>
      </c>
    </row>
    <row r="16" spans="1:17" ht="14.25">
      <c r="A16" s="1"/>
      <c r="E16" s="3"/>
      <c r="F16" s="2"/>
      <c r="K16" s="16"/>
    </row>
    <row r="17" spans="1:18" ht="14.25">
      <c r="A17" s="1"/>
      <c r="E17" s="3"/>
      <c r="F17" s="74" t="s">
        <v>70</v>
      </c>
      <c r="G17" s="48" t="e">
        <f>SUM(I3:I5)</f>
        <v>#REF!</v>
      </c>
      <c r="K17" s="16"/>
    </row>
    <row r="18" spans="1:18" ht="14.25">
      <c r="A18" s="1"/>
      <c r="B18" s="4"/>
      <c r="C18" s="5"/>
      <c r="E18" s="1"/>
      <c r="F18" s="74" t="s">
        <v>71</v>
      </c>
      <c r="G18" s="48" t="e">
        <f>SUM(I6:I8)</f>
        <v>#REF!</v>
      </c>
      <c r="K18" s="1"/>
    </row>
    <row r="19" spans="1:18" ht="14.25">
      <c r="A19" s="1"/>
      <c r="B19" s="4"/>
      <c r="C19" s="5"/>
      <c r="E19" s="1"/>
      <c r="F19" s="74" t="s">
        <v>68</v>
      </c>
      <c r="G19" s="49" t="e">
        <f>SUM(I9:I11)</f>
        <v>#REF!</v>
      </c>
      <c r="H19" s="2"/>
      <c r="I19" s="2"/>
      <c r="J19" s="2"/>
      <c r="K19" s="1"/>
    </row>
    <row r="20" spans="1:18" ht="14.25">
      <c r="A20" s="1"/>
      <c r="B20" s="4"/>
      <c r="C20" s="5"/>
      <c r="E20" s="1"/>
      <c r="F20" s="74" t="s">
        <v>69</v>
      </c>
      <c r="G20" s="49" t="e">
        <f>SUM(I12:I14)</f>
        <v>#REF!</v>
      </c>
      <c r="H20" s="2"/>
      <c r="I20" s="2"/>
      <c r="J20" s="2"/>
      <c r="K20" s="1"/>
    </row>
    <row r="21" spans="1:18" ht="14.25">
      <c r="A21" s="1"/>
      <c r="B21" s="4"/>
      <c r="C21" s="5"/>
      <c r="E21" s="1"/>
      <c r="F21" s="74" t="s">
        <v>72</v>
      </c>
      <c r="G21" s="49" t="e">
        <f>SUMIFS(合同明细!#REF!,合同明细!#REF!,"L.已验收",合同明细!#REF!,"")/10000</f>
        <v>#REF!</v>
      </c>
      <c r="H21" s="2"/>
      <c r="I21" s="2"/>
      <c r="J21" s="2"/>
      <c r="K21" s="1"/>
    </row>
    <row r="22" spans="1:18" ht="14.25">
      <c r="B22" s="4"/>
      <c r="C22" s="5"/>
      <c r="F22" s="74" t="s">
        <v>73</v>
      </c>
      <c r="G22" s="49" t="e">
        <f>C15-I15-G21</f>
        <v>#REF!</v>
      </c>
      <c r="Q22" s="4"/>
      <c r="R22" s="5"/>
    </row>
    <row r="23" spans="1:18">
      <c r="B23" s="4"/>
      <c r="C23" s="5"/>
    </row>
    <row r="24" spans="1:18">
      <c r="B24" s="4"/>
      <c r="C24" s="5"/>
    </row>
    <row r="25" spans="1:18">
      <c r="B25" s="4"/>
      <c r="C25" s="5"/>
    </row>
    <row r="26" spans="1:18">
      <c r="B26" s="4"/>
      <c r="C26" s="5"/>
    </row>
    <row r="27" spans="1:18">
      <c r="B27" s="4"/>
      <c r="C27" s="5"/>
    </row>
    <row r="28" spans="1:18">
      <c r="B28" s="4"/>
      <c r="C28" s="5"/>
    </row>
    <row r="29" spans="1:18">
      <c r="B29" s="4"/>
      <c r="C29" s="50"/>
      <c r="G29" s="50"/>
      <c r="I29" s="50"/>
      <c r="M29" t="s">
        <v>85</v>
      </c>
      <c r="N29" s="50" t="e">
        <f>(SUMIF(合同明细!#REF!,"IES-600",合同明细!#REF!)+SUMIF(合同明细!#REF!,"IES-600P",合同明细!#REF!)+SUMIF(合同明细!#REF!,"IES-700",合同明细!#REF!)+SUMIF(合同明细!#REF!,"EMS-EXT",合同明细!#REF!))/10000</f>
        <v>#REF!</v>
      </c>
      <c r="O29" s="50"/>
    </row>
    <row r="30" spans="1:18">
      <c r="B30" s="4"/>
      <c r="C30" s="50"/>
      <c r="G30" s="50"/>
      <c r="M30" t="s">
        <v>86</v>
      </c>
      <c r="N30" s="50" t="e">
        <f>(SUMIF(合同明细!#REF!,"DMS1000E",合同明细!#REF!)+SUMIF(合同明细!#REF!,"DMS-EXT",合同明细!#REF!)+SUMIF(合同明细!#REF!,"iES-DDS2000",合同明细!#REF!))/10000</f>
        <v>#REF!</v>
      </c>
      <c r="O30" s="50"/>
    </row>
    <row r="31" spans="1:18">
      <c r="B31" s="4"/>
      <c r="C31" s="50"/>
      <c r="M31" t="s">
        <v>87</v>
      </c>
      <c r="N31" t="e">
        <f>(SUMIF(合同明细!#REF!,"PAS",合同明细!#REF!)+SUMIF(合同明细!#REF!,"DTS",合同明细!#REF!)+SUMIF(合同明细!#REF!,"DOTS",合同明细!#REF!))/10000</f>
        <v>#REF!</v>
      </c>
    </row>
    <row r="32" spans="1:18">
      <c r="B32" s="4"/>
      <c r="C32" s="50"/>
      <c r="M32" t="s">
        <v>88</v>
      </c>
      <c r="N32" t="e">
        <f>(SUMIF(合同明细!#REF!,"IES-NE",合同明细!#REF!)+SUMIF(合同明细!#REF!,"AVC",合同明细!#REF!))/10000</f>
        <v>#REF!</v>
      </c>
    </row>
    <row r="33" spans="2:14">
      <c r="B33" s="4"/>
      <c r="C33" s="50"/>
      <c r="M33" t="s">
        <v>90</v>
      </c>
      <c r="N33" t="e">
        <f>SUMIF(合同明细!#REF!,"IDP600",合同明细!#REF!)/10000</f>
        <v>#REF!</v>
      </c>
    </row>
    <row r="34" spans="2:14">
      <c r="B34" s="4"/>
      <c r="C34" s="50"/>
      <c r="M34" t="s">
        <v>89</v>
      </c>
      <c r="N34" t="e">
        <f>SUM(SUMIF(合同明细!#REF!,"QT-A",合同明细!#REF!),SUMIF(合同明细!#REF!,"QT-B",合同明细!#REF!))/10000</f>
        <v>#REF!</v>
      </c>
    </row>
    <row r="35" spans="2:14">
      <c r="B35" s="4"/>
      <c r="C35" s="50"/>
    </row>
  </sheetData>
  <mergeCells count="5">
    <mergeCell ref="N1:Q1"/>
    <mergeCell ref="B1:C1"/>
    <mergeCell ref="F1:L1"/>
    <mergeCell ref="B2:D2"/>
    <mergeCell ref="B7:D7"/>
  </mergeCells>
  <phoneticPr fontId="2" type="noConversion"/>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dimension ref="A1:J199"/>
  <sheetViews>
    <sheetView tabSelected="1" workbookViewId="0">
      <pane xSplit="1" ySplit="1" topLeftCell="B2" activePane="bottomRight" state="frozen"/>
      <selection pane="topRight" activeCell="F1" sqref="F1"/>
      <selection pane="bottomLeft" activeCell="A2" sqref="A2"/>
      <selection pane="bottomRight" activeCell="I7" sqref="I7"/>
    </sheetView>
  </sheetViews>
  <sheetFormatPr defaultColWidth="9" defaultRowHeight="12"/>
  <cols>
    <col min="1" max="4" width="9" style="105" hidden="1" customWidth="1"/>
    <col min="5" max="5" width="9" style="107" customWidth="1"/>
    <col min="6" max="6" width="19.75" style="107" customWidth="1"/>
    <col min="7" max="7" width="32.625" style="108" customWidth="1"/>
    <col min="8" max="8" width="15.625" style="108" customWidth="1"/>
    <col min="9" max="9" width="17.125" style="108" customWidth="1"/>
    <col min="10" max="10" width="38.5" style="108" customWidth="1"/>
    <col min="11" max="16384" width="9" style="105"/>
  </cols>
  <sheetData>
    <row r="1" spans="1:10" s="110" customFormat="1" ht="21" customHeight="1">
      <c r="A1" s="109" t="s">
        <v>357</v>
      </c>
      <c r="B1" s="109" t="s">
        <v>358</v>
      </c>
      <c r="C1" s="109" t="s">
        <v>359</v>
      </c>
      <c r="D1" s="109" t="s">
        <v>81</v>
      </c>
      <c r="E1" s="110" t="s">
        <v>356</v>
      </c>
      <c r="F1" s="110" t="s">
        <v>364</v>
      </c>
      <c r="G1" s="110" t="s">
        <v>360</v>
      </c>
      <c r="H1" s="128">
        <v>1</v>
      </c>
      <c r="I1" s="110" t="s">
        <v>365</v>
      </c>
      <c r="J1" s="110" t="s">
        <v>361</v>
      </c>
    </row>
    <row r="2" spans="1:10" s="112" customFormat="1">
      <c r="A2" s="111" t="e">
        <f xml:space="preserve"> IF(ISBLANK(#REF!),"",MONTH(#REF!))</f>
        <v>#REF!</v>
      </c>
      <c r="B2" s="111"/>
      <c r="C2" s="111" t="e">
        <f>IF(ISBLANK(#REF!),"",MONTH(#REF!))</f>
        <v>#REF!</v>
      </c>
      <c r="D2" s="111" t="s">
        <v>78</v>
      </c>
      <c r="E2" s="112" t="s">
        <v>362</v>
      </c>
      <c r="F2" s="113">
        <v>42268.791666666664</v>
      </c>
      <c r="G2" s="112" t="s">
        <v>363</v>
      </c>
      <c r="H2" s="114">
        <v>1</v>
      </c>
      <c r="I2" s="113">
        <v>42268.951388888891</v>
      </c>
    </row>
    <row r="3" spans="1:10" s="112" customFormat="1">
      <c r="A3" s="112" t="e">
        <f xml:space="preserve"> IF(ISBLANK(#REF!),"",MONTH(#REF!))</f>
        <v>#REF!</v>
      </c>
      <c r="C3" s="112" t="e">
        <f>IF(ISBLANK(#REF!),"",MONTH(#REF!))</f>
        <v>#REF!</v>
      </c>
      <c r="D3" s="112" t="s">
        <v>80</v>
      </c>
      <c r="E3" s="112" t="s">
        <v>366</v>
      </c>
      <c r="F3" s="113">
        <v>42268.958333333336</v>
      </c>
      <c r="G3" s="112" t="s">
        <v>367</v>
      </c>
      <c r="H3" s="114">
        <v>1</v>
      </c>
      <c r="I3" s="113">
        <v>42268.951388888891</v>
      </c>
    </row>
    <row r="4" spans="1:10" s="112" customFormat="1">
      <c r="A4" s="112" t="e">
        <f xml:space="preserve"> IF(ISBLANK(#REF!),"",MONTH(#REF!))</f>
        <v>#REF!</v>
      </c>
      <c r="C4" s="112" t="e">
        <f>IF(ISBLANK(#REF!),"",MONTH(#REF!))</f>
        <v>#REF!</v>
      </c>
      <c r="D4" s="112" t="s">
        <v>83</v>
      </c>
      <c r="E4" s="112" t="s">
        <v>368</v>
      </c>
      <c r="F4" s="113">
        <v>42274.5</v>
      </c>
      <c r="G4" s="112" t="s">
        <v>369</v>
      </c>
      <c r="H4" s="114">
        <v>1</v>
      </c>
      <c r="I4" s="113">
        <v>42268.951388888891</v>
      </c>
    </row>
    <row r="5" spans="1:10" s="112" customFormat="1">
      <c r="A5" s="112" t="e">
        <f xml:space="preserve"> IF(ISBLANK(#REF!),"",MONTH(#REF!))</f>
        <v>#REF!</v>
      </c>
      <c r="C5" s="112" t="e">
        <f>IF(ISBLANK(#REF!),"",MONTH(#REF!))</f>
        <v>#REF!</v>
      </c>
      <c r="D5" s="112" t="s">
        <v>83</v>
      </c>
      <c r="E5" s="112" t="s">
        <v>370</v>
      </c>
      <c r="F5" s="113">
        <v>42274.552777777775</v>
      </c>
      <c r="G5" s="112" t="s">
        <v>371</v>
      </c>
      <c r="H5" s="114">
        <v>1</v>
      </c>
      <c r="I5" s="113">
        <v>42268.951388888891</v>
      </c>
    </row>
    <row r="6" spans="1:10" s="112" customFormat="1">
      <c r="A6" s="112" t="e">
        <f xml:space="preserve"> IF(ISBLANK(#REF!),"",MONTH(#REF!))</f>
        <v>#REF!</v>
      </c>
      <c r="C6" s="112" t="e">
        <f>IF(ISBLANK(#REF!),"",MONTH(#REF!))</f>
        <v>#REF!</v>
      </c>
      <c r="D6" s="112" t="s">
        <v>78</v>
      </c>
      <c r="E6" s="112" t="s">
        <v>372</v>
      </c>
      <c r="F6" s="113">
        <v>42274.5625</v>
      </c>
      <c r="G6" s="112" t="s">
        <v>373</v>
      </c>
      <c r="H6" s="114">
        <v>1</v>
      </c>
      <c r="I6" s="113">
        <v>42268.951388888891</v>
      </c>
    </row>
    <row r="7" spans="1:10" s="112" customFormat="1">
      <c r="A7" s="112" t="e">
        <f xml:space="preserve"> IF(ISBLANK(#REF!),"",MONTH(#REF!))</f>
        <v>#REF!</v>
      </c>
      <c r="C7" s="112" t="e">
        <f>IF(ISBLANK(#REF!),"",MONTH(#REF!))</f>
        <v>#REF!</v>
      </c>
      <c r="D7" s="112" t="s">
        <v>82</v>
      </c>
      <c r="E7" s="112" t="s">
        <v>374</v>
      </c>
      <c r="F7" s="113">
        <v>42274.5625</v>
      </c>
      <c r="G7" s="112" t="s">
        <v>375</v>
      </c>
      <c r="H7" s="114">
        <v>1</v>
      </c>
      <c r="I7" s="113">
        <v>42268.951388888891</v>
      </c>
    </row>
    <row r="8" spans="1:10" s="112" customFormat="1">
      <c r="A8" s="112" t="e">
        <f xml:space="preserve"> IF(ISBLANK(#REF!),"",MONTH(#REF!))</f>
        <v>#REF!</v>
      </c>
      <c r="C8" s="112" t="e">
        <f>IF(ISBLANK(#REF!),"",MONTH(#REF!))</f>
        <v>#REF!</v>
      </c>
      <c r="D8" s="112" t="s">
        <v>79</v>
      </c>
      <c r="H8" s="114"/>
    </row>
    <row r="9" spans="1:10" s="112" customFormat="1">
      <c r="A9" s="112" t="e">
        <f xml:space="preserve"> IF(ISBLANK(#REF!),"",MONTH(#REF!))</f>
        <v>#REF!</v>
      </c>
      <c r="C9" s="112" t="e">
        <f>IF(ISBLANK(#REF!),"",MONTH(#REF!))</f>
        <v>#REF!</v>
      </c>
      <c r="D9" s="112" t="s">
        <v>82</v>
      </c>
      <c r="H9" s="114"/>
    </row>
    <row r="10" spans="1:10" s="112" customFormat="1">
      <c r="A10" s="112" t="e">
        <f xml:space="preserve"> IF(ISBLANK(#REF!),"",MONTH(#REF!))</f>
        <v>#REF!</v>
      </c>
      <c r="C10" s="112" t="e">
        <f>IF(ISBLANK(#REF!),"",MONTH(#REF!))</f>
        <v>#REF!</v>
      </c>
      <c r="D10" s="112" t="s">
        <v>79</v>
      </c>
      <c r="H10" s="114"/>
    </row>
    <row r="11" spans="1:10" s="112" customFormat="1">
      <c r="A11" s="112" t="e">
        <f xml:space="preserve"> IF(ISBLANK(#REF!),"",MONTH(#REF!))</f>
        <v>#REF!</v>
      </c>
      <c r="C11" s="112" t="e">
        <f>IF(ISBLANK(#REF!),"",MONTH(#REF!))</f>
        <v>#REF!</v>
      </c>
      <c r="D11" s="112" t="s">
        <v>79</v>
      </c>
      <c r="H11" s="114"/>
    </row>
    <row r="12" spans="1:10" s="112" customFormat="1">
      <c r="A12" s="112" t="e">
        <f xml:space="preserve"> IF(ISBLANK(#REF!),"",MONTH(#REF!))</f>
        <v>#REF!</v>
      </c>
      <c r="C12" s="112" t="e">
        <f>IF(ISBLANK(#REF!),"",MONTH(#REF!))</f>
        <v>#REF!</v>
      </c>
      <c r="D12" s="112" t="s">
        <v>79</v>
      </c>
      <c r="H12" s="114"/>
    </row>
    <row r="13" spans="1:10" s="112" customFormat="1">
      <c r="A13" s="112" t="e">
        <f xml:space="preserve"> IF(ISBLANK(#REF!),"",MONTH(#REF!))</f>
        <v>#REF!</v>
      </c>
      <c r="C13" s="112" t="e">
        <f>IF(ISBLANK(#REF!),"",MONTH(#REF!))</f>
        <v>#REF!</v>
      </c>
      <c r="D13" s="112" t="s">
        <v>82</v>
      </c>
      <c r="H13" s="114"/>
    </row>
    <row r="14" spans="1:10" s="112" customFormat="1">
      <c r="A14" s="112" t="e">
        <f xml:space="preserve"> IF(ISBLANK(#REF!),"",MONTH(#REF!))</f>
        <v>#REF!</v>
      </c>
      <c r="C14" s="112" t="e">
        <f>IF(ISBLANK(#REF!),"",MONTH(#REF!))</f>
        <v>#REF!</v>
      </c>
      <c r="D14" s="112" t="s">
        <v>77</v>
      </c>
      <c r="H14" s="114"/>
    </row>
    <row r="15" spans="1:10" s="112" customFormat="1">
      <c r="A15" s="112" t="e">
        <f xml:space="preserve"> IF(ISBLANK(#REF!),"",MONTH(#REF!))</f>
        <v>#REF!</v>
      </c>
      <c r="C15" s="112" t="e">
        <f>IF(ISBLANK(#REF!),"",MONTH(#REF!))</f>
        <v>#REF!</v>
      </c>
      <c r="D15" s="112" t="s">
        <v>77</v>
      </c>
    </row>
    <row r="16" spans="1:10" s="112" customFormat="1">
      <c r="A16" s="111" t="e">
        <f xml:space="preserve"> IF(ISBLANK(#REF!),"",MONTH(#REF!))</f>
        <v>#REF!</v>
      </c>
      <c r="B16" s="111"/>
      <c r="C16" s="111" t="e">
        <f>IF(ISBLANK(#REF!),"",MONTH(#REF!))</f>
        <v>#REF!</v>
      </c>
      <c r="D16" s="111" t="s">
        <v>79</v>
      </c>
    </row>
    <row r="17" spans="1:10" s="112" customFormat="1">
      <c r="A17" s="112" t="e">
        <f xml:space="preserve"> IF(ISBLANK(#REF!),"",MONTH(#REF!))</f>
        <v>#REF!</v>
      </c>
      <c r="C17" s="112" t="e">
        <f>IF(ISBLANK(#REF!),"",MONTH(#REF!))</f>
        <v>#REF!</v>
      </c>
      <c r="D17" s="112" t="s">
        <v>79</v>
      </c>
    </row>
    <row r="18" spans="1:10" s="112" customFormat="1">
      <c r="A18" s="112" t="e">
        <f xml:space="preserve"> IF(ISBLANK(#REF!),"",MONTH(#REF!))</f>
        <v>#REF!</v>
      </c>
      <c r="C18" s="112" t="e">
        <f>IF(ISBLANK(#REF!),"",MONTH(#REF!))</f>
        <v>#REF!</v>
      </c>
      <c r="D18" s="112" t="s">
        <v>78</v>
      </c>
    </row>
    <row r="19" spans="1:10" s="112" customFormat="1">
      <c r="A19" s="112" t="e">
        <f xml:space="preserve"> IF(ISBLANK(#REF!),"",MONTH(#REF!))</f>
        <v>#REF!</v>
      </c>
      <c r="C19" s="112" t="e">
        <f>IF(ISBLANK(#REF!),"",MONTH(#REF!))</f>
        <v>#REF!</v>
      </c>
      <c r="D19" s="112" t="s">
        <v>79</v>
      </c>
    </row>
    <row r="20" spans="1:10" s="112" customFormat="1">
      <c r="A20" s="112" t="e">
        <f xml:space="preserve"> IF(ISBLANK(#REF!),"",MONTH(#REF!))</f>
        <v>#REF!</v>
      </c>
      <c r="C20" s="112" t="e">
        <f>IF(ISBLANK(#REF!),"",MONTH(#REF!))</f>
        <v>#REF!</v>
      </c>
      <c r="D20" s="112" t="s">
        <v>79</v>
      </c>
    </row>
    <row r="21" spans="1:10" s="112" customFormat="1">
      <c r="A21" s="112" t="e">
        <f xml:space="preserve"> IF(ISBLANK(#REF!),"",MONTH(#REF!))</f>
        <v>#REF!</v>
      </c>
      <c r="C21" s="112" t="e">
        <f>IF(ISBLANK(#REF!),"",MONTH(#REF!))</f>
        <v>#REF!</v>
      </c>
      <c r="D21" s="112" t="s">
        <v>79</v>
      </c>
    </row>
    <row r="22" spans="1:10" s="112" customFormat="1">
      <c r="A22" s="112" t="e">
        <f xml:space="preserve"> IF(ISBLANK(#REF!),"",MONTH(#REF!))</f>
        <v>#REF!</v>
      </c>
      <c r="C22" s="112" t="e">
        <f>IF(ISBLANK(#REF!),"",MONTH(#REF!))</f>
        <v>#REF!</v>
      </c>
      <c r="D22" s="112" t="s">
        <v>84</v>
      </c>
    </row>
    <row r="23" spans="1:10" s="112" customFormat="1">
      <c r="A23" s="112" t="e">
        <f xml:space="preserve"> IF(ISBLANK(#REF!),"",MONTH(#REF!))</f>
        <v>#REF!</v>
      </c>
      <c r="C23" s="112" t="e">
        <f>IF(ISBLANK(#REF!),"",MONTH(#REF!))</f>
        <v>#REF!</v>
      </c>
      <c r="D23" s="112" t="s">
        <v>78</v>
      </c>
    </row>
    <row r="24" spans="1:10" s="112" customFormat="1">
      <c r="A24" s="112" t="e">
        <f xml:space="preserve"> IF(ISBLANK(#REF!),"",MONTH(#REF!))</f>
        <v>#REF!</v>
      </c>
      <c r="C24" s="112" t="e">
        <f>IF(ISBLANK(#REF!),"",MONTH(#REF!))</f>
        <v>#REF!</v>
      </c>
      <c r="D24" s="112" t="s">
        <v>78</v>
      </c>
    </row>
    <row r="25" spans="1:10" s="112" customFormat="1">
      <c r="A25" s="112" t="e">
        <f xml:space="preserve"> IF(ISBLANK(#REF!),"",MONTH(#REF!))</f>
        <v>#REF!</v>
      </c>
      <c r="C25" s="112" t="e">
        <f>IF(ISBLANK(#REF!),"",MONTH(#REF!))</f>
        <v>#REF!</v>
      </c>
      <c r="D25" s="112" t="s">
        <v>79</v>
      </c>
    </row>
    <row r="26" spans="1:10" s="112" customFormat="1">
      <c r="A26" s="112" t="e">
        <f xml:space="preserve"> IF(ISBLANK(#REF!),"",MONTH(#REF!))</f>
        <v>#REF!</v>
      </c>
      <c r="C26" s="112" t="e">
        <f>IF(ISBLANK(#REF!),"",MONTH(#REF!))</f>
        <v>#REF!</v>
      </c>
      <c r="D26" s="112" t="s">
        <v>78</v>
      </c>
    </row>
    <row r="27" spans="1:10" s="112" customFormat="1">
      <c r="A27" s="112" t="e">
        <f xml:space="preserve"> IF(ISBLANK(#REF!),"",MONTH(#REF!))</f>
        <v>#REF!</v>
      </c>
      <c r="C27" s="112" t="e">
        <f>IF(ISBLANK(#REF!),"",MONTH(#REF!))</f>
        <v>#REF!</v>
      </c>
      <c r="D27" s="112" t="s">
        <v>79</v>
      </c>
    </row>
    <row r="28" spans="1:10" s="112" customFormat="1">
      <c r="A28" s="112" t="e">
        <f xml:space="preserve"> IF(ISBLANK(#REF!),"",MONTH(#REF!))</f>
        <v>#REF!</v>
      </c>
      <c r="C28" s="112" t="e">
        <f>IF(ISBLANK(#REF!),"",MONTH(#REF!))</f>
        <v>#REF!</v>
      </c>
      <c r="D28" s="112" t="s">
        <v>79</v>
      </c>
    </row>
    <row r="29" spans="1:10" s="112" customFormat="1">
      <c r="A29" s="112" t="e">
        <f xml:space="preserve"> IF(ISBLANK(#REF!),"",MONTH(#REF!))</f>
        <v>#REF!</v>
      </c>
      <c r="C29" s="112" t="e">
        <f>IF(ISBLANK(#REF!),"",MONTH(#REF!))</f>
        <v>#REF!</v>
      </c>
      <c r="D29" s="112" t="s">
        <v>79</v>
      </c>
    </row>
    <row r="30" spans="1:10" s="112" customFormat="1">
      <c r="A30" s="112" t="e">
        <f xml:space="preserve"> IF(ISBLANK(#REF!),"",MONTH(#REF!))</f>
        <v>#REF!</v>
      </c>
      <c r="C30" s="112" t="e">
        <f>IF(ISBLANK(#REF!),"",MONTH(#REF!))</f>
        <v>#REF!</v>
      </c>
      <c r="D30" s="112" t="s">
        <v>79</v>
      </c>
    </row>
    <row r="31" spans="1:10" s="106" customFormat="1">
      <c r="E31" s="107"/>
      <c r="F31" s="107"/>
      <c r="G31" s="108"/>
      <c r="H31" s="108"/>
      <c r="I31" s="108"/>
      <c r="J31" s="108"/>
    </row>
    <row r="32" spans="1:10" s="106" customFormat="1">
      <c r="E32" s="107"/>
      <c r="F32" s="107"/>
      <c r="G32" s="108"/>
      <c r="H32" s="108"/>
      <c r="I32" s="108"/>
      <c r="J32" s="108"/>
    </row>
    <row r="33" spans="5:10" s="106" customFormat="1">
      <c r="E33" s="107"/>
      <c r="F33" s="107"/>
      <c r="G33" s="108"/>
      <c r="H33" s="108"/>
      <c r="I33" s="108"/>
      <c r="J33" s="108"/>
    </row>
    <row r="34" spans="5:10" s="106" customFormat="1">
      <c r="E34" s="107"/>
      <c r="F34" s="107"/>
      <c r="G34" s="108"/>
      <c r="H34" s="108"/>
      <c r="I34" s="108"/>
      <c r="J34" s="108"/>
    </row>
    <row r="35" spans="5:10" s="106" customFormat="1">
      <c r="E35" s="107"/>
      <c r="F35" s="107"/>
      <c r="G35" s="108"/>
      <c r="H35" s="108"/>
      <c r="I35" s="108"/>
      <c r="J35" s="108"/>
    </row>
    <row r="36" spans="5:10" s="106" customFormat="1">
      <c r="E36" s="107"/>
      <c r="F36" s="107"/>
      <c r="G36" s="108"/>
      <c r="H36" s="108"/>
      <c r="I36" s="108"/>
      <c r="J36" s="108"/>
    </row>
    <row r="37" spans="5:10" s="106" customFormat="1">
      <c r="E37" s="107"/>
      <c r="F37" s="107"/>
      <c r="G37" s="108"/>
      <c r="H37" s="108"/>
      <c r="I37" s="108"/>
      <c r="J37" s="108"/>
    </row>
    <row r="38" spans="5:10" s="106" customFormat="1">
      <c r="E38" s="107"/>
      <c r="F38" s="107"/>
      <c r="G38" s="108"/>
      <c r="H38" s="108"/>
      <c r="I38" s="108"/>
      <c r="J38" s="108"/>
    </row>
    <row r="39" spans="5:10" s="106" customFormat="1">
      <c r="E39" s="107"/>
      <c r="F39" s="107"/>
      <c r="G39" s="108"/>
      <c r="H39" s="108"/>
      <c r="I39" s="108"/>
      <c r="J39" s="108"/>
    </row>
    <row r="40" spans="5:10" s="106" customFormat="1">
      <c r="E40" s="107"/>
      <c r="F40" s="107"/>
      <c r="G40" s="108"/>
      <c r="H40" s="108"/>
      <c r="I40" s="108"/>
      <c r="J40" s="108"/>
    </row>
    <row r="41" spans="5:10" s="106" customFormat="1">
      <c r="E41" s="107"/>
      <c r="F41" s="107"/>
      <c r="G41" s="108"/>
      <c r="H41" s="108"/>
      <c r="I41" s="108"/>
      <c r="J41" s="108"/>
    </row>
    <row r="42" spans="5:10" s="106" customFormat="1">
      <c r="E42" s="107"/>
      <c r="F42" s="107"/>
      <c r="G42" s="108"/>
      <c r="H42" s="108"/>
      <c r="I42" s="108"/>
      <c r="J42" s="108"/>
    </row>
    <row r="43" spans="5:10" s="106" customFormat="1">
      <c r="E43" s="107"/>
      <c r="F43" s="107"/>
      <c r="G43" s="108"/>
      <c r="H43" s="108"/>
      <c r="I43" s="108"/>
      <c r="J43" s="108"/>
    </row>
    <row r="44" spans="5:10" s="106" customFormat="1">
      <c r="E44" s="107"/>
      <c r="F44" s="107"/>
      <c r="G44" s="108"/>
      <c r="H44" s="108"/>
      <c r="I44" s="108"/>
      <c r="J44" s="108"/>
    </row>
    <row r="45" spans="5:10" s="106" customFormat="1">
      <c r="E45" s="107"/>
      <c r="F45" s="107"/>
      <c r="G45" s="108"/>
      <c r="H45" s="108"/>
      <c r="I45" s="108"/>
      <c r="J45" s="108"/>
    </row>
    <row r="46" spans="5:10" s="106" customFormat="1">
      <c r="E46" s="107"/>
      <c r="F46" s="107"/>
      <c r="G46" s="108"/>
      <c r="H46" s="108"/>
      <c r="I46" s="108"/>
      <c r="J46" s="108"/>
    </row>
    <row r="47" spans="5:10" s="106" customFormat="1">
      <c r="E47" s="107"/>
      <c r="F47" s="107"/>
      <c r="G47" s="108"/>
      <c r="H47" s="108"/>
      <c r="I47" s="108"/>
      <c r="J47" s="108"/>
    </row>
    <row r="48" spans="5:10" s="106" customFormat="1">
      <c r="E48" s="107"/>
      <c r="F48" s="107"/>
      <c r="G48" s="108"/>
      <c r="H48" s="108"/>
      <c r="I48" s="108"/>
      <c r="J48" s="108"/>
    </row>
    <row r="49" spans="5:10" s="106" customFormat="1">
      <c r="E49" s="107"/>
      <c r="F49" s="107"/>
      <c r="G49" s="108"/>
      <c r="H49" s="108"/>
      <c r="I49" s="108"/>
      <c r="J49" s="108"/>
    </row>
    <row r="50" spans="5:10" s="106" customFormat="1">
      <c r="E50" s="107"/>
      <c r="F50" s="107"/>
      <c r="G50" s="108"/>
      <c r="H50" s="108"/>
      <c r="I50" s="108"/>
      <c r="J50" s="108"/>
    </row>
    <row r="51" spans="5:10" s="106" customFormat="1">
      <c r="E51" s="107"/>
      <c r="F51" s="107"/>
      <c r="G51" s="108"/>
      <c r="H51" s="108"/>
      <c r="I51" s="108"/>
      <c r="J51" s="108"/>
    </row>
    <row r="52" spans="5:10" s="106" customFormat="1">
      <c r="E52" s="107"/>
      <c r="F52" s="107"/>
      <c r="G52" s="108"/>
      <c r="H52" s="108"/>
      <c r="I52" s="108"/>
      <c r="J52" s="108"/>
    </row>
    <row r="53" spans="5:10" s="106" customFormat="1">
      <c r="E53" s="107"/>
      <c r="F53" s="107"/>
      <c r="G53" s="108"/>
      <c r="H53" s="108"/>
      <c r="I53" s="108"/>
      <c r="J53" s="108"/>
    </row>
    <row r="54" spans="5:10" s="106" customFormat="1">
      <c r="E54" s="107"/>
      <c r="F54" s="107"/>
      <c r="G54" s="108"/>
      <c r="H54" s="108"/>
      <c r="I54" s="108"/>
      <c r="J54" s="108"/>
    </row>
    <row r="55" spans="5:10" s="106" customFormat="1">
      <c r="E55" s="107"/>
      <c r="F55" s="107"/>
      <c r="G55" s="108"/>
      <c r="H55" s="108"/>
      <c r="I55" s="108"/>
      <c r="J55" s="108"/>
    </row>
    <row r="56" spans="5:10" s="106" customFormat="1">
      <c r="E56" s="107"/>
      <c r="F56" s="107"/>
      <c r="G56" s="108"/>
      <c r="H56" s="108"/>
      <c r="I56" s="108"/>
      <c r="J56" s="108"/>
    </row>
    <row r="57" spans="5:10" s="106" customFormat="1">
      <c r="E57" s="107"/>
      <c r="F57" s="107"/>
      <c r="G57" s="108"/>
      <c r="H57" s="108"/>
      <c r="I57" s="108"/>
      <c r="J57" s="108"/>
    </row>
    <row r="58" spans="5:10" s="106" customFormat="1">
      <c r="E58" s="107"/>
      <c r="F58" s="107"/>
      <c r="G58" s="108"/>
      <c r="H58" s="108"/>
      <c r="I58" s="108"/>
      <c r="J58" s="108"/>
    </row>
    <row r="59" spans="5:10" s="106" customFormat="1">
      <c r="E59" s="107"/>
      <c r="F59" s="107"/>
      <c r="G59" s="108"/>
      <c r="H59" s="108"/>
      <c r="I59" s="108"/>
      <c r="J59" s="108"/>
    </row>
    <row r="60" spans="5:10" s="106" customFormat="1">
      <c r="E60" s="107"/>
      <c r="F60" s="107"/>
      <c r="G60" s="108"/>
      <c r="H60" s="108"/>
      <c r="I60" s="108"/>
      <c r="J60" s="108"/>
    </row>
    <row r="61" spans="5:10" s="106" customFormat="1">
      <c r="E61" s="107"/>
      <c r="F61" s="107"/>
      <c r="G61" s="108"/>
      <c r="H61" s="108"/>
      <c r="I61" s="108"/>
      <c r="J61" s="108"/>
    </row>
    <row r="62" spans="5:10" s="106" customFormat="1">
      <c r="E62" s="107"/>
      <c r="F62" s="107"/>
      <c r="G62" s="108"/>
      <c r="H62" s="108"/>
      <c r="I62" s="108"/>
      <c r="J62" s="108"/>
    </row>
    <row r="63" spans="5:10" s="106" customFormat="1">
      <c r="E63" s="107"/>
      <c r="F63" s="107"/>
      <c r="G63" s="108"/>
      <c r="H63" s="108"/>
      <c r="I63" s="108"/>
      <c r="J63" s="108"/>
    </row>
    <row r="64" spans="5:10" s="106" customFormat="1">
      <c r="E64" s="107"/>
      <c r="F64" s="107"/>
      <c r="G64" s="108"/>
      <c r="H64" s="108"/>
      <c r="I64" s="108"/>
      <c r="J64" s="108"/>
    </row>
    <row r="65" spans="5:10" s="106" customFormat="1">
      <c r="E65" s="107"/>
      <c r="F65" s="107"/>
      <c r="G65" s="108"/>
      <c r="H65" s="108"/>
      <c r="I65" s="108"/>
      <c r="J65" s="108"/>
    </row>
    <row r="66" spans="5:10" s="106" customFormat="1">
      <c r="E66" s="107"/>
      <c r="F66" s="107"/>
      <c r="G66" s="108"/>
      <c r="H66" s="108"/>
      <c r="I66" s="108"/>
      <c r="J66" s="108"/>
    </row>
    <row r="67" spans="5:10" s="106" customFormat="1">
      <c r="E67" s="107"/>
      <c r="F67" s="107"/>
      <c r="G67" s="108"/>
      <c r="H67" s="108"/>
      <c r="I67" s="108"/>
      <c r="J67" s="108"/>
    </row>
    <row r="68" spans="5:10" s="106" customFormat="1">
      <c r="E68" s="107"/>
      <c r="F68" s="107"/>
      <c r="G68" s="108"/>
      <c r="H68" s="108"/>
      <c r="I68" s="108"/>
      <c r="J68" s="108"/>
    </row>
    <row r="69" spans="5:10" s="106" customFormat="1">
      <c r="E69" s="107"/>
      <c r="F69" s="107"/>
      <c r="G69" s="108"/>
      <c r="H69" s="108"/>
      <c r="I69" s="108"/>
      <c r="J69" s="108"/>
    </row>
    <row r="70" spans="5:10" s="106" customFormat="1">
      <c r="E70" s="107"/>
      <c r="F70" s="107"/>
      <c r="G70" s="108"/>
      <c r="H70" s="108"/>
      <c r="I70" s="108"/>
      <c r="J70" s="108"/>
    </row>
    <row r="71" spans="5:10" s="106" customFormat="1">
      <c r="E71" s="107"/>
      <c r="F71" s="107"/>
      <c r="G71" s="108"/>
      <c r="H71" s="108"/>
      <c r="I71" s="108"/>
      <c r="J71" s="108"/>
    </row>
    <row r="72" spans="5:10" s="106" customFormat="1">
      <c r="E72" s="107"/>
      <c r="F72" s="107"/>
      <c r="G72" s="108"/>
      <c r="H72" s="108"/>
      <c r="I72" s="108"/>
      <c r="J72" s="108"/>
    </row>
    <row r="73" spans="5:10" s="106" customFormat="1">
      <c r="E73" s="107"/>
      <c r="F73" s="107"/>
      <c r="G73" s="108"/>
      <c r="H73" s="108"/>
      <c r="I73" s="108"/>
      <c r="J73" s="108"/>
    </row>
    <row r="74" spans="5:10" s="106" customFormat="1">
      <c r="E74" s="107"/>
      <c r="F74" s="107"/>
      <c r="G74" s="108"/>
      <c r="H74" s="108"/>
      <c r="I74" s="108"/>
      <c r="J74" s="108"/>
    </row>
    <row r="75" spans="5:10" s="106" customFormat="1">
      <c r="E75" s="107"/>
      <c r="F75" s="107"/>
      <c r="G75" s="108"/>
      <c r="H75" s="108"/>
      <c r="I75" s="108"/>
      <c r="J75" s="108"/>
    </row>
    <row r="76" spans="5:10" s="106" customFormat="1">
      <c r="E76" s="107"/>
      <c r="F76" s="107"/>
      <c r="G76" s="108"/>
      <c r="H76" s="108"/>
      <c r="I76" s="108"/>
      <c r="J76" s="108"/>
    </row>
    <row r="77" spans="5:10" s="106" customFormat="1">
      <c r="E77" s="107"/>
      <c r="F77" s="107"/>
      <c r="G77" s="108"/>
      <c r="H77" s="108"/>
      <c r="I77" s="108"/>
      <c r="J77" s="108"/>
    </row>
    <row r="78" spans="5:10" s="106" customFormat="1">
      <c r="E78" s="107"/>
      <c r="F78" s="107"/>
      <c r="G78" s="108"/>
      <c r="H78" s="108"/>
      <c r="I78" s="108"/>
      <c r="J78" s="108"/>
    </row>
    <row r="79" spans="5:10" s="106" customFormat="1">
      <c r="E79" s="107"/>
      <c r="F79" s="107"/>
      <c r="G79" s="108"/>
      <c r="H79" s="108"/>
      <c r="I79" s="108"/>
      <c r="J79" s="108"/>
    </row>
    <row r="80" spans="5:10" s="106" customFormat="1">
      <c r="E80" s="107"/>
      <c r="F80" s="107"/>
      <c r="G80" s="108"/>
      <c r="H80" s="108"/>
      <c r="I80" s="108"/>
      <c r="J80" s="108"/>
    </row>
    <row r="81" spans="5:10" s="106" customFormat="1">
      <c r="E81" s="107"/>
      <c r="F81" s="107"/>
      <c r="G81" s="108"/>
      <c r="H81" s="108"/>
      <c r="I81" s="108"/>
      <c r="J81" s="108"/>
    </row>
    <row r="82" spans="5:10" s="106" customFormat="1">
      <c r="E82" s="107"/>
      <c r="F82" s="107"/>
      <c r="G82" s="108"/>
      <c r="H82" s="108"/>
      <c r="I82" s="108"/>
      <c r="J82" s="108"/>
    </row>
    <row r="83" spans="5:10" s="106" customFormat="1">
      <c r="E83" s="107"/>
      <c r="F83" s="107"/>
      <c r="G83" s="108"/>
      <c r="H83" s="108"/>
      <c r="I83" s="108"/>
      <c r="J83" s="108"/>
    </row>
    <row r="84" spans="5:10" s="106" customFormat="1">
      <c r="E84" s="107"/>
      <c r="F84" s="107"/>
      <c r="G84" s="108"/>
      <c r="H84" s="108"/>
      <c r="I84" s="108"/>
      <c r="J84" s="108"/>
    </row>
    <row r="85" spans="5:10" s="106" customFormat="1">
      <c r="E85" s="107"/>
      <c r="F85" s="107"/>
      <c r="G85" s="108"/>
      <c r="H85" s="108"/>
      <c r="I85" s="108"/>
      <c r="J85" s="108"/>
    </row>
    <row r="86" spans="5:10" s="106" customFormat="1">
      <c r="E86" s="107"/>
      <c r="F86" s="107"/>
      <c r="G86" s="108"/>
      <c r="H86" s="108"/>
      <c r="I86" s="108"/>
      <c r="J86" s="108"/>
    </row>
    <row r="87" spans="5:10" s="106" customFormat="1">
      <c r="E87" s="107"/>
      <c r="F87" s="107"/>
      <c r="G87" s="108"/>
      <c r="H87" s="108"/>
      <c r="I87" s="108"/>
      <c r="J87" s="108"/>
    </row>
    <row r="88" spans="5:10" s="106" customFormat="1">
      <c r="E88" s="107"/>
      <c r="F88" s="107"/>
      <c r="G88" s="108"/>
      <c r="H88" s="108"/>
      <c r="I88" s="108"/>
      <c r="J88" s="108"/>
    </row>
    <row r="89" spans="5:10" s="106" customFormat="1">
      <c r="E89" s="107"/>
      <c r="F89" s="107"/>
      <c r="G89" s="108"/>
      <c r="H89" s="108"/>
      <c r="I89" s="108"/>
      <c r="J89" s="108"/>
    </row>
    <row r="90" spans="5:10" s="106" customFormat="1">
      <c r="E90" s="107"/>
      <c r="F90" s="107"/>
      <c r="G90" s="108"/>
      <c r="H90" s="108"/>
      <c r="I90" s="108"/>
      <c r="J90" s="108"/>
    </row>
    <row r="91" spans="5:10" s="106" customFormat="1">
      <c r="E91" s="107"/>
      <c r="F91" s="107"/>
      <c r="G91" s="108"/>
      <c r="H91" s="108"/>
      <c r="I91" s="108"/>
      <c r="J91" s="108"/>
    </row>
    <row r="92" spans="5:10" s="106" customFormat="1">
      <c r="E92" s="107"/>
      <c r="F92" s="107"/>
      <c r="G92" s="108"/>
      <c r="H92" s="108"/>
      <c r="I92" s="108"/>
      <c r="J92" s="108"/>
    </row>
    <row r="93" spans="5:10" s="106" customFormat="1">
      <c r="E93" s="107"/>
      <c r="F93" s="107"/>
      <c r="G93" s="108"/>
      <c r="H93" s="108"/>
      <c r="I93" s="108"/>
      <c r="J93" s="108"/>
    </row>
    <row r="94" spans="5:10" s="106" customFormat="1">
      <c r="E94" s="107"/>
      <c r="F94" s="107"/>
      <c r="G94" s="108"/>
      <c r="H94" s="108"/>
      <c r="I94" s="108"/>
      <c r="J94" s="108"/>
    </row>
    <row r="95" spans="5:10" s="106" customFormat="1">
      <c r="E95" s="107"/>
      <c r="F95" s="107"/>
      <c r="G95" s="108"/>
      <c r="H95" s="108"/>
      <c r="I95" s="108"/>
      <c r="J95" s="108"/>
    </row>
    <row r="96" spans="5:10" s="106" customFormat="1">
      <c r="E96" s="107"/>
      <c r="F96" s="107"/>
      <c r="G96" s="108"/>
      <c r="H96" s="108"/>
      <c r="I96" s="108"/>
      <c r="J96" s="108"/>
    </row>
    <row r="97" spans="5:10" s="106" customFormat="1">
      <c r="E97" s="107"/>
      <c r="F97" s="107"/>
      <c r="G97" s="108"/>
      <c r="H97" s="108"/>
      <c r="I97" s="108"/>
      <c r="J97" s="108"/>
    </row>
    <row r="98" spans="5:10" s="106" customFormat="1">
      <c r="E98" s="107"/>
      <c r="F98" s="107"/>
      <c r="G98" s="108"/>
      <c r="H98" s="108"/>
      <c r="I98" s="108"/>
      <c r="J98" s="108"/>
    </row>
    <row r="99" spans="5:10" s="106" customFormat="1">
      <c r="E99" s="107"/>
      <c r="F99" s="107"/>
      <c r="G99" s="108"/>
      <c r="H99" s="108"/>
      <c r="I99" s="108"/>
      <c r="J99" s="108"/>
    </row>
    <row r="100" spans="5:10" s="106" customFormat="1">
      <c r="E100" s="107"/>
      <c r="F100" s="107"/>
      <c r="G100" s="108"/>
      <c r="H100" s="108"/>
      <c r="I100" s="108"/>
      <c r="J100" s="108"/>
    </row>
    <row r="101" spans="5:10" s="106" customFormat="1">
      <c r="E101" s="107"/>
      <c r="F101" s="107"/>
      <c r="G101" s="108"/>
      <c r="H101" s="108"/>
      <c r="I101" s="108"/>
      <c r="J101" s="108"/>
    </row>
    <row r="102" spans="5:10" s="106" customFormat="1">
      <c r="E102" s="107"/>
      <c r="F102" s="107"/>
      <c r="G102" s="108"/>
      <c r="H102" s="108"/>
      <c r="I102" s="108"/>
      <c r="J102" s="108"/>
    </row>
    <row r="103" spans="5:10" s="106" customFormat="1">
      <c r="E103" s="107"/>
      <c r="F103" s="107"/>
      <c r="G103" s="108"/>
      <c r="H103" s="108"/>
      <c r="I103" s="108"/>
      <c r="J103" s="108"/>
    </row>
    <row r="104" spans="5:10" s="106" customFormat="1">
      <c r="E104" s="107"/>
      <c r="F104" s="107"/>
      <c r="G104" s="108"/>
      <c r="H104" s="108"/>
      <c r="I104" s="108"/>
      <c r="J104" s="108"/>
    </row>
    <row r="105" spans="5:10" s="106" customFormat="1">
      <c r="E105" s="107"/>
      <c r="F105" s="107"/>
      <c r="G105" s="108"/>
      <c r="H105" s="108"/>
      <c r="I105" s="108"/>
      <c r="J105" s="108"/>
    </row>
    <row r="106" spans="5:10" s="106" customFormat="1">
      <c r="E106" s="107"/>
      <c r="F106" s="107"/>
      <c r="G106" s="108"/>
      <c r="H106" s="108"/>
      <c r="I106" s="108"/>
      <c r="J106" s="108"/>
    </row>
    <row r="107" spans="5:10" s="106" customFormat="1">
      <c r="E107" s="107"/>
      <c r="F107" s="107"/>
      <c r="G107" s="108"/>
      <c r="H107" s="108"/>
      <c r="I107" s="108"/>
      <c r="J107" s="108"/>
    </row>
    <row r="108" spans="5:10" s="106" customFormat="1">
      <c r="E108" s="107"/>
      <c r="F108" s="107"/>
      <c r="G108" s="108"/>
      <c r="H108" s="108"/>
      <c r="I108" s="108"/>
      <c r="J108" s="108"/>
    </row>
    <row r="109" spans="5:10" s="106" customFormat="1">
      <c r="E109" s="107"/>
      <c r="F109" s="107"/>
      <c r="G109" s="108"/>
      <c r="H109" s="108"/>
      <c r="I109" s="108"/>
      <c r="J109" s="108"/>
    </row>
    <row r="110" spans="5:10" s="106" customFormat="1">
      <c r="E110" s="107"/>
      <c r="F110" s="107"/>
      <c r="G110" s="108"/>
      <c r="H110" s="108"/>
      <c r="I110" s="108"/>
      <c r="J110" s="108"/>
    </row>
    <row r="111" spans="5:10" s="106" customFormat="1">
      <c r="E111" s="107"/>
      <c r="F111" s="107"/>
      <c r="G111" s="108"/>
      <c r="H111" s="108"/>
      <c r="I111" s="108"/>
      <c r="J111" s="108"/>
    </row>
    <row r="112" spans="5:10" s="106" customFormat="1">
      <c r="E112" s="107"/>
      <c r="F112" s="107"/>
      <c r="G112" s="108"/>
      <c r="H112" s="108"/>
      <c r="I112" s="108"/>
      <c r="J112" s="108"/>
    </row>
    <row r="113" spans="5:10" s="106" customFormat="1">
      <c r="E113" s="107"/>
      <c r="F113" s="107"/>
      <c r="G113" s="108"/>
      <c r="H113" s="108"/>
      <c r="I113" s="108"/>
      <c r="J113" s="108"/>
    </row>
    <row r="114" spans="5:10" s="106" customFormat="1">
      <c r="E114" s="107"/>
      <c r="F114" s="107"/>
      <c r="G114" s="108"/>
      <c r="H114" s="108"/>
      <c r="I114" s="108"/>
      <c r="J114" s="108"/>
    </row>
    <row r="115" spans="5:10" s="106" customFormat="1">
      <c r="E115" s="107"/>
      <c r="F115" s="107"/>
      <c r="G115" s="108"/>
      <c r="H115" s="108"/>
      <c r="I115" s="108"/>
      <c r="J115" s="108"/>
    </row>
    <row r="116" spans="5:10" s="106" customFormat="1">
      <c r="E116" s="107"/>
      <c r="F116" s="107"/>
      <c r="G116" s="108"/>
      <c r="H116" s="108"/>
      <c r="I116" s="108"/>
      <c r="J116" s="108"/>
    </row>
    <row r="117" spans="5:10" s="106" customFormat="1">
      <c r="E117" s="107"/>
      <c r="F117" s="107"/>
      <c r="G117" s="108"/>
      <c r="H117" s="108"/>
      <c r="I117" s="108"/>
      <c r="J117" s="108"/>
    </row>
    <row r="118" spans="5:10" s="106" customFormat="1">
      <c r="E118" s="107"/>
      <c r="F118" s="107"/>
      <c r="G118" s="108"/>
      <c r="H118" s="108"/>
      <c r="I118" s="108"/>
      <c r="J118" s="108"/>
    </row>
    <row r="119" spans="5:10" s="106" customFormat="1">
      <c r="E119" s="107"/>
      <c r="F119" s="107"/>
      <c r="G119" s="108"/>
      <c r="H119" s="108"/>
      <c r="I119" s="108"/>
      <c r="J119" s="108"/>
    </row>
    <row r="120" spans="5:10" s="106" customFormat="1">
      <c r="E120" s="107"/>
      <c r="F120" s="107"/>
      <c r="G120" s="108"/>
      <c r="H120" s="108"/>
      <c r="I120" s="108"/>
      <c r="J120" s="108"/>
    </row>
    <row r="121" spans="5:10" s="106" customFormat="1">
      <c r="E121" s="107"/>
      <c r="F121" s="107"/>
      <c r="G121" s="108"/>
      <c r="H121" s="108"/>
      <c r="I121" s="108"/>
      <c r="J121" s="108"/>
    </row>
    <row r="122" spans="5:10" s="106" customFormat="1">
      <c r="E122" s="107"/>
      <c r="F122" s="107"/>
      <c r="G122" s="108"/>
      <c r="H122" s="108"/>
      <c r="I122" s="108"/>
      <c r="J122" s="108"/>
    </row>
    <row r="123" spans="5:10" s="106" customFormat="1">
      <c r="E123" s="107"/>
      <c r="F123" s="107"/>
      <c r="G123" s="108"/>
      <c r="H123" s="108"/>
      <c r="I123" s="108"/>
      <c r="J123" s="108"/>
    </row>
    <row r="124" spans="5:10" s="106" customFormat="1">
      <c r="E124" s="107"/>
      <c r="F124" s="107"/>
      <c r="G124" s="108"/>
      <c r="H124" s="108"/>
      <c r="I124" s="108"/>
      <c r="J124" s="108"/>
    </row>
    <row r="125" spans="5:10" s="106" customFormat="1">
      <c r="E125" s="107"/>
      <c r="F125" s="107"/>
      <c r="G125" s="108"/>
      <c r="H125" s="108"/>
      <c r="I125" s="108"/>
      <c r="J125" s="108"/>
    </row>
    <row r="126" spans="5:10" s="106" customFormat="1">
      <c r="E126" s="107"/>
      <c r="F126" s="107"/>
      <c r="G126" s="108"/>
      <c r="H126" s="108"/>
      <c r="I126" s="108"/>
      <c r="J126" s="108"/>
    </row>
    <row r="127" spans="5:10" s="106" customFormat="1">
      <c r="E127" s="107"/>
      <c r="F127" s="107"/>
      <c r="G127" s="108"/>
      <c r="H127" s="108"/>
      <c r="I127" s="108"/>
      <c r="J127" s="108"/>
    </row>
    <row r="128" spans="5:10" s="106" customFormat="1">
      <c r="E128" s="107"/>
      <c r="F128" s="107"/>
      <c r="G128" s="108"/>
      <c r="H128" s="108"/>
      <c r="I128" s="108"/>
      <c r="J128" s="108"/>
    </row>
    <row r="129" spans="5:10" s="106" customFormat="1">
      <c r="E129" s="107"/>
      <c r="F129" s="107"/>
      <c r="G129" s="108"/>
      <c r="H129" s="108"/>
      <c r="I129" s="108"/>
      <c r="J129" s="108"/>
    </row>
    <row r="130" spans="5:10" s="106" customFormat="1">
      <c r="E130" s="107"/>
      <c r="F130" s="107"/>
      <c r="G130" s="108"/>
      <c r="H130" s="108"/>
      <c r="I130" s="108"/>
      <c r="J130" s="108"/>
    </row>
    <row r="131" spans="5:10" s="106" customFormat="1">
      <c r="E131" s="107"/>
      <c r="F131" s="107"/>
      <c r="G131" s="108"/>
      <c r="H131" s="108"/>
      <c r="I131" s="108"/>
      <c r="J131" s="108"/>
    </row>
    <row r="132" spans="5:10" s="106" customFormat="1">
      <c r="E132" s="107"/>
      <c r="F132" s="107"/>
      <c r="G132" s="108"/>
      <c r="H132" s="108"/>
      <c r="I132" s="108"/>
      <c r="J132" s="108"/>
    </row>
    <row r="133" spans="5:10" s="106" customFormat="1">
      <c r="E133" s="107"/>
      <c r="F133" s="107"/>
      <c r="G133" s="108"/>
      <c r="H133" s="108"/>
      <c r="I133" s="108"/>
      <c r="J133" s="108"/>
    </row>
    <row r="134" spans="5:10" s="106" customFormat="1">
      <c r="E134" s="107"/>
      <c r="F134" s="107"/>
      <c r="G134" s="108"/>
      <c r="H134" s="108"/>
      <c r="I134" s="108"/>
      <c r="J134" s="108"/>
    </row>
    <row r="135" spans="5:10" s="106" customFormat="1">
      <c r="E135" s="107"/>
      <c r="F135" s="107"/>
      <c r="G135" s="108"/>
      <c r="H135" s="108"/>
      <c r="I135" s="108"/>
      <c r="J135" s="108"/>
    </row>
    <row r="136" spans="5:10" s="106" customFormat="1">
      <c r="E136" s="107"/>
      <c r="F136" s="107"/>
      <c r="G136" s="108"/>
      <c r="H136" s="108"/>
      <c r="I136" s="108"/>
      <c r="J136" s="108"/>
    </row>
    <row r="137" spans="5:10" s="106" customFormat="1">
      <c r="E137" s="107"/>
      <c r="F137" s="107"/>
      <c r="G137" s="108"/>
      <c r="H137" s="108"/>
      <c r="I137" s="108"/>
      <c r="J137" s="108"/>
    </row>
    <row r="138" spans="5:10" s="106" customFormat="1">
      <c r="E138" s="107"/>
      <c r="F138" s="107"/>
      <c r="G138" s="108"/>
      <c r="H138" s="108"/>
      <c r="I138" s="108"/>
      <c r="J138" s="108"/>
    </row>
    <row r="139" spans="5:10" s="106" customFormat="1">
      <c r="E139" s="107"/>
      <c r="F139" s="107"/>
      <c r="G139" s="108"/>
      <c r="H139" s="108"/>
      <c r="I139" s="108"/>
      <c r="J139" s="108"/>
    </row>
    <row r="140" spans="5:10" s="106" customFormat="1">
      <c r="E140" s="107"/>
      <c r="F140" s="107"/>
      <c r="G140" s="108"/>
      <c r="H140" s="108"/>
      <c r="I140" s="108"/>
      <c r="J140" s="108"/>
    </row>
    <row r="141" spans="5:10" s="106" customFormat="1">
      <c r="E141" s="107"/>
      <c r="F141" s="107"/>
      <c r="G141" s="108"/>
      <c r="H141" s="108"/>
      <c r="I141" s="108"/>
      <c r="J141" s="108"/>
    </row>
    <row r="142" spans="5:10" s="106" customFormat="1">
      <c r="E142" s="107"/>
      <c r="F142" s="107"/>
      <c r="G142" s="108"/>
      <c r="H142" s="108"/>
      <c r="I142" s="108"/>
      <c r="J142" s="108"/>
    </row>
    <row r="143" spans="5:10" s="106" customFormat="1">
      <c r="E143" s="107"/>
      <c r="F143" s="107"/>
      <c r="G143" s="108"/>
      <c r="H143" s="108"/>
      <c r="I143" s="108"/>
      <c r="J143" s="108"/>
    </row>
    <row r="144" spans="5:10" s="106" customFormat="1">
      <c r="E144" s="107"/>
      <c r="F144" s="107"/>
      <c r="G144" s="108"/>
      <c r="H144" s="108"/>
      <c r="I144" s="108"/>
      <c r="J144" s="108"/>
    </row>
    <row r="145" spans="5:10" s="106" customFormat="1">
      <c r="E145" s="107"/>
      <c r="F145" s="107"/>
      <c r="G145" s="108"/>
      <c r="H145" s="108"/>
      <c r="I145" s="108"/>
      <c r="J145" s="108"/>
    </row>
    <row r="146" spans="5:10" s="106" customFormat="1">
      <c r="E146" s="107"/>
      <c r="F146" s="107"/>
      <c r="G146" s="108"/>
      <c r="H146" s="108"/>
      <c r="I146" s="108"/>
      <c r="J146" s="108"/>
    </row>
    <row r="147" spans="5:10" s="106" customFormat="1">
      <c r="E147" s="107"/>
      <c r="F147" s="107"/>
      <c r="G147" s="108"/>
      <c r="H147" s="108"/>
      <c r="I147" s="108"/>
      <c r="J147" s="108"/>
    </row>
    <row r="148" spans="5:10" s="106" customFormat="1">
      <c r="E148" s="107"/>
      <c r="F148" s="107"/>
      <c r="G148" s="108"/>
      <c r="H148" s="108"/>
      <c r="I148" s="108"/>
      <c r="J148" s="108"/>
    </row>
    <row r="149" spans="5:10" s="106" customFormat="1">
      <c r="E149" s="107"/>
      <c r="F149" s="107"/>
      <c r="G149" s="108"/>
      <c r="H149" s="108"/>
      <c r="I149" s="108"/>
      <c r="J149" s="108"/>
    </row>
    <row r="150" spans="5:10" s="106" customFormat="1">
      <c r="E150" s="107"/>
      <c r="F150" s="107"/>
      <c r="G150" s="108"/>
      <c r="H150" s="108"/>
      <c r="I150" s="108"/>
      <c r="J150" s="108"/>
    </row>
    <row r="151" spans="5:10" s="106" customFormat="1">
      <c r="E151" s="107"/>
      <c r="F151" s="107"/>
      <c r="G151" s="108"/>
      <c r="H151" s="108"/>
      <c r="I151" s="108"/>
      <c r="J151" s="108"/>
    </row>
    <row r="152" spans="5:10" s="106" customFormat="1">
      <c r="E152" s="107"/>
      <c r="F152" s="107"/>
      <c r="G152" s="108"/>
      <c r="H152" s="108"/>
      <c r="I152" s="108"/>
      <c r="J152" s="108"/>
    </row>
    <row r="153" spans="5:10" s="106" customFormat="1">
      <c r="E153" s="107"/>
      <c r="F153" s="107"/>
      <c r="G153" s="108"/>
      <c r="H153" s="108"/>
      <c r="I153" s="108"/>
      <c r="J153" s="108"/>
    </row>
    <row r="154" spans="5:10" s="106" customFormat="1">
      <c r="E154" s="107"/>
      <c r="F154" s="107"/>
      <c r="G154" s="108"/>
      <c r="H154" s="108"/>
      <c r="I154" s="108"/>
      <c r="J154" s="108"/>
    </row>
    <row r="155" spans="5:10" s="106" customFormat="1">
      <c r="E155" s="107"/>
      <c r="F155" s="107"/>
      <c r="G155" s="108"/>
      <c r="H155" s="108"/>
      <c r="I155" s="108"/>
      <c r="J155" s="108"/>
    </row>
    <row r="156" spans="5:10" s="106" customFormat="1">
      <c r="E156" s="107"/>
      <c r="F156" s="107"/>
      <c r="G156" s="108"/>
      <c r="H156" s="108"/>
      <c r="I156" s="108"/>
      <c r="J156" s="108"/>
    </row>
    <row r="157" spans="5:10" s="106" customFormat="1">
      <c r="E157" s="107"/>
      <c r="F157" s="107"/>
      <c r="G157" s="108"/>
      <c r="H157" s="108"/>
      <c r="I157" s="108"/>
      <c r="J157" s="108"/>
    </row>
    <row r="158" spans="5:10" s="106" customFormat="1">
      <c r="E158" s="107"/>
      <c r="F158" s="107"/>
      <c r="G158" s="108"/>
      <c r="H158" s="108"/>
      <c r="I158" s="108"/>
      <c r="J158" s="108"/>
    </row>
    <row r="159" spans="5:10" s="106" customFormat="1">
      <c r="E159" s="107"/>
      <c r="F159" s="107"/>
      <c r="G159" s="108"/>
      <c r="H159" s="108"/>
      <c r="I159" s="108"/>
      <c r="J159" s="108"/>
    </row>
    <row r="160" spans="5:10" s="106" customFormat="1">
      <c r="E160" s="107"/>
      <c r="F160" s="107"/>
      <c r="G160" s="108"/>
      <c r="H160" s="108"/>
      <c r="I160" s="108"/>
      <c r="J160" s="108"/>
    </row>
    <row r="161" spans="5:10" s="106" customFormat="1">
      <c r="E161" s="107"/>
      <c r="F161" s="107"/>
      <c r="G161" s="108"/>
      <c r="H161" s="108"/>
      <c r="I161" s="108"/>
      <c r="J161" s="108"/>
    </row>
    <row r="162" spans="5:10" s="106" customFormat="1">
      <c r="E162" s="107"/>
      <c r="F162" s="107"/>
      <c r="G162" s="108"/>
      <c r="H162" s="108"/>
      <c r="I162" s="108"/>
      <c r="J162" s="108"/>
    </row>
    <row r="163" spans="5:10" s="106" customFormat="1">
      <c r="E163" s="107"/>
      <c r="F163" s="107"/>
      <c r="G163" s="108"/>
      <c r="H163" s="108"/>
      <c r="I163" s="108"/>
      <c r="J163" s="108"/>
    </row>
    <row r="164" spans="5:10" s="106" customFormat="1">
      <c r="E164" s="107"/>
      <c r="F164" s="107"/>
      <c r="G164" s="108"/>
      <c r="H164" s="108"/>
      <c r="I164" s="108"/>
      <c r="J164" s="108"/>
    </row>
    <row r="165" spans="5:10" s="106" customFormat="1">
      <c r="E165" s="107"/>
      <c r="F165" s="107"/>
      <c r="G165" s="108"/>
      <c r="H165" s="108"/>
      <c r="I165" s="108"/>
      <c r="J165" s="108"/>
    </row>
    <row r="166" spans="5:10" s="106" customFormat="1">
      <c r="E166" s="107"/>
      <c r="F166" s="107"/>
      <c r="G166" s="108"/>
      <c r="H166" s="108"/>
      <c r="I166" s="108"/>
      <c r="J166" s="108"/>
    </row>
    <row r="167" spans="5:10" s="106" customFormat="1">
      <c r="E167" s="107"/>
      <c r="F167" s="107"/>
      <c r="G167" s="108"/>
      <c r="H167" s="108"/>
      <c r="I167" s="108"/>
      <c r="J167" s="108"/>
    </row>
    <row r="168" spans="5:10" s="106" customFormat="1">
      <c r="E168" s="107"/>
      <c r="F168" s="107"/>
      <c r="G168" s="108"/>
      <c r="H168" s="108"/>
      <c r="I168" s="108"/>
      <c r="J168" s="108"/>
    </row>
    <row r="169" spans="5:10" s="106" customFormat="1">
      <c r="E169" s="107"/>
      <c r="F169" s="107"/>
      <c r="G169" s="108"/>
      <c r="H169" s="108"/>
      <c r="I169" s="108"/>
      <c r="J169" s="108"/>
    </row>
    <row r="170" spans="5:10" s="106" customFormat="1">
      <c r="E170" s="107"/>
      <c r="F170" s="107"/>
      <c r="G170" s="108"/>
      <c r="H170" s="108"/>
      <c r="I170" s="108"/>
      <c r="J170" s="108"/>
    </row>
    <row r="171" spans="5:10" s="106" customFormat="1">
      <c r="E171" s="107"/>
      <c r="F171" s="107"/>
      <c r="G171" s="108"/>
      <c r="H171" s="108"/>
      <c r="I171" s="108"/>
      <c r="J171" s="108"/>
    </row>
    <row r="172" spans="5:10" s="106" customFormat="1">
      <c r="E172" s="107"/>
      <c r="F172" s="107"/>
      <c r="G172" s="108"/>
      <c r="H172" s="108"/>
      <c r="I172" s="108"/>
      <c r="J172" s="108"/>
    </row>
    <row r="173" spans="5:10" s="106" customFormat="1">
      <c r="E173" s="107"/>
      <c r="F173" s="107"/>
      <c r="G173" s="108"/>
      <c r="H173" s="108"/>
      <c r="I173" s="108"/>
      <c r="J173" s="108"/>
    </row>
    <row r="174" spans="5:10" s="106" customFormat="1">
      <c r="E174" s="107"/>
      <c r="F174" s="107"/>
      <c r="G174" s="108"/>
      <c r="H174" s="108"/>
      <c r="I174" s="108"/>
      <c r="J174" s="108"/>
    </row>
    <row r="175" spans="5:10" s="106" customFormat="1">
      <c r="E175" s="107"/>
      <c r="F175" s="107"/>
      <c r="G175" s="108"/>
      <c r="H175" s="108"/>
      <c r="I175" s="108"/>
      <c r="J175" s="108"/>
    </row>
    <row r="176" spans="5:10" s="106" customFormat="1">
      <c r="E176" s="107"/>
      <c r="F176" s="107"/>
      <c r="G176" s="108"/>
      <c r="H176" s="108"/>
      <c r="I176" s="108"/>
      <c r="J176" s="108"/>
    </row>
    <row r="177" spans="1:10" s="106" customFormat="1">
      <c r="E177" s="107"/>
      <c r="F177" s="107"/>
      <c r="G177" s="108"/>
      <c r="H177" s="108"/>
      <c r="I177" s="108"/>
      <c r="J177" s="108"/>
    </row>
    <row r="178" spans="1:10" s="106" customFormat="1">
      <c r="E178" s="107"/>
      <c r="F178" s="107"/>
      <c r="G178" s="108"/>
      <c r="H178" s="108"/>
      <c r="I178" s="108"/>
      <c r="J178" s="108"/>
    </row>
    <row r="179" spans="1:10" s="106" customFormat="1">
      <c r="E179" s="107"/>
      <c r="F179" s="107"/>
      <c r="G179" s="108"/>
      <c r="H179" s="108"/>
      <c r="I179" s="108"/>
      <c r="J179" s="108"/>
    </row>
    <row r="180" spans="1:10" s="106" customFormat="1">
      <c r="E180" s="107"/>
      <c r="F180" s="107"/>
      <c r="G180" s="108"/>
      <c r="H180" s="108"/>
      <c r="I180" s="108"/>
      <c r="J180" s="108"/>
    </row>
    <row r="181" spans="1:10" s="106" customFormat="1">
      <c r="E181" s="107"/>
      <c r="F181" s="107"/>
      <c r="G181" s="108"/>
      <c r="H181" s="108"/>
      <c r="I181" s="108"/>
      <c r="J181" s="108"/>
    </row>
    <row r="182" spans="1:10" s="106" customFormat="1">
      <c r="E182" s="107"/>
      <c r="F182" s="107"/>
      <c r="G182" s="108"/>
      <c r="H182" s="108"/>
      <c r="I182" s="108"/>
      <c r="J182" s="108"/>
    </row>
    <row r="183" spans="1:10" s="106" customFormat="1">
      <c r="E183" s="107"/>
      <c r="F183" s="107"/>
      <c r="G183" s="108"/>
      <c r="H183" s="108"/>
      <c r="I183" s="108"/>
      <c r="J183" s="108"/>
    </row>
    <row r="184" spans="1:10">
      <c r="A184" s="105" t="e">
        <f xml:space="preserve"> IF(ISBLANK(#REF!),"",MONTH(#REF!))</f>
        <v>#REF!</v>
      </c>
      <c r="B184" s="105" t="e">
        <f>IF(ISBLANK(#REF!),"",MONTH(#REF!))</f>
        <v>#REF!</v>
      </c>
      <c r="C184" s="105" t="e">
        <f>IF(ISBLANK(#REF!),"",MONTH(#REF!))</f>
        <v>#REF!</v>
      </c>
    </row>
    <row r="185" spans="1:10">
      <c r="A185" s="105" t="e">
        <f xml:space="preserve"> IF(ISBLANK(#REF!),"",MONTH(#REF!))</f>
        <v>#REF!</v>
      </c>
      <c r="B185" s="105" t="e">
        <f>IF(ISBLANK(#REF!),"",MONTH(#REF!))</f>
        <v>#REF!</v>
      </c>
      <c r="C185" s="105" t="e">
        <f>IF(ISBLANK(#REF!),"",MONTH(#REF!))</f>
        <v>#REF!</v>
      </c>
    </row>
    <row r="186" spans="1:10">
      <c r="A186" s="105" t="e">
        <f xml:space="preserve"> IF(ISBLANK(#REF!),"",MONTH(#REF!))</f>
        <v>#REF!</v>
      </c>
      <c r="B186" s="105" t="e">
        <f>IF(ISBLANK(#REF!),"",MONTH(#REF!))</f>
        <v>#REF!</v>
      </c>
      <c r="C186" s="105" t="e">
        <f>IF(ISBLANK(#REF!),"",MONTH(#REF!))</f>
        <v>#REF!</v>
      </c>
    </row>
    <row r="187" spans="1:10">
      <c r="A187" s="105" t="e">
        <f xml:space="preserve"> IF(ISBLANK(#REF!),"",MONTH(#REF!))</f>
        <v>#REF!</v>
      </c>
      <c r="B187" s="105" t="e">
        <f>IF(ISBLANK(#REF!),"",MONTH(#REF!))</f>
        <v>#REF!</v>
      </c>
      <c r="C187" s="105" t="e">
        <f>IF(ISBLANK(#REF!),"",MONTH(#REF!))</f>
        <v>#REF!</v>
      </c>
    </row>
    <row r="188" spans="1:10">
      <c r="A188" s="105" t="e">
        <f xml:space="preserve"> IF(ISBLANK(#REF!),"",MONTH(#REF!))</f>
        <v>#REF!</v>
      </c>
      <c r="B188" s="105" t="e">
        <f>IF(ISBLANK(#REF!),"",MONTH(#REF!))</f>
        <v>#REF!</v>
      </c>
      <c r="C188" s="105" t="e">
        <f>IF(ISBLANK(#REF!),"",MONTH(#REF!))</f>
        <v>#REF!</v>
      </c>
    </row>
    <row r="189" spans="1:10">
      <c r="A189" s="105" t="e">
        <f xml:space="preserve"> IF(ISBLANK(#REF!),"",MONTH(#REF!))</f>
        <v>#REF!</v>
      </c>
      <c r="B189" s="105" t="e">
        <f>IF(ISBLANK(#REF!),"",MONTH(#REF!))</f>
        <v>#REF!</v>
      </c>
      <c r="C189" s="105" t="e">
        <f>IF(ISBLANK(#REF!),"",MONTH(#REF!))</f>
        <v>#REF!</v>
      </c>
    </row>
    <row r="190" spans="1:10">
      <c r="A190" s="105" t="e">
        <f xml:space="preserve"> IF(ISBLANK(#REF!),"",MONTH(#REF!))</f>
        <v>#REF!</v>
      </c>
      <c r="B190" s="105" t="e">
        <f>IF(ISBLANK(#REF!),"",MONTH(#REF!))</f>
        <v>#REF!</v>
      </c>
      <c r="C190" s="105" t="e">
        <f>IF(ISBLANK(#REF!),"",MONTH(#REF!))</f>
        <v>#REF!</v>
      </c>
    </row>
    <row r="191" spans="1:10">
      <c r="A191" s="105" t="e">
        <f xml:space="preserve"> IF(ISBLANK(#REF!),"",MONTH(#REF!))</f>
        <v>#REF!</v>
      </c>
      <c r="B191" s="105" t="e">
        <f>IF(ISBLANK(#REF!),"",MONTH(#REF!))</f>
        <v>#REF!</v>
      </c>
      <c r="C191" s="105" t="e">
        <f>IF(ISBLANK(#REF!),"",MONTH(#REF!))</f>
        <v>#REF!</v>
      </c>
    </row>
    <row r="192" spans="1:10">
      <c r="A192" s="105" t="e">
        <f xml:space="preserve"> IF(ISBLANK(#REF!),"",MONTH(#REF!))</f>
        <v>#REF!</v>
      </c>
      <c r="B192" s="105" t="e">
        <f>IF(ISBLANK(#REF!),"",MONTH(#REF!))</f>
        <v>#REF!</v>
      </c>
      <c r="C192" s="105" t="e">
        <f>IF(ISBLANK(#REF!),"",MONTH(#REF!))</f>
        <v>#REF!</v>
      </c>
    </row>
    <row r="193" spans="1:3">
      <c r="A193" s="105" t="e">
        <f xml:space="preserve"> IF(ISBLANK(#REF!),"",MONTH(#REF!))</f>
        <v>#REF!</v>
      </c>
      <c r="B193" s="105" t="e">
        <f>IF(ISBLANK(#REF!),"",MONTH(#REF!))</f>
        <v>#REF!</v>
      </c>
      <c r="C193" s="105" t="e">
        <f>IF(ISBLANK(#REF!),"",MONTH(#REF!))</f>
        <v>#REF!</v>
      </c>
    </row>
    <row r="194" spans="1:3">
      <c r="A194" s="105" t="e">
        <f xml:space="preserve"> IF(ISBLANK(#REF!),"",MONTH(#REF!))</f>
        <v>#REF!</v>
      </c>
      <c r="B194" s="105" t="e">
        <f>IF(ISBLANK(#REF!),"",MONTH(#REF!))</f>
        <v>#REF!</v>
      </c>
      <c r="C194" s="105" t="e">
        <f>IF(ISBLANK(#REF!),"",MONTH(#REF!))</f>
        <v>#REF!</v>
      </c>
    </row>
    <row r="195" spans="1:3">
      <c r="A195" s="105" t="e">
        <f xml:space="preserve"> IF(ISBLANK(#REF!),"",MONTH(#REF!))</f>
        <v>#REF!</v>
      </c>
      <c r="B195" s="105" t="e">
        <f>IF(ISBLANK(#REF!),"",MONTH(#REF!))</f>
        <v>#REF!</v>
      </c>
      <c r="C195" s="105" t="e">
        <f>IF(ISBLANK(#REF!),"",MONTH(#REF!))</f>
        <v>#REF!</v>
      </c>
    </row>
    <row r="196" spans="1:3">
      <c r="A196" s="105" t="e">
        <f xml:space="preserve"> IF(ISBLANK(#REF!),"",MONTH(#REF!))</f>
        <v>#REF!</v>
      </c>
      <c r="B196" s="105" t="e">
        <f>IF(ISBLANK(#REF!),"",MONTH(#REF!))</f>
        <v>#REF!</v>
      </c>
      <c r="C196" s="105" t="e">
        <f>IF(ISBLANK(#REF!),"",MONTH(#REF!))</f>
        <v>#REF!</v>
      </c>
    </row>
    <row r="197" spans="1:3">
      <c r="A197" s="105" t="e">
        <f xml:space="preserve"> IF(ISBLANK(#REF!),"",MONTH(#REF!))</f>
        <v>#REF!</v>
      </c>
      <c r="B197" s="105" t="e">
        <f>IF(ISBLANK(#REF!),"",MONTH(#REF!))</f>
        <v>#REF!</v>
      </c>
      <c r="C197" s="105" t="e">
        <f>IF(ISBLANK(#REF!),"",MONTH(#REF!))</f>
        <v>#REF!</v>
      </c>
    </row>
    <row r="198" spans="1:3">
      <c r="A198" s="105" t="e">
        <f xml:space="preserve"> IF(ISBLANK(#REF!),"",MONTH(#REF!))</f>
        <v>#REF!</v>
      </c>
      <c r="B198" s="105" t="e">
        <f>IF(ISBLANK(#REF!),"",MONTH(#REF!))</f>
        <v>#REF!</v>
      </c>
      <c r="C198" s="105" t="e">
        <f>IF(ISBLANK(#REF!),"",MONTH(#REF!))</f>
        <v>#REF!</v>
      </c>
    </row>
    <row r="199" spans="1:3">
      <c r="A199" s="105" t="e">
        <f xml:space="preserve"> IF(ISBLANK(#REF!),"",MONTH(#REF!))</f>
        <v>#REF!</v>
      </c>
      <c r="B199" s="105" t="e">
        <f>IF(ISBLANK(#REF!),"",MONTH(#REF!))</f>
        <v>#REF!</v>
      </c>
      <c r="C199" s="105" t="e">
        <f>IF(ISBLANK(#REF!),"",MONTH(#REF!))</f>
        <v>#REF!</v>
      </c>
    </row>
  </sheetData>
  <autoFilter ref="A1:D199"/>
  <phoneticPr fontId="2" type="noConversion"/>
  <conditionalFormatting sqref="H2 H4 H6 H8 H10 H12 H14">
    <cfRule type="dataBar" priority="8">
      <dataBar>
        <cfvo type="min" val="0"/>
        <cfvo type="max" val="0"/>
        <color rgb="FF638EC6"/>
      </dataBar>
    </cfRule>
    <cfRule type="colorScale" priority="9">
      <colorScale>
        <cfvo type="min" val="0"/>
        <cfvo type="percentile" val="50"/>
        <cfvo type="max" val="0"/>
        <color rgb="FFF8696B"/>
        <color rgb="FFFFEB84"/>
        <color rgb="FF63BE7B"/>
      </colorScale>
    </cfRule>
  </conditionalFormatting>
  <conditionalFormatting sqref="H3 H5 H7 H9 H11 H13">
    <cfRule type="dataBar" priority="7">
      <dataBar>
        <cfvo type="min" val="0"/>
        <cfvo type="max" val="0"/>
        <color rgb="FF63C384"/>
      </dataBar>
    </cfRule>
  </conditionalFormatting>
  <conditionalFormatting sqref="H1:H1048576">
    <cfRule type="dataBar" priority="6">
      <dataBar>
        <cfvo type="min" val="0"/>
        <cfvo type="max" val="0"/>
        <color theme="3"/>
      </dataBar>
    </cfRule>
    <cfRule type="dataBar" priority="5">
      <dataBar>
        <cfvo type="min" val="0"/>
        <cfvo type="max" val="0"/>
        <color rgb="FF638EC6"/>
      </dataBar>
    </cfRule>
    <cfRule type="colorScale" priority="4">
      <colorScale>
        <cfvo type="min" val="0"/>
        <cfvo type="max" val="0"/>
        <color theme="0"/>
        <color theme="0"/>
      </colorScale>
    </cfRule>
    <cfRule type="dataBar" priority="3">
      <dataBar>
        <cfvo type="num" val="0"/>
        <cfvo type="num" val="100"/>
        <color rgb="FF638EC6"/>
      </dataBar>
    </cfRule>
    <cfRule type="dataBar" priority="2">
      <dataBar>
        <cfvo type="percent" val="0"/>
        <cfvo type="percent" val="1"/>
        <color rgb="FF638EC6"/>
      </dataBar>
    </cfRule>
    <cfRule type="dataBar" priority="1">
      <dataBar>
        <cfvo type="percentile" val="10"/>
        <cfvo type="percentile" val="90"/>
        <color rgb="FF638EC6"/>
      </dataBar>
    </cfRule>
  </conditionalFormatting>
  <dataValidations count="1">
    <dataValidation type="list" allowBlank="1" showInputMessage="1" showErrorMessage="1" sqref="D1:D1048576">
      <formula1>"北方大区,华东大区,华中大区,南方大区,试点省区,西北大区,企业能源,电网部"</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D5BD152-F2DC-4B6C-9BB5-2E13B9BDA423}">
            <x14:dataBar gradient="0" negativeBarColorSameAsPositive="1" axisPosition="none">
              <x14:cfvo type="percent">
                <xm:f>0</xm:f>
              </x14:cfvo>
              <x14:cfvo type="percent">
                <xm:f>100</xm:f>
              </x14:cfvo>
            </x14:dataBar>
          </x14:cfRule>
          <xm:sqref>I1:I1048576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dimension ref="A1:K17"/>
  <sheetViews>
    <sheetView workbookViewId="0">
      <selection activeCell="J12" sqref="J12"/>
    </sheetView>
  </sheetViews>
  <sheetFormatPr defaultRowHeight="16.5" customHeight="1"/>
  <cols>
    <col min="1" max="1" width="9.75" customWidth="1"/>
    <col min="2" max="2" width="17.625" customWidth="1"/>
    <col min="3" max="3" width="13.125" customWidth="1"/>
    <col min="4" max="4" width="13.25" customWidth="1"/>
    <col min="5" max="5" width="9.75" customWidth="1"/>
    <col min="6" max="6" width="17.625" customWidth="1"/>
    <col min="7" max="7" width="13.125" customWidth="1"/>
    <col min="8" max="8" width="13.25" customWidth="1"/>
    <col min="9" max="9" width="17.375" customWidth="1"/>
    <col min="10" max="10" width="17.625" customWidth="1"/>
    <col min="11" max="11" width="13.125" customWidth="1"/>
    <col min="12" max="32" width="13.25" customWidth="1"/>
    <col min="33" max="149" width="13.25" bestFit="1" customWidth="1"/>
    <col min="150" max="150" width="8" customWidth="1"/>
    <col min="151" max="151" width="5.75" customWidth="1"/>
    <col min="152" max="185" width="13.25" bestFit="1" customWidth="1"/>
    <col min="186" max="186" width="5.75" customWidth="1"/>
  </cols>
  <sheetData>
    <row r="1" spans="1:11" ht="16.5" customHeight="1">
      <c r="B1" s="127" t="s">
        <v>43</v>
      </c>
      <c r="C1" s="127"/>
      <c r="E1" s="127" t="s">
        <v>67</v>
      </c>
      <c r="F1" s="127"/>
      <c r="G1" s="127"/>
      <c r="I1" s="127" t="s">
        <v>47</v>
      </c>
      <c r="J1" s="127"/>
      <c r="K1" s="127"/>
    </row>
    <row r="2" spans="1:11" ht="16.5" customHeight="1">
      <c r="B2" s="99" t="s">
        <v>114</v>
      </c>
      <c r="F2" s="99" t="s">
        <v>114</v>
      </c>
      <c r="J2" s="99" t="s">
        <v>114</v>
      </c>
    </row>
    <row r="3" spans="1:11" ht="13.5">
      <c r="A3" s="99" t="s">
        <v>14</v>
      </c>
      <c r="B3" t="s">
        <v>21</v>
      </c>
      <c r="C3" t="s">
        <v>20</v>
      </c>
      <c r="E3" s="99" t="s">
        <v>14</v>
      </c>
      <c r="F3" t="s">
        <v>21</v>
      </c>
      <c r="G3" t="s">
        <v>20</v>
      </c>
      <c r="I3" s="99" t="s">
        <v>14</v>
      </c>
      <c r="J3" t="s">
        <v>21</v>
      </c>
      <c r="K3" t="s">
        <v>20</v>
      </c>
    </row>
    <row r="4" spans="1:11" ht="16.5" customHeight="1">
      <c r="A4" s="100" t="s">
        <v>15</v>
      </c>
      <c r="B4" s="44">
        <v>37</v>
      </c>
      <c r="C4" s="44">
        <v>43165902</v>
      </c>
      <c r="D4" s="43"/>
      <c r="E4" s="100" t="s">
        <v>15</v>
      </c>
      <c r="F4" s="44">
        <v>21</v>
      </c>
      <c r="G4" s="44">
        <v>29456152</v>
      </c>
      <c r="H4" s="43"/>
      <c r="I4" s="100" t="s">
        <v>31</v>
      </c>
      <c r="J4" s="44">
        <v>16</v>
      </c>
      <c r="K4" s="44">
        <v>9207130</v>
      </c>
    </row>
    <row r="5" spans="1:11" ht="16.5" customHeight="1">
      <c r="A5" s="100" t="s">
        <v>22</v>
      </c>
      <c r="B5" s="44">
        <v>28</v>
      </c>
      <c r="C5" s="44">
        <v>15438269.800000001</v>
      </c>
      <c r="D5" s="43"/>
      <c r="E5" s="100" t="s">
        <v>22</v>
      </c>
      <c r="F5" s="44">
        <v>11</v>
      </c>
      <c r="G5" s="44">
        <v>3662701.8</v>
      </c>
      <c r="H5" s="43"/>
      <c r="I5" s="100" t="s">
        <v>32</v>
      </c>
      <c r="J5" s="44">
        <v>5</v>
      </c>
      <c r="K5" s="44">
        <v>10350517.699999999</v>
      </c>
    </row>
    <row r="6" spans="1:11" ht="16.5" customHeight="1">
      <c r="A6" s="100" t="s">
        <v>41</v>
      </c>
      <c r="B6" s="44">
        <v>16</v>
      </c>
      <c r="C6" s="44">
        <v>9187836.5599999987</v>
      </c>
      <c r="D6" s="43"/>
      <c r="E6" s="100" t="s">
        <v>42</v>
      </c>
      <c r="F6" s="44">
        <v>35</v>
      </c>
      <c r="G6" s="44">
        <v>37198731.099999994</v>
      </c>
      <c r="H6" s="43"/>
      <c r="I6" s="100" t="s">
        <v>28</v>
      </c>
      <c r="J6" s="44">
        <v>11</v>
      </c>
      <c r="K6" s="44">
        <v>9615083.4000000004</v>
      </c>
    </row>
    <row r="7" spans="1:11" ht="16.5" customHeight="1">
      <c r="A7" s="100" t="s">
        <v>16</v>
      </c>
      <c r="B7" s="44">
        <v>27</v>
      </c>
      <c r="C7" s="44">
        <v>11100000</v>
      </c>
      <c r="D7" s="43"/>
      <c r="E7" s="100" t="s">
        <v>41</v>
      </c>
      <c r="F7" s="44">
        <v>7</v>
      </c>
      <c r="G7" s="44">
        <v>4639836.5600000005</v>
      </c>
      <c r="H7" s="43"/>
      <c r="I7" s="100" t="s">
        <v>49</v>
      </c>
      <c r="J7" s="44">
        <v>4</v>
      </c>
      <c r="K7" s="44">
        <v>8435000</v>
      </c>
    </row>
    <row r="8" spans="1:11" ht="16.5" customHeight="1">
      <c r="A8" s="100" t="s">
        <v>48</v>
      </c>
      <c r="B8" s="44">
        <v>7</v>
      </c>
      <c r="C8" s="44">
        <v>14357501.5</v>
      </c>
      <c r="D8" s="43"/>
      <c r="E8" s="100" t="s">
        <v>16</v>
      </c>
      <c r="F8" s="44">
        <v>17</v>
      </c>
      <c r="G8" s="44">
        <v>8290900</v>
      </c>
      <c r="H8" s="43"/>
      <c r="I8" s="100" t="s">
        <v>27</v>
      </c>
      <c r="J8" s="44">
        <v>2</v>
      </c>
      <c r="K8" s="44">
        <v>1711936.56</v>
      </c>
    </row>
    <row r="9" spans="1:11" ht="16.5" customHeight="1">
      <c r="A9" s="100" t="s">
        <v>17</v>
      </c>
      <c r="B9" s="44">
        <v>10</v>
      </c>
      <c r="C9" s="44">
        <v>14383040</v>
      </c>
      <c r="D9" s="43"/>
      <c r="E9" s="100" t="s">
        <v>48</v>
      </c>
      <c r="F9" s="44">
        <v>7</v>
      </c>
      <c r="G9" s="44">
        <v>14357501.5</v>
      </c>
      <c r="H9" s="43"/>
      <c r="I9" s="100" t="s">
        <v>30</v>
      </c>
      <c r="J9" s="44">
        <v>16</v>
      </c>
      <c r="K9" s="44">
        <v>18288261.5</v>
      </c>
    </row>
    <row r="10" spans="1:11" ht="16.5" customHeight="1">
      <c r="A10" s="100" t="s">
        <v>18</v>
      </c>
      <c r="B10" s="44">
        <v>18</v>
      </c>
      <c r="C10" s="44">
        <v>15304747.100000001</v>
      </c>
      <c r="D10" s="43"/>
      <c r="E10" s="100" t="s">
        <v>17</v>
      </c>
      <c r="F10" s="44">
        <v>3</v>
      </c>
      <c r="G10" s="44">
        <v>6282000</v>
      </c>
      <c r="H10" s="43"/>
      <c r="I10" s="100" t="s">
        <v>33</v>
      </c>
      <c r="J10" s="44">
        <v>23</v>
      </c>
      <c r="K10" s="44">
        <v>16151951.800000001</v>
      </c>
    </row>
    <row r="11" spans="1:11" ht="16.5" customHeight="1">
      <c r="A11" s="100" t="s">
        <v>19</v>
      </c>
      <c r="B11" s="44">
        <v>27</v>
      </c>
      <c r="C11" s="44">
        <v>14724532</v>
      </c>
      <c r="D11" s="43"/>
      <c r="E11" s="100" t="s">
        <v>18</v>
      </c>
      <c r="F11" s="44">
        <v>6</v>
      </c>
      <c r="G11" s="44">
        <v>925934</v>
      </c>
      <c r="H11" s="43"/>
      <c r="I11" s="100" t="s">
        <v>34</v>
      </c>
      <c r="J11" s="44">
        <v>22</v>
      </c>
      <c r="K11" s="44">
        <v>19373762</v>
      </c>
    </row>
    <row r="12" spans="1:11" s="43" customFormat="1" ht="16.5" customHeight="1">
      <c r="A12" s="102" t="s">
        <v>44</v>
      </c>
      <c r="B12" s="44"/>
      <c r="C12" s="44"/>
      <c r="E12" s="100" t="s">
        <v>19</v>
      </c>
      <c r="F12" s="44">
        <v>15</v>
      </c>
      <c r="G12" s="44">
        <v>9691740</v>
      </c>
      <c r="I12" s="100" t="s">
        <v>26</v>
      </c>
      <c r="J12" s="44">
        <v>8</v>
      </c>
      <c r="K12" s="44">
        <v>3769000</v>
      </c>
    </row>
    <row r="13" spans="1:11" s="43" customFormat="1" ht="16.5" customHeight="1">
      <c r="A13" s="102" t="s">
        <v>13</v>
      </c>
      <c r="B13" s="101">
        <v>170</v>
      </c>
      <c r="C13" s="101">
        <v>137661828.96000001</v>
      </c>
      <c r="E13" s="102" t="s">
        <v>44</v>
      </c>
      <c r="F13" s="44">
        <v>48</v>
      </c>
      <c r="G13" s="44">
        <v>23156332</v>
      </c>
      <c r="I13" s="100" t="s">
        <v>29</v>
      </c>
      <c r="J13" s="44">
        <v>60</v>
      </c>
      <c r="K13" s="44">
        <v>39879266</v>
      </c>
    </row>
    <row r="14" spans="1:11" s="43" customFormat="1" ht="16.5" customHeight="1">
      <c r="E14" s="102" t="s">
        <v>13</v>
      </c>
      <c r="F14" s="101">
        <v>170</v>
      </c>
      <c r="G14" s="101">
        <v>137661828.95999998</v>
      </c>
      <c r="I14" s="100" t="s">
        <v>35</v>
      </c>
      <c r="J14" s="44">
        <v>3</v>
      </c>
      <c r="K14" s="44">
        <v>879920</v>
      </c>
    </row>
    <row r="15" spans="1:11" s="43" customFormat="1" ht="16.5" customHeight="1">
      <c r="I15" s="102" t="s">
        <v>44</v>
      </c>
      <c r="J15" s="101"/>
      <c r="K15" s="101"/>
    </row>
    <row r="16" spans="1:11" s="43" customFormat="1" ht="16.5" customHeight="1">
      <c r="I16" s="100" t="s">
        <v>13</v>
      </c>
      <c r="J16" s="44">
        <v>170</v>
      </c>
      <c r="K16" s="44">
        <v>137661828.95999998</v>
      </c>
    </row>
    <row r="17" s="43" customFormat="1" ht="16.5" customHeight="1"/>
  </sheetData>
  <mergeCells count="3">
    <mergeCell ref="B1:C1"/>
    <mergeCell ref="E1:G1"/>
    <mergeCell ref="I1:K1"/>
  </mergeCells>
  <phoneticPr fontId="2" type="noConversion"/>
  <pageMargins left="0.7" right="0.7" top="0.75" bottom="0.75" header="0.3" footer="0.3"/>
  <pageSetup paperSize="9" orientation="portrait" horizontalDpi="200" verticalDpi="200" r:id="rId4"/>
</worksheet>
</file>

<file path=xl/worksheets/sheet4.xml><?xml version="1.0" encoding="utf-8"?>
<worksheet xmlns="http://schemas.openxmlformats.org/spreadsheetml/2006/main" xmlns:r="http://schemas.openxmlformats.org/officeDocument/2006/relationships">
  <dimension ref="A1:R87"/>
  <sheetViews>
    <sheetView workbookViewId="0">
      <pane xSplit="5" ySplit="1" topLeftCell="F35" activePane="bottomRight" state="frozen"/>
      <selection pane="topRight" activeCell="F1" sqref="F1"/>
      <selection pane="bottomLeft" activeCell="A2" sqref="A2"/>
      <selection pane="bottomRight" activeCell="I59" sqref="I59"/>
    </sheetView>
  </sheetViews>
  <sheetFormatPr defaultColWidth="9" defaultRowHeight="21.75" customHeight="1"/>
  <cols>
    <col min="1" max="3" width="9" style="76"/>
    <col min="4" max="4" width="0" style="76" hidden="1" customWidth="1"/>
    <col min="5" max="5" width="35.625" style="76" customWidth="1"/>
    <col min="6" max="6" width="10.5" style="76" bestFit="1" customWidth="1"/>
    <col min="7" max="7" width="9.75" style="76" bestFit="1" customWidth="1"/>
    <col min="8" max="8" width="9" style="79"/>
    <col min="9" max="9" width="8.5" style="78" customWidth="1"/>
    <col min="10" max="10" width="8.125" style="78" customWidth="1"/>
    <col min="11" max="11" width="5" style="78" customWidth="1"/>
    <col min="12" max="13" width="9.75" style="78" customWidth="1"/>
    <col min="14" max="14" width="11.75" style="76" customWidth="1"/>
    <col min="15" max="15" width="8" style="77" customWidth="1"/>
    <col min="16" max="16" width="12.5" style="76" customWidth="1"/>
    <col min="17" max="17" width="8.875" style="76" customWidth="1"/>
    <col min="18" max="18" width="58.25" style="76" bestFit="1" customWidth="1"/>
    <col min="19" max="16384" width="9" style="76"/>
  </cols>
  <sheetData>
    <row r="1" spans="1:18" s="6" customFormat="1" ht="21.75" customHeight="1">
      <c r="A1" s="86" t="s">
        <v>354</v>
      </c>
      <c r="B1" s="86" t="s">
        <v>353</v>
      </c>
      <c r="C1" s="86" t="s">
        <v>352</v>
      </c>
      <c r="D1" s="86" t="s">
        <v>351</v>
      </c>
      <c r="E1" s="86" t="s">
        <v>350</v>
      </c>
      <c r="F1" s="86" t="s">
        <v>349</v>
      </c>
      <c r="G1" s="84" t="s">
        <v>348</v>
      </c>
      <c r="H1" s="85" t="s">
        <v>347</v>
      </c>
      <c r="I1" s="84" t="s">
        <v>346</v>
      </c>
      <c r="J1" s="84" t="s">
        <v>345</v>
      </c>
      <c r="K1" s="84" t="s">
        <v>355</v>
      </c>
      <c r="L1" s="84" t="s">
        <v>344</v>
      </c>
      <c r="M1" s="84" t="s">
        <v>343</v>
      </c>
      <c r="N1" s="84" t="s">
        <v>342</v>
      </c>
      <c r="O1" s="87" t="s">
        <v>341</v>
      </c>
      <c r="P1" s="84" t="s">
        <v>340</v>
      </c>
      <c r="Q1" s="84" t="s">
        <v>339</v>
      </c>
      <c r="R1" s="84" t="s">
        <v>338</v>
      </c>
    </row>
    <row r="2" spans="1:18" ht="21.75" customHeight="1">
      <c r="A2" s="7" t="s">
        <v>19</v>
      </c>
      <c r="B2" s="88" t="s">
        <v>337</v>
      </c>
      <c r="C2" s="13" t="s">
        <v>336</v>
      </c>
      <c r="D2" s="7" t="s">
        <v>9</v>
      </c>
      <c r="E2" s="7" t="s">
        <v>119</v>
      </c>
      <c r="F2" s="89">
        <v>382500</v>
      </c>
      <c r="G2" s="80" t="s">
        <v>183</v>
      </c>
      <c r="H2" s="83">
        <v>0.9</v>
      </c>
      <c r="I2" s="82">
        <v>3</v>
      </c>
      <c r="J2" s="82" t="s">
        <v>132</v>
      </c>
      <c r="K2" s="82"/>
      <c r="L2" s="82" t="s">
        <v>178</v>
      </c>
      <c r="M2" s="82" t="s">
        <v>131</v>
      </c>
      <c r="N2" s="80" t="s">
        <v>140</v>
      </c>
      <c r="O2" s="81" t="s">
        <v>144</v>
      </c>
      <c r="P2" s="80" t="s">
        <v>133</v>
      </c>
      <c r="Q2" s="80"/>
      <c r="R2" s="80"/>
    </row>
    <row r="3" spans="1:18" ht="21.75" customHeight="1">
      <c r="A3" s="11" t="s">
        <v>16</v>
      </c>
      <c r="B3" s="90" t="s">
        <v>335</v>
      </c>
      <c r="C3" s="91" t="s">
        <v>7</v>
      </c>
      <c r="D3" s="11" t="s">
        <v>265</v>
      </c>
      <c r="E3" s="11" t="s">
        <v>334</v>
      </c>
      <c r="F3" s="92">
        <v>200000</v>
      </c>
      <c r="G3" s="80" t="s">
        <v>194</v>
      </c>
      <c r="H3" s="83">
        <v>0.5</v>
      </c>
      <c r="I3" s="82">
        <v>2</v>
      </c>
      <c r="J3" s="82" t="s">
        <v>132</v>
      </c>
      <c r="K3" s="82" t="s">
        <v>132</v>
      </c>
      <c r="L3" s="82" t="s">
        <v>148</v>
      </c>
      <c r="M3" s="82" t="s">
        <v>131</v>
      </c>
      <c r="N3" s="80" t="s">
        <v>134</v>
      </c>
      <c r="O3" s="81" t="s">
        <v>144</v>
      </c>
      <c r="P3" s="80" t="s">
        <v>143</v>
      </c>
      <c r="Q3" s="80"/>
      <c r="R3" s="80" t="s">
        <v>263</v>
      </c>
    </row>
    <row r="4" spans="1:18" ht="21.75" customHeight="1">
      <c r="A4" s="7" t="s">
        <v>19</v>
      </c>
      <c r="B4" s="93" t="s">
        <v>333</v>
      </c>
      <c r="C4" s="91" t="s">
        <v>120</v>
      </c>
      <c r="D4" s="11" t="s">
        <v>332</v>
      </c>
      <c r="E4" s="11" t="s">
        <v>331</v>
      </c>
      <c r="F4" s="92">
        <v>238000</v>
      </c>
      <c r="G4" s="80" t="s">
        <v>183</v>
      </c>
      <c r="H4" s="83">
        <v>0.7</v>
      </c>
      <c r="I4" s="82">
        <v>3</v>
      </c>
      <c r="J4" s="82" t="s">
        <v>132</v>
      </c>
      <c r="K4" s="82"/>
      <c r="L4" s="82" t="s">
        <v>178</v>
      </c>
      <c r="M4" s="82" t="s">
        <v>131</v>
      </c>
      <c r="N4" s="80" t="s">
        <v>140</v>
      </c>
      <c r="O4" s="81" t="s">
        <v>144</v>
      </c>
      <c r="P4" s="80" t="s">
        <v>133</v>
      </c>
      <c r="Q4" s="80"/>
      <c r="R4" s="80"/>
    </row>
    <row r="5" spans="1:18" ht="21.75" customHeight="1">
      <c r="A5" s="11" t="s">
        <v>17</v>
      </c>
      <c r="B5" s="14" t="s">
        <v>330</v>
      </c>
      <c r="C5" s="15" t="s">
        <v>8</v>
      </c>
      <c r="D5" s="9" t="s">
        <v>36</v>
      </c>
      <c r="E5" s="9" t="s">
        <v>37</v>
      </c>
      <c r="F5" s="92">
        <v>2690000</v>
      </c>
      <c r="G5" s="80" t="s">
        <v>268</v>
      </c>
      <c r="H5" s="83">
        <v>0.1</v>
      </c>
      <c r="I5" s="82">
        <v>1</v>
      </c>
      <c r="J5" s="82" t="s">
        <v>132</v>
      </c>
      <c r="K5" s="82" t="s">
        <v>132</v>
      </c>
      <c r="L5" s="82" t="s">
        <v>164</v>
      </c>
      <c r="M5" s="82" t="s">
        <v>131</v>
      </c>
      <c r="N5" s="80"/>
      <c r="O5" s="81" t="s">
        <v>144</v>
      </c>
      <c r="P5" s="80" t="s">
        <v>216</v>
      </c>
      <c r="Q5" s="80"/>
      <c r="R5" s="80" t="s">
        <v>329</v>
      </c>
    </row>
    <row r="6" spans="1:18" ht="21.75" customHeight="1">
      <c r="A6" s="11" t="s">
        <v>15</v>
      </c>
      <c r="B6" s="13" t="s">
        <v>328</v>
      </c>
      <c r="C6" s="13" t="s">
        <v>98</v>
      </c>
      <c r="D6" s="94" t="s">
        <v>38</v>
      </c>
      <c r="E6" s="7" t="s">
        <v>327</v>
      </c>
      <c r="F6" s="89">
        <v>6904200</v>
      </c>
      <c r="G6" s="80" t="s">
        <v>234</v>
      </c>
      <c r="H6" s="83">
        <v>0.1</v>
      </c>
      <c r="I6" s="82">
        <v>3</v>
      </c>
      <c r="J6" s="82" t="s">
        <v>132</v>
      </c>
      <c r="K6" s="82" t="s">
        <v>132</v>
      </c>
      <c r="L6" s="82" t="s">
        <v>148</v>
      </c>
      <c r="M6" s="82" t="s">
        <v>131</v>
      </c>
      <c r="N6" s="12" t="s">
        <v>134</v>
      </c>
      <c r="O6" s="81" t="s">
        <v>144</v>
      </c>
      <c r="P6" s="80" t="s">
        <v>133</v>
      </c>
      <c r="Q6" s="80"/>
      <c r="R6" s="80"/>
    </row>
    <row r="7" spans="1:18" ht="21.75" customHeight="1">
      <c r="A7" s="95" t="s">
        <v>41</v>
      </c>
      <c r="B7" s="14" t="s">
        <v>326</v>
      </c>
      <c r="C7" s="14" t="s">
        <v>11</v>
      </c>
      <c r="D7" s="10" t="s">
        <v>23</v>
      </c>
      <c r="E7" s="10" t="s">
        <v>325</v>
      </c>
      <c r="F7" s="92">
        <v>1460000</v>
      </c>
      <c r="G7" s="80" t="s">
        <v>324</v>
      </c>
      <c r="H7" s="83">
        <v>0.7</v>
      </c>
      <c r="I7" s="82">
        <v>1</v>
      </c>
      <c r="J7" s="82" t="s">
        <v>132</v>
      </c>
      <c r="K7" s="82" t="s">
        <v>132</v>
      </c>
      <c r="L7" s="82" t="s">
        <v>178</v>
      </c>
      <c r="M7" s="82" t="s">
        <v>137</v>
      </c>
      <c r="N7" s="80" t="s">
        <v>323</v>
      </c>
      <c r="O7" s="81" t="s">
        <v>144</v>
      </c>
      <c r="P7" s="104" t="s">
        <v>143</v>
      </c>
      <c r="Q7" s="80"/>
      <c r="R7" s="80" t="s">
        <v>322</v>
      </c>
    </row>
    <row r="8" spans="1:18" ht="21.75" customHeight="1">
      <c r="A8" s="95" t="s">
        <v>15</v>
      </c>
      <c r="B8" s="14" t="s">
        <v>121</v>
      </c>
      <c r="C8" s="14" t="s">
        <v>11</v>
      </c>
      <c r="D8" s="10" t="s">
        <v>76</v>
      </c>
      <c r="E8" s="10" t="s">
        <v>122</v>
      </c>
      <c r="F8" s="92">
        <v>154590</v>
      </c>
      <c r="G8" s="80" t="s">
        <v>321</v>
      </c>
      <c r="H8" s="83">
        <v>0.9</v>
      </c>
      <c r="I8" s="82">
        <v>2</v>
      </c>
      <c r="J8" s="82" t="s">
        <v>132</v>
      </c>
      <c r="K8" s="82"/>
      <c r="L8" s="82" t="s">
        <v>188</v>
      </c>
      <c r="M8" s="82" t="s">
        <v>131</v>
      </c>
      <c r="N8" s="80" t="s">
        <v>138</v>
      </c>
      <c r="O8" s="81" t="s">
        <v>144</v>
      </c>
      <c r="P8" s="80" t="s">
        <v>133</v>
      </c>
      <c r="Q8" s="80"/>
      <c r="R8" s="80"/>
    </row>
    <row r="9" spans="1:18" ht="21.75" customHeight="1">
      <c r="A9" s="8" t="s">
        <v>16</v>
      </c>
      <c r="B9" s="96" t="s">
        <v>320</v>
      </c>
      <c r="C9" s="14" t="s">
        <v>319</v>
      </c>
      <c r="D9" s="10" t="s">
        <v>10</v>
      </c>
      <c r="E9" s="10" t="s">
        <v>123</v>
      </c>
      <c r="F9" s="92">
        <v>192000</v>
      </c>
      <c r="G9" s="80" t="s">
        <v>194</v>
      </c>
      <c r="H9" s="83">
        <v>0.5</v>
      </c>
      <c r="I9" s="82">
        <v>1</v>
      </c>
      <c r="J9" s="82" t="s">
        <v>132</v>
      </c>
      <c r="K9" s="82" t="s">
        <v>132</v>
      </c>
      <c r="L9" s="82" t="s">
        <v>148</v>
      </c>
      <c r="M9" s="82" t="s">
        <v>131</v>
      </c>
      <c r="N9" s="80" t="s">
        <v>134</v>
      </c>
      <c r="O9" s="81" t="s">
        <v>144</v>
      </c>
      <c r="P9" s="80" t="s">
        <v>143</v>
      </c>
      <c r="Q9" s="80"/>
      <c r="R9" s="80" t="s">
        <v>263</v>
      </c>
    </row>
    <row r="10" spans="1:18" ht="21.75" customHeight="1">
      <c r="A10" s="8" t="s">
        <v>19</v>
      </c>
      <c r="B10" s="13" t="s">
        <v>318</v>
      </c>
      <c r="C10" s="14" t="s">
        <v>74</v>
      </c>
      <c r="D10" s="10" t="s">
        <v>39</v>
      </c>
      <c r="E10" s="10" t="s">
        <v>40</v>
      </c>
      <c r="F10" s="92">
        <v>2260000</v>
      </c>
      <c r="G10" s="80" t="s">
        <v>317</v>
      </c>
      <c r="H10" s="83">
        <v>0.1</v>
      </c>
      <c r="I10" s="82">
        <v>3</v>
      </c>
      <c r="J10" s="82" t="s">
        <v>132</v>
      </c>
      <c r="K10" s="82"/>
      <c r="L10" s="82" t="s">
        <v>164</v>
      </c>
      <c r="M10" s="82" t="s">
        <v>131</v>
      </c>
      <c r="N10" s="80"/>
      <c r="O10" s="81" t="s">
        <v>144</v>
      </c>
      <c r="P10" s="80" t="s">
        <v>216</v>
      </c>
      <c r="Q10" s="80"/>
      <c r="R10" s="80" t="s">
        <v>256</v>
      </c>
    </row>
    <row r="11" spans="1:18" ht="21.75" customHeight="1">
      <c r="A11" s="7" t="s">
        <v>48</v>
      </c>
      <c r="B11" s="13" t="s">
        <v>316</v>
      </c>
      <c r="C11" s="13" t="s">
        <v>100</v>
      </c>
      <c r="D11" s="7" t="s">
        <v>315</v>
      </c>
      <c r="E11" s="7" t="s">
        <v>315</v>
      </c>
      <c r="F11" s="92">
        <v>2360000</v>
      </c>
      <c r="G11" s="80" t="s">
        <v>314</v>
      </c>
      <c r="H11" s="83">
        <v>0.9</v>
      </c>
      <c r="I11" s="82">
        <v>2</v>
      </c>
      <c r="J11" s="82" t="s">
        <v>132</v>
      </c>
      <c r="K11" s="82"/>
      <c r="L11" s="82" t="s">
        <v>178</v>
      </c>
      <c r="M11" s="82" t="s">
        <v>137</v>
      </c>
      <c r="N11" s="80" t="s">
        <v>140</v>
      </c>
      <c r="O11" s="81" t="s">
        <v>144</v>
      </c>
      <c r="P11" s="80" t="s">
        <v>216</v>
      </c>
      <c r="Q11" s="80"/>
      <c r="R11" s="80" t="s">
        <v>313</v>
      </c>
    </row>
    <row r="12" spans="1:18" ht="21.75" customHeight="1">
      <c r="A12" s="12" t="s">
        <v>312</v>
      </c>
      <c r="B12" s="14" t="s">
        <v>311</v>
      </c>
      <c r="C12" s="15" t="s">
        <v>310</v>
      </c>
      <c r="D12" s="9" t="s">
        <v>227</v>
      </c>
      <c r="E12" s="9" t="s">
        <v>309</v>
      </c>
      <c r="F12" s="92">
        <v>2590000</v>
      </c>
      <c r="G12" s="80" t="s">
        <v>225</v>
      </c>
      <c r="H12" s="83">
        <v>0.1</v>
      </c>
      <c r="I12" s="82">
        <v>3</v>
      </c>
      <c r="J12" s="82" t="s">
        <v>132</v>
      </c>
      <c r="K12" s="82" t="s">
        <v>132</v>
      </c>
      <c r="L12" s="82" t="s">
        <v>164</v>
      </c>
      <c r="M12" s="82" t="s">
        <v>137</v>
      </c>
      <c r="N12" s="80" t="s">
        <v>142</v>
      </c>
      <c r="O12" s="81" t="s">
        <v>224</v>
      </c>
      <c r="P12" s="80" t="s">
        <v>133</v>
      </c>
      <c r="Q12" s="80"/>
      <c r="R12" s="80"/>
    </row>
    <row r="13" spans="1:18" ht="21.75" customHeight="1">
      <c r="A13" s="12" t="s">
        <v>15</v>
      </c>
      <c r="B13" s="13" t="s">
        <v>308</v>
      </c>
      <c r="C13" s="7" t="s">
        <v>307</v>
      </c>
      <c r="D13" s="13" t="s">
        <v>306</v>
      </c>
      <c r="E13" s="13" t="s">
        <v>305</v>
      </c>
      <c r="F13" s="92">
        <v>1345262</v>
      </c>
      <c r="G13" s="80" t="s">
        <v>248</v>
      </c>
      <c r="H13" s="83">
        <v>0.9</v>
      </c>
      <c r="I13" s="82">
        <v>1</v>
      </c>
      <c r="J13" s="82" t="s">
        <v>132</v>
      </c>
      <c r="K13" s="82"/>
      <c r="L13" s="82" t="s">
        <v>170</v>
      </c>
      <c r="M13" s="82" t="s">
        <v>137</v>
      </c>
      <c r="N13" s="80" t="s">
        <v>140</v>
      </c>
      <c r="O13" s="81" t="s">
        <v>144</v>
      </c>
      <c r="P13" s="103" t="s">
        <v>143</v>
      </c>
      <c r="Q13" s="80"/>
      <c r="R13" s="80" t="s">
        <v>304</v>
      </c>
    </row>
    <row r="14" spans="1:18" ht="21.75" customHeight="1">
      <c r="A14" s="11" t="s">
        <v>19</v>
      </c>
      <c r="B14" s="13" t="s">
        <v>303</v>
      </c>
      <c r="C14" s="7" t="s">
        <v>186</v>
      </c>
      <c r="D14" s="13" t="s">
        <v>302</v>
      </c>
      <c r="E14" s="13" t="s">
        <v>301</v>
      </c>
      <c r="F14" s="92">
        <v>1643920</v>
      </c>
      <c r="G14" s="80" t="s">
        <v>300</v>
      </c>
      <c r="H14" s="83">
        <v>0.1</v>
      </c>
      <c r="I14" s="82">
        <v>3</v>
      </c>
      <c r="J14" s="82" t="s">
        <v>132</v>
      </c>
      <c r="K14" s="82"/>
      <c r="L14" s="82" t="s">
        <v>164</v>
      </c>
      <c r="M14" s="82" t="s">
        <v>131</v>
      </c>
      <c r="N14" s="80"/>
      <c r="O14" s="81" t="s">
        <v>144</v>
      </c>
      <c r="P14" s="80" t="s">
        <v>133</v>
      </c>
      <c r="Q14" s="80"/>
      <c r="R14" s="80"/>
    </row>
    <row r="15" spans="1:18" ht="21.75" customHeight="1">
      <c r="A15" s="11" t="s">
        <v>19</v>
      </c>
      <c r="B15" s="13" t="s">
        <v>299</v>
      </c>
      <c r="C15" s="7" t="s">
        <v>186</v>
      </c>
      <c r="D15" s="97" t="s">
        <v>50</v>
      </c>
      <c r="E15" s="13" t="s">
        <v>298</v>
      </c>
      <c r="F15" s="92">
        <v>180000</v>
      </c>
      <c r="G15" s="80" t="s">
        <v>217</v>
      </c>
      <c r="H15" s="83">
        <v>0.7</v>
      </c>
      <c r="I15" s="82">
        <v>3</v>
      </c>
      <c r="J15" s="82" t="s">
        <v>132</v>
      </c>
      <c r="K15" s="82"/>
      <c r="L15" s="82" t="s">
        <v>297</v>
      </c>
      <c r="M15" s="82" t="s">
        <v>135</v>
      </c>
      <c r="N15" s="80" t="s">
        <v>134</v>
      </c>
      <c r="O15" s="81" t="s">
        <v>144</v>
      </c>
      <c r="P15" s="80" t="s">
        <v>133</v>
      </c>
      <c r="Q15" s="80"/>
      <c r="R15" s="80"/>
    </row>
    <row r="16" spans="1:18" ht="21.75" customHeight="1">
      <c r="A16" s="11" t="s">
        <v>41</v>
      </c>
      <c r="B16" s="13" t="s">
        <v>296</v>
      </c>
      <c r="C16" s="7" t="s">
        <v>295</v>
      </c>
      <c r="D16" s="13" t="s">
        <v>294</v>
      </c>
      <c r="E16" s="13" t="s">
        <v>293</v>
      </c>
      <c r="F16" s="92">
        <v>658900</v>
      </c>
      <c r="G16" s="80" t="s">
        <v>146</v>
      </c>
      <c r="H16" s="83">
        <v>0.3</v>
      </c>
      <c r="I16" s="82">
        <v>3</v>
      </c>
      <c r="J16" s="82" t="s">
        <v>132</v>
      </c>
      <c r="K16" s="82"/>
      <c r="L16" s="82" t="s">
        <v>233</v>
      </c>
      <c r="M16" s="82" t="s">
        <v>131</v>
      </c>
      <c r="N16" s="80" t="s">
        <v>134</v>
      </c>
      <c r="O16" s="81" t="s">
        <v>144</v>
      </c>
      <c r="P16" s="80" t="s">
        <v>133</v>
      </c>
      <c r="Q16" s="80"/>
      <c r="R16" s="80"/>
    </row>
    <row r="17" spans="1:18" ht="21.75" customHeight="1">
      <c r="A17" s="11" t="s">
        <v>16</v>
      </c>
      <c r="B17" s="13" t="s">
        <v>292</v>
      </c>
      <c r="C17" s="98" t="s">
        <v>98</v>
      </c>
      <c r="D17" s="13" t="s">
        <v>291</v>
      </c>
      <c r="E17" s="13" t="s">
        <v>290</v>
      </c>
      <c r="F17" s="92">
        <v>1470000</v>
      </c>
      <c r="G17" s="80" t="s">
        <v>275</v>
      </c>
      <c r="H17" s="83">
        <v>0.1</v>
      </c>
      <c r="I17" s="82">
        <v>1</v>
      </c>
      <c r="J17" s="82" t="s">
        <v>132</v>
      </c>
      <c r="K17" s="82" t="s">
        <v>189</v>
      </c>
      <c r="L17" s="82" t="s">
        <v>148</v>
      </c>
      <c r="M17" s="82" t="s">
        <v>131</v>
      </c>
      <c r="N17" s="80"/>
      <c r="O17" s="81" t="s">
        <v>144</v>
      </c>
      <c r="P17" s="80" t="s">
        <v>118</v>
      </c>
      <c r="Q17" s="80"/>
      <c r="R17" s="80"/>
    </row>
    <row r="18" spans="1:18" ht="21.75" customHeight="1">
      <c r="A18" s="11" t="s">
        <v>16</v>
      </c>
      <c r="B18" s="13" t="s">
        <v>289</v>
      </c>
      <c r="C18" s="98" t="s">
        <v>7</v>
      </c>
      <c r="D18" s="13" t="s">
        <v>288</v>
      </c>
      <c r="E18" s="13" t="s">
        <v>287</v>
      </c>
      <c r="F18" s="92">
        <v>100000</v>
      </c>
      <c r="G18" s="80" t="s">
        <v>194</v>
      </c>
      <c r="H18" s="83">
        <v>0.9</v>
      </c>
      <c r="I18" s="82">
        <v>3</v>
      </c>
      <c r="J18" s="82" t="s">
        <v>132</v>
      </c>
      <c r="K18" s="82" t="s">
        <v>132</v>
      </c>
      <c r="L18" s="82" t="s">
        <v>178</v>
      </c>
      <c r="M18" s="82" t="s">
        <v>137</v>
      </c>
      <c r="N18" s="80" t="s">
        <v>140</v>
      </c>
      <c r="O18" s="81" t="s">
        <v>144</v>
      </c>
      <c r="P18" s="80" t="s">
        <v>141</v>
      </c>
      <c r="Q18" s="80"/>
      <c r="R18" s="80"/>
    </row>
    <row r="19" spans="1:18" ht="21.75" customHeight="1">
      <c r="A19" s="11" t="s">
        <v>16</v>
      </c>
      <c r="B19" s="13" t="s">
        <v>286</v>
      </c>
      <c r="C19" s="98" t="s">
        <v>98</v>
      </c>
      <c r="D19" s="13" t="s">
        <v>285</v>
      </c>
      <c r="E19" s="13" t="s">
        <v>284</v>
      </c>
      <c r="F19" s="92">
        <v>1470000</v>
      </c>
      <c r="G19" s="80" t="s">
        <v>194</v>
      </c>
      <c r="H19" s="83">
        <v>0.3</v>
      </c>
      <c r="I19" s="82">
        <v>1</v>
      </c>
      <c r="J19" s="82" t="s">
        <v>132</v>
      </c>
      <c r="K19" s="82" t="s">
        <v>189</v>
      </c>
      <c r="L19" s="82" t="s">
        <v>145</v>
      </c>
      <c r="M19" s="82" t="s">
        <v>136</v>
      </c>
      <c r="N19" s="80" t="s">
        <v>139</v>
      </c>
      <c r="O19" s="81" t="s">
        <v>144</v>
      </c>
      <c r="P19" s="80" t="s">
        <v>143</v>
      </c>
      <c r="Q19" s="80"/>
      <c r="R19" s="80" t="s">
        <v>283</v>
      </c>
    </row>
    <row r="20" spans="1:18" ht="21.75" customHeight="1">
      <c r="A20" s="11" t="s">
        <v>19</v>
      </c>
      <c r="B20" s="13" t="s">
        <v>282</v>
      </c>
      <c r="C20" s="98" t="s">
        <v>74</v>
      </c>
      <c r="D20" s="13" t="s">
        <v>281</v>
      </c>
      <c r="E20" s="13" t="s">
        <v>280</v>
      </c>
      <c r="F20" s="92">
        <v>370000</v>
      </c>
      <c r="G20" s="80" t="s">
        <v>217</v>
      </c>
      <c r="H20" s="83">
        <v>0.9</v>
      </c>
      <c r="I20" s="82">
        <v>3</v>
      </c>
      <c r="J20" s="82" t="s">
        <v>132</v>
      </c>
      <c r="K20" s="82"/>
      <c r="L20" s="82" t="s">
        <v>279</v>
      </c>
      <c r="M20" s="82" t="s">
        <v>131</v>
      </c>
      <c r="N20" s="80" t="s">
        <v>140</v>
      </c>
      <c r="O20" s="81" t="s">
        <v>144</v>
      </c>
      <c r="P20" s="80" t="s">
        <v>133</v>
      </c>
      <c r="Q20" s="80"/>
      <c r="R20" s="80"/>
    </row>
    <row r="21" spans="1:18" ht="21.75" customHeight="1">
      <c r="A21" s="11" t="s">
        <v>16</v>
      </c>
      <c r="B21" s="13" t="s">
        <v>278</v>
      </c>
      <c r="C21" s="98" t="s">
        <v>98</v>
      </c>
      <c r="D21" s="13" t="s">
        <v>277</v>
      </c>
      <c r="E21" s="13" t="s">
        <v>276</v>
      </c>
      <c r="F21" s="92">
        <v>810000</v>
      </c>
      <c r="G21" s="80" t="s">
        <v>275</v>
      </c>
      <c r="H21" s="83">
        <v>0.1</v>
      </c>
      <c r="I21" s="82">
        <v>1</v>
      </c>
      <c r="J21" s="82" t="s">
        <v>132</v>
      </c>
      <c r="K21" s="82" t="s">
        <v>132</v>
      </c>
      <c r="L21" s="82" t="s">
        <v>145</v>
      </c>
      <c r="M21" s="82" t="s">
        <v>131</v>
      </c>
      <c r="N21" s="80" t="s">
        <v>139</v>
      </c>
      <c r="O21" s="81" t="s">
        <v>144</v>
      </c>
      <c r="P21" s="80" t="s">
        <v>118</v>
      </c>
      <c r="Q21" s="80"/>
      <c r="R21" s="80"/>
    </row>
    <row r="22" spans="1:18" ht="21.75" customHeight="1">
      <c r="A22" s="11" t="s">
        <v>17</v>
      </c>
      <c r="B22" s="13" t="s">
        <v>274</v>
      </c>
      <c r="C22" s="98" t="s">
        <v>7</v>
      </c>
      <c r="D22" s="13" t="s">
        <v>273</v>
      </c>
      <c r="E22" s="13" t="s">
        <v>272</v>
      </c>
      <c r="F22" s="92">
        <v>1796000</v>
      </c>
      <c r="G22" s="80" t="s">
        <v>268</v>
      </c>
      <c r="H22" s="83">
        <v>0.3</v>
      </c>
      <c r="I22" s="82">
        <v>3</v>
      </c>
      <c r="J22" s="82" t="s">
        <v>132</v>
      </c>
      <c r="K22" s="82" t="s">
        <v>132</v>
      </c>
      <c r="L22" s="82" t="s">
        <v>164</v>
      </c>
      <c r="M22" s="82" t="s">
        <v>131</v>
      </c>
      <c r="N22" s="80" t="s">
        <v>134</v>
      </c>
      <c r="O22" s="81" t="s">
        <v>144</v>
      </c>
      <c r="P22" s="80" t="s">
        <v>133</v>
      </c>
      <c r="Q22" s="80"/>
      <c r="R22" s="80"/>
    </row>
    <row r="23" spans="1:18" ht="21.75" customHeight="1">
      <c r="A23" s="11" t="s">
        <v>17</v>
      </c>
      <c r="B23" s="13" t="s">
        <v>271</v>
      </c>
      <c r="C23" s="98" t="s">
        <v>7</v>
      </c>
      <c r="D23" s="13" t="s">
        <v>270</v>
      </c>
      <c r="E23" s="13" t="s">
        <v>269</v>
      </c>
      <c r="F23" s="92">
        <v>1796000</v>
      </c>
      <c r="G23" s="80" t="s">
        <v>268</v>
      </c>
      <c r="H23" s="83">
        <v>0.3</v>
      </c>
      <c r="I23" s="82">
        <v>3</v>
      </c>
      <c r="J23" s="82" t="s">
        <v>132</v>
      </c>
      <c r="K23" s="82" t="s">
        <v>132</v>
      </c>
      <c r="L23" s="82" t="s">
        <v>267</v>
      </c>
      <c r="M23" s="82" t="s">
        <v>131</v>
      </c>
      <c r="N23" s="80" t="s">
        <v>134</v>
      </c>
      <c r="O23" s="81" t="s">
        <v>144</v>
      </c>
      <c r="P23" s="80" t="s">
        <v>133</v>
      </c>
      <c r="Q23" s="80"/>
      <c r="R23" s="80"/>
    </row>
    <row r="24" spans="1:18" ht="21.75" customHeight="1">
      <c r="A24" s="11" t="s">
        <v>16</v>
      </c>
      <c r="B24" s="13" t="s">
        <v>266</v>
      </c>
      <c r="C24" s="98" t="s">
        <v>7</v>
      </c>
      <c r="D24" s="13" t="s">
        <v>265</v>
      </c>
      <c r="E24" s="13" t="s">
        <v>264</v>
      </c>
      <c r="F24" s="92">
        <v>120000</v>
      </c>
      <c r="G24" s="80" t="s">
        <v>194</v>
      </c>
      <c r="H24" s="83">
        <v>0.5</v>
      </c>
      <c r="I24" s="82">
        <v>1</v>
      </c>
      <c r="J24" s="82" t="s">
        <v>132</v>
      </c>
      <c r="K24" s="82" t="s">
        <v>132</v>
      </c>
      <c r="L24" s="82" t="s">
        <v>148</v>
      </c>
      <c r="M24" s="82" t="s">
        <v>131</v>
      </c>
      <c r="N24" s="80" t="s">
        <v>134</v>
      </c>
      <c r="O24" s="81" t="s">
        <v>144</v>
      </c>
      <c r="P24" s="80" t="s">
        <v>143</v>
      </c>
      <c r="Q24" s="80"/>
      <c r="R24" s="80" t="s">
        <v>263</v>
      </c>
    </row>
    <row r="25" spans="1:18" ht="21.75" customHeight="1">
      <c r="A25" s="11" t="s">
        <v>41</v>
      </c>
      <c r="B25" s="13" t="s">
        <v>262</v>
      </c>
      <c r="C25" s="98" t="s">
        <v>8</v>
      </c>
      <c r="D25" s="13" t="s">
        <v>259</v>
      </c>
      <c r="E25" s="13" t="s">
        <v>261</v>
      </c>
      <c r="F25" s="92">
        <v>815888.71</v>
      </c>
      <c r="G25" s="80" t="s">
        <v>257</v>
      </c>
      <c r="H25" s="83">
        <v>0.1</v>
      </c>
      <c r="I25" s="82">
        <v>3</v>
      </c>
      <c r="J25" s="82" t="s">
        <v>132</v>
      </c>
      <c r="K25" s="82"/>
      <c r="L25" s="82" t="s">
        <v>170</v>
      </c>
      <c r="M25" s="82" t="s">
        <v>131</v>
      </c>
      <c r="N25" s="80"/>
      <c r="O25" s="81" t="s">
        <v>144</v>
      </c>
      <c r="P25" s="80" t="s">
        <v>118</v>
      </c>
      <c r="Q25" s="80"/>
      <c r="R25" s="80" t="s">
        <v>256</v>
      </c>
    </row>
    <row r="26" spans="1:18" ht="21.75" customHeight="1">
      <c r="A26" s="11" t="s">
        <v>41</v>
      </c>
      <c r="B26" s="13" t="s">
        <v>260</v>
      </c>
      <c r="C26" s="98" t="s">
        <v>8</v>
      </c>
      <c r="D26" s="13" t="s">
        <v>259</v>
      </c>
      <c r="E26" s="13" t="s">
        <v>258</v>
      </c>
      <c r="F26" s="92">
        <v>896047.85</v>
      </c>
      <c r="G26" s="80" t="s">
        <v>257</v>
      </c>
      <c r="H26" s="83">
        <v>0.1</v>
      </c>
      <c r="I26" s="82">
        <v>3</v>
      </c>
      <c r="J26" s="82" t="s">
        <v>132</v>
      </c>
      <c r="K26" s="82"/>
      <c r="L26" s="82" t="s">
        <v>170</v>
      </c>
      <c r="M26" s="82" t="s">
        <v>131</v>
      </c>
      <c r="N26" s="80"/>
      <c r="O26" s="81" t="s">
        <v>144</v>
      </c>
      <c r="P26" s="80" t="s">
        <v>118</v>
      </c>
      <c r="Q26" s="80"/>
      <c r="R26" s="80" t="s">
        <v>256</v>
      </c>
    </row>
    <row r="27" spans="1:18" ht="21.75" customHeight="1">
      <c r="A27" s="11" t="s">
        <v>18</v>
      </c>
      <c r="B27" s="13" t="s">
        <v>255</v>
      </c>
      <c r="C27" s="98" t="s">
        <v>8</v>
      </c>
      <c r="D27" s="13" t="s">
        <v>254</v>
      </c>
      <c r="E27" s="13" t="s">
        <v>253</v>
      </c>
      <c r="F27" s="92">
        <v>1207700</v>
      </c>
      <c r="G27" s="80" t="s">
        <v>252</v>
      </c>
      <c r="H27" s="83">
        <v>0.1</v>
      </c>
      <c r="I27" s="82">
        <v>2</v>
      </c>
      <c r="J27" s="82" t="s">
        <v>132</v>
      </c>
      <c r="K27" s="82" t="s">
        <v>132</v>
      </c>
      <c r="L27" s="82" t="s">
        <v>145</v>
      </c>
      <c r="M27" s="82" t="s">
        <v>135</v>
      </c>
      <c r="N27" s="80"/>
      <c r="O27" s="81" t="s">
        <v>251</v>
      </c>
      <c r="P27" s="80" t="s">
        <v>133</v>
      </c>
      <c r="Q27" s="80"/>
      <c r="R27" s="80"/>
    </row>
    <row r="28" spans="1:18" ht="21.75" customHeight="1">
      <c r="A28" s="11" t="s">
        <v>15</v>
      </c>
      <c r="B28" s="13" t="s">
        <v>250</v>
      </c>
      <c r="C28" s="98" t="s">
        <v>75</v>
      </c>
      <c r="D28" s="13" t="s">
        <v>209</v>
      </c>
      <c r="E28" s="13" t="s">
        <v>249</v>
      </c>
      <c r="F28" s="92">
        <v>10564000</v>
      </c>
      <c r="G28" s="80" t="s">
        <v>248</v>
      </c>
      <c r="H28" s="83">
        <v>0.5</v>
      </c>
      <c r="I28" s="82">
        <v>3</v>
      </c>
      <c r="J28" s="82" t="s">
        <v>132</v>
      </c>
      <c r="K28" s="82" t="s">
        <v>132</v>
      </c>
      <c r="L28" s="82" t="s">
        <v>148</v>
      </c>
      <c r="M28" s="82" t="s">
        <v>135</v>
      </c>
      <c r="N28" s="80" t="s">
        <v>138</v>
      </c>
      <c r="O28" s="81" t="s">
        <v>144</v>
      </c>
      <c r="P28" s="80" t="s">
        <v>133</v>
      </c>
      <c r="Q28" s="80"/>
      <c r="R28" s="80"/>
    </row>
    <row r="29" spans="1:18" ht="21.75" customHeight="1">
      <c r="A29" s="11" t="s">
        <v>15</v>
      </c>
      <c r="B29" s="13" t="s">
        <v>247</v>
      </c>
      <c r="C29" s="98" t="s">
        <v>99</v>
      </c>
      <c r="D29" s="13" t="s">
        <v>243</v>
      </c>
      <c r="E29" s="13" t="s">
        <v>246</v>
      </c>
      <c r="F29" s="92">
        <v>1253000</v>
      </c>
      <c r="G29" s="80" t="s">
        <v>241</v>
      </c>
      <c r="H29" s="83">
        <v>0.3</v>
      </c>
      <c r="I29" s="82">
        <v>3</v>
      </c>
      <c r="J29" s="82" t="s">
        <v>132</v>
      </c>
      <c r="K29" s="82"/>
      <c r="L29" s="82" t="s">
        <v>188</v>
      </c>
      <c r="M29" s="82" t="s">
        <v>131</v>
      </c>
      <c r="N29" s="80" t="s">
        <v>138</v>
      </c>
      <c r="O29" s="81" t="s">
        <v>144</v>
      </c>
      <c r="P29" s="80" t="s">
        <v>141</v>
      </c>
      <c r="Q29" s="80"/>
      <c r="R29" s="80" t="s">
        <v>245</v>
      </c>
    </row>
    <row r="30" spans="1:18" ht="21.75" customHeight="1">
      <c r="A30" s="11" t="s">
        <v>15</v>
      </c>
      <c r="B30" s="13" t="s">
        <v>244</v>
      </c>
      <c r="C30" s="98" t="s">
        <v>75</v>
      </c>
      <c r="D30" s="13" t="s">
        <v>243</v>
      </c>
      <c r="E30" s="13" t="s">
        <v>242</v>
      </c>
      <c r="F30" s="92">
        <v>8990600</v>
      </c>
      <c r="G30" s="80" t="s">
        <v>241</v>
      </c>
      <c r="H30" s="83">
        <v>0.7</v>
      </c>
      <c r="I30" s="82">
        <v>3</v>
      </c>
      <c r="J30" s="82" t="s">
        <v>132</v>
      </c>
      <c r="K30" s="82"/>
      <c r="L30" s="82" t="s">
        <v>188</v>
      </c>
      <c r="M30" s="82" t="s">
        <v>131</v>
      </c>
      <c r="N30" s="80" t="s">
        <v>138</v>
      </c>
      <c r="O30" s="81" t="s">
        <v>144</v>
      </c>
      <c r="P30" s="80" t="s">
        <v>133</v>
      </c>
      <c r="Q30" s="80"/>
      <c r="R30" s="80"/>
    </row>
    <row r="31" spans="1:18" ht="21.75" customHeight="1">
      <c r="A31" s="11" t="s">
        <v>16</v>
      </c>
      <c r="B31" s="13" t="s">
        <v>240</v>
      </c>
      <c r="C31" s="98" t="s">
        <v>98</v>
      </c>
      <c r="D31" s="13" t="s">
        <v>239</v>
      </c>
      <c r="E31" s="13" t="s">
        <v>238</v>
      </c>
      <c r="F31" s="92">
        <v>603000</v>
      </c>
      <c r="G31" s="80" t="s">
        <v>194</v>
      </c>
      <c r="H31" s="83">
        <v>0.9</v>
      </c>
      <c r="I31" s="82">
        <v>3</v>
      </c>
      <c r="J31" s="82" t="s">
        <v>132</v>
      </c>
      <c r="K31" s="82" t="s">
        <v>132</v>
      </c>
      <c r="L31" s="82" t="s">
        <v>188</v>
      </c>
      <c r="M31" s="82" t="s">
        <v>135</v>
      </c>
      <c r="N31" s="80" t="s">
        <v>138</v>
      </c>
      <c r="O31" s="81" t="s">
        <v>144</v>
      </c>
      <c r="P31" s="80" t="s">
        <v>141</v>
      </c>
      <c r="Q31" s="80"/>
      <c r="R31" s="80"/>
    </row>
    <row r="32" spans="1:18" ht="21.75" customHeight="1">
      <c r="A32" s="11" t="s">
        <v>15</v>
      </c>
      <c r="B32" s="13" t="s">
        <v>237</v>
      </c>
      <c r="C32" s="98" t="s">
        <v>12</v>
      </c>
      <c r="D32" s="13" t="s">
        <v>236</v>
      </c>
      <c r="E32" s="13" t="s">
        <v>235</v>
      </c>
      <c r="F32" s="92">
        <v>245000</v>
      </c>
      <c r="G32" s="80" t="s">
        <v>234</v>
      </c>
      <c r="H32" s="83">
        <v>0.1</v>
      </c>
      <c r="I32" s="82">
        <v>3</v>
      </c>
      <c r="J32" s="82" t="s">
        <v>132</v>
      </c>
      <c r="K32" s="82"/>
      <c r="L32" s="82" t="s">
        <v>233</v>
      </c>
      <c r="M32" s="82" t="s">
        <v>131</v>
      </c>
      <c r="N32" s="80"/>
      <c r="O32" s="81" t="s">
        <v>144</v>
      </c>
      <c r="P32" s="80" t="s">
        <v>133</v>
      </c>
      <c r="Q32" s="80"/>
      <c r="R32" s="80"/>
    </row>
    <row r="33" spans="1:18" ht="21.75" customHeight="1">
      <c r="A33" s="11" t="s">
        <v>19</v>
      </c>
      <c r="B33" s="13" t="s">
        <v>232</v>
      </c>
      <c r="C33" s="98" t="s">
        <v>74</v>
      </c>
      <c r="D33" s="13" t="s">
        <v>231</v>
      </c>
      <c r="E33" s="13" t="s">
        <v>230</v>
      </c>
      <c r="F33" s="92">
        <v>200000</v>
      </c>
      <c r="G33" s="12" t="s">
        <v>183</v>
      </c>
      <c r="H33" s="83">
        <v>0.1</v>
      </c>
      <c r="I33" s="82">
        <v>3</v>
      </c>
      <c r="J33" s="82" t="s">
        <v>132</v>
      </c>
      <c r="K33" s="82"/>
      <c r="L33" s="82" t="s">
        <v>229</v>
      </c>
      <c r="M33" s="82" t="s">
        <v>131</v>
      </c>
      <c r="N33" s="80" t="s">
        <v>142</v>
      </c>
      <c r="O33" s="81" t="s">
        <v>144</v>
      </c>
      <c r="P33" s="80" t="s">
        <v>133</v>
      </c>
      <c r="Q33" s="80"/>
      <c r="R33" s="80"/>
    </row>
    <row r="34" spans="1:18" ht="21.75" customHeight="1">
      <c r="A34" s="11" t="s">
        <v>15</v>
      </c>
      <c r="B34" s="13" t="s">
        <v>228</v>
      </c>
      <c r="C34" s="98" t="s">
        <v>98</v>
      </c>
      <c r="D34" s="13" t="s">
        <v>227</v>
      </c>
      <c r="E34" s="13" t="s">
        <v>226</v>
      </c>
      <c r="F34" s="92">
        <v>1100000</v>
      </c>
      <c r="G34" s="80" t="s">
        <v>225</v>
      </c>
      <c r="H34" s="83">
        <v>0.1</v>
      </c>
      <c r="I34" s="82">
        <v>3</v>
      </c>
      <c r="J34" s="82" t="s">
        <v>132</v>
      </c>
      <c r="K34" s="82" t="s">
        <v>132</v>
      </c>
      <c r="L34" s="82" t="s">
        <v>164</v>
      </c>
      <c r="M34" s="82" t="s">
        <v>137</v>
      </c>
      <c r="N34" s="80" t="s">
        <v>142</v>
      </c>
      <c r="O34" s="81" t="s">
        <v>224</v>
      </c>
      <c r="P34" s="80" t="s">
        <v>133</v>
      </c>
      <c r="Q34" s="80"/>
      <c r="R34" s="80"/>
    </row>
    <row r="35" spans="1:18" ht="21.75" customHeight="1">
      <c r="A35" s="11" t="s">
        <v>16</v>
      </c>
      <c r="B35" s="13" t="s">
        <v>223</v>
      </c>
      <c r="C35" s="98" t="s">
        <v>98</v>
      </c>
      <c r="D35" s="13" t="s">
        <v>222</v>
      </c>
      <c r="E35" s="13" t="s">
        <v>221</v>
      </c>
      <c r="F35" s="92">
        <v>468000</v>
      </c>
      <c r="G35" s="80" t="s">
        <v>194</v>
      </c>
      <c r="H35" s="83">
        <v>0.1</v>
      </c>
      <c r="I35" s="82">
        <v>3</v>
      </c>
      <c r="J35" s="82" t="s">
        <v>132</v>
      </c>
      <c r="K35" s="82" t="s">
        <v>132</v>
      </c>
      <c r="L35" s="82" t="s">
        <v>148</v>
      </c>
      <c r="M35" s="82" t="s">
        <v>135</v>
      </c>
      <c r="N35" s="80"/>
      <c r="O35" s="81" t="s">
        <v>144</v>
      </c>
      <c r="P35" s="80" t="s">
        <v>133</v>
      </c>
      <c r="Q35" s="80"/>
      <c r="R35" s="80"/>
    </row>
    <row r="36" spans="1:18" ht="21.75" customHeight="1">
      <c r="A36" s="11" t="s">
        <v>19</v>
      </c>
      <c r="B36" s="13" t="s">
        <v>220</v>
      </c>
      <c r="C36" s="98" t="s">
        <v>74</v>
      </c>
      <c r="D36" s="13" t="s">
        <v>219</v>
      </c>
      <c r="E36" s="13" t="s">
        <v>218</v>
      </c>
      <c r="F36" s="92">
        <v>100000</v>
      </c>
      <c r="G36" s="80" t="s">
        <v>217</v>
      </c>
      <c r="H36" s="83">
        <v>0.7</v>
      </c>
      <c r="I36" s="82">
        <v>3</v>
      </c>
      <c r="J36" s="82" t="s">
        <v>132</v>
      </c>
      <c r="K36" s="82"/>
      <c r="L36" s="82" t="s">
        <v>155</v>
      </c>
      <c r="M36" s="82" t="s">
        <v>131</v>
      </c>
      <c r="N36" s="80" t="s">
        <v>134</v>
      </c>
      <c r="O36" s="81" t="s">
        <v>144</v>
      </c>
      <c r="P36" s="80" t="s">
        <v>216</v>
      </c>
      <c r="Q36" s="80"/>
      <c r="R36" s="80" t="s">
        <v>215</v>
      </c>
    </row>
    <row r="37" spans="1:18" ht="21.75" customHeight="1">
      <c r="A37" s="11" t="s">
        <v>15</v>
      </c>
      <c r="B37" s="13" t="s">
        <v>214</v>
      </c>
      <c r="C37" s="98" t="s">
        <v>124</v>
      </c>
      <c r="D37" s="13" t="s">
        <v>213</v>
      </c>
      <c r="E37" s="13" t="s">
        <v>212</v>
      </c>
      <c r="F37" s="92">
        <v>340000</v>
      </c>
      <c r="G37" s="80" t="s">
        <v>211</v>
      </c>
      <c r="H37" s="83">
        <v>0.1</v>
      </c>
      <c r="I37" s="82">
        <v>2</v>
      </c>
      <c r="J37" s="82" t="s">
        <v>132</v>
      </c>
      <c r="K37" s="82"/>
      <c r="L37" s="82" t="s">
        <v>164</v>
      </c>
      <c r="M37" s="82" t="s">
        <v>135</v>
      </c>
      <c r="N37" s="80"/>
      <c r="O37" s="81" t="s">
        <v>144</v>
      </c>
      <c r="P37" s="80" t="s">
        <v>141</v>
      </c>
      <c r="Q37" s="80"/>
      <c r="R37" s="80"/>
    </row>
    <row r="38" spans="1:18" ht="21.75" customHeight="1">
      <c r="A38" s="7" t="s">
        <v>48</v>
      </c>
      <c r="B38" s="13" t="s">
        <v>210</v>
      </c>
      <c r="C38" s="98" t="s">
        <v>100</v>
      </c>
      <c r="D38" s="13" t="s">
        <v>209</v>
      </c>
      <c r="E38" s="13" t="s">
        <v>208</v>
      </c>
      <c r="F38" s="92">
        <v>1790000</v>
      </c>
      <c r="G38" s="80" t="s">
        <v>207</v>
      </c>
      <c r="H38" s="83">
        <v>0.7</v>
      </c>
      <c r="I38" s="82">
        <v>3</v>
      </c>
      <c r="J38" s="82" t="s">
        <v>132</v>
      </c>
      <c r="K38" s="82" t="s">
        <v>132</v>
      </c>
      <c r="L38" s="82" t="s">
        <v>148</v>
      </c>
      <c r="M38" s="82" t="s">
        <v>135</v>
      </c>
      <c r="N38" s="80" t="s">
        <v>138</v>
      </c>
      <c r="O38" s="81" t="s">
        <v>144</v>
      </c>
      <c r="P38" s="80" t="s">
        <v>133</v>
      </c>
      <c r="Q38" s="80"/>
      <c r="R38" s="80"/>
    </row>
    <row r="39" spans="1:18" ht="21.75" customHeight="1">
      <c r="A39" s="11" t="s">
        <v>16</v>
      </c>
      <c r="B39" s="13" t="s">
        <v>206</v>
      </c>
      <c r="C39" s="98" t="s">
        <v>12</v>
      </c>
      <c r="D39" s="13" t="s">
        <v>205</v>
      </c>
      <c r="E39" s="13" t="s">
        <v>204</v>
      </c>
      <c r="F39" s="92">
        <v>675000</v>
      </c>
      <c r="G39" s="80" t="s">
        <v>194</v>
      </c>
      <c r="H39" s="83">
        <v>0.3</v>
      </c>
      <c r="I39" s="82">
        <v>3</v>
      </c>
      <c r="J39" s="82" t="s">
        <v>132</v>
      </c>
      <c r="K39" s="82" t="s">
        <v>132</v>
      </c>
      <c r="L39" s="82" t="s">
        <v>145</v>
      </c>
      <c r="M39" s="82" t="s">
        <v>135</v>
      </c>
      <c r="N39" s="80" t="s">
        <v>139</v>
      </c>
      <c r="O39" s="81" t="s">
        <v>144</v>
      </c>
      <c r="P39" s="80" t="s">
        <v>133</v>
      </c>
      <c r="Q39" s="80"/>
      <c r="R39" s="80"/>
    </row>
    <row r="40" spans="1:18" ht="21.75" customHeight="1">
      <c r="A40" s="11" t="s">
        <v>16</v>
      </c>
      <c r="B40" s="13" t="s">
        <v>203</v>
      </c>
      <c r="C40" s="98" t="s">
        <v>11</v>
      </c>
      <c r="D40" s="13" t="s">
        <v>202</v>
      </c>
      <c r="E40" s="13" t="s">
        <v>201</v>
      </c>
      <c r="F40" s="92">
        <v>557000</v>
      </c>
      <c r="G40" s="80" t="s">
        <v>194</v>
      </c>
      <c r="H40" s="83">
        <v>0.1</v>
      </c>
      <c r="I40" s="82">
        <v>3</v>
      </c>
      <c r="J40" s="82" t="s">
        <v>132</v>
      </c>
      <c r="K40" s="82" t="s">
        <v>132</v>
      </c>
      <c r="L40" s="82" t="s">
        <v>145</v>
      </c>
      <c r="M40" s="82" t="s">
        <v>136</v>
      </c>
      <c r="N40" s="80" t="s">
        <v>139</v>
      </c>
      <c r="O40" s="81" t="s">
        <v>144</v>
      </c>
      <c r="P40" s="80" t="s">
        <v>133</v>
      </c>
      <c r="Q40" s="80"/>
      <c r="R40" s="80"/>
    </row>
    <row r="41" spans="1:18" ht="21.75" customHeight="1">
      <c r="A41" s="11" t="s">
        <v>19</v>
      </c>
      <c r="B41" s="13" t="s">
        <v>200</v>
      </c>
      <c r="C41" s="98" t="s">
        <v>74</v>
      </c>
      <c r="D41" s="13" t="s">
        <v>199</v>
      </c>
      <c r="E41" s="13" t="s">
        <v>198</v>
      </c>
      <c r="F41" s="92">
        <v>219000</v>
      </c>
      <c r="G41" s="80" t="s">
        <v>183</v>
      </c>
      <c r="H41" s="83">
        <v>0.5</v>
      </c>
      <c r="I41" s="82">
        <v>3</v>
      </c>
      <c r="J41" s="82" t="s">
        <v>132</v>
      </c>
      <c r="K41" s="82"/>
      <c r="L41" s="82" t="s">
        <v>148</v>
      </c>
      <c r="M41" s="82" t="s">
        <v>131</v>
      </c>
      <c r="N41" s="80" t="s">
        <v>134</v>
      </c>
      <c r="O41" s="81" t="s">
        <v>144</v>
      </c>
      <c r="P41" s="80" t="s">
        <v>133</v>
      </c>
      <c r="Q41" s="80"/>
      <c r="R41" s="80"/>
    </row>
    <row r="42" spans="1:18" ht="21.75" customHeight="1">
      <c r="A42" s="11" t="s">
        <v>16</v>
      </c>
      <c r="B42" s="13" t="s">
        <v>197</v>
      </c>
      <c r="C42" s="98" t="s">
        <v>7</v>
      </c>
      <c r="D42" s="13" t="s">
        <v>196</v>
      </c>
      <c r="E42" s="13" t="s">
        <v>195</v>
      </c>
      <c r="F42" s="92">
        <v>497000</v>
      </c>
      <c r="G42" s="80" t="s">
        <v>194</v>
      </c>
      <c r="H42" s="83">
        <v>0.3</v>
      </c>
      <c r="I42" s="82">
        <v>3</v>
      </c>
      <c r="J42" s="82" t="s">
        <v>132</v>
      </c>
      <c r="K42" s="82" t="s">
        <v>132</v>
      </c>
      <c r="L42" s="82" t="s">
        <v>148</v>
      </c>
      <c r="M42" s="82" t="s">
        <v>135</v>
      </c>
      <c r="N42" s="80"/>
      <c r="O42" s="81" t="s">
        <v>144</v>
      </c>
      <c r="P42" s="80" t="s">
        <v>141</v>
      </c>
      <c r="Q42" s="80"/>
      <c r="R42" s="80"/>
    </row>
    <row r="43" spans="1:18" ht="21.75" customHeight="1">
      <c r="A43" s="11" t="s">
        <v>16</v>
      </c>
      <c r="B43" s="13" t="s">
        <v>193</v>
      </c>
      <c r="C43" s="98" t="s">
        <v>12</v>
      </c>
      <c r="D43" s="13" t="s">
        <v>192</v>
      </c>
      <c r="E43" s="13" t="s">
        <v>191</v>
      </c>
      <c r="F43" s="92">
        <v>68700</v>
      </c>
      <c r="G43" s="80" t="s">
        <v>190</v>
      </c>
      <c r="H43" s="83">
        <v>0.9</v>
      </c>
      <c r="I43" s="82">
        <v>3</v>
      </c>
      <c r="J43" s="82" t="s">
        <v>132</v>
      </c>
      <c r="K43" s="82" t="s">
        <v>189</v>
      </c>
      <c r="L43" s="82" t="s">
        <v>188</v>
      </c>
      <c r="M43" s="82" t="s">
        <v>137</v>
      </c>
      <c r="N43" s="80" t="s">
        <v>138</v>
      </c>
      <c r="O43" s="81" t="s">
        <v>144</v>
      </c>
      <c r="P43" s="80" t="s">
        <v>133</v>
      </c>
      <c r="Q43" s="80"/>
      <c r="R43" s="80"/>
    </row>
    <row r="44" spans="1:18" ht="21.75" customHeight="1">
      <c r="A44" s="11" t="s">
        <v>19</v>
      </c>
      <c r="B44" s="13" t="s">
        <v>187</v>
      </c>
      <c r="C44" s="98" t="s">
        <v>186</v>
      </c>
      <c r="D44" s="13" t="s">
        <v>185</v>
      </c>
      <c r="E44" s="13" t="s">
        <v>184</v>
      </c>
      <c r="F44" s="92">
        <v>387800</v>
      </c>
      <c r="G44" s="80" t="s">
        <v>183</v>
      </c>
      <c r="H44" s="83">
        <v>0.1</v>
      </c>
      <c r="I44" s="82">
        <v>3</v>
      </c>
      <c r="J44" s="82" t="s">
        <v>132</v>
      </c>
      <c r="K44" s="82"/>
      <c r="L44" s="82" t="s">
        <v>164</v>
      </c>
      <c r="M44" s="82" t="s">
        <v>131</v>
      </c>
      <c r="N44" s="80"/>
      <c r="O44" s="81" t="s">
        <v>144</v>
      </c>
      <c r="P44" s="80" t="s">
        <v>118</v>
      </c>
      <c r="Q44" s="80"/>
      <c r="R44" s="80"/>
    </row>
    <row r="45" spans="1:18" ht="21.75" customHeight="1">
      <c r="A45" s="7" t="s">
        <v>48</v>
      </c>
      <c r="B45" s="13" t="s">
        <v>182</v>
      </c>
      <c r="C45" s="98" t="s">
        <v>100</v>
      </c>
      <c r="D45" s="13" t="s">
        <v>181</v>
      </c>
      <c r="E45" s="13" t="s">
        <v>180</v>
      </c>
      <c r="F45" s="92">
        <v>2180000</v>
      </c>
      <c r="G45" s="80" t="s">
        <v>179</v>
      </c>
      <c r="H45" s="83">
        <v>0.9</v>
      </c>
      <c r="I45" s="82">
        <v>3</v>
      </c>
      <c r="J45" s="82" t="s">
        <v>132</v>
      </c>
      <c r="K45" s="82"/>
      <c r="L45" s="82" t="s">
        <v>178</v>
      </c>
      <c r="M45" s="82" t="s">
        <v>137</v>
      </c>
      <c r="N45" s="80" t="s">
        <v>140</v>
      </c>
      <c r="O45" s="81" t="s">
        <v>144</v>
      </c>
      <c r="P45" s="80" t="s">
        <v>133</v>
      </c>
      <c r="Q45" s="80"/>
      <c r="R45" s="80"/>
    </row>
    <row r="46" spans="1:18" ht="21.75" customHeight="1">
      <c r="A46" s="11" t="s">
        <v>19</v>
      </c>
      <c r="B46" s="13" t="s">
        <v>177</v>
      </c>
      <c r="C46" s="98" t="s">
        <v>74</v>
      </c>
      <c r="D46" s="13" t="s">
        <v>176</v>
      </c>
      <c r="E46" s="13" t="s">
        <v>175</v>
      </c>
      <c r="F46" s="92">
        <v>1380000</v>
      </c>
      <c r="G46" s="12" t="s">
        <v>174</v>
      </c>
      <c r="H46" s="83">
        <v>0.1</v>
      </c>
      <c r="I46" s="82">
        <v>3</v>
      </c>
      <c r="J46" s="82" t="s">
        <v>132</v>
      </c>
      <c r="K46" s="82"/>
      <c r="L46" s="82" t="s">
        <v>164</v>
      </c>
      <c r="M46" s="82" t="s">
        <v>131</v>
      </c>
      <c r="N46" s="80"/>
      <c r="O46" s="81" t="s">
        <v>144</v>
      </c>
      <c r="P46" s="80" t="s">
        <v>133</v>
      </c>
      <c r="Q46" s="80"/>
      <c r="R46" s="80"/>
    </row>
    <row r="47" spans="1:18" ht="21.75" customHeight="1">
      <c r="A47" s="11" t="s">
        <v>18</v>
      </c>
      <c r="B47" s="13" t="s">
        <v>173</v>
      </c>
      <c r="C47" s="98" t="s">
        <v>7</v>
      </c>
      <c r="D47" s="13" t="s">
        <v>153</v>
      </c>
      <c r="E47" s="13" t="s">
        <v>172</v>
      </c>
      <c r="F47" s="92">
        <v>5021195.4000000004</v>
      </c>
      <c r="G47" s="80" t="s">
        <v>171</v>
      </c>
      <c r="H47" s="83">
        <v>0.1</v>
      </c>
      <c r="I47" s="82">
        <v>3</v>
      </c>
      <c r="J47" s="82" t="s">
        <v>132</v>
      </c>
      <c r="K47" s="82" t="s">
        <v>132</v>
      </c>
      <c r="L47" s="82" t="s">
        <v>170</v>
      </c>
      <c r="M47" s="82" t="s">
        <v>135</v>
      </c>
      <c r="N47" s="80" t="s">
        <v>139</v>
      </c>
      <c r="O47" s="81" t="s">
        <v>144</v>
      </c>
      <c r="P47" s="80" t="s">
        <v>141</v>
      </c>
      <c r="Q47" s="80"/>
      <c r="R47" s="80" t="s">
        <v>169</v>
      </c>
    </row>
    <row r="48" spans="1:18" ht="21.75" customHeight="1">
      <c r="A48" s="11" t="s">
        <v>15</v>
      </c>
      <c r="B48" s="13" t="s">
        <v>168</v>
      </c>
      <c r="C48" s="98" t="s">
        <v>8</v>
      </c>
      <c r="D48" s="13" t="s">
        <v>167</v>
      </c>
      <c r="E48" s="13" t="s">
        <v>166</v>
      </c>
      <c r="F48" s="92">
        <v>1980000</v>
      </c>
      <c r="G48" s="80" t="s">
        <v>165</v>
      </c>
      <c r="H48" s="83">
        <v>0.1</v>
      </c>
      <c r="I48" s="82">
        <v>3</v>
      </c>
      <c r="J48" s="82" t="s">
        <v>132</v>
      </c>
      <c r="K48" s="82"/>
      <c r="L48" s="82" t="s">
        <v>164</v>
      </c>
      <c r="M48" s="82" t="s">
        <v>131</v>
      </c>
      <c r="N48" s="80" t="s">
        <v>138</v>
      </c>
      <c r="O48" s="81" t="s">
        <v>144</v>
      </c>
      <c r="P48" s="80" t="s">
        <v>133</v>
      </c>
      <c r="Q48" s="80"/>
      <c r="R48" s="80"/>
    </row>
    <row r="49" spans="1:18" ht="21.75" customHeight="1">
      <c r="A49" s="11" t="s">
        <v>19</v>
      </c>
      <c r="B49" s="13" t="s">
        <v>163</v>
      </c>
      <c r="C49" s="98" t="s">
        <v>74</v>
      </c>
      <c r="D49" s="13" t="s">
        <v>162</v>
      </c>
      <c r="E49" s="13" t="s">
        <v>161</v>
      </c>
      <c r="F49" s="92">
        <v>2000000</v>
      </c>
      <c r="G49" s="12" t="s">
        <v>160</v>
      </c>
      <c r="H49" s="83">
        <v>0.1</v>
      </c>
      <c r="I49" s="82">
        <v>3</v>
      </c>
      <c r="J49" s="82" t="s">
        <v>132</v>
      </c>
      <c r="K49" s="82"/>
      <c r="L49" s="82" t="s">
        <v>145</v>
      </c>
      <c r="M49" s="82" t="s">
        <v>131</v>
      </c>
      <c r="N49" s="80"/>
      <c r="O49" s="81" t="s">
        <v>144</v>
      </c>
      <c r="P49" s="80" t="s">
        <v>133</v>
      </c>
      <c r="Q49" s="80"/>
      <c r="R49" s="80"/>
    </row>
    <row r="50" spans="1:18" ht="21.75" customHeight="1">
      <c r="A50" s="11" t="s">
        <v>41</v>
      </c>
      <c r="B50" s="13" t="s">
        <v>159</v>
      </c>
      <c r="C50" s="98" t="s">
        <v>7</v>
      </c>
      <c r="D50" s="13" t="s">
        <v>158</v>
      </c>
      <c r="E50" s="13" t="s">
        <v>157</v>
      </c>
      <c r="F50" s="92">
        <v>100000</v>
      </c>
      <c r="G50" s="80" t="s">
        <v>156</v>
      </c>
      <c r="H50" s="83">
        <v>0.3</v>
      </c>
      <c r="I50" s="82">
        <v>3</v>
      </c>
      <c r="J50" s="82" t="s">
        <v>132</v>
      </c>
      <c r="K50" s="82" t="s">
        <v>132</v>
      </c>
      <c r="L50" s="82" t="s">
        <v>155</v>
      </c>
      <c r="M50" s="82" t="s">
        <v>137</v>
      </c>
      <c r="N50" s="80" t="s">
        <v>134</v>
      </c>
      <c r="O50" s="81" t="s">
        <v>144</v>
      </c>
      <c r="P50" s="80" t="s">
        <v>133</v>
      </c>
      <c r="Q50" s="80"/>
      <c r="R50" s="80"/>
    </row>
    <row r="51" spans="1:18" ht="21.75" customHeight="1">
      <c r="A51" s="11" t="s">
        <v>48</v>
      </c>
      <c r="B51" s="13" t="s">
        <v>154</v>
      </c>
      <c r="C51" s="98" t="s">
        <v>100</v>
      </c>
      <c r="D51" s="13" t="s">
        <v>153</v>
      </c>
      <c r="E51" s="13" t="s">
        <v>152</v>
      </c>
      <c r="F51" s="92">
        <v>1799501.5</v>
      </c>
      <c r="G51" s="80" t="s">
        <v>151</v>
      </c>
      <c r="H51" s="83">
        <v>0.1</v>
      </c>
      <c r="I51" s="82">
        <v>3</v>
      </c>
      <c r="J51" s="82" t="s">
        <v>132</v>
      </c>
      <c r="K51" s="82" t="s">
        <v>132</v>
      </c>
      <c r="L51" s="82" t="s">
        <v>145</v>
      </c>
      <c r="M51" s="82" t="s">
        <v>135</v>
      </c>
      <c r="N51" s="80" t="s">
        <v>139</v>
      </c>
      <c r="O51" s="81" t="s">
        <v>144</v>
      </c>
      <c r="P51" s="80" t="s">
        <v>133</v>
      </c>
      <c r="Q51" s="80"/>
      <c r="R51" s="80"/>
    </row>
    <row r="52" spans="1:18" ht="21.75" customHeight="1">
      <c r="A52" s="95" t="s">
        <v>48</v>
      </c>
      <c r="B52" s="13" t="s">
        <v>150</v>
      </c>
      <c r="C52" s="95" t="s">
        <v>130</v>
      </c>
      <c r="D52" s="95" t="s">
        <v>126</v>
      </c>
      <c r="E52" s="95" t="s">
        <v>127</v>
      </c>
      <c r="F52" s="92">
        <v>3032000</v>
      </c>
      <c r="G52" s="80" t="s">
        <v>149</v>
      </c>
      <c r="H52" s="83">
        <v>0.3</v>
      </c>
      <c r="I52" s="82">
        <v>3</v>
      </c>
      <c r="J52" s="82" t="s">
        <v>132</v>
      </c>
      <c r="K52" s="82" t="s">
        <v>132</v>
      </c>
      <c r="L52" s="82" t="s">
        <v>148</v>
      </c>
      <c r="M52" s="82" t="s">
        <v>135</v>
      </c>
      <c r="N52" s="80" t="s">
        <v>134</v>
      </c>
      <c r="O52" s="81" t="s">
        <v>144</v>
      </c>
      <c r="P52" s="80" t="s">
        <v>133</v>
      </c>
      <c r="Q52" s="80"/>
      <c r="R52" s="80"/>
    </row>
    <row r="53" spans="1:18" ht="21.75" customHeight="1">
      <c r="A53" s="95" t="s">
        <v>41</v>
      </c>
      <c r="B53" s="13" t="s">
        <v>147</v>
      </c>
      <c r="C53" s="95" t="s">
        <v>129</v>
      </c>
      <c r="D53" s="95" t="s">
        <v>125</v>
      </c>
      <c r="E53" s="95" t="s">
        <v>128</v>
      </c>
      <c r="F53" s="92">
        <v>380000</v>
      </c>
      <c r="G53" s="80" t="s">
        <v>146</v>
      </c>
      <c r="H53" s="83">
        <v>0.3</v>
      </c>
      <c r="I53" s="82">
        <v>3</v>
      </c>
      <c r="J53" s="82" t="s">
        <v>132</v>
      </c>
      <c r="K53" s="82"/>
      <c r="L53" s="82" t="s">
        <v>145</v>
      </c>
      <c r="M53" s="82" t="s">
        <v>131</v>
      </c>
      <c r="N53" s="80"/>
      <c r="O53" s="81" t="s">
        <v>144</v>
      </c>
      <c r="P53" s="80" t="s">
        <v>118</v>
      </c>
      <c r="Q53" s="80"/>
      <c r="R53" s="80"/>
    </row>
    <row r="87" spans="9:15" ht="21.75" customHeight="1">
      <c r="I87" s="76"/>
      <c r="J87" s="76"/>
      <c r="K87" s="76"/>
      <c r="L87" s="76"/>
      <c r="M87" s="76"/>
      <c r="O87" s="76"/>
    </row>
  </sheetData>
  <phoneticPr fontId="2" type="noConversion"/>
  <conditionalFormatting sqref="L1">
    <cfRule type="iconSet" priority="5">
      <iconSet iconSet="3Symbols">
        <cfvo type="percent" val="0"/>
        <cfvo type="num" val="2"/>
        <cfvo type="num" val="3"/>
      </iconSet>
    </cfRule>
  </conditionalFormatting>
  <conditionalFormatting sqref="P1:P1048576">
    <cfRule type="cellIs" dxfId="1" priority="3" operator="equal">
      <formula>"F.暂停施工"</formula>
    </cfRule>
    <cfRule type="cellIs" dxfId="0" priority="4" operator="equal">
      <formula>"E.严重滞后"</formula>
    </cfRule>
  </conditionalFormatting>
  <conditionalFormatting sqref="H1:H1048576">
    <cfRule type="dataBar" priority="2">
      <dataBar>
        <cfvo type="min" val="0"/>
        <cfvo type="max" val="0"/>
        <color rgb="FF00B0F0"/>
      </dataBar>
      <extLst xmlns:x14="http://schemas.microsoft.com/office/spreadsheetml/2009/9/main">
        <ext uri="{B025F937-C7B1-47D3-B67F-A62EFF666E3E}">
          <x14:id>{3DFEA62B-1DB3-48F2-89BF-9984BF6D575C}</x14:id>
        </ext>
      </extLst>
    </cfRule>
  </conditionalFormatting>
  <conditionalFormatting sqref="L2:M1048576 I1:J1048576">
    <cfRule type="iconSet" priority="6">
      <iconSet iconSet="3Symbols">
        <cfvo type="percent" val="0"/>
        <cfvo type="num" val="2"/>
        <cfvo type="num" val="3"/>
      </iconSet>
    </cfRule>
  </conditionalFormatting>
  <conditionalFormatting sqref="K1:K1048576">
    <cfRule type="iconSet" priority="1">
      <iconSet iconSet="3Symbols">
        <cfvo type="percent" val="0"/>
        <cfvo type="num" val="2"/>
        <cfvo type="num" val="3"/>
      </iconSet>
    </cfRule>
  </conditionalFormatting>
  <dataValidations count="8">
    <dataValidation type="list" allowBlank="1" showInputMessage="1" showErrorMessage="1" sqref="C51:C53 C2:C49">
      <formula1>"IES-600,IES-600P,IES-700,EMS-EXT,DMS1000E,DMS-EXT,IES-NE,AVC,PAS,DTS,DOTS,IDP600,QT-A,QT-B"</formula1>
    </dataValidation>
    <dataValidation type="list" allowBlank="1" showInputMessage="1" showErrorMessage="1" sqref="K2:K1048576 J1:J1048576">
      <formula1>"√"</formula1>
    </dataValidation>
    <dataValidation type="list" allowBlank="1" showInputMessage="1" showErrorMessage="1" sqref="I1:I1048576">
      <formula1>"1,2,3"</formula1>
    </dataValidation>
    <dataValidation type="list" allowBlank="1" showInputMessage="1" showErrorMessage="1" sqref="P1:P1048576">
      <formula1>"A.未开工,B.正常进行,C.提前,D.轻微滞后,E.严重滞后,F.暂停施工"</formula1>
    </dataValidation>
    <dataValidation type="list" allowBlank="1" showInputMessage="1" showErrorMessage="1" sqref="H1:H1048576">
      <formula1>"10%,30%,50%,70%,90%,100%"</formula1>
    </dataValidation>
    <dataValidation type="list" allowBlank="1" showInputMessage="1" showErrorMessage="1" sqref="M1:M1048576">
      <formula1>"A.无需研发,B.正在设计,C.正在研发,D.研发完成"</formula1>
    </dataValidation>
    <dataValidation type="list" allowBlank="1" showInputMessage="1" showErrorMessage="1" sqref="N1:N1048576">
      <formula1>"A.设备发货,B.硬件施工,C.系统调试,D.应用调试,E.试运行,F.现场验收,G.项目收尾,H.项目结项"</formula1>
    </dataValidation>
    <dataValidation type="list" allowBlank="1" showInputMessage="1" showErrorMessage="1" sqref="A2:A53">
      <formula1>"北方,西北,华中华东,东南,西南,南方,新能源,数据平台"</formula1>
    </dataValidation>
  </dataValidations>
  <pageMargins left="0.7" right="0.7" top="0.75" bottom="0.75" header="0.3" footer="0.3"/>
  <pageSetup paperSize="9" orientation="portrait" r:id="rId1"/>
  <legacyDrawing r:id="rId2"/>
  <extLst xmlns:x14="http://schemas.microsoft.com/office/spreadsheetml/2009/9/main">
    <ext uri="{78C0D931-6437-407d-A8EE-F0AAD7539E65}">
      <x14:conditionalFormattings>
        <x14:conditionalFormatting xmlns:xm="http://schemas.microsoft.com/office/excel/2006/main">
          <x14:cfRule type="dataBar" id="{3DFEA62B-1DB3-48F2-89BF-9984BF6D575C}">
            <x14:dataBar gradient="0" negativeBarColorSameAsPositive="1" axisPosition="none">
              <x14:cfvo type="min"/>
              <x14:cfvo type="max"/>
            </x14:dataBar>
          </x14:cfRule>
          <xm:sqref>H1:H1048576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总汇</vt:lpstr>
      <vt:lpstr>合同明细</vt:lpstr>
      <vt:lpstr>片区情况</vt:lpstr>
      <vt:lpstr>监控项目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2015-10-11T11:27:09Z</dcterms:modified>
</cp:coreProperties>
</file>