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liuyuhang/Desktop/"/>
    </mc:Choice>
  </mc:AlternateContent>
  <xr:revisionPtr revIDLastSave="0" documentId="13_ncr:1_{E9352353-27E5-EE47-A5B6-6C47540A9EBD}" xr6:coauthVersionLast="47" xr6:coauthVersionMax="47" xr10:uidLastSave="{00000000-0000-0000-0000-000000000000}"/>
  <bookViews>
    <workbookView xWindow="5840" yWindow="22100" windowWidth="27460" windowHeight="17500" xr2:uid="{00000000-000D-0000-FFFF-FFFF00000000}"/>
  </bookViews>
  <sheets>
    <sheet name="周中腾挪--复杂版 (2)" sheetId="7" r:id="rId1"/>
    <sheet name="分框腾挪" sheetId="6" r:id="rId2"/>
    <sheet name="周中腾挪--复杂版" sheetId="4" r:id="rId3"/>
    <sheet name="Sheet3" sheetId="5" r:id="rId4"/>
    <sheet name="Sheet1 (2)" sheetId="2" r:id="rId5"/>
    <sheet name="画图用的" sheetId="3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7" l="1"/>
  <c r="J4" i="7"/>
  <c r="I2" i="7"/>
  <c r="I26" i="7"/>
  <c r="C26" i="7"/>
  <c r="D26" i="7"/>
  <c r="E26" i="7"/>
  <c r="F26" i="7"/>
  <c r="G26" i="7"/>
  <c r="H26" i="7"/>
  <c r="B26" i="7"/>
  <c r="C24" i="7"/>
  <c r="D24" i="7"/>
  <c r="E24" i="7"/>
  <c r="E27" i="7" s="1"/>
  <c r="F24" i="7"/>
  <c r="G24" i="7"/>
  <c r="H24" i="7"/>
  <c r="B24" i="7"/>
  <c r="I23" i="7"/>
  <c r="C23" i="7"/>
  <c r="D23" i="7"/>
  <c r="E23" i="7"/>
  <c r="F23" i="7"/>
  <c r="G23" i="7"/>
  <c r="H23" i="7"/>
  <c r="B23" i="7"/>
  <c r="I21" i="7"/>
  <c r="C21" i="7"/>
  <c r="D21" i="7"/>
  <c r="E21" i="7"/>
  <c r="F21" i="7"/>
  <c r="G21" i="7"/>
  <c r="H21" i="7"/>
  <c r="B21" i="7"/>
  <c r="I18" i="7"/>
  <c r="I19" i="7"/>
  <c r="C19" i="7"/>
  <c r="D19" i="7"/>
  <c r="E19" i="7"/>
  <c r="F19" i="7"/>
  <c r="G19" i="7"/>
  <c r="H19" i="7"/>
  <c r="B19" i="7"/>
  <c r="B4" i="7"/>
  <c r="L8" i="7"/>
  <c r="H8" i="7"/>
  <c r="G8" i="7"/>
  <c r="F8" i="7"/>
  <c r="E8" i="7"/>
  <c r="D8" i="7"/>
  <c r="C8" i="7"/>
  <c r="B8" i="7"/>
  <c r="H5" i="7"/>
  <c r="H27" i="7" s="1"/>
  <c r="G5" i="7"/>
  <c r="G27" i="7" s="1"/>
  <c r="F5" i="7"/>
  <c r="F27" i="7" s="1"/>
  <c r="E5" i="7"/>
  <c r="D5" i="7"/>
  <c r="C5" i="7"/>
  <c r="C27" i="7" s="1"/>
  <c r="B5" i="7"/>
  <c r="H4" i="7"/>
  <c r="G4" i="7"/>
  <c r="F4" i="7"/>
  <c r="E4" i="7"/>
  <c r="D4" i="7"/>
  <c r="C4" i="7"/>
  <c r="L8" i="4"/>
  <c r="D27" i="7" l="1"/>
  <c r="B27" i="7"/>
  <c r="I24" i="7"/>
  <c r="I3" i="7" s="1"/>
  <c r="I27" i="7"/>
  <c r="J19" i="4"/>
  <c r="J18" i="4" s="1"/>
  <c r="G22" i="6"/>
  <c r="G23" i="6" s="1"/>
  <c r="F22" i="6"/>
  <c r="F23" i="6" s="1"/>
  <c r="E22" i="6"/>
  <c r="E23" i="6" s="1"/>
  <c r="D22" i="6"/>
  <c r="D23" i="6" s="1"/>
  <c r="C22" i="6"/>
  <c r="C23" i="6" s="1"/>
  <c r="B22" i="6"/>
  <c r="B23" i="6" s="1"/>
  <c r="I21" i="6"/>
  <c r="H21" i="6"/>
  <c r="G21" i="6"/>
  <c r="F21" i="6"/>
  <c r="E21" i="6"/>
  <c r="D21" i="6"/>
  <c r="C21" i="6"/>
  <c r="I2" i="6" s="1"/>
  <c r="I3" i="6" s="1"/>
  <c r="B21" i="6"/>
  <c r="I20" i="6"/>
  <c r="G8" i="6"/>
  <c r="F8" i="6"/>
  <c r="E8" i="6"/>
  <c r="D8" i="6"/>
  <c r="C8" i="6"/>
  <c r="B8" i="6"/>
  <c r="G6" i="6"/>
  <c r="G5" i="6"/>
  <c r="F5" i="6"/>
  <c r="F6" i="6" s="1"/>
  <c r="E5" i="6"/>
  <c r="E6" i="6" s="1"/>
  <c r="D5" i="6"/>
  <c r="C5" i="6"/>
  <c r="B5" i="6"/>
  <c r="H4" i="6"/>
  <c r="H18" i="6" s="1"/>
  <c r="G4" i="6"/>
  <c r="F4" i="6"/>
  <c r="E4" i="6"/>
  <c r="D4" i="6"/>
  <c r="C4" i="6"/>
  <c r="B4" i="6"/>
  <c r="I4" i="6" s="1"/>
  <c r="I18" i="6" s="1"/>
  <c r="I5" i="7" l="1"/>
  <c r="J30" i="7"/>
  <c r="K26" i="7"/>
  <c r="D7" i="6"/>
  <c r="E7" i="6"/>
  <c r="F7" i="6"/>
  <c r="G7" i="6"/>
  <c r="B18" i="6"/>
  <c r="D6" i="6"/>
  <c r="B15" i="6"/>
  <c r="C7" i="6"/>
  <c r="D18" i="6"/>
  <c r="H3" i="6"/>
  <c r="H8" i="6" s="1"/>
  <c r="B6" i="6"/>
  <c r="C18" i="6"/>
  <c r="B7" i="6"/>
  <c r="C6" i="6"/>
  <c r="E18" i="6"/>
  <c r="F18" i="6"/>
  <c r="H7" i="6"/>
  <c r="G18" i="6"/>
  <c r="B8" i="4"/>
  <c r="C8" i="4"/>
  <c r="D8" i="4"/>
  <c r="E8" i="4"/>
  <c r="F8" i="4"/>
  <c r="G8" i="4"/>
  <c r="I20" i="4"/>
  <c r="J3" i="7" l="1"/>
  <c r="K11" i="7"/>
  <c r="K6" i="7"/>
  <c r="M6" i="7" s="1"/>
  <c r="O6" i="7" s="1"/>
  <c r="H22" i="6"/>
  <c r="H23" i="6" s="1"/>
  <c r="H5" i="6"/>
  <c r="H6" i="6" s="1"/>
  <c r="G5" i="4"/>
  <c r="G17" i="4" s="1"/>
  <c r="G25" i="4" s="1"/>
  <c r="C5" i="4"/>
  <c r="C17" i="4" s="1"/>
  <c r="C25" i="4" s="1"/>
  <c r="D5" i="4"/>
  <c r="D17" i="4" s="1"/>
  <c r="D25" i="4" s="1"/>
  <c r="E5" i="4"/>
  <c r="E17" i="4" s="1"/>
  <c r="E25" i="4" s="1"/>
  <c r="F5" i="4"/>
  <c r="F17" i="4" s="1"/>
  <c r="F25" i="4" s="1"/>
  <c r="C4" i="4"/>
  <c r="C16" i="4" s="1"/>
  <c r="D4" i="4"/>
  <c r="D16" i="4" s="1"/>
  <c r="E4" i="4"/>
  <c r="E16" i="4" s="1"/>
  <c r="F4" i="4"/>
  <c r="F16" i="4" s="1"/>
  <c r="G4" i="4"/>
  <c r="G16" i="4" s="1"/>
  <c r="H4" i="4"/>
  <c r="H16" i="4" s="1"/>
  <c r="B5" i="4"/>
  <c r="B17" i="4" s="1"/>
  <c r="B25" i="4" s="1"/>
  <c r="B4" i="4"/>
  <c r="H21" i="4"/>
  <c r="G21" i="4"/>
  <c r="F21" i="4"/>
  <c r="E21" i="4"/>
  <c r="D21" i="4"/>
  <c r="C21" i="4"/>
  <c r="B21" i="4"/>
  <c r="B16" i="4" l="1"/>
  <c r="B23" i="4"/>
  <c r="J4" i="4"/>
  <c r="F27" i="4"/>
  <c r="H23" i="4"/>
  <c r="H24" i="4" s="1"/>
  <c r="G23" i="4"/>
  <c r="G24" i="4" s="1"/>
  <c r="G26" i="4" s="1"/>
  <c r="G27" i="4" s="1"/>
  <c r="C23" i="4"/>
  <c r="C24" i="4" s="1"/>
  <c r="C26" i="4" s="1"/>
  <c r="C27" i="4" s="1"/>
  <c r="F23" i="4"/>
  <c r="F24" i="4" s="1"/>
  <c r="F26" i="4" s="1"/>
  <c r="E23" i="4"/>
  <c r="E24" i="4" s="1"/>
  <c r="E26" i="4" s="1"/>
  <c r="E27" i="4" s="1"/>
  <c r="I21" i="4"/>
  <c r="D23" i="4"/>
  <c r="D24" i="4" s="1"/>
  <c r="D26" i="4" s="1"/>
  <c r="D27" i="4" s="1"/>
  <c r="I22" i="6"/>
  <c r="H26" i="6" s="1"/>
  <c r="I5" i="6"/>
  <c r="I6" i="6" s="1"/>
  <c r="F6" i="4"/>
  <c r="E6" i="4"/>
  <c r="D6" i="4"/>
  <c r="C6" i="4"/>
  <c r="B6" i="4"/>
  <c r="G6" i="4"/>
  <c r="I2" i="4"/>
  <c r="I3" i="4" s="1"/>
  <c r="H32" i="3"/>
  <c r="G32" i="3"/>
  <c r="F32" i="3"/>
  <c r="E32" i="3"/>
  <c r="D32" i="3"/>
  <c r="C32" i="3"/>
  <c r="B32" i="3"/>
  <c r="H8" i="3"/>
  <c r="G9" i="3"/>
  <c r="G8" i="3"/>
  <c r="F9" i="3"/>
  <c r="F8" i="3"/>
  <c r="E9" i="3"/>
  <c r="E8" i="3"/>
  <c r="D9" i="3"/>
  <c r="D8" i="3"/>
  <c r="C9" i="3"/>
  <c r="C8" i="3"/>
  <c r="B9" i="3"/>
  <c r="B8" i="3"/>
  <c r="B24" i="4" l="1"/>
  <c r="B26" i="4" s="1"/>
  <c r="B27" i="4" s="1"/>
  <c r="I23" i="4"/>
  <c r="C26" i="6"/>
  <c r="F26" i="6"/>
  <c r="G26" i="6"/>
  <c r="D26" i="6"/>
  <c r="B26" i="6"/>
  <c r="E26" i="6"/>
  <c r="C6" i="3"/>
  <c r="D6" i="3"/>
  <c r="E6" i="3"/>
  <c r="F6" i="3"/>
  <c r="G6" i="3"/>
  <c r="O3" i="3"/>
  <c r="R3" i="3"/>
  <c r="P4" i="3"/>
  <c r="L2" i="3"/>
  <c r="N5" i="3" s="1"/>
  <c r="N10" i="3"/>
  <c r="B6" i="3"/>
  <c r="H5" i="3"/>
  <c r="G5" i="3"/>
  <c r="F5" i="3"/>
  <c r="E5" i="3"/>
  <c r="D5" i="3"/>
  <c r="C5" i="3"/>
  <c r="B5" i="3"/>
  <c r="I4" i="4" l="1"/>
  <c r="J23" i="4"/>
  <c r="I24" i="4"/>
  <c r="I27" i="6"/>
  <c r="I4" i="3"/>
  <c r="L3" i="3"/>
  <c r="R2" i="2"/>
  <c r="S11" i="2"/>
  <c r="P3" i="2"/>
  <c r="H10" i="2"/>
  <c r="G10" i="2"/>
  <c r="G8" i="2"/>
  <c r="F10" i="2"/>
  <c r="E10" i="2"/>
  <c r="D10" i="2"/>
  <c r="C10" i="2"/>
  <c r="B10" i="2"/>
  <c r="N9" i="2"/>
  <c r="F8" i="2"/>
  <c r="E8" i="2"/>
  <c r="D8" i="2"/>
  <c r="C8" i="2"/>
  <c r="B8" i="2"/>
  <c r="G6" i="2"/>
  <c r="F6" i="2"/>
  <c r="E6" i="2"/>
  <c r="D6" i="2"/>
  <c r="C6" i="2"/>
  <c r="B6" i="2"/>
  <c r="H5" i="2"/>
  <c r="G5" i="2"/>
  <c r="F5" i="2"/>
  <c r="E5" i="2"/>
  <c r="D5" i="2"/>
  <c r="C5" i="2"/>
  <c r="B5" i="2"/>
  <c r="L4" i="2"/>
  <c r="N5" i="2" s="1"/>
  <c r="O2" i="2"/>
  <c r="N9" i="1"/>
  <c r="O2" i="1"/>
  <c r="H7" i="2" l="1"/>
  <c r="H8" i="2" s="1"/>
  <c r="J10" i="2"/>
  <c r="J14" i="2" s="1"/>
  <c r="L2" i="2"/>
  <c r="K11" i="4"/>
  <c r="J3" i="4"/>
  <c r="F7" i="4"/>
  <c r="H7" i="4"/>
  <c r="D7" i="4"/>
  <c r="C7" i="4"/>
  <c r="G7" i="4"/>
  <c r="B7" i="4"/>
  <c r="E7" i="4"/>
  <c r="C15" i="3"/>
  <c r="I7" i="3"/>
  <c r="E15" i="3"/>
  <c r="F15" i="3"/>
  <c r="D15" i="3"/>
  <c r="G15" i="3"/>
  <c r="H15" i="3"/>
  <c r="B15" i="3"/>
  <c r="E12" i="2"/>
  <c r="F12" i="2"/>
  <c r="G12" i="2"/>
  <c r="H6" i="2"/>
  <c r="J8" i="2" s="1"/>
  <c r="L5" i="2"/>
  <c r="D12" i="2"/>
  <c r="H12" i="2"/>
  <c r="D6" i="1"/>
  <c r="E6" i="1"/>
  <c r="B6" i="1"/>
  <c r="C5" i="1"/>
  <c r="D5" i="1"/>
  <c r="E5" i="1"/>
  <c r="F5" i="1"/>
  <c r="G5" i="1"/>
  <c r="H5" i="1"/>
  <c r="B5" i="1"/>
  <c r="C6" i="1"/>
  <c r="F6" i="1"/>
  <c r="G6" i="1"/>
  <c r="C12" i="2" l="1"/>
  <c r="B12" i="2"/>
  <c r="J13" i="2"/>
  <c r="L13" i="2" s="1"/>
  <c r="K10" i="2"/>
  <c r="N2" i="2" s="1"/>
  <c r="B10" i="1"/>
  <c r="B8" i="1"/>
  <c r="C10" i="1" l="1"/>
  <c r="D10" i="1"/>
  <c r="E10" i="1"/>
  <c r="J10" i="1" s="1"/>
  <c r="F10" i="1"/>
  <c r="G10" i="1"/>
  <c r="H10" i="1"/>
  <c r="L2" i="1"/>
  <c r="C8" i="1"/>
  <c r="D8" i="1"/>
  <c r="E8" i="1"/>
  <c r="F8" i="1"/>
  <c r="G8" i="1"/>
  <c r="D12" i="1" l="1"/>
  <c r="E12" i="1"/>
  <c r="J14" i="1"/>
  <c r="F12" i="1"/>
  <c r="B12" i="1"/>
  <c r="G12" i="1"/>
  <c r="H12" i="1"/>
  <c r="C12" i="1"/>
  <c r="L4" i="1"/>
  <c r="N5" i="1" s="1"/>
  <c r="H7" i="1" s="1"/>
  <c r="H6" i="1" l="1"/>
  <c r="L5" i="1"/>
  <c r="H8" i="1"/>
  <c r="J8" i="1" s="1"/>
  <c r="J13" i="1" s="1"/>
  <c r="L13" i="1" s="1"/>
  <c r="H7" i="3"/>
  <c r="K10" i="1" l="1"/>
  <c r="N2" i="1" s="1"/>
  <c r="H9" i="3"/>
  <c r="H6" i="3"/>
  <c r="L5" i="3"/>
  <c r="K11" i="3" l="1"/>
  <c r="N3" i="3" s="1"/>
  <c r="K9" i="3"/>
  <c r="H8" i="4"/>
  <c r="H5" i="4"/>
  <c r="H17" i="4" s="1"/>
  <c r="H25" i="4" s="1"/>
  <c r="H26" i="4" s="1"/>
  <c r="I25" i="4" l="1"/>
  <c r="I26" i="4" s="1"/>
  <c r="H6" i="4"/>
  <c r="H27" i="4" l="1"/>
  <c r="I28" i="4" s="1"/>
  <c r="J30" i="4" l="1"/>
  <c r="J27" i="4"/>
  <c r="J26" i="4"/>
  <c r="I27" i="4"/>
  <c r="I5" i="4" l="1"/>
  <c r="I6" i="4" s="1"/>
  <c r="K6" i="4" s="1"/>
  <c r="M6" i="4" s="1"/>
  <c r="O6" i="4" s="1"/>
  <c r="I29" i="4"/>
  <c r="K26" i="4"/>
</calcChain>
</file>

<file path=xl/sharedStrings.xml><?xml version="1.0" encoding="utf-8"?>
<sst xmlns="http://schemas.openxmlformats.org/spreadsheetml/2006/main" count="128" uniqueCount="59">
  <si>
    <t>呼返补贴率</t>
  </si>
  <si>
    <t>平均C补率</t>
    <phoneticPr fontId="3" type="noConversion"/>
  </si>
  <si>
    <t>腾挪后</t>
    <phoneticPr fontId="3" type="noConversion"/>
  </si>
  <si>
    <t>实际ROI</t>
    <phoneticPr fontId="3" type="noConversion"/>
  </si>
  <si>
    <t>腾挪后ROI</t>
    <phoneticPr fontId="3" type="noConversion"/>
  </si>
  <si>
    <t>原来的拟合ROI</t>
    <phoneticPr fontId="3" type="noConversion"/>
  </si>
  <si>
    <t>GMV</t>
    <phoneticPr fontId="3" type="noConversion"/>
  </si>
  <si>
    <t>原呼返C补</t>
    <phoneticPr fontId="3" type="noConversion"/>
  </si>
  <si>
    <t>新呼返C补</t>
    <phoneticPr fontId="3" type="noConversion"/>
  </si>
  <si>
    <t>原来的ROI</t>
    <phoneticPr fontId="3" type="noConversion"/>
  </si>
  <si>
    <t>DAY1</t>
    <phoneticPr fontId="3" type="noConversion"/>
  </si>
  <si>
    <t>DAY2</t>
  </si>
  <si>
    <t>DAY3</t>
  </si>
  <si>
    <t>DAY4</t>
  </si>
  <si>
    <t>DAY5</t>
  </si>
  <si>
    <t>DAY6</t>
  </si>
  <si>
    <t>DAY7</t>
  </si>
  <si>
    <t>原本C补率</t>
    <phoneticPr fontId="3" type="noConversion"/>
  </si>
  <si>
    <t>腾挪后C补率</t>
    <phoneticPr fontId="3" type="noConversion"/>
  </si>
  <si>
    <t>6&gt;7&gt; 2&gt;1&gt;3&gt;4&gt;5</t>
  </si>
  <si>
    <t>周均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</si>
  <si>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</si>
  <si>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</si>
  <si>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</si>
  <si>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</si>
  <si>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</si>
  <si>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</si>
  <si>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周日</t>
    <phoneticPr fontId="3" type="noConversion"/>
  </si>
  <si>
    <t>校验区</t>
    <phoneticPr fontId="3" type="noConversion"/>
  </si>
  <si>
    <t>dt</t>
  </si>
  <si>
    <t>finish</t>
  </si>
  <si>
    <t>gmv</t>
  </si>
  <si>
    <r>
      <t>原来的△ROI</t>
    </r>
    <r>
      <rPr>
        <vertAlign val="subscript"/>
        <sz val="9"/>
        <color theme="1"/>
        <rFont val="微软雅黑"/>
        <family val="2"/>
        <charset val="134"/>
      </rPr>
      <t>c</t>
    </r>
    <phoneticPr fontId="3" type="noConversion"/>
  </si>
  <si>
    <r>
      <t>腾挪后△ROI</t>
    </r>
    <r>
      <rPr>
        <vertAlign val="subscript"/>
        <sz val="9"/>
        <color theme="1"/>
        <rFont val="微软雅黑"/>
        <family val="2"/>
        <charset val="134"/>
      </rPr>
      <t>c</t>
    </r>
    <phoneticPr fontId="3" type="noConversion"/>
  </si>
  <si>
    <r>
      <t>△ROI</t>
    </r>
    <r>
      <rPr>
        <vertAlign val="subscript"/>
        <sz val="9"/>
        <color theme="1"/>
        <rFont val="微软雅黑"/>
        <family val="2"/>
        <charset val="134"/>
      </rPr>
      <t>c</t>
    </r>
    <r>
      <rPr>
        <sz val="9"/>
        <color theme="1"/>
        <rFont val="微软雅黑"/>
        <family val="2"/>
        <charset val="134"/>
      </rPr>
      <t>提升</t>
    </r>
    <phoneticPr fontId="3" type="noConversion"/>
  </si>
  <si>
    <t>原本C补分配</t>
    <phoneticPr fontId="3" type="noConversion"/>
  </si>
  <si>
    <t>模拟腾挪分配</t>
    <phoneticPr fontId="3" type="noConversion"/>
  </si>
  <si>
    <t>ROIC</t>
    <phoneticPr fontId="3" type="noConversion"/>
  </si>
  <si>
    <t>增减方向</t>
    <phoneticPr fontId="3" type="noConversion"/>
  </si>
  <si>
    <t>实际增减</t>
    <phoneticPr fontId="3" type="noConversion"/>
  </si>
  <si>
    <t>供需预测准确度</t>
    <phoneticPr fontId="3" type="noConversion"/>
  </si>
  <si>
    <t>GMV的大盘增量</t>
    <phoneticPr fontId="3" type="noConversion"/>
  </si>
  <si>
    <t>公式X</t>
    <phoneticPr fontId="3" type="noConversion"/>
  </si>
  <si>
    <t>不补贴GMV</t>
    <phoneticPr fontId="3" type="noConversion"/>
  </si>
  <si>
    <t>汇总</t>
    <phoneticPr fontId="3" type="noConversion"/>
  </si>
  <si>
    <t>△GMV后</t>
    <phoneticPr fontId="3" type="noConversion"/>
  </si>
  <si>
    <t>新GMV</t>
    <phoneticPr fontId="3" type="noConversion"/>
  </si>
  <si>
    <t>GMV2</t>
    <phoneticPr fontId="3" type="noConversion"/>
  </si>
  <si>
    <t>补贴额</t>
    <phoneticPr fontId="3" type="noConversion"/>
  </si>
  <si>
    <t>还需</t>
    <phoneticPr fontId="3" type="noConversion"/>
  </si>
  <si>
    <t>C2</t>
    <phoneticPr fontId="3" type="noConversion"/>
  </si>
  <si>
    <t>C1</t>
    <phoneticPr fontId="3" type="noConversion"/>
  </si>
  <si>
    <t>△GMV前</t>
    <phoneticPr fontId="3" type="noConversion"/>
  </si>
  <si>
    <t>原始GMV</t>
    <phoneticPr fontId="3" type="noConversion"/>
  </si>
  <si>
    <t>不发补贴GMV</t>
    <phoneticPr fontId="3" type="noConversion"/>
  </si>
  <si>
    <t>腾挪前cost：</t>
    <phoneticPr fontId="3" type="noConversion"/>
  </si>
  <si>
    <t>腾挪后cost：</t>
    <phoneticPr fontId="3" type="noConversion"/>
  </si>
  <si>
    <t>腾挪前dgmv</t>
    <phoneticPr fontId="3" type="noConversion"/>
  </si>
  <si>
    <t>腾挪后gmv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</si>
</sst>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_);[Red]\(0.00\)"/>
    <numFmt numFmtId="178" formatCode="0.0000000000000000%"/>
    <numFmt numFmtId="179" formatCode="0_);[Red]\(0\)"/>
  </numFmts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7"/>
      <color rgb="FF333333"/>
      <name val="Segoe UI"/>
      <family val="2"/>
    </font>
    <font>
      <sz val="10"/>
      <color theme="1"/>
      <name val="微软雅黑"/>
      <family val="2"/>
      <charset val="134"/>
    </font>
    <font>
      <sz val="9"/>
      <color rgb="FFC00000"/>
      <name val="微软雅黑"/>
      <family val="2"/>
      <charset val="134"/>
    </font>
    <font>
      <vertAlign val="subscript"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BED5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slantDashDot">
        <color theme="4" tint="-0.249977111117893"/>
      </left>
      <right style="slantDashDot">
        <color theme="4" tint="-0.249977111117893"/>
      </right>
      <top style="slantDashDot">
        <color theme="4" tint="-0.249977111117893"/>
      </top>
      <bottom style="slantDashDot">
        <color theme="4" tint="-0.249977111117893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6" fontId="2" fillId="3" borderId="0" xfId="1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10" fontId="2" fillId="3" borderId="0" xfId="1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2" fillId="4" borderId="0" xfId="0" applyNumberFormat="1" applyFont="1" applyFill="1" applyAlignment="1">
      <alignment horizontal="center" vertical="center"/>
    </xf>
    <xf numFmtId="176" fontId="5" fillId="0" borderId="0" xfId="1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10" fontId="5" fillId="0" borderId="0" xfId="1" applyNumberFormat="1" applyFont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画图用的!$A$2</c:f>
              <c:strCache>
                <c:ptCount val="1"/>
                <c:pt idx="0">
                  <c:v>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画图用的!$B$1:$I$1</c:f>
              <c:strCache>
                <c:ptCount val="8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周均</c:v>
                </c:pt>
              </c:strCache>
            </c:strRef>
          </c:cat>
          <c:val>
            <c:numRef>
              <c:f>画图用的!$B$2:$H$2</c:f>
            </c:numRef>
          </c:val>
          <c:extLst>
            <c:ext xmlns:c16="http://schemas.microsoft.com/office/drawing/2014/chart" uri="{C3380CC4-5D6E-409C-BE32-E72D297353CC}">
              <c16:uniqueId val="{00000000-573F-41F2-8B3D-079C036115B5}"/>
            </c:ext>
          </c:extLst>
        </c:ser>
        <c:ser>
          <c:idx val="1"/>
          <c:order val="1"/>
          <c:tx>
            <c:strRef>
              <c:f>画图用的!$A$3</c:f>
              <c:strCache>
                <c:ptCount val="1"/>
                <c:pt idx="0">
                  <c:v>实际ROI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画图用的!$B$1:$I$1</c:f>
              <c:strCache>
                <c:ptCount val="8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周均</c:v>
                </c:pt>
              </c:strCache>
            </c:strRef>
          </c:cat>
          <c:val>
            <c:numRef>
              <c:f>画图用的!$B$3:$H$3</c:f>
            </c:numRef>
          </c:val>
          <c:extLst>
            <c:ext xmlns:c16="http://schemas.microsoft.com/office/drawing/2014/chart" uri="{C3380CC4-5D6E-409C-BE32-E72D297353CC}">
              <c16:uniqueId val="{00000001-573F-41F2-8B3D-079C036115B5}"/>
            </c:ext>
          </c:extLst>
        </c:ser>
        <c:ser>
          <c:idx val="2"/>
          <c:order val="2"/>
          <c:tx>
            <c:strRef>
              <c:f>画图用的!$A$4</c:f>
              <c:strCache>
                <c:ptCount val="1"/>
                <c:pt idx="0">
                  <c:v>原本C补率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画图用的!$B$1:$I$1</c:f>
              <c:strCache>
                <c:ptCount val="8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周均</c:v>
                </c:pt>
              </c:strCache>
            </c:strRef>
          </c:cat>
          <c:val>
            <c:numRef>
              <c:f>画图用的!$B$4:$I$4</c:f>
              <c:numCache>
                <c:formatCode>0.0%</c:formatCode>
                <c:ptCount val="8"/>
                <c:pt idx="0">
                  <c:v>2.5000000000000001E-2</c:v>
                </c:pt>
                <c:pt idx="1">
                  <c:v>0.02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2.2498226099778602E-2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F-41F2-8B3D-079C036115B5}"/>
            </c:ext>
          </c:extLst>
        </c:ser>
        <c:ser>
          <c:idx val="3"/>
          <c:order val="3"/>
          <c:tx>
            <c:strRef>
              <c:f>画图用的!$A$5</c:f>
              <c:strCache>
                <c:ptCount val="1"/>
                <c:pt idx="0">
                  <c:v>原呼返C补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画图用的!$B$1:$I$1</c:f>
              <c:strCache>
                <c:ptCount val="8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周均</c:v>
                </c:pt>
              </c:strCache>
            </c:strRef>
          </c:cat>
          <c:val>
            <c:numRef>
              <c:f>画图用的!$B$5:$H$5</c:f>
            </c:numRef>
          </c:val>
          <c:extLst>
            <c:ext xmlns:c16="http://schemas.microsoft.com/office/drawing/2014/chart" uri="{C3380CC4-5D6E-409C-BE32-E72D297353CC}">
              <c16:uniqueId val="{00000003-573F-41F2-8B3D-079C036115B5}"/>
            </c:ext>
          </c:extLst>
        </c:ser>
        <c:ser>
          <c:idx val="5"/>
          <c:order val="5"/>
          <c:tx>
            <c:strRef>
              <c:f>画图用的!$A$7</c:f>
              <c:strCache>
                <c:ptCount val="1"/>
                <c:pt idx="0">
                  <c:v>腾挪后C补率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画图用的!$B$1:$I$1</c:f>
              <c:strCache>
                <c:ptCount val="8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周均</c:v>
                </c:pt>
              </c:strCache>
            </c:strRef>
          </c:cat>
          <c:val>
            <c:numRef>
              <c:f>画图用的!$B$7:$I$7</c:f>
              <c:numCache>
                <c:formatCode>0.0%</c:formatCode>
                <c:ptCount val="8"/>
                <c:pt idx="0">
                  <c:v>1.7999999999999999E-2</c:v>
                </c:pt>
                <c:pt idx="1">
                  <c:v>2.1000000000000001E-2</c:v>
                </c:pt>
                <c:pt idx="2">
                  <c:v>2.7E-2</c:v>
                </c:pt>
                <c:pt idx="3">
                  <c:v>2.3E-2</c:v>
                </c:pt>
                <c:pt idx="4">
                  <c:v>1.7999999999999999E-2</c:v>
                </c:pt>
                <c:pt idx="5">
                  <c:v>2.7E-2</c:v>
                </c:pt>
                <c:pt idx="6">
                  <c:v>2.6234538430937322E-2</c:v>
                </c:pt>
                <c:pt idx="7">
                  <c:v>2.2498226099778602E-2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3F-41F2-8B3D-079C036115B5}"/>
            </c:ext>
          </c:extLst>
        </c:ser>
        <c:ser>
          <c:idx val="4"/>
          <c:order val="4"/>
          <c:tx>
            <c:strRef>
              <c:f>画图用的!$A$6</c:f>
              <c:strCache>
                <c:ptCount val="1"/>
                <c:pt idx="0">
                  <c:v>新呼返C补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画图用的!$B$1:$I$1</c:f>
              <c:strCache>
                <c:ptCount val="8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周均</c:v>
                </c:pt>
              </c:strCache>
            </c:strRef>
          </c:cat>
          <c:val>
            <c:numRef>
              <c:f>画图用的!$B$6:$H$6</c:f>
            </c:numRef>
          </c:val>
          <c:extLst>
            <c:ext xmlns:c16="http://schemas.microsoft.com/office/drawing/2014/chart" uri="{C3380CC4-5D6E-409C-BE32-E72D297353CC}">
              <c16:uniqueId val="{00000004-573F-41F2-8B3D-079C03611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7897055"/>
        <c:axId val="1027906623"/>
      </c:barChart>
      <c:lineChart>
        <c:grouping val="standard"/>
        <c:varyColors val="0"/>
        <c:ser>
          <c:idx val="6"/>
          <c:order val="6"/>
          <c:tx>
            <c:strRef>
              <c:f>画图用的!$A$8</c:f>
              <c:strCache>
                <c:ptCount val="1"/>
                <c:pt idx="0">
                  <c:v>原来的ROI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画图用的!$B$1:$I$1</c:f>
              <c:strCache>
                <c:ptCount val="8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周均</c:v>
                </c:pt>
              </c:strCache>
            </c:strRef>
          </c:cat>
          <c:val>
            <c:numRef>
              <c:f>画图用的!$B$8:$I$8</c:f>
              <c:numCache>
                <c:formatCode>0.00_);[Red]\(0.00\)</c:formatCode>
                <c:ptCount val="8"/>
                <c:pt idx="0">
                  <c:v>3.7356718749999986</c:v>
                </c:pt>
                <c:pt idx="1">
                  <c:v>4.3719279999999987</c:v>
                </c:pt>
                <c:pt idx="2">
                  <c:v>5.7036340560000012</c:v>
                </c:pt>
                <c:pt idx="3">
                  <c:v>4.6355324689999993</c:v>
                </c:pt>
                <c:pt idx="4">
                  <c:v>2.9338510000000007</c:v>
                </c:pt>
                <c:pt idx="5">
                  <c:v>5.6984719999999989</c:v>
                </c:pt>
                <c:pt idx="6">
                  <c:v>5.5809679999999986</c:v>
                </c:pt>
                <c:pt idx="7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3F-41F2-8B3D-079C036115B5}"/>
            </c:ext>
          </c:extLst>
        </c:ser>
        <c:ser>
          <c:idx val="7"/>
          <c:order val="7"/>
          <c:tx>
            <c:strRef>
              <c:f>画图用的!$A$9</c:f>
              <c:strCache>
                <c:ptCount val="1"/>
                <c:pt idx="0">
                  <c:v>腾挪后ROI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画图用的!$B$1:$I$1</c:f>
              <c:strCache>
                <c:ptCount val="8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周均</c:v>
                </c:pt>
              </c:strCache>
            </c:strRef>
          </c:cat>
          <c:val>
            <c:numRef>
              <c:f>画图用的!$B$9:$I$9</c:f>
              <c:numCache>
                <c:formatCode>0.00_);[Red]\(0.00\)</c:formatCode>
                <c:ptCount val="8"/>
                <c:pt idx="0">
                  <c:v>4.6784240560000008</c:v>
                </c:pt>
                <c:pt idx="1">
                  <c:v>4.1415054509999987</c:v>
                </c:pt>
                <c:pt idx="2">
                  <c:v>4.0927869389999989</c:v>
                </c:pt>
                <c:pt idx="3">
                  <c:v>4.1095861430000014</c:v>
                </c:pt>
                <c:pt idx="4">
                  <c:v>5.5867950159999999</c:v>
                </c:pt>
                <c:pt idx="5">
                  <c:v>4.1613011970000002</c:v>
                </c:pt>
                <c:pt idx="6">
                  <c:v>4.29779600012548</c:v>
                </c:pt>
                <c:pt idx="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F-41F2-8B3D-079C03611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38831"/>
        <c:axId val="988240911"/>
      </c:lineChart>
      <c:catAx>
        <c:axId val="10278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906623"/>
        <c:crosses val="autoZero"/>
        <c:auto val="1"/>
        <c:lblAlgn val="ctr"/>
        <c:lblOffset val="100"/>
        <c:noMultiLvlLbl val="0"/>
      </c:catAx>
      <c:valAx>
        <c:axId val="10279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897055"/>
        <c:crosses val="autoZero"/>
        <c:crossBetween val="between"/>
      </c:valAx>
      <c:valAx>
        <c:axId val="988240911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238831"/>
        <c:crosses val="max"/>
        <c:crossBetween val="between"/>
      </c:valAx>
      <c:catAx>
        <c:axId val="988238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8240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831850</xdr:colOff>
      <xdr:row>1</xdr:row>
      <xdr:rowOff>25400</xdr:rowOff>
    </xdr:from>
    <xdr:to>
      <xdr:col>23</xdr:col>
      <xdr:colOff>676127</xdr:colOff>
      <xdr:row>14</xdr:row>
      <xdr:rowOff>82550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113069A-00F8-D94C-9054-1D2E68741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0350" y="215900"/>
          <a:ext cx="3463777" cy="2444750"/>
        </a:xfrm>
        <a:prstGeom prst="rect">
          <a:avLst/>
        </a:prstGeom>
      </xdr:spPr>
    </xdr:pic>
    <xdr:clientData/>
  </xdr:twoCellAnchor>
  <xdr:twoCellAnchor editAs="oneCell">
    <xdr:from>
      <xdr:col>19</xdr:col>
      <xdr:colOff>361950</xdr:colOff>
      <xdr:row>1</xdr:row>
      <xdr:rowOff>12700</xdr:rowOff>
    </xdr:from>
    <xdr:to>
      <xdr:col>23</xdr:col>
      <xdr:colOff>888345</xdr:colOff>
      <xdr:row>13</xdr:row>
      <xdr:rowOff>44450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EA4C308-56B3-7F4B-9898-55CEEC6CE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2950" y="203200"/>
          <a:ext cx="3193395" cy="2241550"/>
        </a:xfrm>
        <a:prstGeom prst="rect">
          <a:avLst/>
        </a:prstGeom>
      </xdr:spPr>
    </xdr:pic>
    <xdr:clientData/>
  </xdr:twoCellAnchor>
  <xdr:twoCellAnchor editAs="oneCell">
    <xdr:from>
      <xdr:col>21</xdr:col>
      <xdr:colOff>520701</xdr:colOff>
      <xdr:row>1</xdr:row>
      <xdr:rowOff>6350</xdr:rowOff>
    </xdr:from>
    <xdr:to>
      <xdr:col>25</xdr:col>
      <xdr:colOff>406401</xdr:colOff>
      <xdr:row>14</xdr:row>
      <xdr:rowOff>25349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34483FA-0867-A446-BF62-63FE6D187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77901" y="196850"/>
          <a:ext cx="3314700" cy="2406599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19051</xdr:colOff>
      <xdr:row>1</xdr:row>
      <xdr:rowOff>12700</xdr:rowOff>
    </xdr:from>
    <xdr:to>
      <xdr:col>25</xdr:col>
      <xdr:colOff>25401</xdr:colOff>
      <xdr:row>12</xdr:row>
      <xdr:rowOff>55542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500B7D-62FE-784B-9A74-4BA4BB3FF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36651" y="203200"/>
          <a:ext cx="2774950" cy="2074842"/>
        </a:xfrm>
        <a:prstGeom prst="rect">
          <a:avLst/>
        </a:prstGeom>
      </xdr:spPr>
    </xdr:pic>
    <xdr:clientData/>
  </xdr:twoCellAnchor>
  <xdr:twoCellAnchor editAs="oneCell">
    <xdr:from>
      <xdr:col>20</xdr:col>
      <xdr:colOff>212302</xdr:colOff>
      <xdr:row>0</xdr:row>
      <xdr:rowOff>7341</xdr:rowOff>
    </xdr:from>
    <xdr:to>
      <xdr:col>24</xdr:col>
      <xdr:colOff>540520</xdr:colOff>
      <xdr:row>15</xdr:row>
      <xdr:rowOff>44463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7045417-D56E-1742-803F-0186ACC5B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70394" y="7341"/>
          <a:ext cx="3771166" cy="2782671"/>
        </a:xfrm>
        <a:prstGeom prst="rect">
          <a:avLst/>
        </a:prstGeom>
      </xdr:spPr>
    </xdr:pic>
    <xdr:clientData/>
  </xdr:twoCellAnchor>
  <xdr:twoCellAnchor editAs="oneCell">
    <xdr:from>
      <xdr:col>19</xdr:col>
      <xdr:colOff>368301</xdr:colOff>
      <xdr:row>14</xdr:row>
      <xdr:rowOff>114300</xdr:rowOff>
    </xdr:from>
    <xdr:to>
      <xdr:col>23</xdr:col>
      <xdr:colOff>1403351</xdr:colOff>
      <xdr:row>29</xdr:row>
      <xdr:rowOff>156910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720E298-3576-ED4A-9A4C-E1107A8B2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79301" y="2692400"/>
          <a:ext cx="3702050" cy="2709610"/>
        </a:xfrm>
        <a:prstGeom prst="rect">
          <a:avLst/>
        </a:prstGeom>
      </xdr:spPr>
    </xdr:pic>
    <xdr:clientData/>
  </xdr:twoCellAnchor>
  <xdr:twoCellAnchor editAs="oneCell">
    <xdr:from>
      <xdr:col>23</xdr:col>
      <xdr:colOff>793751</xdr:colOff>
      <xdr:row>15</xdr:row>
      <xdr:rowOff>63501</xdr:rowOff>
    </xdr:from>
    <xdr:to>
      <xdr:col>29</xdr:col>
      <xdr:colOff>95251</xdr:colOff>
      <xdr:row>31</xdr:row>
      <xdr:rowOff>36537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CD12A3D-F5E4-6745-B255-81B0A00D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71751" y="2819401"/>
          <a:ext cx="4051300" cy="2817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584200</xdr:colOff>
      <xdr:row>0</xdr:row>
      <xdr:rowOff>82550</xdr:rowOff>
    </xdr:from>
    <xdr:to>
      <xdr:col>14</xdr:col>
      <xdr:colOff>609755</xdr:colOff>
      <xdr:row>13</xdr:row>
      <xdr:rowOff>12700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6550" y="82550"/>
          <a:ext cx="3473605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</xdr:colOff>
      <xdr:row>0</xdr:row>
      <xdr:rowOff>133350</xdr:rowOff>
    </xdr:from>
    <xdr:to>
      <xdr:col>15</xdr:col>
      <xdr:colOff>450195</xdr:colOff>
      <xdr:row>12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7600" y="133350"/>
          <a:ext cx="3193395" cy="2095500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647701</xdr:colOff>
      <xdr:row>0</xdr:row>
      <xdr:rowOff>107950</xdr:rowOff>
    </xdr:from>
    <xdr:to>
      <xdr:col>17</xdr:col>
      <xdr:colOff>533401</xdr:colOff>
      <xdr:row>12</xdr:row>
      <xdr:rowOff>165049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3951" y="107950"/>
          <a:ext cx="3321050" cy="2247849"/>
        </a:xfrm>
        <a:prstGeom prst="rect">
          <a:avLst/>
        </a:prstGeom>
      </xdr:spPr>
    </xdr:pic>
    <xdr:clientData/>
  </xdr:twoCellAnchor>
  <xdr:twoCellAnchor editAs="oneCell">
    <xdr:from>
      <xdr:col>13</xdr:col>
      <xdr:colOff>1104901</xdr:colOff>
      <xdr:row>0</xdr:row>
      <xdr:rowOff>152400</xdr:rowOff>
    </xdr:from>
    <xdr:to>
      <xdr:col>17</xdr:col>
      <xdr:colOff>450851</xdr:colOff>
      <xdr:row>11</xdr:row>
      <xdr:rowOff>68242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1151" y="152400"/>
          <a:ext cx="2781300" cy="1941492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0</xdr:row>
      <xdr:rowOff>0</xdr:rowOff>
    </xdr:from>
    <xdr:to>
      <xdr:col>21</xdr:col>
      <xdr:colOff>215900</xdr:colOff>
      <xdr:row>14</xdr:row>
      <xdr:rowOff>81572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80850" y="0"/>
          <a:ext cx="3778250" cy="2602522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635001</xdr:colOff>
      <xdr:row>14</xdr:row>
      <xdr:rowOff>133350</xdr:rowOff>
    </xdr:from>
    <xdr:to>
      <xdr:col>14</xdr:col>
      <xdr:colOff>215901</xdr:colOff>
      <xdr:row>30</xdr:row>
      <xdr:rowOff>4510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34251" y="2489200"/>
          <a:ext cx="3702050" cy="251911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57151</xdr:colOff>
      <xdr:row>16</xdr:row>
      <xdr:rowOff>63501</xdr:rowOff>
    </xdr:from>
    <xdr:to>
      <xdr:col>20</xdr:col>
      <xdr:colOff>152401</xdr:colOff>
      <xdr:row>32</xdr:row>
      <xdr:rowOff>17487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77551" y="2749551"/>
          <a:ext cx="4057650" cy="2614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831850</xdr:colOff>
      <xdr:row>1</xdr:row>
      <xdr:rowOff>25400</xdr:rowOff>
    </xdr:from>
    <xdr:to>
      <xdr:col>23</xdr:col>
      <xdr:colOff>676127</xdr:colOff>
      <xdr:row>14</xdr:row>
      <xdr:rowOff>82550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0" y="196850"/>
          <a:ext cx="3473605" cy="2286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38814</xdr:colOff>
      <xdr:row>2</xdr:row>
      <xdr:rowOff>50274</xdr:rowOff>
    </xdr:from>
    <xdr:to>
      <xdr:col>24</xdr:col>
      <xdr:colOff>467516</xdr:colOff>
      <xdr:row>14</xdr:row>
      <xdr:rowOff>82024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34790" y="418499"/>
          <a:ext cx="3201661" cy="2263643"/>
        </a:xfrm>
        <a:prstGeom prst="rect">
          <a:avLst/>
        </a:prstGeom>
      </xdr:spPr>
    </xdr:pic>
    <xdr:clientData/>
  </xdr:twoCellAnchor>
  <xdr:twoCellAnchor editAs="oneCell">
    <xdr:from>
      <xdr:col>21</xdr:col>
      <xdr:colOff>520701</xdr:colOff>
      <xdr:row>1</xdr:row>
      <xdr:rowOff>6350</xdr:rowOff>
    </xdr:from>
    <xdr:to>
      <xdr:col>25</xdr:col>
      <xdr:colOff>406401</xdr:colOff>
      <xdr:row>14</xdr:row>
      <xdr:rowOff>25349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73101" y="177800"/>
          <a:ext cx="3321050" cy="2247849"/>
        </a:xfrm>
        <a:prstGeom prst="rect">
          <a:avLst/>
        </a:prstGeom>
      </xdr:spPr>
    </xdr:pic>
    <xdr:clientData/>
  </xdr:twoCellAnchor>
  <xdr:twoCellAnchor editAs="oneCell">
    <xdr:from>
      <xdr:col>23</xdr:col>
      <xdr:colOff>327157</xdr:colOff>
      <xdr:row>0</xdr:row>
      <xdr:rowOff>178026</xdr:rowOff>
    </xdr:from>
    <xdr:to>
      <xdr:col>26</xdr:col>
      <xdr:colOff>333508</xdr:colOff>
      <xdr:row>12</xdr:row>
      <xdr:rowOff>32998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45737" y="178026"/>
          <a:ext cx="2779309" cy="209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73344</xdr:colOff>
      <xdr:row>0</xdr:row>
      <xdr:rowOff>0</xdr:rowOff>
    </xdr:from>
    <xdr:to>
      <xdr:col>29</xdr:col>
      <xdr:colOff>543995</xdr:colOff>
      <xdr:row>15</xdr:row>
      <xdr:rowOff>37122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42279" y="0"/>
          <a:ext cx="3777160" cy="2817595"/>
        </a:xfrm>
        <a:prstGeom prst="rect">
          <a:avLst/>
        </a:prstGeom>
      </xdr:spPr>
    </xdr:pic>
    <xdr:clientData/>
  </xdr:twoCellAnchor>
  <xdr:twoCellAnchor editAs="oneCell">
    <xdr:from>
      <xdr:col>19</xdr:col>
      <xdr:colOff>368301</xdr:colOff>
      <xdr:row>14</xdr:row>
      <xdr:rowOff>114300</xdr:rowOff>
    </xdr:from>
    <xdr:to>
      <xdr:col>23</xdr:col>
      <xdr:colOff>1403351</xdr:colOff>
      <xdr:row>29</xdr:row>
      <xdr:rowOff>156910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07801" y="2514600"/>
          <a:ext cx="3702050" cy="2519110"/>
        </a:xfrm>
        <a:prstGeom prst="rect">
          <a:avLst/>
        </a:prstGeom>
      </xdr:spPr>
    </xdr:pic>
    <xdr:clientData/>
  </xdr:twoCellAnchor>
  <xdr:twoCellAnchor editAs="oneCell">
    <xdr:from>
      <xdr:col>23</xdr:col>
      <xdr:colOff>793751</xdr:colOff>
      <xdr:row>15</xdr:row>
      <xdr:rowOff>63501</xdr:rowOff>
    </xdr:from>
    <xdr:to>
      <xdr:col>29</xdr:col>
      <xdr:colOff>95251</xdr:colOff>
      <xdr:row>31</xdr:row>
      <xdr:rowOff>36537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66951" y="2628901"/>
          <a:ext cx="4057650" cy="2614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615950</xdr:colOff>
      <xdr:row>16</xdr:row>
      <xdr:rowOff>57150</xdr:rowOff>
    </xdr:from>
    <xdr:to>
      <xdr:col>12</xdr:col>
      <xdr:colOff>132431</xdr:colOff>
      <xdr:row>37</xdr:row>
      <xdr:rowOff>9098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2705100"/>
          <a:ext cx="7352381" cy="3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565150</xdr:colOff>
      <xdr:row>15</xdr:row>
      <xdr:rowOff>31750</xdr:rowOff>
    </xdr:from>
    <xdr:to>
      <xdr:col>15</xdr:col>
      <xdr:colOff>417683</xdr:colOff>
      <xdr:row>36</xdr:row>
      <xdr:rowOff>50364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150" y="2514600"/>
          <a:ext cx="11333333" cy="3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774700</xdr:colOff>
      <xdr:row>18</xdr:row>
      <xdr:rowOff>50800</xdr:rowOff>
    </xdr:from>
    <xdr:to>
      <xdr:col>8</xdr:col>
      <xdr:colOff>624740</xdr:colOff>
      <xdr:row>26</xdr:row>
      <xdr:rowOff>101429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2863850"/>
          <a:ext cx="5876190" cy="1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15</xdr:row>
      <xdr:rowOff>127000</xdr:rowOff>
    </xdr:from>
    <xdr:to>
      <xdr:col>8</xdr:col>
      <xdr:colOff>558136</xdr:colOff>
      <xdr:row>22</xdr:row>
      <xdr:rowOff>47490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0" y="2444750"/>
          <a:ext cx="5314286" cy="10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177800</xdr:colOff>
      <xdr:row>13</xdr:row>
      <xdr:rowOff>57150</xdr:rowOff>
    </xdr:from>
    <xdr:to>
      <xdr:col>16</xdr:col>
      <xdr:colOff>469183</xdr:colOff>
      <xdr:row>27</xdr:row>
      <xdr:rowOff>145750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77050" y="2044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146050</xdr:colOff>
      <xdr:row>17</xdr:row>
      <xdr:rowOff>114300</xdr:rowOff>
    </xdr:from>
    <xdr:to>
      <xdr:col>10</xdr:col>
      <xdr:colOff>573993</xdr:colOff>
      <xdr:row>26</xdr:row>
      <xdr:rowOff>161733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9200" y="2762250"/>
          <a:ext cx="5457143" cy="1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330200</xdr:colOff>
      <xdr:row>13</xdr:row>
      <xdr:rowOff>12700</xdr:rowOff>
    </xdr:from>
    <xdr:to>
      <xdr:col>13</xdr:col>
      <xdr:colOff>1431186</xdr:colOff>
      <xdr:row>21</xdr:row>
      <xdr:rowOff>63329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3150" y="2000250"/>
          <a:ext cx="5914286" cy="1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</xdr:row>
      <xdr:rowOff>114300</xdr:rowOff>
    </xdr:from>
    <xdr:to>
      <xdr:col>9</xdr:col>
      <xdr:colOff>475479</xdr:colOff>
      <xdr:row>26</xdr:row>
      <xdr:rowOff>142686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3300" y="2266950"/>
          <a:ext cx="6171429" cy="1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825500</xdr:colOff>
      <xdr:row>27</xdr:row>
      <xdr:rowOff>158750</xdr:rowOff>
    </xdr:from>
    <xdr:to>
      <xdr:col>8</xdr:col>
      <xdr:colOff>485064</xdr:colOff>
      <xdr:row>37</xdr:row>
      <xdr:rowOff>41083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5500" y="3962400"/>
          <a:ext cx="5685714" cy="1533333"/>
        </a:xfrm>
        <a:prstGeom prst="rect">
          <a:avLst/>
        </a:prstGeom>
      </xdr:spPr>
    </xdr:pic>
    <xdr:clientData/>
  </xdr:twoCellAnchor>
  <xdr:twoCellAnchor>
    <xdr:from>
      <xdr:col>10</xdr:col>
      <xdr:colOff>555625</xdr:colOff>
      <xdr:row>29</xdr:row>
      <xdr:rowOff>19050</xdr:rowOff>
    </xdr:from>
    <xdr:to>
      <xdr:col>16</xdr:col>
      <xdr:colOff>358775</xdr:colOff>
      <xdr:row>45</xdr:row>
      <xdr:rowOff>120650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615950</xdr:colOff>
      <xdr:row>16</xdr:row>
      <xdr:rowOff>57150</xdr:rowOff>
    </xdr:from>
    <xdr:to>
      <xdr:col>12</xdr:col>
      <xdr:colOff>132431</xdr:colOff>
      <xdr:row>37</xdr:row>
      <xdr:rowOff>9098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2540000"/>
          <a:ext cx="7352381" cy="3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095D-030F-0D45-B811-FCCC2372525B}">
  <dimension ref="A1:AC46"/>
  <sheetViews>
    <sheetView tabSelected="1" zoomScale="150" workbookViewId="0">
      <selection activeCell="L41" sqref="L41"/>
    </sheetView>
  </sheetViews>
  <sheetFormatPr baseColWidth="10" defaultColWidth="8.6640625" defaultRowHeight="14"/>
  <cols>
    <col min="1" max="1" width="11.5" style="2" bestFit="1" customWidth="1"/>
    <col min="2" max="8" width="12" style="2" bestFit="1" customWidth="1"/>
    <col min="9" max="9" width="16.1640625" style="2" bestFit="1" customWidth="1"/>
    <col min="10" max="10" width="12.5" style="2" bestFit="1" customWidth="1"/>
    <col min="11" max="13" width="8.83203125" style="2" customWidth="1"/>
    <col min="14" max="14" width="12" style="2" bestFit="1" customWidth="1"/>
    <col min="15" max="15" width="12.5" style="2" bestFit="1" customWidth="1"/>
    <col min="16" max="19" width="8.83203125" style="2" hidden="1" customWidth="1"/>
    <col min="20" max="20" width="8.83203125" style="2" customWidth="1"/>
    <col min="21" max="21" width="8.83203125" style="2" bestFit="1" customWidth="1"/>
    <col min="22" max="23" width="8.6640625" style="2"/>
    <col min="24" max="24" width="19" style="2" bestFit="1" customWidth="1"/>
    <col min="25" max="16384" width="8.6640625" style="2"/>
  </cols>
  <sheetData>
    <row r="1" spans="1:29" ht="15" thickBot="1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2" t="s">
        <v>20</v>
      </c>
      <c r="X1" s="5"/>
    </row>
    <row r="2" spans="1:29">
      <c r="A2" s="2" t="s">
        <v>35</v>
      </c>
      <c r="B2" s="4">
        <v>3.3835369710096631E-2</v>
      </c>
      <c r="C2" s="4">
        <v>3.6331488947648191E-2</v>
      </c>
      <c r="D2" s="4">
        <v>4.1110979745485769E-2</v>
      </c>
      <c r="E2" s="4">
        <v>3.9190643745157773E-2</v>
      </c>
      <c r="F2" s="4">
        <v>4.6023045174749214E-2</v>
      </c>
      <c r="G2" s="4">
        <v>3.1679151164992154E-2</v>
      </c>
      <c r="H2" s="4">
        <v>3.3004853354038417E-2</v>
      </c>
      <c r="I2" s="4">
        <f>I23/I21</f>
        <v>3.7826991157212338E-2</v>
      </c>
      <c r="V2" s="4"/>
    </row>
    <row r="3" spans="1:29">
      <c r="A3" s="2" t="s">
        <v>36</v>
      </c>
      <c r="B3" s="15">
        <v>1.7517999999999999E-2</v>
      </c>
      <c r="C3" s="15">
        <v>1.6316000000000001E-2</v>
      </c>
      <c r="D3" s="15">
        <v>5.8158000000000001E-2</v>
      </c>
      <c r="E3" s="15">
        <v>5.7557999999999998E-2</v>
      </c>
      <c r="F3" s="15">
        <v>1.6015999999999999E-2</v>
      </c>
      <c r="G3" s="15">
        <v>5.2151999999999997E-2</v>
      </c>
      <c r="H3" s="15">
        <v>6.046E-2</v>
      </c>
      <c r="I3" s="4">
        <f>I24/I21</f>
        <v>3.7826245101809451E-2</v>
      </c>
      <c r="J3" s="3">
        <f>I4/J4-1</f>
        <v>-1.5531297712554681E-2</v>
      </c>
      <c r="K3" s="3"/>
      <c r="L3" s="3"/>
      <c r="M3" s="3"/>
      <c r="N3" s="3"/>
      <c r="O3" s="3"/>
      <c r="P3" s="3"/>
      <c r="Q3" s="3"/>
      <c r="R3" s="3"/>
      <c r="S3" s="3"/>
      <c r="T3" s="3"/>
      <c r="V3" s="3"/>
      <c r="X3" s="11"/>
      <c r="Y3" s="13"/>
    </row>
    <row r="4" spans="1:29">
      <c r="A4" s="2" t="s">
        <v>32</v>
      </c>
      <c r="B4" s="7">
        <f>B$11*B2*B2*B2+B2*B2*B$12+B$13*B2+B$14</f>
        <v>3.2287567489292162</v>
      </c>
      <c r="C4" s="7">
        <f t="shared" ref="C4:H5" si="0">C$11*C2*C2*C2+C2*C2*C$12+C$13*C2+C$14</f>
        <v>3.0551659512314728</v>
      </c>
      <c r="D4" s="7">
        <f t="shared" si="0"/>
        <v>2.9145175079589052</v>
      </c>
      <c r="E4" s="7">
        <f t="shared" si="0"/>
        <v>3.0272055277511782</v>
      </c>
      <c r="F4" s="7">
        <f t="shared" si="0"/>
        <v>2.7999644700061346</v>
      </c>
      <c r="G4" s="7">
        <f t="shared" si="0"/>
        <v>3.526714897919847</v>
      </c>
      <c r="H4" s="7">
        <f t="shared" si="0"/>
        <v>3.3095209292397616</v>
      </c>
      <c r="I4" s="7">
        <f>I26/I23</f>
        <v>3.0678080220052379</v>
      </c>
      <c r="J4" s="2">
        <f>AVERAGE(B4:I4)</f>
        <v>3.116206756880219</v>
      </c>
      <c r="K4" s="7"/>
      <c r="L4" s="7"/>
      <c r="M4" s="7"/>
      <c r="N4" s="7"/>
      <c r="O4" s="7"/>
      <c r="P4" s="7"/>
      <c r="Q4" s="7"/>
      <c r="R4" s="7"/>
      <c r="S4" s="7"/>
      <c r="T4" s="7"/>
    </row>
    <row r="5" spans="1:29">
      <c r="A5" s="2" t="s">
        <v>33</v>
      </c>
      <c r="B5" s="7">
        <f>B$11*B3*B3*B3+B3*B3*B$12+B$13*B3+B$14</f>
        <v>5.6375058765666619</v>
      </c>
      <c r="C5" s="7">
        <f t="shared" si="0"/>
        <v>6.0684262627934737</v>
      </c>
      <c r="D5" s="7">
        <f t="shared" si="0"/>
        <v>2.7740635473123554</v>
      </c>
      <c r="E5" s="7">
        <f t="shared" si="0"/>
        <v>2.7049408347406505</v>
      </c>
      <c r="F5" s="7">
        <f t="shared" si="0"/>
        <v>5.8438299881017546</v>
      </c>
      <c r="G5" s="7">
        <f t="shared" si="0"/>
        <v>2.9307288332518748</v>
      </c>
      <c r="H5" s="7">
        <f t="shared" si="0"/>
        <v>2.877000802539099</v>
      </c>
      <c r="I5" s="7">
        <f>I27/I24</f>
        <v>3.4407309714202094</v>
      </c>
      <c r="J5" s="7"/>
      <c r="K5" s="7"/>
      <c r="L5" s="7"/>
      <c r="M5" s="7"/>
      <c r="N5" s="7" t="s">
        <v>40</v>
      </c>
      <c r="O5" s="7" t="s">
        <v>41</v>
      </c>
      <c r="P5" s="7"/>
      <c r="Q5" s="7"/>
      <c r="R5" s="7"/>
      <c r="S5" s="7"/>
      <c r="T5" s="7"/>
      <c r="V5" s="4"/>
      <c r="X5" s="4"/>
    </row>
    <row r="6" spans="1:29" ht="16">
      <c r="A6" s="2" t="s">
        <v>34</v>
      </c>
      <c r="B6" s="4"/>
      <c r="C6" s="4"/>
      <c r="D6" s="4"/>
      <c r="E6" s="4"/>
      <c r="F6" s="4"/>
      <c r="G6" s="4"/>
      <c r="H6" s="4"/>
      <c r="I6" s="17"/>
      <c r="J6" s="18">
        <v>0.96533539474459795</v>
      </c>
      <c r="K6" s="24">
        <f>SUMPRODUCT(I6:I7,J6:J7)</f>
        <v>0</v>
      </c>
      <c r="L6" s="25">
        <v>0.93</v>
      </c>
      <c r="M6" s="26">
        <f>SUMPRODUCT(K6:K8,L6:L8)</f>
        <v>0</v>
      </c>
      <c r="N6" s="26">
        <v>0.7</v>
      </c>
      <c r="O6" s="27">
        <f>M6*N6</f>
        <v>0</v>
      </c>
      <c r="P6" s="17"/>
      <c r="Q6" s="17"/>
      <c r="R6" s="17"/>
      <c r="S6" s="17"/>
      <c r="T6" s="17"/>
      <c r="V6" s="3"/>
      <c r="X6" s="9"/>
    </row>
    <row r="7" spans="1:29" ht="16">
      <c r="A7" s="2" t="s">
        <v>38</v>
      </c>
      <c r="B7" s="3"/>
      <c r="C7" s="3"/>
      <c r="D7" s="3"/>
      <c r="E7" s="3"/>
      <c r="F7" s="3"/>
      <c r="G7" s="3"/>
      <c r="H7" s="3"/>
      <c r="J7" s="18">
        <v>3.4664605255402048E-2</v>
      </c>
      <c r="K7" s="24"/>
      <c r="L7" s="25"/>
      <c r="M7" s="26"/>
      <c r="N7" s="26"/>
      <c r="O7" s="27"/>
      <c r="W7" s="8"/>
    </row>
    <row r="8" spans="1:29" ht="16">
      <c r="A8" s="2" t="s">
        <v>39</v>
      </c>
      <c r="B8" s="8">
        <f>B3-B2</f>
        <v>-1.6317369710096633E-2</v>
      </c>
      <c r="C8" s="8">
        <f t="shared" ref="C8:H8" si="1">C3-C2</f>
        <v>-2.0015488947648191E-2</v>
      </c>
      <c r="D8" s="8">
        <f t="shared" si="1"/>
        <v>1.7047020254514232E-2</v>
      </c>
      <c r="E8" s="8">
        <f t="shared" si="1"/>
        <v>1.8367356254842225E-2</v>
      </c>
      <c r="F8" s="8">
        <f t="shared" si="1"/>
        <v>-3.0007045174749215E-2</v>
      </c>
      <c r="G8" s="8">
        <f t="shared" si="1"/>
        <v>2.0472848835007842E-2</v>
      </c>
      <c r="H8" s="8">
        <f t="shared" si="1"/>
        <v>2.7455146645961583E-2</v>
      </c>
      <c r="I8" s="5"/>
      <c r="J8" s="18"/>
      <c r="K8" s="18">
        <v>0</v>
      </c>
      <c r="L8" s="19">
        <f>1-L6</f>
        <v>6.9999999999999951E-2</v>
      </c>
      <c r="M8" s="26"/>
      <c r="N8" s="26"/>
      <c r="O8" s="27"/>
      <c r="W8" s="8"/>
    </row>
    <row r="9" spans="1:29">
      <c r="I9" s="5"/>
    </row>
    <row r="10" spans="1:29">
      <c r="A10" s="2" t="s">
        <v>42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9">
      <c r="A11" s="2">
        <v>3</v>
      </c>
      <c r="B11" s="2">
        <v>-64132</v>
      </c>
      <c r="C11" s="2">
        <v>-80820</v>
      </c>
      <c r="D11" s="2">
        <v>-84496</v>
      </c>
      <c r="E11" s="2">
        <v>-57728</v>
      </c>
      <c r="F11" s="2">
        <v>-88595</v>
      </c>
      <c r="G11" s="2">
        <v>-83348</v>
      </c>
      <c r="H11" s="2">
        <v>-87339</v>
      </c>
      <c r="J11" s="2">
        <v>3.08</v>
      </c>
      <c r="K11" s="4">
        <f>J11/I4-1</f>
        <v>3.9741658889049791E-3</v>
      </c>
      <c r="U11" s="4"/>
    </row>
    <row r="12" spans="1:29">
      <c r="A12" s="2">
        <v>2</v>
      </c>
      <c r="B12" s="2">
        <v>10149</v>
      </c>
      <c r="C12" s="2">
        <v>12260</v>
      </c>
      <c r="D12" s="2">
        <v>12451</v>
      </c>
      <c r="E12" s="2">
        <v>8634.2999999999993</v>
      </c>
      <c r="F12" s="2">
        <v>12705</v>
      </c>
      <c r="G12" s="2">
        <v>11367</v>
      </c>
      <c r="H12" s="2">
        <v>13071</v>
      </c>
      <c r="AC12" s="12"/>
    </row>
    <row r="13" spans="1:29">
      <c r="A13" s="2">
        <v>1</v>
      </c>
      <c r="B13" s="7">
        <v>-537.69000000000005</v>
      </c>
      <c r="C13" s="7">
        <v>-619.9</v>
      </c>
      <c r="D13" s="7">
        <v>-613.61</v>
      </c>
      <c r="E13" s="7">
        <v>-442.77</v>
      </c>
      <c r="F13" s="7">
        <v>-613.96</v>
      </c>
      <c r="G13" s="7">
        <v>-533.98</v>
      </c>
      <c r="H13" s="7">
        <v>-648.75</v>
      </c>
    </row>
    <row r="14" spans="1:29">
      <c r="A14" s="2">
        <v>0</v>
      </c>
      <c r="B14" s="2">
        <v>12.287000000000001</v>
      </c>
      <c r="C14" s="2">
        <v>13.27</v>
      </c>
      <c r="D14" s="2">
        <v>12.968</v>
      </c>
      <c r="E14" s="2">
        <v>10.593</v>
      </c>
      <c r="F14" s="2">
        <v>12.782</v>
      </c>
      <c r="G14" s="2">
        <v>11.685</v>
      </c>
      <c r="H14" s="2">
        <v>13.622999999999999</v>
      </c>
      <c r="V14" s="4"/>
    </row>
    <row r="15" spans="1:29">
      <c r="B15" s="7"/>
      <c r="C15" s="7"/>
      <c r="D15" s="7"/>
      <c r="E15" s="7"/>
      <c r="F15" s="7"/>
      <c r="G15" s="7"/>
      <c r="H15" s="7"/>
    </row>
    <row r="18" spans="1:20">
      <c r="A18" s="2" t="s">
        <v>53</v>
      </c>
      <c r="B18" s="2">
        <v>26161096.98</v>
      </c>
      <c r="C18" s="2">
        <v>28859416.460000001</v>
      </c>
      <c r="D18" s="2">
        <v>27457585.25</v>
      </c>
      <c r="E18" s="2">
        <v>27333511.760000002</v>
      </c>
      <c r="F18" s="2">
        <v>27931773.23</v>
      </c>
      <c r="G18" s="2">
        <v>19912396.649999999</v>
      </c>
      <c r="H18" s="2">
        <v>16650378.09</v>
      </c>
      <c r="I18" s="22">
        <f>SUM(B18:H18)</f>
        <v>174306158.42000002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2" t="s">
        <v>7</v>
      </c>
      <c r="B19" s="2">
        <f>B18*B2</f>
        <v>885170.3883399925</v>
      </c>
      <c r="C19" s="2">
        <f t="shared" ref="C19:H19" si="2">C18*C2</f>
        <v>1048505.5701520663</v>
      </c>
      <c r="D19" s="2">
        <f t="shared" si="2"/>
        <v>1128808.2310726987</v>
      </c>
      <c r="E19" s="2">
        <f t="shared" si="2"/>
        <v>1071217.9216902405</v>
      </c>
      <c r="F19" s="2">
        <f t="shared" si="2"/>
        <v>1285505.2611751407</v>
      </c>
      <c r="G19" s="2">
        <f t="shared" si="2"/>
        <v>630807.82353263337</v>
      </c>
      <c r="H19" s="2">
        <f t="shared" si="2"/>
        <v>549543.28714974422</v>
      </c>
      <c r="I19" s="23">
        <f>SUM(B19:H19)</f>
        <v>6599558.4831125159</v>
      </c>
      <c r="L19" s="16">
        <v>44627</v>
      </c>
      <c r="M19" s="2">
        <v>3.3835369710096631E-2</v>
      </c>
      <c r="N19" s="2">
        <v>3.9516493044061982</v>
      </c>
    </row>
    <row r="20" spans="1:20">
      <c r="L20" s="16">
        <v>44628</v>
      </c>
      <c r="M20" s="2">
        <v>3.6331488947648191E-2</v>
      </c>
      <c r="N20" s="2">
        <v>3.6188038198226313</v>
      </c>
    </row>
    <row r="21" spans="1:20">
      <c r="A21" s="2" t="s">
        <v>54</v>
      </c>
      <c r="B21" s="7">
        <f>B18-B18*B2*B4</f>
        <v>23303097.114694953</v>
      </c>
      <c r="C21" s="7">
        <f>C18-C18*C2*C4</f>
        <v>25656057.942394868</v>
      </c>
      <c r="D21" s="7">
        <f t="shared" ref="D21:H21" si="3">D18-D18*D2*D4</f>
        <v>24167653.897410497</v>
      </c>
      <c r="E21" s="7">
        <f t="shared" si="3"/>
        <v>24090714.946033176</v>
      </c>
      <c r="F21" s="7">
        <f t="shared" si="3"/>
        <v>24332404.17270365</v>
      </c>
      <c r="G21" s="7">
        <f t="shared" si="3"/>
        <v>17687717.301023066</v>
      </c>
      <c r="H21" s="7">
        <f t="shared" si="3"/>
        <v>14831653.079654705</v>
      </c>
      <c r="I21" s="7">
        <f>SUM(B21:H21)</f>
        <v>154069298.45391491</v>
      </c>
      <c r="L21" s="16">
        <v>44629</v>
      </c>
      <c r="M21" s="2">
        <v>4.1110979745485769E-2</v>
      </c>
      <c r="N21" s="2">
        <v>3.4313119437543307</v>
      </c>
    </row>
    <row r="22" spans="1:20">
      <c r="B22" s="5"/>
      <c r="C22" s="5"/>
      <c r="D22" s="5"/>
      <c r="E22" s="5"/>
      <c r="F22" s="5"/>
      <c r="G22" s="5"/>
      <c r="H22" s="5"/>
      <c r="L22" s="16">
        <v>44630</v>
      </c>
      <c r="M22" s="2">
        <v>3.9190643745157773E-2</v>
      </c>
      <c r="N22" s="2">
        <v>3.6413587865440697</v>
      </c>
    </row>
    <row r="23" spans="1:20">
      <c r="A23" s="2" t="s">
        <v>55</v>
      </c>
      <c r="B23" s="21">
        <f>B21*B2</f>
        <v>788468.90626598976</v>
      </c>
      <c r="C23" s="21">
        <f t="shared" ref="C23:H23" si="4">C21*C2</f>
        <v>932122.78557434073</v>
      </c>
      <c r="D23" s="21">
        <f t="shared" si="4"/>
        <v>993555.92987235321</v>
      </c>
      <c r="E23" s="21">
        <f t="shared" si="4"/>
        <v>944130.62701613398</v>
      </c>
      <c r="F23" s="21">
        <f t="shared" si="4"/>
        <v>1119851.3364505963</v>
      </c>
      <c r="G23" s="21">
        <f t="shared" si="4"/>
        <v>560331.87014275673</v>
      </c>
      <c r="H23" s="21">
        <f t="shared" si="4"/>
        <v>489516.53489197581</v>
      </c>
      <c r="I23" s="21">
        <f>SUM(B23:H23)</f>
        <v>5827977.9902141476</v>
      </c>
      <c r="L23" s="16">
        <v>44631</v>
      </c>
      <c r="M23" s="2">
        <v>4.6023045174749214E-2</v>
      </c>
      <c r="N23" s="2">
        <v>2.7457831368558412</v>
      </c>
    </row>
    <row r="24" spans="1:20">
      <c r="A24" s="2" t="s">
        <v>56</v>
      </c>
      <c r="B24" s="2">
        <f>B21*B3</f>
        <v>408223.65525522619</v>
      </c>
      <c r="C24" s="2">
        <f t="shared" ref="C24:H24" si="5">C21*C3</f>
        <v>418604.24138811469</v>
      </c>
      <c r="D24" s="2">
        <f t="shared" si="5"/>
        <v>1405542.4153655998</v>
      </c>
      <c r="E24" s="2">
        <f t="shared" si="5"/>
        <v>1386613.3708637776</v>
      </c>
      <c r="F24" s="2">
        <f t="shared" si="5"/>
        <v>389707.78523002163</v>
      </c>
      <c r="G24" s="2">
        <f t="shared" si="5"/>
        <v>922449.83268295485</v>
      </c>
      <c r="H24" s="2">
        <f t="shared" si="5"/>
        <v>896721.74519592349</v>
      </c>
      <c r="I24" s="21">
        <f>SUM(B24:H24)</f>
        <v>5827863.0459816176</v>
      </c>
      <c r="L24" s="16">
        <v>44632</v>
      </c>
      <c r="M24" s="2">
        <v>3.1679151164992154E-2</v>
      </c>
      <c r="N24" s="2">
        <v>4.5778793186237161</v>
      </c>
    </row>
    <row r="25" spans="1:20">
      <c r="J25" s="4"/>
      <c r="L25" s="16">
        <v>44633</v>
      </c>
      <c r="M25" s="2">
        <v>3.3004853354038417E-2</v>
      </c>
      <c r="N25" s="2">
        <v>4.0681688127773237</v>
      </c>
    </row>
    <row r="26" spans="1:20">
      <c r="A26" s="2" t="s">
        <v>57</v>
      </c>
      <c r="B26" s="2">
        <f>B23*B4</f>
        <v>2545774.3024271522</v>
      </c>
      <c r="C26" s="2">
        <f t="shared" ref="C26:H26" si="6">C23*C4</f>
        <v>2847789.7968537607</v>
      </c>
      <c r="D26" s="2">
        <f t="shared" si="6"/>
        <v>2895736.1527493638</v>
      </c>
      <c r="E26" s="2">
        <f t="shared" si="6"/>
        <v>2858077.4530224265</v>
      </c>
      <c r="F26" s="2">
        <f t="shared" si="6"/>
        <v>3135543.9537505554</v>
      </c>
      <c r="G26" s="2">
        <f t="shared" si="6"/>
        <v>1976130.7542117492</v>
      </c>
      <c r="H26" s="2">
        <f t="shared" si="6"/>
        <v>1620065.2174339199</v>
      </c>
      <c r="I26" s="2">
        <f>SUM(B26:H26)</f>
        <v>17879117.630448926</v>
      </c>
      <c r="J26" s="3"/>
      <c r="K26" s="2">
        <f>I25/I27</f>
        <v>0</v>
      </c>
    </row>
    <row r="27" spans="1:20">
      <c r="A27" s="2" t="s">
        <v>58</v>
      </c>
      <c r="B27" s="2">
        <f>B5*B24</f>
        <v>2301363.2554548606</v>
      </c>
      <c r="C27" s="2">
        <f t="shared" ref="C27:H27" si="7">C5*C24</f>
        <v>2540268.9721563738</v>
      </c>
      <c r="D27" s="2">
        <f t="shared" si="7"/>
        <v>3899063.978667072</v>
      </c>
      <c r="E27" s="2">
        <f t="shared" si="7"/>
        <v>3750707.1288468139</v>
      </c>
      <c r="F27" s="2">
        <f t="shared" si="7"/>
        <v>2277386.0419239183</v>
      </c>
      <c r="G27" s="2">
        <f t="shared" si="7"/>
        <v>2703450.3218723033</v>
      </c>
      <c r="H27" s="2">
        <f t="shared" si="7"/>
        <v>2579869.1805829331</v>
      </c>
      <c r="I27" s="2">
        <f>SUM(B27:H27)</f>
        <v>20052108.879504271</v>
      </c>
      <c r="J27" s="3"/>
    </row>
    <row r="28" spans="1:20">
      <c r="L28" s="2" t="s">
        <v>29</v>
      </c>
      <c r="M28" s="2" t="s">
        <v>30</v>
      </c>
      <c r="N28" s="2" t="s">
        <v>31</v>
      </c>
    </row>
    <row r="29" spans="1:20">
      <c r="L29" s="16">
        <v>44627</v>
      </c>
      <c r="M29" s="2">
        <v>473051</v>
      </c>
      <c r="N29" s="2">
        <v>26161096.98</v>
      </c>
    </row>
    <row r="30" spans="1:20">
      <c r="J30" s="4">
        <f>I28/I26</f>
        <v>0</v>
      </c>
      <c r="L30" s="16">
        <v>44628</v>
      </c>
      <c r="M30" s="2">
        <v>526283</v>
      </c>
      <c r="N30" s="2">
        <v>28859416.460000001</v>
      </c>
    </row>
    <row r="31" spans="1:20">
      <c r="L31" s="16">
        <v>44629</v>
      </c>
      <c r="M31" s="2">
        <v>495514</v>
      </c>
      <c r="N31" s="2">
        <v>27457585.25</v>
      </c>
    </row>
    <row r="32" spans="1:20">
      <c r="I32" s="7"/>
      <c r="L32" s="16">
        <v>44630</v>
      </c>
      <c r="M32" s="2">
        <v>493619</v>
      </c>
      <c r="N32" s="2">
        <v>27333511.760000002</v>
      </c>
    </row>
    <row r="33" spans="2:14">
      <c r="L33" s="16">
        <v>44631</v>
      </c>
      <c r="M33" s="2">
        <v>500954</v>
      </c>
      <c r="N33" s="2">
        <v>27931773.23</v>
      </c>
    </row>
    <row r="34" spans="2:14">
      <c r="L34" s="16">
        <v>44632</v>
      </c>
      <c r="M34" s="2">
        <v>380642</v>
      </c>
      <c r="N34" s="2">
        <v>19912396.649999999</v>
      </c>
    </row>
    <row r="35" spans="2:14">
      <c r="L35" s="16">
        <v>44633</v>
      </c>
      <c r="M35" s="2">
        <v>321566</v>
      </c>
      <c r="N35" s="2">
        <v>16650378.09</v>
      </c>
    </row>
    <row r="37" spans="2:14">
      <c r="G37" s="16"/>
    </row>
    <row r="38" spans="2:14">
      <c r="B38" s="6"/>
      <c r="C38" s="6"/>
      <c r="D38" s="6"/>
      <c r="E38" s="6"/>
      <c r="F38" s="6"/>
      <c r="G38" s="6"/>
      <c r="H38" s="6"/>
    </row>
    <row r="40" spans="2:14">
      <c r="G40" s="16"/>
    </row>
    <row r="41" spans="2:14">
      <c r="G41" s="16"/>
    </row>
    <row r="42" spans="2:14">
      <c r="G42" s="16"/>
    </row>
    <row r="43" spans="2:14">
      <c r="G43" s="16"/>
    </row>
    <row r="44" spans="2:14">
      <c r="G44" s="16"/>
    </row>
    <row r="45" spans="2:14">
      <c r="G45" s="16"/>
    </row>
    <row r="46" spans="2:14">
      <c r="G46" s="16"/>
    </row>
  </sheetData>
  <mergeCells count="5">
    <mergeCell ref="K6:K7"/>
    <mergeCell ref="L6:L7"/>
    <mergeCell ref="M6:M8"/>
    <mergeCell ref="N6:N8"/>
    <mergeCell ref="O6:O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>
      <selection activeCell="J11" sqref="J11"/>
    </sheetView>
  </sheetViews>
  <sheetFormatPr baseColWidth="10" defaultColWidth="8.6640625" defaultRowHeight="14"/>
  <cols>
    <col min="1" max="1" width="11.33203125" style="2" bestFit="1" customWidth="1"/>
    <col min="2" max="8" width="9.6640625" style="2" bestFit="1" customWidth="1"/>
    <col min="9" max="11" width="8.83203125" style="2" bestFit="1" customWidth="1"/>
    <col min="12" max="13" width="8.6640625" style="2"/>
    <col min="14" max="14" width="19" style="2" bestFit="1" customWidth="1"/>
    <col min="15" max="16384" width="8.6640625" style="2"/>
  </cols>
  <sheetData>
    <row r="1" spans="1:19" ht="26.5" customHeight="1" thickBot="1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2" t="s">
        <v>20</v>
      </c>
      <c r="N1" s="5"/>
    </row>
    <row r="2" spans="1:19">
      <c r="A2" s="2" t="s">
        <v>35</v>
      </c>
      <c r="B2" s="4">
        <v>3.9283930320709835E-2</v>
      </c>
      <c r="C2" s="4">
        <v>2.8681999421584458E-2</v>
      </c>
      <c r="D2" s="4">
        <v>3.4184757744286011E-2</v>
      </c>
      <c r="E2" s="4">
        <v>4.4912953751850102E-2</v>
      </c>
      <c r="F2" s="4">
        <v>3.241033688032631E-2</v>
      </c>
      <c r="G2" s="4">
        <v>3.6252044690482099E-2</v>
      </c>
      <c r="H2" s="4">
        <v>3.4650041463488906E-2</v>
      </c>
      <c r="I2" s="4">
        <f>SUM(B21:H21)/SUM(B20:H20)</f>
        <v>3.5735559450924048E-2</v>
      </c>
      <c r="L2" s="4"/>
    </row>
    <row r="3" spans="1:19">
      <c r="A3" s="2" t="s">
        <v>36</v>
      </c>
      <c r="B3" s="15">
        <v>3.3000000000000002E-2</v>
      </c>
      <c r="C3" s="15">
        <v>3.3000000000000002E-2</v>
      </c>
      <c r="D3" s="15">
        <v>3.2000000000000001E-2</v>
      </c>
      <c r="E3" s="15">
        <v>3.5000000000000003E-2</v>
      </c>
      <c r="F3" s="15">
        <v>3.5700000000000003E-2</v>
      </c>
      <c r="G3" s="15">
        <v>3.9E-2</v>
      </c>
      <c r="H3" s="15">
        <f>(I3*SUM(B20:H20)-SUM(B22:G22))/H20</f>
        <v>4.4370921834847081E-2</v>
      </c>
      <c r="I3" s="4">
        <f>I2</f>
        <v>3.5735559450924048E-2</v>
      </c>
      <c r="L3" s="3"/>
      <c r="N3" s="11"/>
      <c r="O3" s="13"/>
    </row>
    <row r="4" spans="1:19">
      <c r="A4" s="2" t="s">
        <v>32</v>
      </c>
      <c r="B4" s="7">
        <f>B$11*B2*B2*B2+B2*B2*B$12+B$13*B2+B$14</f>
        <v>2.9386959383320228</v>
      </c>
      <c r="C4" s="7">
        <f t="shared" ref="C4:H5" si="0">C$11*C2*C2*C2+C2*C2*C$12+C$13*C2+C$14</f>
        <v>3.6688202065992837</v>
      </c>
      <c r="D4" s="7">
        <f t="shared" si="0"/>
        <v>3.166634819369488</v>
      </c>
      <c r="E4" s="7">
        <f t="shared" si="0"/>
        <v>2.893775780297176</v>
      </c>
      <c r="F4" s="7">
        <f t="shared" si="0"/>
        <v>3.2128639114102313</v>
      </c>
      <c r="G4" s="7">
        <f t="shared" si="0"/>
        <v>3.2948323917594156</v>
      </c>
      <c r="H4" s="7">
        <f t="shared" si="0"/>
        <v>3.2037073233308231</v>
      </c>
      <c r="I4" s="7">
        <f>SUMPRODUCT(B4:H4,B21:H21)/SUM(B21:H21)</f>
        <v>3.167607360532418</v>
      </c>
      <c r="J4" s="7"/>
    </row>
    <row r="5" spans="1:19">
      <c r="A5" s="2" t="s">
        <v>33</v>
      </c>
      <c r="B5" s="7">
        <f>B$11*B3*B3*B3+B3*B3*B$12+B$13*B3+B$14</f>
        <v>3.2907793160000001</v>
      </c>
      <c r="C5" s="7">
        <f t="shared" si="0"/>
        <v>3.26001166</v>
      </c>
      <c r="D5" s="7">
        <f t="shared" si="0"/>
        <v>3.3135390720000011</v>
      </c>
      <c r="E5" s="7">
        <f t="shared" si="0"/>
        <v>3.1979794999999989</v>
      </c>
      <c r="F5" s="7">
        <f t="shared" si="0"/>
        <v>3.025013586664997</v>
      </c>
      <c r="G5" s="7">
        <f t="shared" si="0"/>
        <v>3.2048669880000009</v>
      </c>
      <c r="H5" s="7">
        <f t="shared" si="0"/>
        <v>2.941639280956986</v>
      </c>
      <c r="I5" s="7">
        <f>SUMPRODUCT(B5:H5,B22:H22)/SUM(B22:H22)</f>
        <v>3.1684129051885019</v>
      </c>
      <c r="J5" s="7"/>
      <c r="L5" s="4"/>
      <c r="N5" s="4"/>
    </row>
    <row r="6" spans="1:19">
      <c r="A6" s="2" t="s">
        <v>34</v>
      </c>
      <c r="B6" s="4">
        <f>B5/B4-1</f>
        <v>0.11980939336916108</v>
      </c>
      <c r="C6" s="4">
        <f t="shared" ref="C6:H6" si="1">C5/C4-1</f>
        <v>-0.11142779519801493</v>
      </c>
      <c r="D6" s="4">
        <f t="shared" si="1"/>
        <v>4.6391283179209042E-2</v>
      </c>
      <c r="E6" s="4">
        <f t="shared" si="1"/>
        <v>0.10512345903716924</v>
      </c>
      <c r="F6" s="4">
        <f t="shared" si="1"/>
        <v>-5.8468185993841404E-2</v>
      </c>
      <c r="G6" s="4">
        <f t="shared" si="1"/>
        <v>-2.7305001609315149E-2</v>
      </c>
      <c r="H6" s="4">
        <f t="shared" si="1"/>
        <v>-8.1801493059413088E-2</v>
      </c>
      <c r="I6" s="17">
        <f>I5/I4</f>
        <v>1.0002543069782326</v>
      </c>
      <c r="J6" s="17"/>
      <c r="L6" s="3"/>
      <c r="N6" s="9"/>
    </row>
    <row r="7" spans="1:19">
      <c r="B7" s="3" t="str">
        <f>IF(B4&lt;$I$4,"-","+")</f>
        <v>-</v>
      </c>
      <c r="C7" s="3" t="str">
        <f t="shared" ref="C7:H7" si="2">IF(C4&lt;$I$4,"-","+")</f>
        <v>+</v>
      </c>
      <c r="D7" s="3" t="str">
        <f t="shared" si="2"/>
        <v>-</v>
      </c>
      <c r="E7" s="3" t="str">
        <f t="shared" si="2"/>
        <v>-</v>
      </c>
      <c r="F7" s="3" t="str">
        <f t="shared" si="2"/>
        <v>+</v>
      </c>
      <c r="G7" s="3" t="str">
        <f t="shared" si="2"/>
        <v>+</v>
      </c>
      <c r="H7" s="3" t="str">
        <f t="shared" si="2"/>
        <v>+</v>
      </c>
      <c r="M7" s="8"/>
    </row>
    <row r="8" spans="1:19">
      <c r="B8" s="8">
        <f>B3-B2</f>
        <v>-6.2839303207098338E-3</v>
      </c>
      <c r="C8" s="8">
        <f t="shared" ref="C8:H8" si="3">C3-C2</f>
        <v>4.3180005784155435E-3</v>
      </c>
      <c r="D8" s="8">
        <f t="shared" si="3"/>
        <v>-2.1847577442860103E-3</v>
      </c>
      <c r="E8" s="8">
        <f t="shared" si="3"/>
        <v>-9.9129537518500982E-3</v>
      </c>
      <c r="F8" s="8">
        <f t="shared" si="3"/>
        <v>3.2896631196736928E-3</v>
      </c>
      <c r="G8" s="8">
        <f t="shared" si="3"/>
        <v>2.7479553095179007E-3</v>
      </c>
      <c r="H8" s="8">
        <f t="shared" si="3"/>
        <v>9.7208803713581746E-3</v>
      </c>
      <c r="I8" s="5"/>
      <c r="M8" s="8"/>
    </row>
    <row r="9" spans="1:19">
      <c r="I9" s="5"/>
    </row>
    <row r="10" spans="1:19">
      <c r="J10" s="5"/>
    </row>
    <row r="11" spans="1:19">
      <c r="A11" s="2">
        <v>3</v>
      </c>
      <c r="B11" s="2">
        <v>-64132</v>
      </c>
      <c r="C11" s="2">
        <v>-80820</v>
      </c>
      <c r="D11" s="2">
        <v>-84496</v>
      </c>
      <c r="E11" s="2">
        <v>-57728</v>
      </c>
      <c r="F11" s="2">
        <v>-88595</v>
      </c>
      <c r="G11" s="2">
        <v>-83348</v>
      </c>
      <c r="H11" s="2">
        <v>-87339</v>
      </c>
      <c r="K11" s="4"/>
    </row>
    <row r="12" spans="1:19">
      <c r="A12" s="2">
        <v>2</v>
      </c>
      <c r="B12" s="2">
        <v>10149</v>
      </c>
      <c r="C12" s="2">
        <v>12260</v>
      </c>
      <c r="D12" s="2">
        <v>12451</v>
      </c>
      <c r="E12" s="2">
        <v>8634.2999999999993</v>
      </c>
      <c r="F12" s="2">
        <v>12705</v>
      </c>
      <c r="G12" s="2">
        <v>11367</v>
      </c>
      <c r="H12" s="2">
        <v>13071</v>
      </c>
      <c r="S12" s="12"/>
    </row>
    <row r="13" spans="1:19">
      <c r="A13" s="2">
        <v>1</v>
      </c>
      <c r="B13" s="7">
        <v>-537.69000000000005</v>
      </c>
      <c r="C13" s="7">
        <v>-619.9</v>
      </c>
      <c r="D13" s="7">
        <v>-613.61</v>
      </c>
      <c r="E13" s="7">
        <v>-442.77</v>
      </c>
      <c r="F13" s="7">
        <v>-613.96</v>
      </c>
      <c r="G13" s="7">
        <v>-533.98</v>
      </c>
      <c r="H13" s="7">
        <v>-648.75</v>
      </c>
    </row>
    <row r="14" spans="1:19">
      <c r="A14" s="2">
        <v>0</v>
      </c>
      <c r="B14" s="2">
        <v>12.287000000000001</v>
      </c>
      <c r="C14" s="2">
        <v>13.27</v>
      </c>
      <c r="D14" s="2">
        <v>12.968</v>
      </c>
      <c r="E14" s="2">
        <v>10.593</v>
      </c>
      <c r="F14" s="2">
        <v>12.782</v>
      </c>
      <c r="G14" s="2">
        <v>11.685</v>
      </c>
      <c r="H14" s="2">
        <v>13.622999999999999</v>
      </c>
      <c r="L14" s="4"/>
    </row>
    <row r="15" spans="1:19">
      <c r="B15" s="8">
        <f>B5/B4</f>
        <v>1.1198093933691611</v>
      </c>
      <c r="C15" s="8"/>
      <c r="D15" s="8"/>
      <c r="E15" s="8"/>
      <c r="F15" s="8"/>
      <c r="G15" s="8"/>
      <c r="H15" s="8"/>
    </row>
    <row r="18" spans="1:10">
      <c r="A18" s="2" t="s">
        <v>28</v>
      </c>
      <c r="B18" s="4">
        <f>B4/B19-1</f>
        <v>4.2029374848544521E-2</v>
      </c>
      <c r="C18" s="4">
        <f t="shared" ref="C18:I18" si="4">C4/C19-1</f>
        <v>2.2430754142528819E-2</v>
      </c>
      <c r="D18" s="4">
        <f t="shared" si="4"/>
        <v>1.1795732753900001E-2</v>
      </c>
      <c r="E18" s="4">
        <f t="shared" si="4"/>
        <v>8.8946398844668595E-2</v>
      </c>
      <c r="F18" s="4">
        <f t="shared" si="4"/>
        <v>-1.1737047287423419E-2</v>
      </c>
      <c r="G18" s="4">
        <f t="shared" si="4"/>
        <v>7.6433358013658692E-2</v>
      </c>
      <c r="H18" s="4">
        <f t="shared" si="4"/>
        <v>2.6522698285851076E-2</v>
      </c>
      <c r="I18" s="4">
        <f t="shared" si="4"/>
        <v>3.6979375123351366E-2</v>
      </c>
    </row>
    <row r="19" spans="1:10">
      <c r="A19" s="2" t="s">
        <v>3</v>
      </c>
      <c r="B19" s="2">
        <v>2.8201661193660232</v>
      </c>
      <c r="C19" s="2">
        <v>3.5883312309753186</v>
      </c>
      <c r="D19" s="7">
        <v>3.1297175080493362</v>
      </c>
      <c r="E19" s="2">
        <v>2.6574088342340487</v>
      </c>
      <c r="F19" s="2">
        <v>3.2510213021661767</v>
      </c>
      <c r="G19" s="2">
        <v>3.0608791219916913</v>
      </c>
      <c r="H19" s="2">
        <v>3.1209317910656673</v>
      </c>
      <c r="I19" s="2">
        <v>3.0546483724959552</v>
      </c>
    </row>
    <row r="20" spans="1:10">
      <c r="A20" s="2" t="s">
        <v>6</v>
      </c>
      <c r="B20" s="2">
        <v>23772681.739999998</v>
      </c>
      <c r="C20" s="2">
        <v>24727618.27</v>
      </c>
      <c r="D20" s="2">
        <v>24747353.5</v>
      </c>
      <c r="E20" s="2">
        <v>25305324.149999999</v>
      </c>
      <c r="F20" s="2">
        <v>28254864.550000001</v>
      </c>
      <c r="G20" s="2">
        <v>22575123.52</v>
      </c>
      <c r="H20" s="2">
        <v>19807369.5</v>
      </c>
      <c r="I20" s="2">
        <f>SUM(B20:H20)</f>
        <v>169190335.22999999</v>
      </c>
    </row>
    <row r="21" spans="1:10">
      <c r="A21" s="2" t="s">
        <v>7</v>
      </c>
      <c r="B21" s="2">
        <f t="shared" ref="B21:H21" si="5">B20*B2</f>
        <v>933884.373010571</v>
      </c>
      <c r="C21" s="2">
        <f t="shared" si="5"/>
        <v>709237.53291730129</v>
      </c>
      <c r="D21" s="2">
        <f t="shared" si="5"/>
        <v>845982.28420970857</v>
      </c>
      <c r="E21" s="2">
        <f t="shared" si="5"/>
        <v>1136536.8532245255</v>
      </c>
      <c r="F21" s="2">
        <f t="shared" si="5"/>
        <v>915749.67857348942</v>
      </c>
      <c r="G21" s="2">
        <f t="shared" si="5"/>
        <v>818394.38674019359</v>
      </c>
      <c r="H21" s="2">
        <f t="shared" si="5"/>
        <v>686326.17445764551</v>
      </c>
      <c r="I21" s="2">
        <f>SUM(B21:H21)</f>
        <v>6046111.2831334341</v>
      </c>
    </row>
    <row r="22" spans="1:10">
      <c r="A22" s="2" t="s">
        <v>8</v>
      </c>
      <c r="B22" s="2">
        <f t="shared" ref="B22:H22" si="6">B3*B20</f>
        <v>784498.49742000003</v>
      </c>
      <c r="C22" s="2">
        <f t="shared" si="6"/>
        <v>816011.40291000006</v>
      </c>
      <c r="D22" s="2">
        <f t="shared" si="6"/>
        <v>791915.31200000003</v>
      </c>
      <c r="E22" s="2">
        <f t="shared" si="6"/>
        <v>885686.34525000001</v>
      </c>
      <c r="F22" s="2">
        <f t="shared" si="6"/>
        <v>1008698.664435</v>
      </c>
      <c r="G22" s="2">
        <f t="shared" si="6"/>
        <v>880429.81727999996</v>
      </c>
      <c r="H22" s="2">
        <f t="shared" si="6"/>
        <v>878871.24383843411</v>
      </c>
      <c r="I22" s="2">
        <f>SUM(B22:H22)</f>
        <v>6046111.2831334341</v>
      </c>
    </row>
    <row r="23" spans="1:10">
      <c r="B23" s="2">
        <f>B22/B20</f>
        <v>3.3000000000000002E-2</v>
      </c>
      <c r="C23" s="2">
        <f t="shared" ref="C23:H23" si="7">C22/C20</f>
        <v>3.3000000000000002E-2</v>
      </c>
      <c r="D23" s="2">
        <f t="shared" si="7"/>
        <v>3.2000000000000001E-2</v>
      </c>
      <c r="E23" s="2">
        <f t="shared" si="7"/>
        <v>3.5000000000000003E-2</v>
      </c>
      <c r="F23" s="2">
        <f t="shared" si="7"/>
        <v>3.5700000000000003E-2</v>
      </c>
      <c r="G23" s="2">
        <f t="shared" si="7"/>
        <v>3.9E-2</v>
      </c>
      <c r="H23" s="2">
        <f t="shared" si="7"/>
        <v>4.4370921834847081E-2</v>
      </c>
    </row>
    <row r="24" spans="1:10">
      <c r="A24" s="2" t="s">
        <v>46</v>
      </c>
    </row>
    <row r="25" spans="1:10">
      <c r="F25" s="14"/>
    </row>
    <row r="26" spans="1:10">
      <c r="B26" s="2">
        <f>B22/$I$22</f>
        <v>0.12975257329591011</v>
      </c>
      <c r="C26" s="2">
        <f t="shared" ref="C26:H26" si="8">C22/$I$22</f>
        <v>0.13496466814734134</v>
      </c>
      <c r="D26" s="2">
        <f t="shared" si="8"/>
        <v>0.13097928154401833</v>
      </c>
      <c r="E26" s="2">
        <f t="shared" si="8"/>
        <v>0.14648859469734862</v>
      </c>
      <c r="F26" s="2">
        <f t="shared" si="8"/>
        <v>0.16683428689923746</v>
      </c>
      <c r="G26" s="2">
        <f t="shared" si="8"/>
        <v>0.14561918827661932</v>
      </c>
      <c r="H26" s="2">
        <f t="shared" si="8"/>
        <v>0.14536140713952483</v>
      </c>
    </row>
    <row r="27" spans="1:10">
      <c r="I27" s="2">
        <f>SUMPRODUCT(B26:H26,B5:H5)</f>
        <v>3.1684129051885019</v>
      </c>
    </row>
    <row r="30" spans="1:10" ht="15" thickBot="1">
      <c r="B30" s="6"/>
      <c r="C30" s="2" t="s">
        <v>29</v>
      </c>
      <c r="D30" s="2" t="s">
        <v>30</v>
      </c>
      <c r="E30" s="2" t="s">
        <v>31</v>
      </c>
      <c r="F30" s="6"/>
      <c r="G30" s="6" t="s">
        <v>29</v>
      </c>
      <c r="H30" s="6" t="s">
        <v>37</v>
      </c>
      <c r="I30" s="2" t="s">
        <v>31</v>
      </c>
    </row>
    <row r="31" spans="1:10" ht="15" thickBot="1">
      <c r="C31" s="16">
        <v>44865</v>
      </c>
      <c r="D31" s="6">
        <v>420301</v>
      </c>
      <c r="E31" s="6">
        <v>23772681.739999998</v>
      </c>
      <c r="F31" s="2">
        <v>10.31</v>
      </c>
      <c r="G31" s="1" t="s">
        <v>21</v>
      </c>
      <c r="H31" s="2">
        <v>2.8201661193660232</v>
      </c>
      <c r="I31" s="2">
        <v>23772681.739999998</v>
      </c>
      <c r="J31" s="2">
        <v>3.9283930320709835E-2</v>
      </c>
    </row>
    <row r="32" spans="1:10" ht="15" thickBot="1">
      <c r="C32" s="16">
        <v>44866</v>
      </c>
      <c r="D32" s="2">
        <v>434295</v>
      </c>
      <c r="E32" s="2">
        <v>24727618.27</v>
      </c>
      <c r="G32" s="1" t="s">
        <v>22</v>
      </c>
      <c r="H32" s="2">
        <v>3.5883312309753186</v>
      </c>
      <c r="I32" s="2">
        <v>24727618.27</v>
      </c>
      <c r="J32" s="2">
        <v>2.8681999421584458E-2</v>
      </c>
    </row>
    <row r="33" spans="2:10" ht="15" thickBot="1">
      <c r="B33" s="7"/>
      <c r="C33" s="16">
        <v>44867</v>
      </c>
      <c r="D33" s="2">
        <v>435898</v>
      </c>
      <c r="E33" s="2">
        <v>24747353.5</v>
      </c>
      <c r="F33" s="7"/>
      <c r="G33" s="1" t="s">
        <v>23</v>
      </c>
      <c r="H33" s="7">
        <v>3.1297175080493362</v>
      </c>
      <c r="I33" s="2">
        <v>24747353.5</v>
      </c>
      <c r="J33" s="2">
        <v>3.4184757744286011E-2</v>
      </c>
    </row>
    <row r="34" spans="2:10" ht="15" thickBot="1">
      <c r="C34" s="7">
        <v>44868</v>
      </c>
      <c r="D34" s="7">
        <v>441561</v>
      </c>
      <c r="E34" s="7">
        <v>25305324.149999999</v>
      </c>
      <c r="G34" s="1" t="s">
        <v>24</v>
      </c>
      <c r="H34" s="2">
        <v>2.6574088342340487</v>
      </c>
      <c r="I34" s="2">
        <v>25305324.149999999</v>
      </c>
      <c r="J34" s="2">
        <v>4.4912953751850102E-2</v>
      </c>
    </row>
    <row r="35" spans="2:10" ht="15" thickBot="1">
      <c r="C35" s="16">
        <v>44869</v>
      </c>
      <c r="D35" s="2">
        <v>481902</v>
      </c>
      <c r="E35" s="2">
        <v>28254864.550000001</v>
      </c>
      <c r="G35" s="1" t="s">
        <v>25</v>
      </c>
      <c r="H35" s="2">
        <v>3.2510213021661767</v>
      </c>
      <c r="I35" s="2">
        <v>28254864.550000001</v>
      </c>
      <c r="J35" s="2">
        <v>3.241033688032631E-2</v>
      </c>
    </row>
    <row r="36" spans="2:10" ht="15" thickBot="1">
      <c r="C36" s="16">
        <v>44870</v>
      </c>
      <c r="D36" s="2">
        <v>403836</v>
      </c>
      <c r="E36" s="2">
        <v>22575123.52</v>
      </c>
      <c r="G36" s="1" t="s">
        <v>26</v>
      </c>
      <c r="H36" s="2">
        <v>3.0608791219916913</v>
      </c>
      <c r="I36" s="2">
        <v>22575123.52</v>
      </c>
      <c r="J36" s="2">
        <v>3.6252044690482099E-2</v>
      </c>
    </row>
    <row r="37" spans="2:10" ht="15" thickBot="1">
      <c r="C37" s="16">
        <v>44871</v>
      </c>
      <c r="D37" s="2">
        <v>351084</v>
      </c>
      <c r="E37" s="2">
        <v>19807369.5</v>
      </c>
      <c r="G37" s="1" t="s">
        <v>27</v>
      </c>
      <c r="H37" s="2">
        <v>3.1209317910656673</v>
      </c>
      <c r="I37" s="2">
        <v>19807369.5</v>
      </c>
      <c r="J37" s="2">
        <v>3.4650041463488906E-2</v>
      </c>
    </row>
    <row r="38" spans="2:10">
      <c r="G38" s="16"/>
    </row>
    <row r="39" spans="2:10">
      <c r="G39" s="16"/>
    </row>
    <row r="40" spans="2:10">
      <c r="G40" s="16"/>
    </row>
    <row r="41" spans="2:10">
      <c r="G41" s="16"/>
    </row>
    <row r="42" spans="2:10">
      <c r="G42" s="16"/>
    </row>
    <row r="43" spans="2:10">
      <c r="G43" s="16"/>
    </row>
    <row r="44" spans="2:10">
      <c r="G44" s="16"/>
    </row>
    <row r="45" spans="2:10">
      <c r="G45" s="16"/>
    </row>
    <row r="46" spans="2:10">
      <c r="G46" s="16"/>
    </row>
    <row r="47" spans="2:10">
      <c r="G47" s="16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6"/>
  <sheetViews>
    <sheetView topLeftCell="B2" zoomScale="169" workbookViewId="0">
      <selection activeCell="I27" sqref="I27"/>
    </sheetView>
  </sheetViews>
  <sheetFormatPr baseColWidth="10" defaultColWidth="8.6640625" defaultRowHeight="14"/>
  <cols>
    <col min="1" max="1" width="11.5" style="2" bestFit="1" customWidth="1"/>
    <col min="2" max="8" width="9.83203125" style="2" bestFit="1" customWidth="1"/>
    <col min="9" max="9" width="11.1640625" style="2" bestFit="1" customWidth="1"/>
    <col min="10" max="10" width="12.5" style="2" bestFit="1" customWidth="1"/>
    <col min="11" max="13" width="8.83203125" style="2" customWidth="1"/>
    <col min="14" max="14" width="12" style="2" bestFit="1" customWidth="1"/>
    <col min="15" max="15" width="12.5" style="2" bestFit="1" customWidth="1"/>
    <col min="16" max="19" width="8.83203125" style="2" hidden="1" customWidth="1"/>
    <col min="20" max="20" width="8.83203125" style="2" customWidth="1"/>
    <col min="21" max="21" width="8.83203125" style="2" bestFit="1" customWidth="1"/>
    <col min="22" max="23" width="8.6640625" style="2"/>
    <col min="24" max="24" width="19" style="2" bestFit="1" customWidth="1"/>
    <col min="25" max="16384" width="8.6640625" style="2"/>
  </cols>
  <sheetData>
    <row r="1" spans="1:29" ht="15" thickBot="1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2" t="s">
        <v>20</v>
      </c>
      <c r="X1" s="5"/>
    </row>
    <row r="2" spans="1:29">
      <c r="A2" s="2" t="s">
        <v>35</v>
      </c>
      <c r="B2" s="4">
        <v>3.3835369710096631E-2</v>
      </c>
      <c r="C2" s="4">
        <v>3.6331488947648191E-2</v>
      </c>
      <c r="D2" s="4">
        <v>4.1110979745485769E-2</v>
      </c>
      <c r="E2" s="4">
        <v>3.9190643745157773E-2</v>
      </c>
      <c r="F2" s="4">
        <v>4.6023045174749214E-2</v>
      </c>
      <c r="G2" s="4">
        <v>3.1679151164992154E-2</v>
      </c>
      <c r="H2" s="4">
        <v>3.3004853354038417E-2</v>
      </c>
      <c r="I2" s="4">
        <f>SUM(B21:H21)/SUM(B20:H20)</f>
        <v>3.7861877875883916E-2</v>
      </c>
      <c r="V2" s="4"/>
    </row>
    <row r="3" spans="1:29">
      <c r="A3" s="2" t="s">
        <v>36</v>
      </c>
      <c r="B3" s="15">
        <v>3.5999999999999997E-2</v>
      </c>
      <c r="C3" s="15">
        <v>3.5999999999999997E-2</v>
      </c>
      <c r="D3" s="15">
        <v>3.5999999999999997E-2</v>
      </c>
      <c r="E3" s="15">
        <v>3.7699999999999997E-2</v>
      </c>
      <c r="F3" s="15">
        <v>3.4200000000000001E-2</v>
      </c>
      <c r="G3" s="15">
        <v>4.4999999999999998E-2</v>
      </c>
      <c r="H3" s="15">
        <v>3.6999999999999998E-2</v>
      </c>
      <c r="I3" s="4">
        <f>I2</f>
        <v>3.7861877875883916E-2</v>
      </c>
      <c r="J3" s="3">
        <f>I4/J4-1</f>
        <v>-1.816286633226849E-2</v>
      </c>
      <c r="K3" s="3"/>
      <c r="L3" s="3"/>
      <c r="M3" s="3"/>
      <c r="N3" s="3"/>
      <c r="O3" s="3"/>
      <c r="P3" s="3"/>
      <c r="Q3" s="3"/>
      <c r="R3" s="3"/>
      <c r="S3" s="3"/>
      <c r="T3" s="3"/>
      <c r="V3" s="3"/>
      <c r="X3" s="11"/>
      <c r="Y3" s="13"/>
    </row>
    <row r="4" spans="1:29">
      <c r="A4" s="2" t="s">
        <v>32</v>
      </c>
      <c r="B4" s="7">
        <f>B$11*B2*B2*B2+B2*B2*B$12+B$13*B2+B$14</f>
        <v>3.2287567489292162</v>
      </c>
      <c r="C4" s="7">
        <f t="shared" ref="C4:H4" si="0">C$11*C2*C2*C2+C2*C2*C$12+C$13*C2+C$14</f>
        <v>3.0551659512314728</v>
      </c>
      <c r="D4" s="7">
        <f t="shared" si="0"/>
        <v>2.9145175079589052</v>
      </c>
      <c r="E4" s="7">
        <f t="shared" si="0"/>
        <v>3.0272055277511782</v>
      </c>
      <c r="F4" s="7">
        <f t="shared" si="0"/>
        <v>2.7999644700061346</v>
      </c>
      <c r="G4" s="7">
        <f t="shared" si="0"/>
        <v>3.526714897919847</v>
      </c>
      <c r="H4" s="7">
        <f t="shared" si="0"/>
        <v>3.3095209292397616</v>
      </c>
      <c r="I4" s="7">
        <f>I23/I21</f>
        <v>3.0663960351088337</v>
      </c>
      <c r="J4" s="2">
        <f>AVERAGE(B4:H4)</f>
        <v>3.1231208618623589</v>
      </c>
      <c r="K4" s="7"/>
      <c r="L4" s="7"/>
      <c r="M4" s="7"/>
      <c r="N4" s="7"/>
      <c r="O4" s="7"/>
      <c r="P4" s="7"/>
      <c r="Q4" s="7"/>
      <c r="R4" s="7"/>
      <c r="S4" s="7"/>
      <c r="T4" s="7"/>
    </row>
    <row r="5" spans="1:29">
      <c r="A5" s="2" t="s">
        <v>33</v>
      </c>
      <c r="B5" s="7">
        <f>B$11*B3*B3*B3+B3*B3*B$12+B$13*B3+B$14</f>
        <v>3.0911214079999976</v>
      </c>
      <c r="C5" s="7">
        <f t="shared" ref="C5:H5" si="1">C$11*C3*C3*C3+C3*C3*C$12+C$13*C3+C$14</f>
        <v>3.0718220800000005</v>
      </c>
      <c r="D5" s="7">
        <f t="shared" si="1"/>
        <v>3.0722906240000007</v>
      </c>
      <c r="E5" s="7">
        <f t="shared" si="1"/>
        <v>3.079197009176001</v>
      </c>
      <c r="F5" s="7">
        <f t="shared" si="1"/>
        <v>3.1008946516399956</v>
      </c>
      <c r="G5" s="7">
        <f t="shared" si="1"/>
        <v>3.0789885000000012</v>
      </c>
      <c r="H5" s="7">
        <f t="shared" si="1"/>
        <v>3.0894666329999971</v>
      </c>
      <c r="I5" s="7">
        <f>I25/I27</f>
        <v>3.36999427016376</v>
      </c>
      <c r="J5" s="7"/>
      <c r="K5" s="7"/>
      <c r="L5" s="7"/>
      <c r="M5" s="7"/>
      <c r="N5" s="7" t="s">
        <v>40</v>
      </c>
      <c r="O5" s="7" t="s">
        <v>41</v>
      </c>
      <c r="P5" s="7"/>
      <c r="Q5" s="7"/>
      <c r="R5" s="7"/>
      <c r="S5" s="7"/>
      <c r="T5" s="7"/>
      <c r="V5" s="4"/>
      <c r="X5" s="4"/>
    </row>
    <row r="6" spans="1:29" ht="16">
      <c r="A6" s="2" t="s">
        <v>34</v>
      </c>
      <c r="B6" s="4">
        <f>B5/B4-1</f>
        <v>-4.2627968481943945E-2</v>
      </c>
      <c r="C6" s="4">
        <f t="shared" ref="C6:I6" si="2">C5/C4-1</f>
        <v>5.4517918287921852E-3</v>
      </c>
      <c r="D6" s="4">
        <f t="shared" si="2"/>
        <v>5.4133528314807444E-2</v>
      </c>
      <c r="E6" s="4">
        <f t="shared" si="2"/>
        <v>1.7174744479092396E-2</v>
      </c>
      <c r="F6" s="4">
        <f t="shared" si="2"/>
        <v>0.10747642866811158</v>
      </c>
      <c r="G6" s="4">
        <f t="shared" si="2"/>
        <v>-0.12695281894885435</v>
      </c>
      <c r="H6" s="4">
        <f t="shared" si="2"/>
        <v>-6.6491284069417733E-2</v>
      </c>
      <c r="I6" s="17">
        <f t="shared" si="2"/>
        <v>9.9008161887396584E-2</v>
      </c>
      <c r="J6" s="18">
        <v>0.96533539474459795</v>
      </c>
      <c r="K6" s="24">
        <f>SUMPRODUCT(I6:I7,J6:J7)</f>
        <v>9.5576083038507037E-2</v>
      </c>
      <c r="L6" s="25">
        <v>0.93</v>
      </c>
      <c r="M6" s="26">
        <f>SUMPRODUCT(K6:K8,L6:L8)</f>
        <v>8.8885757225811546E-2</v>
      </c>
      <c r="N6" s="26">
        <v>0.7</v>
      </c>
      <c r="O6" s="27">
        <f>M6*N6</f>
        <v>6.2220030058068081E-2</v>
      </c>
      <c r="P6" s="17"/>
      <c r="Q6" s="17"/>
      <c r="R6" s="17"/>
      <c r="S6" s="17"/>
      <c r="T6" s="17"/>
      <c r="V6" s="3"/>
      <c r="X6" s="9"/>
    </row>
    <row r="7" spans="1:29" ht="16">
      <c r="A7" s="2" t="s">
        <v>38</v>
      </c>
      <c r="B7" s="3" t="str">
        <f>IF(B4&lt;$I$4,"-","+")</f>
        <v>+</v>
      </c>
      <c r="C7" s="3" t="str">
        <f t="shared" ref="C7:H7" si="3">IF(C4&lt;$I$4,"-","+")</f>
        <v>-</v>
      </c>
      <c r="D7" s="3" t="str">
        <f t="shared" si="3"/>
        <v>-</v>
      </c>
      <c r="E7" s="3" t="str">
        <f t="shared" si="3"/>
        <v>-</v>
      </c>
      <c r="F7" s="3" t="str">
        <f t="shared" si="3"/>
        <v>-</v>
      </c>
      <c r="G7" s="3" t="str">
        <f t="shared" si="3"/>
        <v>+</v>
      </c>
      <c r="H7" s="3" t="str">
        <f t="shared" si="3"/>
        <v>+</v>
      </c>
      <c r="J7" s="18">
        <v>3.4664605255402048E-2</v>
      </c>
      <c r="K7" s="24"/>
      <c r="L7" s="25"/>
      <c r="M7" s="26"/>
      <c r="N7" s="26"/>
      <c r="O7" s="27"/>
      <c r="W7" s="8"/>
    </row>
    <row r="8" spans="1:29" ht="16">
      <c r="A8" s="2" t="s">
        <v>39</v>
      </c>
      <c r="B8" s="8">
        <f>B3-B2</f>
        <v>2.1646302899033659E-3</v>
      </c>
      <c r="C8" s="8">
        <f t="shared" ref="C8:H8" si="4">C3-C2</f>
        <v>-3.3148894764819387E-4</v>
      </c>
      <c r="D8" s="8">
        <f t="shared" si="4"/>
        <v>-5.1109797454857719E-3</v>
      </c>
      <c r="E8" s="8">
        <f t="shared" si="4"/>
        <v>-1.4906437451577756E-3</v>
      </c>
      <c r="F8" s="8">
        <f t="shared" si="4"/>
        <v>-1.1823045174749212E-2</v>
      </c>
      <c r="G8" s="8">
        <f t="shared" si="4"/>
        <v>1.3320848835007844E-2</v>
      </c>
      <c r="H8" s="8">
        <f t="shared" si="4"/>
        <v>3.9951466459615809E-3</v>
      </c>
      <c r="I8" s="5"/>
      <c r="J8" s="18"/>
      <c r="K8" s="18">
        <v>0</v>
      </c>
      <c r="L8" s="19">
        <f>1-L6</f>
        <v>6.9999999999999951E-2</v>
      </c>
      <c r="M8" s="26"/>
      <c r="N8" s="26"/>
      <c r="O8" s="27"/>
      <c r="W8" s="8"/>
    </row>
    <row r="9" spans="1:29">
      <c r="I9" s="5"/>
    </row>
    <row r="10" spans="1:29">
      <c r="A10" s="2" t="s">
        <v>42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9">
      <c r="A11" s="2">
        <v>3</v>
      </c>
      <c r="B11" s="2">
        <v>-64132</v>
      </c>
      <c r="C11" s="2">
        <v>-80820</v>
      </c>
      <c r="D11" s="2">
        <v>-84496</v>
      </c>
      <c r="E11" s="2">
        <v>-57728</v>
      </c>
      <c r="F11" s="2">
        <v>-88595</v>
      </c>
      <c r="G11" s="2">
        <v>-83348</v>
      </c>
      <c r="H11" s="2">
        <v>-87339</v>
      </c>
      <c r="J11" s="2">
        <v>3.08</v>
      </c>
      <c r="K11" s="4">
        <f>J11/I4-1</f>
        <v>4.4364670236352044E-3</v>
      </c>
      <c r="U11" s="4"/>
    </row>
    <row r="12" spans="1:29">
      <c r="A12" s="2">
        <v>2</v>
      </c>
      <c r="B12" s="2">
        <v>10149</v>
      </c>
      <c r="C12" s="2">
        <v>12260</v>
      </c>
      <c r="D12" s="2">
        <v>12451</v>
      </c>
      <c r="E12" s="2">
        <v>8634.2999999999993</v>
      </c>
      <c r="F12" s="2">
        <v>12705</v>
      </c>
      <c r="G12" s="2">
        <v>11367</v>
      </c>
      <c r="H12" s="2">
        <v>13071</v>
      </c>
      <c r="AC12" s="12"/>
    </row>
    <row r="13" spans="1:29">
      <c r="A13" s="2">
        <v>1</v>
      </c>
      <c r="B13" s="7">
        <v>-537.69000000000005</v>
      </c>
      <c r="C13" s="7">
        <v>-619.9</v>
      </c>
      <c r="D13" s="7">
        <v>-613.61</v>
      </c>
      <c r="E13" s="7">
        <v>-442.77</v>
      </c>
      <c r="F13" s="7">
        <v>-613.96</v>
      </c>
      <c r="G13" s="7">
        <v>-533.98</v>
      </c>
      <c r="H13" s="7">
        <v>-648.75</v>
      </c>
    </row>
    <row r="14" spans="1:29">
      <c r="A14" s="2">
        <v>0</v>
      </c>
      <c r="B14" s="2">
        <v>12.287000000000001</v>
      </c>
      <c r="C14" s="2">
        <v>13.27</v>
      </c>
      <c r="D14" s="2">
        <v>12.968</v>
      </c>
      <c r="E14" s="2">
        <v>10.593</v>
      </c>
      <c r="F14" s="2">
        <v>12.782</v>
      </c>
      <c r="G14" s="2">
        <v>11.685</v>
      </c>
      <c r="H14" s="2">
        <v>13.622999999999999</v>
      </c>
      <c r="V14" s="4"/>
    </row>
    <row r="15" spans="1:29">
      <c r="B15" s="7"/>
      <c r="C15" s="7"/>
      <c r="D15" s="7"/>
      <c r="E15" s="7"/>
      <c r="F15" s="7"/>
      <c r="G15" s="7"/>
      <c r="H15" s="7"/>
    </row>
    <row r="16" spans="1:29">
      <c r="A16" s="2" t="s">
        <v>51</v>
      </c>
      <c r="B16" s="2">
        <f>1/(B2*B4)-1</f>
        <v>8.1536382830471972</v>
      </c>
      <c r="C16" s="2">
        <f t="shared" ref="C16:H16" si="5">1/(C2*C4)-1</f>
        <v>8.0091122493449802</v>
      </c>
      <c r="D16" s="2">
        <f t="shared" si="5"/>
        <v>7.3459447348006695</v>
      </c>
      <c r="E16" s="2">
        <f t="shared" si="5"/>
        <v>7.4289930353556937</v>
      </c>
      <c r="F16" s="2">
        <f t="shared" si="5"/>
        <v>6.7601859618643338</v>
      </c>
      <c r="G16" s="2">
        <f t="shared" si="5"/>
        <v>7.9506816607782849</v>
      </c>
      <c r="H16" s="2">
        <f t="shared" si="5"/>
        <v>8.1549728492702886</v>
      </c>
    </row>
    <row r="17" spans="1:20">
      <c r="A17" s="2" t="s">
        <v>50</v>
      </c>
      <c r="B17" s="2">
        <f>1/(B3*B5)-1</f>
        <v>7.9863108274839387</v>
      </c>
      <c r="C17" s="2">
        <f t="shared" ref="C17:H17" si="6">1/(C3*C5)-1</f>
        <v>8.0427690974139274</v>
      </c>
      <c r="D17" s="2">
        <f t="shared" si="6"/>
        <v>8.0413900172022839</v>
      </c>
      <c r="E17" s="2">
        <f t="shared" si="6"/>
        <v>7.614323429110577</v>
      </c>
      <c r="F17" s="2">
        <f t="shared" si="6"/>
        <v>8.4294612899561319</v>
      </c>
      <c r="G17" s="2">
        <f t="shared" si="6"/>
        <v>6.2173774673800226</v>
      </c>
      <c r="H17" s="2">
        <f t="shared" si="6"/>
        <v>7.7481207074189022</v>
      </c>
    </row>
    <row r="18" spans="1:20">
      <c r="B18" s="4"/>
      <c r="C18" s="4"/>
      <c r="D18" s="4"/>
      <c r="E18" s="4"/>
      <c r="F18" s="4"/>
      <c r="G18" s="4"/>
      <c r="H18" s="4"/>
      <c r="I18" s="4" t="s">
        <v>44</v>
      </c>
      <c r="J18" s="3">
        <f>I19/J19-1</f>
        <v>-3.4779263893488177E-2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2" t="s">
        <v>3</v>
      </c>
      <c r="B19" s="2">
        <v>3.9516493044062</v>
      </c>
      <c r="C19" s="2">
        <v>3.6188038198226313</v>
      </c>
      <c r="D19" s="2">
        <v>3.4313119437543307</v>
      </c>
      <c r="E19" s="2">
        <v>3.6413587865440697</v>
      </c>
      <c r="F19" s="2">
        <v>2.7457831368558412</v>
      </c>
      <c r="G19" s="2">
        <v>4.5778793186237161</v>
      </c>
      <c r="H19" s="2">
        <v>4.0681688127773237</v>
      </c>
      <c r="I19" s="20">
        <v>3.5899255068733824</v>
      </c>
      <c r="J19" s="2">
        <f>AVERAGE(B19:H19)</f>
        <v>3.7192793032548725</v>
      </c>
      <c r="L19" s="16">
        <v>44627</v>
      </c>
      <c r="M19" s="2">
        <v>3.3835369710096631E-2</v>
      </c>
      <c r="N19" s="2">
        <v>3.9516493044061982</v>
      </c>
    </row>
    <row r="20" spans="1:20">
      <c r="A20" s="2" t="s">
        <v>6</v>
      </c>
      <c r="B20" s="2">
        <v>26161096.98</v>
      </c>
      <c r="C20" s="2">
        <v>28859416.460000001</v>
      </c>
      <c r="D20" s="2">
        <v>27457585.25</v>
      </c>
      <c r="E20" s="2">
        <v>27333511.760000002</v>
      </c>
      <c r="F20" s="2">
        <v>27931773.23</v>
      </c>
      <c r="G20" s="2">
        <v>19912396.649999999</v>
      </c>
      <c r="H20" s="2">
        <v>16650378.09</v>
      </c>
      <c r="I20" s="2">
        <f>SUM(B20:H20)</f>
        <v>174306158.42000002</v>
      </c>
      <c r="L20" s="16">
        <v>44628</v>
      </c>
      <c r="M20" s="2">
        <v>3.6331488947648191E-2</v>
      </c>
      <c r="N20" s="2">
        <v>3.6188038198226313</v>
      </c>
    </row>
    <row r="21" spans="1:20">
      <c r="A21" s="2" t="s">
        <v>7</v>
      </c>
      <c r="B21" s="2">
        <f t="shared" ref="B21:H21" si="7">B20*B2</f>
        <v>885170.3883399925</v>
      </c>
      <c r="C21" s="2">
        <f t="shared" si="7"/>
        <v>1048505.5701520663</v>
      </c>
      <c r="D21" s="2">
        <f t="shared" si="7"/>
        <v>1128808.2310726987</v>
      </c>
      <c r="E21" s="2">
        <f t="shared" si="7"/>
        <v>1071217.9216902405</v>
      </c>
      <c r="F21" s="2">
        <f t="shared" si="7"/>
        <v>1285505.2611751407</v>
      </c>
      <c r="G21" s="2">
        <f t="shared" si="7"/>
        <v>630807.82353263337</v>
      </c>
      <c r="H21" s="2">
        <f t="shared" si="7"/>
        <v>549543.28714974422</v>
      </c>
      <c r="I21" s="2">
        <f>SUM(B21:H21)</f>
        <v>6599558.4831125159</v>
      </c>
      <c r="L21" s="16">
        <v>44629</v>
      </c>
      <c r="M21" s="2">
        <v>4.1110979745485769E-2</v>
      </c>
      <c r="N21" s="2">
        <v>3.4313119437543307</v>
      </c>
    </row>
    <row r="22" spans="1:20">
      <c r="B22" s="5"/>
      <c r="C22" s="5"/>
      <c r="D22" s="5"/>
      <c r="E22" s="5"/>
      <c r="F22" s="5"/>
      <c r="G22" s="5"/>
      <c r="H22" s="5"/>
      <c r="L22" s="16">
        <v>44630</v>
      </c>
      <c r="M22" s="2">
        <v>3.9190643745157773E-2</v>
      </c>
      <c r="N22" s="2">
        <v>3.6413587865440697</v>
      </c>
    </row>
    <row r="23" spans="1:20">
      <c r="A23" s="2" t="s">
        <v>52</v>
      </c>
      <c r="B23" s="21">
        <f t="shared" ref="B23:H23" si="8">B20*B2*B4</f>
        <v>2857999.8653050461</v>
      </c>
      <c r="C23" s="2">
        <f t="shared" si="8"/>
        <v>3203358.5176051352</v>
      </c>
      <c r="D23" s="2">
        <f t="shared" si="8"/>
        <v>3289931.352589502</v>
      </c>
      <c r="E23" s="2">
        <f t="shared" si="8"/>
        <v>3242796.8139668247</v>
      </c>
      <c r="F23" s="2">
        <f t="shared" si="8"/>
        <v>3599369.0572963506</v>
      </c>
      <c r="G23" s="2">
        <f t="shared" si="8"/>
        <v>2224679.348976932</v>
      </c>
      <c r="H23" s="2">
        <f t="shared" si="8"/>
        <v>1818725.0103452946</v>
      </c>
      <c r="I23" s="2">
        <f>SUM(B23:H23)</f>
        <v>20236859.966085088</v>
      </c>
      <c r="J23" s="2">
        <f>I23/I21</f>
        <v>3.0663960351088337</v>
      </c>
      <c r="L23" s="16">
        <v>44631</v>
      </c>
      <c r="M23" s="2">
        <v>4.6023045174749214E-2</v>
      </c>
      <c r="N23" s="2">
        <v>2.7457831368558412</v>
      </c>
    </row>
    <row r="24" spans="1:20">
      <c r="A24" s="2" t="s">
        <v>43</v>
      </c>
      <c r="B24" s="2">
        <f>B20-B23</f>
        <v>23303097.114694953</v>
      </c>
      <c r="C24" s="2">
        <f t="shared" ref="C24:I24" si="9">C20-C23</f>
        <v>25656057.942394868</v>
      </c>
      <c r="D24" s="2">
        <f t="shared" si="9"/>
        <v>24167653.897410497</v>
      </c>
      <c r="E24" s="2">
        <f t="shared" si="9"/>
        <v>24090714.946033176</v>
      </c>
      <c r="F24" s="2">
        <f t="shared" si="9"/>
        <v>24332404.17270365</v>
      </c>
      <c r="G24" s="2">
        <f t="shared" si="9"/>
        <v>17687717.301023066</v>
      </c>
      <c r="H24" s="2">
        <f t="shared" si="9"/>
        <v>14831653.079654705</v>
      </c>
      <c r="I24" s="2">
        <f t="shared" si="9"/>
        <v>154069298.45391494</v>
      </c>
      <c r="L24" s="16">
        <v>44632</v>
      </c>
      <c r="M24" s="2">
        <v>3.1679151164992154E-2</v>
      </c>
      <c r="N24" s="2">
        <v>4.5778793186237161</v>
      </c>
    </row>
    <row r="25" spans="1:20">
      <c r="A25" s="2" t="s">
        <v>45</v>
      </c>
      <c r="B25" s="2">
        <f>B20/B17</f>
        <v>3275742.3978502937</v>
      </c>
      <c r="C25" s="2">
        <f t="shared" ref="C25:H25" si="10">C20/C17</f>
        <v>3588243.8138475791</v>
      </c>
      <c r="D25" s="2">
        <f t="shared" si="10"/>
        <v>3414532.2128714374</v>
      </c>
      <c r="E25" s="2">
        <f t="shared" si="10"/>
        <v>3589749.2422636435</v>
      </c>
      <c r="F25" s="2">
        <f t="shared" si="10"/>
        <v>3313589.3587032962</v>
      </c>
      <c r="G25" s="2">
        <f t="shared" si="10"/>
        <v>3202700.2951762234</v>
      </c>
      <c r="H25" s="2">
        <f t="shared" si="10"/>
        <v>2148956.9817952239</v>
      </c>
      <c r="I25" s="2">
        <f t="shared" ref="I25" si="11">SUM(B25:H25)</f>
        <v>22533514.302507699</v>
      </c>
      <c r="J25" s="4"/>
      <c r="L25" s="16">
        <v>44633</v>
      </c>
      <c r="M25" s="2">
        <v>3.3004853354038417E-2</v>
      </c>
      <c r="N25" s="2">
        <v>4.0681688127773237</v>
      </c>
    </row>
    <row r="26" spans="1:20">
      <c r="A26" s="2" t="s">
        <v>47</v>
      </c>
      <c r="B26" s="2">
        <f>B24+B25</f>
        <v>26578839.512545247</v>
      </c>
      <c r="C26" s="2">
        <f t="shared" ref="C26:I26" si="12">C24+C25</f>
        <v>29244301.756242447</v>
      </c>
      <c r="D26" s="2">
        <f t="shared" si="12"/>
        <v>27582186.110281933</v>
      </c>
      <c r="E26" s="2">
        <f t="shared" si="12"/>
        <v>27680464.188296821</v>
      </c>
      <c r="F26" s="2">
        <f t="shared" si="12"/>
        <v>27645993.531406946</v>
      </c>
      <c r="G26" s="2">
        <f t="shared" si="12"/>
        <v>20890417.596199289</v>
      </c>
      <c r="H26" s="2">
        <f t="shared" si="12"/>
        <v>16980610.06144993</v>
      </c>
      <c r="I26" s="2">
        <f t="shared" si="12"/>
        <v>176602812.75642264</v>
      </c>
      <c r="J26" s="3">
        <f>I26/I20-1</f>
        <v>1.3175979306988772E-2</v>
      </c>
      <c r="K26" s="2">
        <f>I25/I27</f>
        <v>3.36999427016376</v>
      </c>
    </row>
    <row r="27" spans="1:20">
      <c r="A27" s="2" t="s">
        <v>48</v>
      </c>
      <c r="B27" s="2">
        <f>B26*B3</f>
        <v>956838.22245162877</v>
      </c>
      <c r="C27" s="2">
        <f t="shared" ref="C27:I27" si="13">C26*C3</f>
        <v>1052794.863224728</v>
      </c>
      <c r="D27" s="2">
        <f t="shared" si="13"/>
        <v>992958.69997014955</v>
      </c>
      <c r="E27" s="2">
        <f t="shared" si="13"/>
        <v>1043553.49989879</v>
      </c>
      <c r="F27" s="2">
        <f t="shared" si="13"/>
        <v>945492.97877411766</v>
      </c>
      <c r="G27" s="2">
        <f t="shared" si="13"/>
        <v>940068.79182896798</v>
      </c>
      <c r="H27" s="2">
        <f t="shared" si="13"/>
        <v>628282.57227364741</v>
      </c>
      <c r="I27" s="2">
        <f t="shared" si="13"/>
        <v>6686514.1291212682</v>
      </c>
      <c r="J27" s="3">
        <f>I26/I24-1</f>
        <v>0.14625570784466113</v>
      </c>
    </row>
    <row r="28" spans="1:20">
      <c r="I28" s="2">
        <f>SUM(B27:H27)</f>
        <v>6559989.6284220284</v>
      </c>
      <c r="L28" s="2" t="s">
        <v>29</v>
      </c>
      <c r="M28" s="2" t="s">
        <v>30</v>
      </c>
      <c r="N28" s="2" t="s">
        <v>31</v>
      </c>
    </row>
    <row r="29" spans="1:20">
      <c r="H29" s="2" t="s">
        <v>49</v>
      </c>
      <c r="I29" s="2">
        <f>I27-I28</f>
        <v>126524.50069923978</v>
      </c>
      <c r="L29" s="16">
        <v>44627</v>
      </c>
      <c r="M29" s="2">
        <v>473051</v>
      </c>
      <c r="N29" s="2">
        <v>26161096.98</v>
      </c>
    </row>
    <row r="30" spans="1:20">
      <c r="J30" s="4">
        <f>I28/I26</f>
        <v>3.7145442510419228E-2</v>
      </c>
      <c r="L30" s="16">
        <v>44628</v>
      </c>
      <c r="M30" s="2">
        <v>526283</v>
      </c>
      <c r="N30" s="2">
        <v>28859416.460000001</v>
      </c>
    </row>
    <row r="31" spans="1:20">
      <c r="L31" s="16">
        <v>44629</v>
      </c>
      <c r="M31" s="2">
        <v>495514</v>
      </c>
      <c r="N31" s="2">
        <v>27457585.25</v>
      </c>
    </row>
    <row r="32" spans="1:20">
      <c r="I32" s="7"/>
      <c r="L32" s="16">
        <v>44630</v>
      </c>
      <c r="M32" s="2">
        <v>493619</v>
      </c>
      <c r="N32" s="2">
        <v>27333511.760000002</v>
      </c>
    </row>
    <row r="33" spans="2:14">
      <c r="L33" s="16">
        <v>44631</v>
      </c>
      <c r="M33" s="2">
        <v>500954</v>
      </c>
      <c r="N33" s="2">
        <v>27931773.23</v>
      </c>
    </row>
    <row r="34" spans="2:14">
      <c r="L34" s="16">
        <v>44632</v>
      </c>
      <c r="M34" s="2">
        <v>380642</v>
      </c>
      <c r="N34" s="2">
        <v>19912396.649999999</v>
      </c>
    </row>
    <row r="35" spans="2:14">
      <c r="L35" s="16">
        <v>44633</v>
      </c>
      <c r="M35" s="2">
        <v>321566</v>
      </c>
      <c r="N35" s="2">
        <v>16650378.09</v>
      </c>
    </row>
    <row r="37" spans="2:14">
      <c r="G37" s="16"/>
    </row>
    <row r="38" spans="2:14">
      <c r="B38" s="6"/>
      <c r="C38" s="6"/>
      <c r="D38" s="6"/>
      <c r="E38" s="6"/>
      <c r="F38" s="6"/>
      <c r="G38" s="6"/>
      <c r="H38" s="6"/>
    </row>
    <row r="40" spans="2:14">
      <c r="G40" s="16"/>
    </row>
    <row r="41" spans="2:14">
      <c r="G41" s="16"/>
    </row>
    <row r="42" spans="2:14">
      <c r="G42" s="16"/>
    </row>
    <row r="43" spans="2:14">
      <c r="G43" s="16"/>
    </row>
    <row r="44" spans="2:14">
      <c r="G44" s="16"/>
    </row>
    <row r="45" spans="2:14">
      <c r="G45" s="16"/>
    </row>
    <row r="46" spans="2:14">
      <c r="G46" s="16"/>
    </row>
  </sheetData>
  <mergeCells count="5">
    <mergeCell ref="K6:K7"/>
    <mergeCell ref="L6:L7"/>
    <mergeCell ref="M6:M8"/>
    <mergeCell ref="N6:N8"/>
    <mergeCell ref="O6:O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workbookViewId="0">
      <selection activeCell="B10" sqref="B10"/>
    </sheetView>
  </sheetViews>
  <sheetFormatPr baseColWidth="10" defaultColWidth="8.6640625" defaultRowHeight="14"/>
  <cols>
    <col min="1" max="1" width="11.33203125" style="2" bestFit="1" customWidth="1"/>
    <col min="2" max="8" width="9.6640625" style="2" bestFit="1" customWidth="1"/>
    <col min="9" max="11" width="8.83203125" style="2" bestFit="1" customWidth="1"/>
    <col min="12" max="13" width="8.6640625" style="2"/>
    <col min="14" max="14" width="19" style="2" bestFit="1" customWidth="1"/>
    <col min="15" max="16384" width="8.6640625" style="2"/>
  </cols>
  <sheetData>
    <row r="1" spans="1:19" ht="15" thickBot="1">
      <c r="B1" s="1">
        <v>44788</v>
      </c>
      <c r="C1" s="1">
        <v>44789</v>
      </c>
      <c r="D1" s="1">
        <v>44790</v>
      </c>
      <c r="E1" s="1">
        <v>44791</v>
      </c>
      <c r="F1" s="1">
        <v>44792</v>
      </c>
      <c r="G1" s="1">
        <v>44793</v>
      </c>
      <c r="H1" s="1">
        <v>44794</v>
      </c>
      <c r="I1" s="2" t="s">
        <v>1</v>
      </c>
      <c r="N1" s="5">
        <v>2.3386061551792277</v>
      </c>
      <c r="P1" s="2">
        <v>2.46</v>
      </c>
    </row>
    <row r="2" spans="1:19">
      <c r="A2" s="2" t="s">
        <v>3</v>
      </c>
      <c r="B2" s="5">
        <v>2.4776158827584847</v>
      </c>
      <c r="C2" s="5">
        <v>2.3670159242771427</v>
      </c>
      <c r="D2" s="5">
        <v>2.5141226730040191</v>
      </c>
      <c r="E2" s="5">
        <v>2.6866215260575803</v>
      </c>
      <c r="F2" s="5">
        <v>2.2374378515143136</v>
      </c>
      <c r="G2" s="5">
        <v>1.9142100703616478</v>
      </c>
      <c r="H2" s="5">
        <v>2.1545145132799979</v>
      </c>
      <c r="L2" s="3">
        <f>SUMPRODUCT(B2:H2,B5:H5)/SUM(B5:H5)</f>
        <v>2.3262977704748691</v>
      </c>
      <c r="N2" s="11">
        <f>N1*(1+K10)</f>
        <v>2.2849760264814085</v>
      </c>
      <c r="O2" s="13">
        <f>N1*1.05</f>
        <v>2.4555364629381891</v>
      </c>
      <c r="P2" s="2">
        <v>2.4900000000000002</v>
      </c>
      <c r="R2" s="2">
        <f>2.45/N1-1</f>
        <v>4.7632580019543846E-2</v>
      </c>
    </row>
    <row r="3" spans="1:19">
      <c r="A3" s="2" t="s">
        <v>0</v>
      </c>
      <c r="B3" s="3">
        <v>5.0491830894741428E-2</v>
      </c>
      <c r="C3" s="3">
        <v>5.1711302405722678E-2</v>
      </c>
      <c r="D3" s="3">
        <v>4.5381864415367464E-2</v>
      </c>
      <c r="E3" s="3">
        <v>4.2972824130391579E-2</v>
      </c>
      <c r="F3" s="3">
        <v>5.8614639696695045E-2</v>
      </c>
      <c r="G3" s="3">
        <v>5.3193525573915337E-2</v>
      </c>
      <c r="H3" s="3">
        <v>5.4356715371501878E-2</v>
      </c>
      <c r="I3" s="3">
        <v>5.1074925314826367E-2</v>
      </c>
      <c r="P3" s="2">
        <f>P2/P1-1</f>
        <v>1.2195121951219523E-2</v>
      </c>
    </row>
    <row r="4" spans="1:19">
      <c r="A4" s="2" t="s">
        <v>6</v>
      </c>
      <c r="B4" s="2">
        <v>31818293.689999994</v>
      </c>
      <c r="C4" s="2">
        <v>33405679.010000009</v>
      </c>
      <c r="D4" s="2">
        <v>33960648.829999983</v>
      </c>
      <c r="E4" s="2">
        <v>34012765.660000019</v>
      </c>
      <c r="F4" s="2">
        <v>46343611.220000014</v>
      </c>
      <c r="G4" s="2">
        <v>28976053.29999999</v>
      </c>
      <c r="H4" s="2">
        <v>27097750.609999992</v>
      </c>
      <c r="L4" s="4">
        <f>SUMPRODUCT(B3:H3,B4:H4)/SUM(B4:H4)</f>
        <v>5.1217216981726731E-2</v>
      </c>
    </row>
    <row r="5" spans="1:19">
      <c r="A5" s="2" t="s">
        <v>7</v>
      </c>
      <c r="B5" s="2">
        <f>B4*B3</f>
        <v>1606563.904354698</v>
      </c>
      <c r="C5" s="2">
        <f t="shared" ref="C5:H5" si="0">C4*C3</f>
        <v>1727451.1693546129</v>
      </c>
      <c r="D5" s="2">
        <f t="shared" si="0"/>
        <v>1541197.5606609669</v>
      </c>
      <c r="E5" s="2">
        <f t="shared" si="0"/>
        <v>1461624.5968954028</v>
      </c>
      <c r="F5" s="2">
        <f t="shared" si="0"/>
        <v>2716414.0739040147</v>
      </c>
      <c r="G5" s="2">
        <f t="shared" si="0"/>
        <v>1541338.4322446834</v>
      </c>
      <c r="H5" s="2">
        <f t="shared" si="0"/>
        <v>1472944.717115711</v>
      </c>
      <c r="L5" s="4">
        <f>SUMPRODUCT(B7:H7,B4:H4)/SUM(B4:H4)</f>
        <v>5.4717216981726734E-2</v>
      </c>
      <c r="N5" s="4">
        <f>L4+M7</f>
        <v>5.4717216981726734E-2</v>
      </c>
    </row>
    <row r="6" spans="1:19">
      <c r="A6" s="2" t="s">
        <v>8</v>
      </c>
      <c r="B6" s="2">
        <f>B7*B4</f>
        <v>1750006.1529499998</v>
      </c>
      <c r="C6" s="2">
        <f t="shared" ref="C6:H6" si="1">C7*C4</f>
        <v>2004340.7406000004</v>
      </c>
      <c r="D6" s="2">
        <f t="shared" si="1"/>
        <v>2037638.9297999989</v>
      </c>
      <c r="E6" s="2">
        <f t="shared" si="1"/>
        <v>2040765.9396000011</v>
      </c>
      <c r="F6" s="2">
        <f t="shared" si="1"/>
        <v>2085462.5049000005</v>
      </c>
      <c r="G6" s="2">
        <f t="shared" si="1"/>
        <v>1738563.1979999994</v>
      </c>
      <c r="H6" s="2">
        <f t="shared" si="1"/>
        <v>1235408.7968000919</v>
      </c>
      <c r="L6" s="3"/>
      <c r="N6" s="9"/>
    </row>
    <row r="7" spans="1:19">
      <c r="A7" s="2" t="s">
        <v>2</v>
      </c>
      <c r="B7" s="10">
        <v>5.5E-2</v>
      </c>
      <c r="C7" s="10">
        <v>0.06</v>
      </c>
      <c r="D7" s="10">
        <v>0.06</v>
      </c>
      <c r="E7" s="10">
        <v>0.06</v>
      </c>
      <c r="F7" s="10">
        <v>4.4999999999999998E-2</v>
      </c>
      <c r="G7" s="10">
        <v>0.06</v>
      </c>
      <c r="H7" s="10">
        <f>(N5*SUM(B4:H4)-SUM(B6:G6))/H4</f>
        <v>4.5590824662183733E-2</v>
      </c>
      <c r="M7" s="8">
        <v>3.5000000000000001E-3</v>
      </c>
    </row>
    <row r="8" spans="1:19">
      <c r="A8" s="2" t="s">
        <v>4</v>
      </c>
      <c r="B8" s="7">
        <f t="shared" ref="B8:F8" si="2">-7600.6*B7*B7*B7+2437.9*B7*B7-210.46*B7+7.9253</f>
        <v>2.4600976750000001</v>
      </c>
      <c r="C8" s="7">
        <f t="shared" si="2"/>
        <v>2.4324104000000002</v>
      </c>
      <c r="D8" s="7">
        <f t="shared" si="2"/>
        <v>2.4324104000000002</v>
      </c>
      <c r="E8" s="7">
        <f t="shared" si="2"/>
        <v>2.4324104000000002</v>
      </c>
      <c r="F8" s="7">
        <f t="shared" si="2"/>
        <v>2.6987428249999992</v>
      </c>
      <c r="G8" s="7">
        <f>-34109*G7*G7*G7+5105*G7*G7-300*G7+9</f>
        <v>2.0104560000000014</v>
      </c>
      <c r="H8" s="7">
        <f>-34109*H7*H7*H7+5105*H7*H7-300*H7+9</f>
        <v>2.7013909057793359</v>
      </c>
      <c r="J8" s="5">
        <f>SUMPRODUCT(B8:H8,B6:H6)/SUM(B6:H6)</f>
        <v>2.4481242343793004</v>
      </c>
    </row>
    <row r="9" spans="1:19">
      <c r="J9" s="5"/>
      <c r="N9" s="2">
        <f>2.5/2.3-1</f>
        <v>8.6956521739130599E-2</v>
      </c>
    </row>
    <row r="10" spans="1:19">
      <c r="A10" s="2" t="s">
        <v>5</v>
      </c>
      <c r="B10" s="2">
        <f t="shared" ref="B10:F10" si="3">-7600.6*B3*B3*B3+2437.9*B3*B3-210.46*B3+7.9253</f>
        <v>2.5356441823802545</v>
      </c>
      <c r="C10" s="2">
        <f t="shared" si="3"/>
        <v>2.5102233888517782</v>
      </c>
      <c r="D10" s="2">
        <f t="shared" si="3"/>
        <v>2.6847342702557118</v>
      </c>
      <c r="E10" s="2">
        <f t="shared" si="3"/>
        <v>2.7800647783179748</v>
      </c>
      <c r="F10" s="2">
        <f t="shared" si="3"/>
        <v>2.4344816724395857</v>
      </c>
      <c r="G10" s="2">
        <f>-34109*G3*G3*G3+5105*G3*G3-300*G3+9</f>
        <v>2.3529257372899686</v>
      </c>
      <c r="H10" s="2">
        <f>-34109*H3*H3*H3+5105*H3*H3-300*H3+9</f>
        <v>2.2984034843613443</v>
      </c>
      <c r="J10" s="5">
        <f>SUMPRODUCT(B10:H10,B5:H5)/SUM(B5:H5)</f>
        <v>2.5055835758500238</v>
      </c>
      <c r="K10" s="4">
        <f>J8/J10-1</f>
        <v>-2.2932518405908819E-2</v>
      </c>
      <c r="R10" s="2">
        <v>2.41</v>
      </c>
    </row>
    <row r="11" spans="1:19">
      <c r="R11" s="2">
        <v>2.5299999999999998</v>
      </c>
      <c r="S11" s="12">
        <f>R11/R10-1</f>
        <v>4.9792531120331773E-2</v>
      </c>
    </row>
    <row r="12" spans="1:19">
      <c r="B12" s="7">
        <f>B10-$J$10</f>
        <v>3.0060606530230682E-2</v>
      </c>
      <c r="C12" s="7">
        <f t="shared" ref="C12:H12" si="4">C10-$J$10</f>
        <v>4.6398130017544226E-3</v>
      </c>
      <c r="D12" s="7">
        <f t="shared" si="4"/>
        <v>0.17915069440568798</v>
      </c>
      <c r="E12" s="7">
        <f t="shared" si="4"/>
        <v>0.27448120246795105</v>
      </c>
      <c r="F12" s="7">
        <f t="shared" si="4"/>
        <v>-7.1101903410438094E-2</v>
      </c>
      <c r="G12" s="7">
        <f t="shared" si="4"/>
        <v>-0.15265783856005521</v>
      </c>
      <c r="H12" s="7">
        <f t="shared" si="4"/>
        <v>-0.20718009148867944</v>
      </c>
    </row>
    <row r="13" spans="1:19">
      <c r="J13" s="2">
        <f>J8/J14</f>
        <v>2.2849760264814085</v>
      </c>
      <c r="L13" s="4">
        <f>J13/N1-1</f>
        <v>-2.2932518405908708E-2</v>
      </c>
    </row>
    <row r="14" spans="1:19">
      <c r="B14" s="8">
        <v>0.01</v>
      </c>
      <c r="C14" s="8">
        <v>0.01</v>
      </c>
      <c r="D14" s="8">
        <v>1.4999999999999999E-2</v>
      </c>
      <c r="E14" s="6">
        <v>1.4999999999999999E-2</v>
      </c>
      <c r="F14" s="8">
        <v>1.4999999999999999E-2</v>
      </c>
      <c r="G14" s="6">
        <v>1.2E-2</v>
      </c>
      <c r="H14" s="8">
        <v>1.2E-2</v>
      </c>
      <c r="J14" s="2">
        <f>J10/N1</f>
        <v>1.0714004024581041</v>
      </c>
    </row>
    <row r="15" spans="1:19">
      <c r="B15" s="2">
        <v>1</v>
      </c>
      <c r="C15" s="2">
        <v>1</v>
      </c>
      <c r="D15" s="2">
        <v>-1</v>
      </c>
      <c r="E15" s="2">
        <v>-1</v>
      </c>
      <c r="F15" s="2">
        <v>1</v>
      </c>
      <c r="G15" s="2">
        <v>1</v>
      </c>
      <c r="H15" s="2">
        <v>1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I8" sqref="I8"/>
    </sheetView>
  </sheetViews>
  <sheetFormatPr baseColWidth="10" defaultColWidth="8.6640625" defaultRowHeight="14"/>
  <cols>
    <col min="1" max="1" width="11.33203125" style="2" bestFit="1" customWidth="1"/>
    <col min="2" max="8" width="9.6640625" style="2" bestFit="1" customWidth="1"/>
    <col min="9" max="11" width="8.83203125" style="2" bestFit="1" customWidth="1"/>
    <col min="12" max="13" width="8.6640625" style="2"/>
    <col min="14" max="14" width="19" style="2" bestFit="1" customWidth="1"/>
    <col min="15" max="16384" width="8.6640625" style="2"/>
  </cols>
  <sheetData>
    <row r="1" spans="1:19" ht="15" thickBot="1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2" t="s">
        <v>20</v>
      </c>
      <c r="N1" s="5">
        <v>2.3386061551792277</v>
      </c>
      <c r="P1" s="2">
        <v>2.46</v>
      </c>
    </row>
    <row r="2" spans="1:19" hidden="1">
      <c r="A2" s="2" t="s">
        <v>6</v>
      </c>
      <c r="B2" s="2">
        <v>31818293.689999994</v>
      </c>
      <c r="C2" s="2">
        <v>33405679.010000009</v>
      </c>
      <c r="D2" s="2">
        <v>33960648.829999983</v>
      </c>
      <c r="E2" s="2">
        <v>34012765.660000019</v>
      </c>
      <c r="F2" s="2">
        <v>46343611.220000014</v>
      </c>
      <c r="G2" s="2">
        <v>28976053.29999999</v>
      </c>
      <c r="H2" s="2">
        <v>27097750.609999992</v>
      </c>
      <c r="L2" s="4">
        <f>SUMPRODUCT(B4:H4,B2:H2)/SUM(B2:H2)</f>
        <v>2.2498226099778602E-2</v>
      </c>
    </row>
    <row r="3" spans="1:19" hidden="1">
      <c r="A3" s="2" t="s">
        <v>3</v>
      </c>
      <c r="B3" s="5">
        <v>2.4776158827584847</v>
      </c>
      <c r="C3" s="5">
        <v>2.3670159242771427</v>
      </c>
      <c r="D3" s="5">
        <v>2.5141226730040191</v>
      </c>
      <c r="E3" s="5">
        <v>2.6866215260575803</v>
      </c>
      <c r="F3" s="5">
        <v>2.2374378515143136</v>
      </c>
      <c r="G3" s="5">
        <v>1.9142100703616478</v>
      </c>
      <c r="H3" s="5">
        <v>2.1545145132799979</v>
      </c>
      <c r="L3" s="3">
        <f>SUMPRODUCT(B3:H3,B5:H5)/SUM(B5:H5)</f>
        <v>2.3384277563077926</v>
      </c>
      <c r="N3" s="11">
        <f>N1*(1+K11)</f>
        <v>2.4473785344898897</v>
      </c>
      <c r="O3" s="13">
        <f>N1*1.05</f>
        <v>2.4555364629381891</v>
      </c>
      <c r="P3" s="2">
        <v>2.4900000000000002</v>
      </c>
      <c r="R3" s="2">
        <f>2.45/N1-1</f>
        <v>4.7632580019543846E-2</v>
      </c>
    </row>
    <row r="4" spans="1:19">
      <c r="A4" s="2" t="s">
        <v>17</v>
      </c>
      <c r="B4" s="3">
        <v>2.5000000000000001E-2</v>
      </c>
      <c r="C4" s="3">
        <v>0.02</v>
      </c>
      <c r="D4" s="3">
        <v>1.7999999999999999E-2</v>
      </c>
      <c r="E4" s="3">
        <v>2.1000000000000001E-2</v>
      </c>
      <c r="F4" s="3">
        <v>0.03</v>
      </c>
      <c r="G4" s="3">
        <v>0.02</v>
      </c>
      <c r="H4" s="3">
        <v>0.02</v>
      </c>
      <c r="I4" s="3">
        <f>SUM(B5:H5)/SUM(B2:H2)</f>
        <v>2.2498226099778602E-2</v>
      </c>
      <c r="P4" s="2">
        <f>P3/P1-1</f>
        <v>1.2195121951219523E-2</v>
      </c>
    </row>
    <row r="5" spans="1:19" hidden="1">
      <c r="A5" s="2" t="s">
        <v>7</v>
      </c>
      <c r="B5" s="2">
        <f t="shared" ref="B5:H5" si="0">B2*B4</f>
        <v>795457.34224999987</v>
      </c>
      <c r="C5" s="2">
        <f t="shared" si="0"/>
        <v>668113.5802000002</v>
      </c>
      <c r="D5" s="2">
        <f t="shared" si="0"/>
        <v>611291.67893999966</v>
      </c>
      <c r="E5" s="2">
        <f t="shared" si="0"/>
        <v>714268.07886000047</v>
      </c>
      <c r="F5" s="2">
        <f t="shared" si="0"/>
        <v>1390308.3366000003</v>
      </c>
      <c r="G5" s="2">
        <f t="shared" si="0"/>
        <v>579521.06599999976</v>
      </c>
      <c r="H5" s="2">
        <f t="shared" si="0"/>
        <v>541955.01219999988</v>
      </c>
      <c r="I5" s="3">
        <v>0.05</v>
      </c>
      <c r="L5" s="4">
        <f>SUMPRODUCT(B7:H7,B2:H2)/SUM(B2:H2)</f>
        <v>2.2498226099778602E-2</v>
      </c>
      <c r="N5" s="4">
        <f>L2+M7</f>
        <v>2.5998226099778601E-2</v>
      </c>
    </row>
    <row r="6" spans="1:19" hidden="1">
      <c r="A6" s="2" t="s">
        <v>8</v>
      </c>
      <c r="B6" s="2">
        <f>B7*B2</f>
        <v>572729.2864199999</v>
      </c>
      <c r="C6" s="2">
        <f t="shared" ref="C6:H6" si="1">C7*C2</f>
        <v>701519.25921000028</v>
      </c>
      <c r="D6" s="2">
        <f t="shared" si="1"/>
        <v>916937.51840999955</v>
      </c>
      <c r="E6" s="2">
        <f t="shared" si="1"/>
        <v>782293.61018000043</v>
      </c>
      <c r="F6" s="2">
        <f t="shared" si="1"/>
        <v>834185.00196000014</v>
      </c>
      <c r="G6" s="2">
        <f t="shared" si="1"/>
        <v>782353.43909999973</v>
      </c>
      <c r="H6" s="2">
        <f t="shared" si="1"/>
        <v>710896.97977000009</v>
      </c>
      <c r="I6" s="3">
        <v>0.05</v>
      </c>
      <c r="L6" s="3"/>
      <c r="N6" s="9"/>
    </row>
    <row r="7" spans="1:19">
      <c r="A7" s="2" t="s">
        <v>18</v>
      </c>
      <c r="B7" s="10">
        <v>1.7999999999999999E-2</v>
      </c>
      <c r="C7" s="10">
        <v>2.1000000000000001E-2</v>
      </c>
      <c r="D7" s="10">
        <v>2.7E-2</v>
      </c>
      <c r="E7" s="10">
        <v>2.3E-2</v>
      </c>
      <c r="F7" s="10">
        <v>1.7999999999999999E-2</v>
      </c>
      <c r="G7" s="10">
        <v>2.7E-2</v>
      </c>
      <c r="H7" s="10">
        <f>(I7*SUM(B2:H2)-SUM(B6:G6))/H2</f>
        <v>2.6234538430937322E-2</v>
      </c>
      <c r="I7" s="3">
        <f>I4</f>
        <v>2.2498226099778602E-2</v>
      </c>
      <c r="M7" s="8">
        <v>3.5000000000000001E-3</v>
      </c>
    </row>
    <row r="8" spans="1:19">
      <c r="A8" s="2" t="s">
        <v>9</v>
      </c>
      <c r="B8" s="7">
        <f>-69917*B4*B4*B4+9445*B4*B4-443*B4+10</f>
        <v>3.7356718749999986</v>
      </c>
      <c r="C8" s="7">
        <f>-183209*C4*C4*C4+21844*C4*C4-895*C4+15</f>
        <v>4.3719279999999987</v>
      </c>
      <c r="D8" s="7">
        <f>-54167*D4*D4*D4+8764*D4*D4-490*D4+12</f>
        <v>5.7036340560000012</v>
      </c>
      <c r="E8" s="7">
        <f>-270071*E4*E4*E4+32260*E4*E4-1290*E4+20</f>
        <v>4.6355324689999993</v>
      </c>
      <c r="F8" s="7">
        <f>-133387*F4*F4*F4+18317*F4*F4-865*F4+16</f>
        <v>2.9338510000000007</v>
      </c>
      <c r="G8" s="7">
        <f>-81641*G4*G4*G4+12929*G4*G4-691*G4+15</f>
        <v>5.6984719999999989</v>
      </c>
      <c r="H8" s="7">
        <f>-42229*H4*H4*H4+8247*H4*H4-519*H4+13</f>
        <v>5.5809679999999986</v>
      </c>
      <c r="I8" s="5">
        <v>4.3</v>
      </c>
      <c r="M8" s="8"/>
    </row>
    <row r="9" spans="1:19">
      <c r="A9" s="2" t="s">
        <v>4</v>
      </c>
      <c r="B9" s="7">
        <f>-69917*B7*B7*B7+9445*B7*B7-443*B7+10</f>
        <v>4.6784240560000008</v>
      </c>
      <c r="C9" s="7">
        <f>-183209*C7*C7*C7+21844*C7*C7-895*C7+15</f>
        <v>4.1415054509999987</v>
      </c>
      <c r="D9" s="7">
        <f>-54167*D7*D7*D7+8764*D7*D7-490*D7+12</f>
        <v>4.0927869389999989</v>
      </c>
      <c r="E9" s="7">
        <f>-270071*E7*E7*E7+32260*E7*E7-1290*E7+20</f>
        <v>4.1095861430000014</v>
      </c>
      <c r="F9" s="7">
        <f>-133387*F7*F7*F7+18317*F7*F7-865*F7+16</f>
        <v>5.5867950159999999</v>
      </c>
      <c r="G9" s="7">
        <f>-81641*G7*G7*G7+12929*G7*G7-691*G7+15</f>
        <v>4.1613011970000002</v>
      </c>
      <c r="H9" s="7">
        <f>-42229*H7*H7*H7+8247*H7*H7-519*H7+13</f>
        <v>4.29779600012548</v>
      </c>
      <c r="I9" s="5">
        <v>4.5</v>
      </c>
      <c r="K9" s="2">
        <f>I9/I8-1</f>
        <v>4.6511627906976827E-2</v>
      </c>
    </row>
    <row r="10" spans="1:19">
      <c r="J10" s="5"/>
      <c r="N10" s="2">
        <f>2.5/2.3-1</f>
        <v>8.6956521739130599E-2</v>
      </c>
    </row>
    <row r="11" spans="1:19">
      <c r="K11" s="4">
        <f>I9/I8-1</f>
        <v>4.6511627906976827E-2</v>
      </c>
      <c r="R11" s="2">
        <v>2.41</v>
      </c>
    </row>
    <row r="12" spans="1:19">
      <c r="B12" s="2">
        <v>1.4</v>
      </c>
      <c r="C12" s="2">
        <v>1.5</v>
      </c>
      <c r="D12" s="2">
        <v>1.3</v>
      </c>
      <c r="E12" s="2">
        <v>1.2</v>
      </c>
      <c r="F12" s="2">
        <v>1.1000000000000001</v>
      </c>
      <c r="G12" s="2">
        <v>1.7</v>
      </c>
      <c r="H12" s="2">
        <v>1.6</v>
      </c>
      <c r="S12" s="12"/>
    </row>
    <row r="13" spans="1:19">
      <c r="B13" s="7"/>
      <c r="C13" s="7"/>
      <c r="D13" s="7"/>
      <c r="E13" s="7"/>
      <c r="F13" s="7"/>
      <c r="G13" s="7"/>
      <c r="H13" s="7"/>
    </row>
    <row r="14" spans="1:19">
      <c r="L14" s="4"/>
    </row>
    <row r="15" spans="1:19">
      <c r="B15" s="8">
        <f>3%*B4/$I$4</f>
        <v>3.3335961540869243E-2</v>
      </c>
      <c r="C15" s="8">
        <f t="shared" ref="C15:H15" si="2">3%*C4/$I$4</f>
        <v>2.6668769232695389E-2</v>
      </c>
      <c r="D15" s="8">
        <f t="shared" si="2"/>
        <v>2.4001892309425846E-2</v>
      </c>
      <c r="E15" s="8">
        <f t="shared" si="2"/>
        <v>2.8002207694330161E-2</v>
      </c>
      <c r="F15" s="8">
        <f t="shared" si="2"/>
        <v>4.0003153849043085E-2</v>
      </c>
      <c r="G15" s="8">
        <f t="shared" si="2"/>
        <v>2.6668769232695389E-2</v>
      </c>
      <c r="H15" s="8">
        <f t="shared" si="2"/>
        <v>2.6668769232695389E-2</v>
      </c>
    </row>
    <row r="24" spans="2:8">
      <c r="F24" s="14" t="s">
        <v>19</v>
      </c>
    </row>
    <row r="29" spans="2:8">
      <c r="B29" s="6">
        <v>0.02</v>
      </c>
      <c r="C29" s="6">
        <v>0.02</v>
      </c>
      <c r="D29" s="6">
        <v>0.02</v>
      </c>
      <c r="E29" s="6">
        <v>0.02</v>
      </c>
      <c r="F29" s="6">
        <v>0.02</v>
      </c>
      <c r="G29" s="6">
        <v>0.02</v>
      </c>
      <c r="H29" s="6">
        <v>0.02</v>
      </c>
    </row>
    <row r="32" spans="2:8">
      <c r="B32" s="7">
        <f>-69917*B29*B29*B29+9445*B29*B29-443*B29+10</f>
        <v>4.358664000000001</v>
      </c>
      <c r="C32" s="7">
        <f>-183209*C29*C29*C29+21844*C29*C29-895*C29+15</f>
        <v>4.3719279999999987</v>
      </c>
      <c r="D32" s="7">
        <f>-54167*D29*D29*D29+8764*D29*D29-490*D29+12</f>
        <v>5.2722639999999998</v>
      </c>
      <c r="E32" s="7">
        <f>-270071*E29*E29*E29+32260*E29*E29-1290*E29+20</f>
        <v>4.9434320000000014</v>
      </c>
      <c r="F32" s="7">
        <f>-133387*F29*F29*F29+18317*F29*F29-865*F29+16</f>
        <v>4.9597039999999986</v>
      </c>
      <c r="G32" s="7">
        <f>-81641*G29*G29*G29+12929*G29*G29-691*G29+15</f>
        <v>5.6984719999999989</v>
      </c>
      <c r="H32" s="7">
        <f>-42229*H29*H29*H29+8247*H29*H29-519*H29+13</f>
        <v>5.5809679999999986</v>
      </c>
    </row>
    <row r="33" spans="2:8">
      <c r="B33" s="2">
        <v>5</v>
      </c>
      <c r="C33" s="2">
        <v>4</v>
      </c>
      <c r="D33" s="2">
        <v>1</v>
      </c>
      <c r="E33" s="2">
        <v>2</v>
      </c>
      <c r="F33" s="2">
        <v>3</v>
      </c>
      <c r="G33" s="2">
        <v>-1</v>
      </c>
      <c r="H33" s="2"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workbookViewId="0">
      <selection activeCell="B10" sqref="B10"/>
    </sheetView>
  </sheetViews>
  <sheetFormatPr baseColWidth="10" defaultColWidth="8.6640625" defaultRowHeight="14"/>
  <cols>
    <col min="1" max="1" width="11.33203125" style="2" bestFit="1" customWidth="1"/>
    <col min="2" max="8" width="9.6640625" style="2" bestFit="1" customWidth="1"/>
    <col min="9" max="11" width="8.83203125" style="2" bestFit="1" customWidth="1"/>
    <col min="12" max="13" width="8.6640625" style="2"/>
    <col min="14" max="14" width="19" style="2" bestFit="1" customWidth="1"/>
    <col min="15" max="16384" width="8.6640625" style="2"/>
  </cols>
  <sheetData>
    <row r="1" spans="1:15" ht="15" thickBot="1">
      <c r="B1" s="1">
        <v>44788</v>
      </c>
      <c r="C1" s="1">
        <v>44789</v>
      </c>
      <c r="D1" s="1">
        <v>44790</v>
      </c>
      <c r="E1" s="1">
        <v>44791</v>
      </c>
      <c r="F1" s="1">
        <v>44792</v>
      </c>
      <c r="G1" s="1">
        <v>44793</v>
      </c>
      <c r="H1" s="1">
        <v>44794</v>
      </c>
      <c r="I1" s="2" t="s">
        <v>1</v>
      </c>
      <c r="N1" s="5">
        <v>2.3386061551792277</v>
      </c>
    </row>
    <row r="2" spans="1:15">
      <c r="A2" s="2" t="s">
        <v>3</v>
      </c>
      <c r="B2" s="5">
        <v>2.4776158827584847</v>
      </c>
      <c r="C2" s="5">
        <v>2.3670159242771427</v>
      </c>
      <c r="D2" s="5">
        <v>2.5141226730040191</v>
      </c>
      <c r="E2" s="5">
        <v>2.6866215260575803</v>
      </c>
      <c r="F2" s="5">
        <v>2.2374378515143136</v>
      </c>
      <c r="G2" s="5">
        <v>1.9142100703616478</v>
      </c>
      <c r="H2" s="5">
        <v>2.1545145132799979</v>
      </c>
      <c r="L2" s="3">
        <f>SUMPRODUCT(B2:H2,B5:H5)/SUM(B5:H5)</f>
        <v>2.3262977704748691</v>
      </c>
      <c r="N2" s="11">
        <f>N1*(1+K10)</f>
        <v>2.3015098472765381</v>
      </c>
      <c r="O2" s="13">
        <f>N1*1.05</f>
        <v>2.4555364629381891</v>
      </c>
    </row>
    <row r="3" spans="1:15">
      <c r="A3" s="2" t="s">
        <v>0</v>
      </c>
      <c r="B3" s="3">
        <v>5.0491830894741428E-2</v>
      </c>
      <c r="C3" s="3">
        <v>5.1711302405722678E-2</v>
      </c>
      <c r="D3" s="3">
        <v>4.5381864415367464E-2</v>
      </c>
      <c r="E3" s="3">
        <v>4.2972824130391579E-2</v>
      </c>
      <c r="F3" s="3">
        <v>5.8614639696695045E-2</v>
      </c>
      <c r="G3" s="3">
        <v>5.3193525573915337E-2</v>
      </c>
      <c r="H3" s="3">
        <v>5.4356715371501878E-2</v>
      </c>
      <c r="I3" s="3">
        <v>5.1074925314826367E-2</v>
      </c>
    </row>
    <row r="4" spans="1:15">
      <c r="A4" s="2" t="s">
        <v>6</v>
      </c>
      <c r="B4" s="2">
        <v>31818293.689999994</v>
      </c>
      <c r="C4" s="2">
        <v>33405679.010000009</v>
      </c>
      <c r="D4" s="2">
        <v>33960648.829999983</v>
      </c>
      <c r="E4" s="2">
        <v>34012765.660000019</v>
      </c>
      <c r="F4" s="2">
        <v>46343611.220000014</v>
      </c>
      <c r="G4" s="2">
        <v>28976053.29999999</v>
      </c>
      <c r="H4" s="2">
        <v>27097750.609999992</v>
      </c>
      <c r="L4" s="4">
        <f>SUMPRODUCT(B3:H3,B4:H4)/SUM(B4:H4)</f>
        <v>5.1217216981726731E-2</v>
      </c>
    </row>
    <row r="5" spans="1:15">
      <c r="A5" s="2" t="s">
        <v>7</v>
      </c>
      <c r="B5" s="2">
        <f>B4*B3</f>
        <v>1606563.904354698</v>
      </c>
      <c r="C5" s="2">
        <f t="shared" ref="C5:H5" si="0">C4*C3</f>
        <v>1727451.1693546129</v>
      </c>
      <c r="D5" s="2">
        <f t="shared" si="0"/>
        <v>1541197.5606609669</v>
      </c>
      <c r="E5" s="2">
        <f t="shared" si="0"/>
        <v>1461624.5968954028</v>
      </c>
      <c r="F5" s="2">
        <f t="shared" si="0"/>
        <v>2716414.0739040147</v>
      </c>
      <c r="G5" s="2">
        <f t="shared" si="0"/>
        <v>1541338.4322446834</v>
      </c>
      <c r="H5" s="2">
        <f t="shared" si="0"/>
        <v>1472944.717115711</v>
      </c>
      <c r="L5" s="4">
        <f>SUMPRODUCT(B7:H7,B4:H4)/SUM(B4:H4)</f>
        <v>5.4717216981726734E-2</v>
      </c>
      <c r="N5" s="4">
        <f>L4+M7</f>
        <v>5.4717216981726734E-2</v>
      </c>
    </row>
    <row r="6" spans="1:15">
      <c r="A6" s="2" t="s">
        <v>8</v>
      </c>
      <c r="B6" s="2">
        <f>B7*B4</f>
        <v>1750006.1529499998</v>
      </c>
      <c r="C6" s="2">
        <f t="shared" ref="C6:H6" si="1">C7*C4</f>
        <v>2004340.7406000004</v>
      </c>
      <c r="D6" s="2">
        <f t="shared" si="1"/>
        <v>2037638.9297999989</v>
      </c>
      <c r="E6" s="2">
        <f t="shared" si="1"/>
        <v>2040765.9396000011</v>
      </c>
      <c r="F6" s="2">
        <f t="shared" si="1"/>
        <v>2085462.5049000005</v>
      </c>
      <c r="G6" s="2">
        <f t="shared" si="1"/>
        <v>1738563.1979999994</v>
      </c>
      <c r="H6" s="2">
        <f t="shared" si="1"/>
        <v>1235408.7968000919</v>
      </c>
      <c r="L6" s="3"/>
      <c r="N6" s="9"/>
    </row>
    <row r="7" spans="1:15">
      <c r="A7" s="2" t="s">
        <v>2</v>
      </c>
      <c r="B7" s="10">
        <v>5.5E-2</v>
      </c>
      <c r="C7" s="10">
        <v>0.06</v>
      </c>
      <c r="D7" s="10">
        <v>0.06</v>
      </c>
      <c r="E7" s="10">
        <v>0.06</v>
      </c>
      <c r="F7" s="10">
        <v>4.4999999999999998E-2</v>
      </c>
      <c r="G7" s="10">
        <v>0.06</v>
      </c>
      <c r="H7" s="10">
        <f>(N5*SUM(B4:H4)-SUM(B6:G6))/H4</f>
        <v>4.5590824662183733E-2</v>
      </c>
      <c r="M7" s="8">
        <v>3.5000000000000001E-3</v>
      </c>
    </row>
    <row r="8" spans="1:15">
      <c r="A8" s="2" t="s">
        <v>4</v>
      </c>
      <c r="B8" s="7">
        <f t="shared" ref="B8:H8" si="2">-7600.6*B7*B7*B7+2437.9*B7*B7-210.46*B7+7.9253</f>
        <v>2.4600976750000001</v>
      </c>
      <c r="C8" s="7">
        <f t="shared" si="2"/>
        <v>2.4324104000000002</v>
      </c>
      <c r="D8" s="7">
        <f t="shared" si="2"/>
        <v>2.4324104000000002</v>
      </c>
      <c r="E8" s="7">
        <f t="shared" si="2"/>
        <v>2.4324104000000002</v>
      </c>
      <c r="F8" s="7">
        <f t="shared" si="2"/>
        <v>2.6987428249999992</v>
      </c>
      <c r="G8" s="7">
        <f t="shared" si="2"/>
        <v>2.4324104000000002</v>
      </c>
      <c r="H8" s="7">
        <f t="shared" si="2"/>
        <v>2.6772420297809569</v>
      </c>
      <c r="J8" s="5">
        <f>SUMPRODUCT(B8:H8,B6:H6)/SUM(B6:H6)</f>
        <v>2.5027123890099698</v>
      </c>
    </row>
    <row r="9" spans="1:15">
      <c r="J9" s="5"/>
      <c r="N9" s="2">
        <f>2.5/2.3-1</f>
        <v>8.6956521739130599E-2</v>
      </c>
    </row>
    <row r="10" spans="1:15">
      <c r="A10" s="2" t="s">
        <v>5</v>
      </c>
      <c r="B10" s="2">
        <f t="shared" ref="B10" si="3">-7600.6*B3*B3*B3+2437.9*B3*B3-210.46*B3+7.9253</f>
        <v>2.5356441823802545</v>
      </c>
      <c r="C10" s="2">
        <f t="shared" ref="C10:H10" si="4">-7600.6*C3*C3*C3+2437.9*C3*C3-210.46*C3+7.9253</f>
        <v>2.5102233888517782</v>
      </c>
      <c r="D10" s="2">
        <f t="shared" si="4"/>
        <v>2.6847342702557118</v>
      </c>
      <c r="E10" s="2">
        <f t="shared" si="4"/>
        <v>2.7800647783179748</v>
      </c>
      <c r="F10" s="2">
        <f t="shared" si="4"/>
        <v>2.4344816724395857</v>
      </c>
      <c r="G10" s="2">
        <f t="shared" si="4"/>
        <v>2.4843581833219375</v>
      </c>
      <c r="H10" s="2">
        <f t="shared" si="4"/>
        <v>2.4678371039177858</v>
      </c>
      <c r="J10" s="5">
        <f>SUMPRODUCT(B10:H10,B5:H5)/SUM(B5:H5)</f>
        <v>2.5430517295018009</v>
      </c>
      <c r="K10" s="4">
        <f>J8/J10-1</f>
        <v>-1.5862571737671138E-2</v>
      </c>
    </row>
    <row r="12" spans="1:15">
      <c r="B12" s="7">
        <f>B10-$J$10</f>
        <v>-7.4075471215464539E-3</v>
      </c>
      <c r="C12" s="7">
        <f t="shared" ref="C12:H12" si="5">C10-$J$10</f>
        <v>-3.2828340650022714E-2</v>
      </c>
      <c r="D12" s="7">
        <f t="shared" si="5"/>
        <v>0.14168254075391085</v>
      </c>
      <c r="E12" s="7">
        <f t="shared" si="5"/>
        <v>0.23701304881617391</v>
      </c>
      <c r="F12" s="7">
        <f t="shared" si="5"/>
        <v>-0.10857005706221523</v>
      </c>
      <c r="G12" s="7">
        <f t="shared" si="5"/>
        <v>-5.8693546179863443E-2</v>
      </c>
      <c r="H12" s="7">
        <f t="shared" si="5"/>
        <v>-7.5214625584015149E-2</v>
      </c>
    </row>
    <row r="13" spans="1:15">
      <c r="J13" s="2">
        <f>J8/J14</f>
        <v>2.3015098472765381</v>
      </c>
      <c r="L13" s="4">
        <f>J13/N1-1</f>
        <v>-1.5862571737671027E-2</v>
      </c>
    </row>
    <row r="14" spans="1:15">
      <c r="B14" s="8">
        <v>0.01</v>
      </c>
      <c r="C14" s="8">
        <v>0.01</v>
      </c>
      <c r="D14" s="8">
        <v>1.4999999999999999E-2</v>
      </c>
      <c r="E14" s="6">
        <v>1.4999999999999999E-2</v>
      </c>
      <c r="F14" s="8">
        <v>1.4999999999999999E-2</v>
      </c>
      <c r="G14" s="6">
        <v>1.2E-2</v>
      </c>
      <c r="H14" s="8">
        <v>1.2E-2</v>
      </c>
      <c r="J14" s="2">
        <f>J10/N1</f>
        <v>1.0874219773474019</v>
      </c>
    </row>
    <row r="15" spans="1:15">
      <c r="B15" s="2">
        <v>1</v>
      </c>
      <c r="C15" s="2">
        <v>1</v>
      </c>
      <c r="D15" s="2">
        <v>-1</v>
      </c>
      <c r="E15" s="2">
        <v>-1</v>
      </c>
      <c r="F15" s="2">
        <v>1</v>
      </c>
      <c r="G15" s="2">
        <v>1</v>
      </c>
      <c r="H15" s="2">
        <v>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周中腾挪--复杂版 (2)</vt:lpstr>
      <vt:lpstr>分框腾挪</vt:lpstr>
      <vt:lpstr>周中腾挪--复杂版</vt:lpstr>
      <vt:lpstr>Sheet3</vt:lpstr>
      <vt:lpstr>Sheet1 (2)</vt:lpstr>
      <vt:lpstr>画图用的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刘宇航</cp:lastModifiedBy>
  <dcterms:created xsi:type="dcterms:W3CDTF">2022-08-29T09:31:03Z</dcterms:created>
  <dcterms:modified xsi:type="dcterms:W3CDTF">2023-03-17T11:31:20Z</dcterms:modified>
</cp:coreProperties>
</file>