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i_OPTN" sheetId="1" state="visible" r:id="rId2"/>
    <sheet name="Arrivi" sheetId="2" state="visible" r:id="rId3"/>
    <sheet name="Uscite" sheetId="3" state="visible" r:id="rId4"/>
    <sheet name="Centri - Identical" sheetId="4" state="visible" r:id="rId5"/>
    <sheet name="Centri - Compatible" sheetId="5" state="visible" r:id="rId6"/>
    <sheet name="Dati" sheetId="6" state="visible" r:id="rId7"/>
    <sheet name="Not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tempo medio costante per un intervento di trapianto di rene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Non c'è una coda di trapianto</t>
        </r>
      </text>
    </comment>
  </commentList>
</comments>
</file>

<file path=xl/sharedStrings.xml><?xml version="1.0" encoding="utf-8"?>
<sst xmlns="http://schemas.openxmlformats.org/spreadsheetml/2006/main" count="618" uniqueCount="141">
  <si>
    <t xml:space="preserve">PAZIENTI - ARRIVI</t>
  </si>
  <si>
    <t xml:space="preserve">ORGANI - ARRIVI</t>
  </si>
  <si>
    <t xml:space="preserve">ABO</t>
  </si>
  <si>
    <t xml:space="preserve">Priorità</t>
  </si>
  <si>
    <t xml:space="preserve">2019</t>
  </si>
  <si>
    <t xml:space="preserve">2018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</si>
  <si>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</si>
  <si>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</si>
  <si>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</si>
  <si>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</si>
  <si>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</si>
  <si>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</si>
  <si>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</si>
  <si>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</si>
  <si>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</si>
  <si>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Donor type</t>
  </si>
  <si>
    <t xml:space="preserve">All ABO</t>
  </si>
  <si>
    <t xml:space="preserve">All Types</t>
  </si>
  <si>
    <t xml:space="preserve">All Donor Types</t>
  </si>
  <si>
    <t xml:space="preserve">Critical</t>
  </si>
  <si>
    <t xml:space="preserve">Deceased Donor</t>
  </si>
  <si>
    <t xml:space="preserve">Normal</t>
  </si>
  <si>
    <t xml:space="preserve">Living Donor</t>
  </si>
  <si>
    <t xml:space="preserve">Low</t>
  </si>
  <si>
    <t xml:space="preserve">O</t>
  </si>
  <si>
    <t xml:space="preserve">A</t>
  </si>
  <si>
    <t xml:space="preserve">B</t>
  </si>
  <si>
    <t xml:space="preserve">AB</t>
  </si>
  <si>
    <t xml:space="preserve">PAZIENTI - DECESSI</t>
  </si>
  <si>
    <t xml:space="preserve">PAZIENTI - ABBANDONI (TOT)</t>
  </si>
  <si>
    <t xml:space="preserve">Priority</t>
  </si>
  <si>
    <t xml:space="preserve">TRAPIANTI</t>
  </si>
  <si>
    <t xml:space="preserve">PAZIENTI - ABBANDONI</t>
  </si>
  <si>
    <t xml:space="preserve">Rigetto</t>
  </si>
  <si>
    <t xml:space="preserve">Years PT</t>
  </si>
  <si>
    <t xml:space="preserve">No rigetto</t>
  </si>
  <si>
    <t xml:space="preserve">P(successo)</t>
  </si>
  <si>
    <t xml:space="preserve">P(Rigetto)</t>
  </si>
  <si>
    <t xml:space="preserve">Lambda-Pazienti</t>
  </si>
  <si>
    <t xml:space="preserve">p/anno (2014-2019)</t>
  </si>
  <si>
    <t xml:space="preserve">p/giorno (2014-2019)</t>
  </si>
  <si>
    <t xml:space="preserve">p/anno (2009-2013)</t>
  </si>
  <si>
    <t xml:space="preserve">p/giorno (2009-2013)</t>
  </si>
  <si>
    <t xml:space="preserve">Lambda - Organi</t>
  </si>
  <si>
    <t xml:space="preserve">Tipo</t>
  </si>
  <si>
    <t xml:space="preserve">o/anno (2014-2019)</t>
  </si>
  <si>
    <t xml:space="preserve">o/giorno (2014-2019)</t>
  </si>
  <si>
    <t xml:space="preserve">o/anno (2009-2013)</t>
  </si>
  <si>
    <t xml:space="preserve">o/giorno (2009-2013)</t>
  </si>
  <si>
    <t xml:space="preserve">d/anno (2014-2019)</t>
  </si>
  <si>
    <t xml:space="preserve">d/giorno (2014-2019)</t>
  </si>
  <si>
    <t xml:space="preserve">P(Bt AND Pr)</t>
  </si>
  <si>
    <t xml:space="preserve">r/anno (2014-2019)</t>
  </si>
  <si>
    <t xml:space="preserve">r/giorno (2014-2019)</t>
  </si>
  <si>
    <t xml:space="preserve">PAZIENTI - TRAPIANTI</t>
  </si>
  <si>
    <t xml:space="preserve">t/anno (2014-2019)</t>
  </si>
  <si>
    <t xml:space="preserve">t/giorno (2014-2019)</t>
  </si>
  <si>
    <t xml:space="preserve">Matching center - ABO Identical</t>
  </si>
  <si>
    <t xml:space="preserve">Pazienti</t>
  </si>
  <si>
    <t xml:space="preserve">Organi</t>
  </si>
  <si>
    <t xml:space="preserve">E(S)</t>
  </si>
  <si>
    <t xml:space="preserve">Utilizzazione</t>
  </si>
  <si>
    <t xml:space="preserve">E(Tq)</t>
  </si>
  <si>
    <t xml:space="preserve">E(Ts)</t>
  </si>
  <si>
    <t xml:space="preserve">E(Nq)</t>
  </si>
  <si>
    <t xml:space="preserve">E(Ns)</t>
  </si>
  <si>
    <t xml:space="preserve">Tasso di arrivo (tot)</t>
  </si>
  <si>
    <t xml:space="preserve">Tasso di morte</t>
  </si>
  <si>
    <t xml:space="preserve">Tasso di renege</t>
  </si>
  <si>
    <t xml:space="preserve">Tasso di arrivo (eff)</t>
  </si>
  <si>
    <t xml:space="preserve">Tasso di arrivo</t>
  </si>
  <si>
    <t xml:space="preserve">K</t>
  </si>
  <si>
    <t xml:space="preserve">Tot</t>
  </si>
  <si>
    <t xml:space="preserve">All</t>
  </si>
  <si>
    <t xml:space="preserve">Deceased</t>
  </si>
  <si>
    <t xml:space="preserve">Living</t>
  </si>
  <si>
    <t xml:space="preserve">Transplant center</t>
  </si>
  <si>
    <t xml:space="preserve">Tasso di trapianto</t>
  </si>
  <si>
    <t xml:space="preserve">Tasso di rigetto</t>
  </si>
  <si>
    <t xml:space="preserve">Tasso di successo</t>
  </si>
  <si>
    <t xml:space="preserve">Matching center - ABO Compatible</t>
  </si>
  <si>
    <t xml:space="preserve">Input</t>
  </si>
  <si>
    <t xml:space="preserve">Ingresso Stazione / Controllo Temperatura</t>
  </si>
  <si>
    <t xml:space="preserve">Pazienti Giornalieri</t>
  </si>
  <si>
    <t xml:space="preserve"># Serventi</t>
  </si>
  <si>
    <t xml:space="preserve">Fascia</t>
  </si>
  <si>
    <t xml:space="preserve">Tasso di Ingresso</t>
  </si>
  <si>
    <t xml:space="preserve">Job In Ingresso</t>
  </si>
  <si>
    <t xml:space="preserve">Job Smaltiti</t>
  </si>
  <si>
    <t xml:space="preserve">Job in Eccesso</t>
  </si>
  <si>
    <t xml:space="preserve">Throughput</t>
  </si>
  <si>
    <t xml:space="preserve">Visite</t>
  </si>
  <si>
    <t xml:space="preserve">Organi Giornalieri</t>
  </si>
  <si>
    <t xml:space="preserve">Trapianti Giornalieri</t>
  </si>
  <si>
    <t xml:space="preserve">Dati Fasce Orarie</t>
  </si>
  <si>
    <t xml:space="preserve">Ore Fascia</t>
  </si>
  <si>
    <t xml:space="preserve">Peso</t>
  </si>
  <si>
    <t xml:space="preserve">Num Pass Fascia</t>
  </si>
  <si>
    <t xml:space="preserve">Secondi Fascia</t>
  </si>
  <si>
    <t xml:space="preserve">LAMBDA</t>
  </si>
  <si>
    <t xml:space="preserve">05:00 - 08:00</t>
  </si>
  <si>
    <t xml:space="preserve">Sportello Acquisto Biglietti</t>
  </si>
  <si>
    <t xml:space="preserve">08:00 - 19:00</t>
  </si>
  <si>
    <t xml:space="preserve">19:00 - 00:00</t>
  </si>
  <si>
    <t xml:space="preserve">Servizi</t>
  </si>
  <si>
    <t xml:space="preserve">Tempi di Servizio</t>
  </si>
  <si>
    <t xml:space="preserve">Tasso di Servizio</t>
  </si>
  <si>
    <t xml:space="preserve">Controllo Temperatura</t>
  </si>
  <si>
    <t xml:space="preserve">Acquisto Biglietto</t>
  </si>
  <si>
    <t xml:space="preserve">Gate Abbonamenti</t>
  </si>
  <si>
    <t xml:space="preserve">Verifica Abbonamento</t>
  </si>
  <si>
    <t xml:space="preserve">Verifica Biglietto</t>
  </si>
  <si>
    <t xml:space="preserve">Controllo Green Pass</t>
  </si>
  <si>
    <t xml:space="preserve">Probabilità</t>
  </si>
  <si>
    <t xml:space="preserve">Febbre</t>
  </si>
  <si>
    <t xml:space="preserve">Perc in salute</t>
  </si>
  <si>
    <t xml:space="preserve">Senza Biglietto</t>
  </si>
  <si>
    <t xml:space="preserve">Abbonati / Biglietto</t>
  </si>
  <si>
    <t xml:space="preserve">Gate Biglietti</t>
  </si>
  <si>
    <t xml:space="preserve">Con Biglietto Online</t>
  </si>
  <si>
    <t xml:space="preserve">Online / Buy</t>
  </si>
  <si>
    <t xml:space="preserve">Con Abbonamento</t>
  </si>
  <si>
    <t xml:space="preserve">Green Pass Non Valido</t>
  </si>
  <si>
    <t xml:space="preserve">Costo Manutenimento Giornaliero</t>
  </si>
  <si>
    <t xml:space="preserve">Oggetto</t>
  </si>
  <si>
    <t xml:space="preserve">Costo Singolo Mensile</t>
  </si>
  <si>
    <t xml:space="preserve">Costo Singolo al Sec.</t>
  </si>
  <si>
    <t xml:space="preserve">Costo Giornaliero</t>
  </si>
  <si>
    <t xml:space="preserve">Scanner Temperatura</t>
  </si>
  <si>
    <t xml:space="preserve">Macchina Stampa Biglietto</t>
  </si>
  <si>
    <t xml:space="preserve">Job Bypassed</t>
  </si>
  <si>
    <t xml:space="preserve">PLOSS</t>
  </si>
  <si>
    <t xml:space="preserve">LAMBDA REAL</t>
  </si>
  <si>
    <t xml:space="preserve">Workload Max</t>
  </si>
  <si>
    <t xml:space="preserve">Real Serv</t>
  </si>
  <si>
    <t xml:space="preserve">Macchina Verifica Abbonamento</t>
  </si>
  <si>
    <t xml:space="preserve">Dipendente Verifica Biglietto</t>
  </si>
  <si>
    <t xml:space="preserve">Dipendente Controllo Green Pass</t>
  </si>
  <si>
    <t xml:space="preserve">Costi (indicativi)</t>
  </si>
  <si>
    <t xml:space="preserve">Tempi Risposta</t>
  </si>
  <si>
    <t xml:space="preserve">Tasso d'ingresso totale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</si>
</sst>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"/>
    <numFmt numFmtId="167" formatCode="0.00000"/>
    <numFmt numFmtId="168" formatCode="0.000"/>
    <numFmt numFmtId="169" formatCode="0.00%"/>
    <numFmt numFmtId="170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Tahoma"/>
      <family val="2"/>
      <charset val="1"/>
    </font>
    <font>
      <strike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E2F0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0" name="Immagine 2" descr=""/>
        <xdr:cNvPicPr/>
      </xdr:nvPicPr>
      <xdr:blipFill>
        <a:blip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O2:AA17" headerRowCount="1" totalsRowCount="0" totalsRowShown="0">
  <autoFilter ref="O2:AA17"/>
  <tableColumns count="13">
    <tableColumn id="1" name="ABO"/>
    <tableColumn id="2" name="Donor type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0.xml><?xml version="1.0" encoding="utf-8"?>
<table xmlns="http://schemas.openxmlformats.org/spreadsheetml/2006/main" id="10" name="Tabella8" displayName="Tabella8" ref="A25:M45" headerRowCount="1" totalsRowCount="0" totalsRowShown="0">
  <autoFilter ref="A25:M45"/>
  <tableColumns count="13">
    <tableColumn id="1" name="ABO"/>
    <tableColumn id="2" name="Priority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1.xml><?xml version="1.0" encoding="utf-8"?>
<table xmlns="http://schemas.openxmlformats.org/spreadsheetml/2006/main" id="11" name="Tabella9" displayName="Tabella9" ref="O25:AA45" headerRowCount="1" totalsRowCount="0" totalsRowShown="0">
  <autoFilter ref="O25:AA45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2.xml><?xml version="1.0" encoding="utf-8"?>
<table xmlns="http://schemas.openxmlformats.org/spreadsheetml/2006/main" id="12" name="Tabella913" displayName="Tabella913" ref="O48:AA68" headerRowCount="1" totalsRowCount="0" totalsRowShown="0">
  <autoFilter ref="O48:AA68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2.xml><?xml version="1.0" encoding="utf-8"?>
<table xmlns="http://schemas.openxmlformats.org/spreadsheetml/2006/main" id="2" name="Tabella2" displayName="Tabella2" ref="A2:M22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3.xml><?xml version="1.0" encoding="utf-8"?>
<table xmlns="http://schemas.openxmlformats.org/spreadsheetml/2006/main" id="3" name="Tabella3" displayName="Tabella3" ref="A1:F13" headerRowCount="1" totalsRowCount="0" totalsRowShown="0">
  <autoFilter ref="A1:F13"/>
  <tableColumns count="6">
    <tableColumn id="1" name="Lambda-Pazienti"/>
    <tableColumn id="2" name="Priorità"/>
    <tableColumn id="3" name="p/anno (2014-2019)"/>
    <tableColumn id="4" name="p/giorno (2014-2019)"/>
    <tableColumn id="5" name="p/anno (2009-2013)"/>
    <tableColumn id="6" name="p/giorno (2009-2013)"/>
  </tableColumns>
</table>
</file>

<file path=xl/tables/table4.xml><?xml version="1.0" encoding="utf-8"?>
<table xmlns="http://schemas.openxmlformats.org/spreadsheetml/2006/main" id="4" name="Tabella4" displayName="Tabella4" ref="A15:F27" headerRowCount="1" totalsRowCount="0" totalsRowShown="0">
  <autoFilter ref="A15:F27"/>
  <tableColumns count="6">
    <tableColumn id="1" name="Lambda - Organi"/>
    <tableColumn id="2" name="Tipo"/>
    <tableColumn id="3" name="o/anno (2014-2019)"/>
    <tableColumn id="4" name="o/giorno (2014-2019)"/>
    <tableColumn id="5" name="o/anno (2009-2013)"/>
    <tableColumn id="6" name="o/giorno (2009-2013)"/>
  </tableColumns>
</table>
</file>

<file path=xl/tables/table5.xml><?xml version="1.0" encoding="utf-8"?>
<table xmlns="http://schemas.openxmlformats.org/spreadsheetml/2006/main" id="5" name="Tabella5" displayName="Tabella5" ref="A2:E22" headerRowCount="1" totalsRowCount="0" totalsRowShown="0">
  <autoFilter ref="A2:E22"/>
  <tableColumns count="5">
    <tableColumn id="1" name="ABO"/>
    <tableColumn id="2" name="Priorità"/>
    <tableColumn id="3" name="d/anno (2014-2019)"/>
    <tableColumn id="4" name="d/giorno (2014-2019)"/>
    <tableColumn id="5" name="P(Bt AND Pr)"/>
  </tableColumns>
</table>
</file>

<file path=xl/tables/table6.xml><?xml version="1.0" encoding="utf-8"?>
<table xmlns="http://schemas.openxmlformats.org/spreadsheetml/2006/main" id="6" name="Tabella511" displayName="Tabella511" ref="G2:K22" headerRowCount="1" totalsRowCount="0" totalsRowShown="0">
  <autoFilter ref="G2:K22"/>
  <tableColumns count="5">
    <tableColumn id="1" name="ABO"/>
    <tableColumn id="2" name="Priorità"/>
    <tableColumn id="3" name="r/anno (2014-2019)"/>
    <tableColumn id="4" name="r/giorno (2014-2019)"/>
    <tableColumn id="5" name="P(Bt AND Pr)"/>
  </tableColumns>
</table>
</file>

<file path=xl/tables/table7.xml><?xml version="1.0" encoding="utf-8"?>
<table xmlns="http://schemas.openxmlformats.org/spreadsheetml/2006/main" id="7" name="Tabella512" displayName="Tabella512" ref="A25:E45" headerRowCount="1" totalsRowCount="0" totalsRowShown="0">
  <autoFilter ref="A25:E45"/>
  <tableColumns count="5">
    <tableColumn id="1" name="ABO"/>
    <tableColumn id="2" name="Priorità"/>
    <tableColumn id="3" name="t/anno (2014-2019)"/>
    <tableColumn id="4" name="t/giorno (2014-2019)"/>
    <tableColumn id="5" name="P(Bt AND Pr)"/>
  </tableColumns>
</table>
</file>

<file path=xl/tables/table8.xml><?xml version="1.0" encoding="utf-8"?>
<table xmlns="http://schemas.openxmlformats.org/spreadsheetml/2006/main" id="8" name="Tabella6" displayName="Tabella6" ref="A71:E86" headerRowCount="1" totalsRowCount="0" totalsRowShown="0">
  <autoFilter ref="A71:E86"/>
  <tableColumns count="5">
    <tableColumn id="1" name="ABO"/>
    <tableColumn id="2" name="Years PT"/>
    <tableColumn id="3" name="No rigetto"/>
    <tableColumn id="4" name="P(successo)"/>
    <tableColumn id="5" name="P(Rigetto)"/>
  </tableColumns>
</table>
</file>

<file path=xl/tables/table9.xml><?xml version="1.0" encoding="utf-8"?>
<table xmlns="http://schemas.openxmlformats.org/spreadsheetml/2006/main" id="9" name="Tabella7" displayName="Tabella7" ref="A48:M68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Relationship Id="rId3" Type="http://schemas.openxmlformats.org/officeDocument/2006/relationships/table" Target="../tables/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I78" activeCellId="0" sqref="I78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2.86"/>
    <col collapsed="false" customWidth="true" hidden="false" outlineLevel="0" max="3" min="3" style="1" width="11.42"/>
    <col collapsed="false" customWidth="true" hidden="false" outlineLevel="0" max="4" min="4" style="1" width="12.14"/>
    <col collapsed="false" customWidth="true" hidden="false" outlineLevel="0" max="5" min="5" style="1" width="13.14"/>
    <col collapsed="false" customWidth="false" hidden="false" outlineLevel="0" max="15" min="6" style="1" width="9.14"/>
    <col collapsed="false" customWidth="true" hidden="false" outlineLevel="0" max="16" min="16" style="1" width="9.71"/>
    <col collapsed="false" customWidth="false" hidden="false" outlineLevel="0" max="1024" min="17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O2" s="1" t="s">
        <v>2</v>
      </c>
      <c r="P2" s="1" t="s">
        <v>15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</row>
    <row r="3" customFormat="false" ht="15" hidden="false" customHeight="false" outlineLevel="0" collapsed="false">
      <c r="A3" s="1" t="s">
        <v>16</v>
      </c>
      <c r="B3" s="1" t="s">
        <v>17</v>
      </c>
      <c r="C3" s="1" t="n">
        <v>41100</v>
      </c>
      <c r="D3" s="1" t="n">
        <v>38801</v>
      </c>
      <c r="E3" s="1" t="n">
        <v>35592</v>
      </c>
      <c r="F3" s="1" t="n">
        <v>35417</v>
      </c>
      <c r="G3" s="1" t="n">
        <v>35033</v>
      </c>
      <c r="H3" s="1" t="n">
        <v>36154</v>
      </c>
      <c r="I3" s="3" t="n">
        <v>36393</v>
      </c>
      <c r="J3" s="3" t="n">
        <v>34831</v>
      </c>
      <c r="K3" s="3" t="n">
        <v>33560</v>
      </c>
      <c r="L3" s="3" t="n">
        <v>34400</v>
      </c>
      <c r="M3" s="3" t="n">
        <v>33646</v>
      </c>
      <c r="O3" s="1" t="s">
        <v>16</v>
      </c>
      <c r="P3" s="1" t="s">
        <v>18</v>
      </c>
      <c r="Q3" s="1" t="n">
        <v>18018</v>
      </c>
      <c r="R3" s="1" t="n">
        <v>16310</v>
      </c>
      <c r="S3" s="1" t="n">
        <v>15212</v>
      </c>
      <c r="T3" s="1" t="n">
        <v>14745</v>
      </c>
      <c r="U3" s="1" t="n">
        <v>13878</v>
      </c>
      <c r="V3" s="1" t="n">
        <v>13302</v>
      </c>
      <c r="W3" s="3" t="n">
        <v>13282</v>
      </c>
      <c r="X3" s="3" t="n">
        <v>13040</v>
      </c>
      <c r="Y3" s="3" t="n">
        <v>13207</v>
      </c>
      <c r="Z3" s="3" t="n">
        <v>13519</v>
      </c>
      <c r="AA3" s="3" t="n">
        <v>13636</v>
      </c>
    </row>
    <row r="4" customFormat="false" ht="15" hidden="false" customHeight="false" outlineLevel="0" collapsed="false">
      <c r="B4" s="1" t="s">
        <v>19</v>
      </c>
      <c r="C4" s="1" t="n">
        <v>41</v>
      </c>
      <c r="D4" s="1" t="n">
        <v>37</v>
      </c>
      <c r="E4" s="1" t="n">
        <v>19</v>
      </c>
      <c r="F4" s="1" t="n">
        <v>45</v>
      </c>
      <c r="G4" s="1" t="n">
        <v>46</v>
      </c>
      <c r="H4" s="1" t="n">
        <v>36</v>
      </c>
      <c r="I4" s="3" t="n">
        <v>29</v>
      </c>
      <c r="J4" s="3" t="n">
        <v>28</v>
      </c>
      <c r="K4" s="3" t="n">
        <v>29</v>
      </c>
      <c r="L4" s="3" t="n">
        <v>34</v>
      </c>
      <c r="M4" s="3" t="n">
        <v>35</v>
      </c>
      <c r="P4" s="1" t="s">
        <v>20</v>
      </c>
      <c r="Q4" s="1" t="n">
        <v>11152</v>
      </c>
      <c r="R4" s="1" t="n">
        <v>9867</v>
      </c>
      <c r="S4" s="1" t="n">
        <v>9401</v>
      </c>
      <c r="T4" s="1" t="n">
        <v>9116</v>
      </c>
      <c r="U4" s="1" t="n">
        <v>8250</v>
      </c>
      <c r="V4" s="1" t="n">
        <v>7763</v>
      </c>
      <c r="W4" s="3" t="n">
        <v>7548</v>
      </c>
      <c r="X4" s="3" t="n">
        <v>7421</v>
      </c>
      <c r="Y4" s="3" t="n">
        <v>7434</v>
      </c>
      <c r="Z4" s="3" t="n">
        <v>7241</v>
      </c>
      <c r="AA4" s="3" t="n">
        <v>7248</v>
      </c>
    </row>
    <row r="5" customFormat="false" ht="15" hidden="false" customHeight="false" outlineLevel="0" collapsed="false">
      <c r="B5" s="1" t="s">
        <v>21</v>
      </c>
      <c r="C5" s="1" t="n">
        <v>31145</v>
      </c>
      <c r="D5" s="1" t="n">
        <v>29735</v>
      </c>
      <c r="E5" s="1" t="n">
        <v>27913</v>
      </c>
      <c r="F5" s="1" t="n">
        <v>27644</v>
      </c>
      <c r="G5" s="1" t="n">
        <v>26395</v>
      </c>
      <c r="H5" s="1" t="n">
        <v>25197</v>
      </c>
      <c r="I5" s="3" t="n">
        <v>25120</v>
      </c>
      <c r="J5" s="3" t="n">
        <v>24125</v>
      </c>
      <c r="K5" s="3" t="n">
        <v>23502</v>
      </c>
      <c r="L5" s="3" t="n">
        <v>24367</v>
      </c>
      <c r="M5" s="3" t="n">
        <v>24299</v>
      </c>
      <c r="P5" s="1" t="s">
        <v>22</v>
      </c>
      <c r="Q5" s="1" t="n">
        <v>6866</v>
      </c>
      <c r="R5" s="1" t="n">
        <v>6443</v>
      </c>
      <c r="S5" s="1" t="n">
        <v>5811</v>
      </c>
      <c r="T5" s="1" t="n">
        <v>5629</v>
      </c>
      <c r="U5" s="1" t="n">
        <v>5628</v>
      </c>
      <c r="V5" s="1" t="n">
        <v>5539</v>
      </c>
      <c r="W5" s="3" t="n">
        <v>5734</v>
      </c>
      <c r="X5" s="3" t="n">
        <v>5619</v>
      </c>
      <c r="Y5" s="3" t="n">
        <v>5773</v>
      </c>
      <c r="Z5" s="3" t="n">
        <v>6278</v>
      </c>
      <c r="AA5" s="3" t="n">
        <v>6388</v>
      </c>
    </row>
    <row r="6" customFormat="false" ht="15" hidden="false" customHeight="false" outlineLevel="0" collapsed="false">
      <c r="B6" s="1" t="s">
        <v>23</v>
      </c>
      <c r="C6" s="1" t="n">
        <v>10345</v>
      </c>
      <c r="D6" s="1" t="n">
        <v>9391</v>
      </c>
      <c r="E6" s="1" t="n">
        <v>7967</v>
      </c>
      <c r="F6" s="1" t="n">
        <v>8074</v>
      </c>
      <c r="G6" s="1" t="n">
        <v>8938</v>
      </c>
      <c r="H6" s="1" t="n">
        <v>11390</v>
      </c>
      <c r="I6" s="3" t="n">
        <v>11725</v>
      </c>
      <c r="J6" s="3" t="n">
        <v>11107</v>
      </c>
      <c r="K6" s="3" t="n">
        <v>10405</v>
      </c>
      <c r="L6" s="3" t="n">
        <v>10365</v>
      </c>
      <c r="M6" s="3" t="n">
        <v>9726</v>
      </c>
      <c r="O6" s="1" t="s">
        <v>24</v>
      </c>
      <c r="P6" s="1" t="s">
        <v>18</v>
      </c>
      <c r="Q6" s="1" t="n">
        <v>9625</v>
      </c>
      <c r="R6" s="1" t="n">
        <v>8673</v>
      </c>
      <c r="S6" s="1" t="n">
        <v>8159</v>
      </c>
      <c r="T6" s="1" t="n">
        <v>7956</v>
      </c>
      <c r="U6" s="1" t="n">
        <v>7513</v>
      </c>
      <c r="V6" s="1" t="n">
        <v>7156</v>
      </c>
      <c r="W6" s="3" t="n">
        <v>7211</v>
      </c>
      <c r="X6" s="3" t="n">
        <v>7064</v>
      </c>
      <c r="Y6" s="3" t="n">
        <v>7244</v>
      </c>
      <c r="Z6" s="3" t="n">
        <v>7431</v>
      </c>
      <c r="AA6" s="3" t="n">
        <v>7653</v>
      </c>
    </row>
    <row r="7" customFormat="false" ht="15" hidden="false" customHeight="false" outlineLevel="0" collapsed="false">
      <c r="A7" s="1" t="s">
        <v>24</v>
      </c>
      <c r="B7" s="1" t="s">
        <v>17</v>
      </c>
      <c r="C7" s="1" t="n">
        <v>20140</v>
      </c>
      <c r="D7" s="1" t="n">
        <v>18962</v>
      </c>
      <c r="E7" s="1" t="n">
        <v>17205</v>
      </c>
      <c r="F7" s="1" t="n">
        <v>17454</v>
      </c>
      <c r="G7" s="1" t="n">
        <v>16980</v>
      </c>
      <c r="H7" s="1" t="n">
        <v>17581</v>
      </c>
      <c r="I7" s="3" t="n">
        <v>17643</v>
      </c>
      <c r="J7" s="3" t="n">
        <v>16975</v>
      </c>
      <c r="K7" s="3" t="n">
        <v>16237</v>
      </c>
      <c r="L7" s="3" t="n">
        <v>16668</v>
      </c>
      <c r="M7" s="3" t="n">
        <v>16325</v>
      </c>
      <c r="P7" s="1" t="s">
        <v>20</v>
      </c>
      <c r="Q7" s="1" t="n">
        <v>5322</v>
      </c>
      <c r="R7" s="1" t="n">
        <v>4665</v>
      </c>
      <c r="S7" s="1" t="n">
        <v>4504</v>
      </c>
      <c r="T7" s="1" t="n">
        <v>4363</v>
      </c>
      <c r="U7" s="1" t="n">
        <v>3977</v>
      </c>
      <c r="V7" s="1" t="n">
        <v>3683</v>
      </c>
      <c r="W7" s="3" t="n">
        <v>3614</v>
      </c>
      <c r="X7" s="3" t="n">
        <v>3463</v>
      </c>
      <c r="Y7" s="3" t="n">
        <v>3566</v>
      </c>
      <c r="Z7" s="3" t="n">
        <v>3449</v>
      </c>
      <c r="AA7" s="3" t="n">
        <v>3458</v>
      </c>
    </row>
    <row r="8" customFormat="false" ht="15" hidden="false" customHeight="false" outlineLevel="0" collapsed="false">
      <c r="B8" s="1" t="s">
        <v>19</v>
      </c>
      <c r="C8" s="1" t="n">
        <v>19</v>
      </c>
      <c r="D8" s="1" t="n">
        <v>17</v>
      </c>
      <c r="E8" s="1" t="n">
        <v>10</v>
      </c>
      <c r="F8" s="1" t="n">
        <v>23</v>
      </c>
      <c r="G8" s="1" t="n">
        <v>31</v>
      </c>
      <c r="H8" s="1" t="n">
        <v>14</v>
      </c>
      <c r="I8" s="3" t="n">
        <v>13</v>
      </c>
      <c r="J8" s="3" t="n">
        <v>20</v>
      </c>
      <c r="K8" s="3" t="n">
        <v>16</v>
      </c>
      <c r="L8" s="3" t="n">
        <v>16</v>
      </c>
      <c r="M8" s="3" t="n">
        <v>15</v>
      </c>
      <c r="P8" s="1" t="s">
        <v>22</v>
      </c>
      <c r="Q8" s="1" t="n">
        <v>4303</v>
      </c>
      <c r="R8" s="1" t="n">
        <v>4008</v>
      </c>
      <c r="S8" s="1" t="n">
        <v>3655</v>
      </c>
      <c r="T8" s="1" t="n">
        <v>3593</v>
      </c>
      <c r="U8" s="1" t="n">
        <v>3536</v>
      </c>
      <c r="V8" s="1" t="n">
        <v>3473</v>
      </c>
      <c r="W8" s="3" t="n">
        <v>3597</v>
      </c>
      <c r="X8" s="3" t="n">
        <v>3601</v>
      </c>
      <c r="Y8" s="3" t="n">
        <v>3678</v>
      </c>
      <c r="Z8" s="3" t="n">
        <v>3982</v>
      </c>
      <c r="AA8" s="3" t="n">
        <v>4195</v>
      </c>
    </row>
    <row r="9" customFormat="false" ht="15" hidden="false" customHeight="false" outlineLevel="0" collapsed="false">
      <c r="B9" s="1" t="s">
        <v>21</v>
      </c>
      <c r="C9" s="1" t="n">
        <v>15382</v>
      </c>
      <c r="D9" s="1" t="n">
        <v>14662</v>
      </c>
      <c r="E9" s="1" t="n">
        <v>13658</v>
      </c>
      <c r="F9" s="1" t="n">
        <v>13652</v>
      </c>
      <c r="G9" s="1" t="n">
        <v>12810</v>
      </c>
      <c r="H9" s="1" t="n">
        <v>12356</v>
      </c>
      <c r="I9" s="3" t="n">
        <v>12164</v>
      </c>
      <c r="J9" s="3" t="n">
        <v>11814</v>
      </c>
      <c r="K9" s="3" t="n">
        <v>11454</v>
      </c>
      <c r="L9" s="3" t="n">
        <v>11807</v>
      </c>
      <c r="M9" s="3" t="n">
        <v>11751</v>
      </c>
      <c r="O9" s="1" t="s">
        <v>25</v>
      </c>
      <c r="P9" s="1" t="s">
        <v>18</v>
      </c>
      <c r="Q9" s="1" t="n">
        <v>6016</v>
      </c>
      <c r="R9" s="1" t="n">
        <v>5440</v>
      </c>
      <c r="S9" s="1" t="n">
        <v>5139</v>
      </c>
      <c r="T9" s="1" t="n">
        <v>4934</v>
      </c>
      <c r="U9" s="1" t="n">
        <v>4597</v>
      </c>
      <c r="V9" s="1" t="n">
        <v>4399</v>
      </c>
      <c r="W9" s="3" t="n">
        <v>4392</v>
      </c>
      <c r="X9" s="3" t="n">
        <v>4282</v>
      </c>
      <c r="Y9" s="3" t="n">
        <v>4257</v>
      </c>
      <c r="Z9" s="3" t="n">
        <v>4328</v>
      </c>
      <c r="AA9" s="3" t="n">
        <v>4360</v>
      </c>
    </row>
    <row r="10" customFormat="false" ht="15" hidden="false" customHeight="false" outlineLevel="0" collapsed="false">
      <c r="B10" s="1" t="s">
        <v>23</v>
      </c>
      <c r="C10" s="1" t="n">
        <v>4937</v>
      </c>
      <c r="D10" s="1" t="n">
        <v>4464</v>
      </c>
      <c r="E10" s="1" t="n">
        <v>3681</v>
      </c>
      <c r="F10" s="1" t="n">
        <v>3963</v>
      </c>
      <c r="G10" s="1" t="n">
        <v>4311</v>
      </c>
      <c r="H10" s="1" t="n">
        <v>5434</v>
      </c>
      <c r="I10" s="3" t="n">
        <v>5680</v>
      </c>
      <c r="J10" s="3" t="n">
        <v>5334</v>
      </c>
      <c r="K10" s="3" t="n">
        <v>4945</v>
      </c>
      <c r="L10" s="3" t="n">
        <v>5031</v>
      </c>
      <c r="M10" s="3" t="n">
        <v>4759</v>
      </c>
      <c r="P10" s="1" t="s">
        <v>20</v>
      </c>
      <c r="Q10" s="1" t="n">
        <v>4127</v>
      </c>
      <c r="R10" s="1" t="n">
        <v>3635</v>
      </c>
      <c r="S10" s="1" t="n">
        <v>3516</v>
      </c>
      <c r="T10" s="1" t="n">
        <v>3403</v>
      </c>
      <c r="U10" s="1" t="n">
        <v>3020</v>
      </c>
      <c r="V10" s="1" t="n">
        <v>2882</v>
      </c>
      <c r="W10" s="3" t="n">
        <v>2815</v>
      </c>
      <c r="X10" s="3" t="n">
        <v>2766</v>
      </c>
      <c r="Y10" s="3" t="n">
        <v>2715</v>
      </c>
      <c r="Z10" s="3" t="n">
        <v>2638</v>
      </c>
      <c r="AA10" s="3" t="n">
        <v>2722</v>
      </c>
    </row>
    <row r="11" customFormat="false" ht="15" hidden="false" customHeight="false" outlineLevel="0" collapsed="false">
      <c r="A11" s="1" t="s">
        <v>25</v>
      </c>
      <c r="B11" s="1" t="s">
        <v>17</v>
      </c>
      <c r="C11" s="1" t="n">
        <v>13308</v>
      </c>
      <c r="D11" s="1" t="n">
        <v>12483</v>
      </c>
      <c r="E11" s="1" t="n">
        <v>11709</v>
      </c>
      <c r="F11" s="1" t="n">
        <v>11496</v>
      </c>
      <c r="G11" s="1" t="n">
        <v>11479</v>
      </c>
      <c r="H11" s="1" t="n">
        <v>11808</v>
      </c>
      <c r="I11" s="3" t="n">
        <v>11907</v>
      </c>
      <c r="J11" s="3" t="n">
        <v>11429</v>
      </c>
      <c r="K11" s="3" t="n">
        <v>11234</v>
      </c>
      <c r="L11" s="3" t="n">
        <v>11387</v>
      </c>
      <c r="M11" s="3" t="n">
        <v>11084</v>
      </c>
      <c r="P11" s="1" t="s">
        <v>22</v>
      </c>
      <c r="Q11" s="1" t="n">
        <v>1889</v>
      </c>
      <c r="R11" s="1" t="n">
        <v>1805</v>
      </c>
      <c r="S11" s="1" t="n">
        <v>1623</v>
      </c>
      <c r="T11" s="1" t="n">
        <v>1531</v>
      </c>
      <c r="U11" s="1" t="n">
        <v>1577</v>
      </c>
      <c r="V11" s="1" t="n">
        <v>1517</v>
      </c>
      <c r="W11" s="3" t="n">
        <v>1577</v>
      </c>
      <c r="X11" s="3" t="n">
        <v>1516</v>
      </c>
      <c r="Y11" s="3" t="n">
        <v>1542</v>
      </c>
      <c r="Z11" s="3" t="n">
        <v>1690</v>
      </c>
      <c r="AA11" s="3" t="n">
        <v>1638</v>
      </c>
    </row>
    <row r="12" customFormat="false" ht="15" hidden="false" customHeight="false" outlineLevel="0" collapsed="false">
      <c r="B12" s="1" t="s">
        <v>19</v>
      </c>
      <c r="C12" s="1" t="n">
        <v>10</v>
      </c>
      <c r="D12" s="1" t="n">
        <v>10</v>
      </c>
      <c r="E12" s="1" t="n">
        <v>8</v>
      </c>
      <c r="F12" s="1" t="n">
        <v>12</v>
      </c>
      <c r="G12" s="1" t="n">
        <v>8</v>
      </c>
      <c r="H12" s="1" t="n">
        <v>16</v>
      </c>
      <c r="I12" s="3" t="n">
        <v>10</v>
      </c>
      <c r="J12" s="3" t="n">
        <v>7</v>
      </c>
      <c r="K12" s="3" t="n">
        <v>7</v>
      </c>
      <c r="L12" s="3" t="n">
        <v>12</v>
      </c>
      <c r="M12" s="3" t="n">
        <v>7</v>
      </c>
      <c r="O12" s="1" t="s">
        <v>26</v>
      </c>
      <c r="P12" s="1" t="s">
        <v>18</v>
      </c>
      <c r="Q12" s="1" t="n">
        <v>1875</v>
      </c>
      <c r="R12" s="1" t="n">
        <v>1783</v>
      </c>
      <c r="S12" s="1" t="n">
        <v>1514</v>
      </c>
      <c r="T12" s="1" t="n">
        <v>1500</v>
      </c>
      <c r="U12" s="1" t="n">
        <v>1398</v>
      </c>
      <c r="V12" s="1" t="n">
        <v>1400</v>
      </c>
      <c r="W12" s="3" t="n">
        <v>1361</v>
      </c>
      <c r="X12" s="3" t="n">
        <v>1362</v>
      </c>
      <c r="Y12" s="3" t="n">
        <v>1374</v>
      </c>
      <c r="Z12" s="3" t="n">
        <v>1442</v>
      </c>
      <c r="AA12" s="3" t="n">
        <v>1349</v>
      </c>
    </row>
    <row r="13" customFormat="false" ht="15" hidden="false" customHeight="false" outlineLevel="0" collapsed="false">
      <c r="B13" s="1" t="s">
        <v>21</v>
      </c>
      <c r="C13" s="1" t="n">
        <v>9915</v>
      </c>
      <c r="D13" s="1" t="n">
        <v>9378</v>
      </c>
      <c r="E13" s="1" t="n">
        <v>9046</v>
      </c>
      <c r="F13" s="1" t="n">
        <v>8850</v>
      </c>
      <c r="G13" s="1" t="n">
        <v>8677</v>
      </c>
      <c r="H13" s="1" t="n">
        <v>8153</v>
      </c>
      <c r="I13" s="3" t="n">
        <v>8253</v>
      </c>
      <c r="J13" s="3" t="n">
        <v>7919</v>
      </c>
      <c r="K13" s="3" t="n">
        <v>7809</v>
      </c>
      <c r="L13" s="3" t="n">
        <v>8128</v>
      </c>
      <c r="M13" s="3" t="n">
        <v>8044</v>
      </c>
      <c r="P13" s="1" t="s">
        <v>20</v>
      </c>
      <c r="Q13" s="1" t="n">
        <v>1313</v>
      </c>
      <c r="R13" s="1" t="n">
        <v>1221</v>
      </c>
      <c r="S13" s="1" t="n">
        <v>1058</v>
      </c>
      <c r="T13" s="1" t="n">
        <v>1072</v>
      </c>
      <c r="U13" s="1" t="n">
        <v>950</v>
      </c>
      <c r="V13" s="1" t="n">
        <v>929</v>
      </c>
      <c r="W13" s="3" t="n">
        <v>874</v>
      </c>
      <c r="X13" s="3" t="n">
        <v>935</v>
      </c>
      <c r="Y13" s="3" t="n">
        <v>889</v>
      </c>
      <c r="Z13" s="3" t="n">
        <v>896</v>
      </c>
      <c r="AA13" s="3" t="n">
        <v>850</v>
      </c>
    </row>
    <row r="14" customFormat="false" ht="15" hidden="false" customHeight="false" outlineLevel="0" collapsed="false">
      <c r="B14" s="1" t="s">
        <v>23</v>
      </c>
      <c r="C14" s="1" t="n">
        <v>3529</v>
      </c>
      <c r="D14" s="1" t="n">
        <v>3216</v>
      </c>
      <c r="E14" s="1" t="n">
        <v>2760</v>
      </c>
      <c r="F14" s="1" t="n">
        <v>2739</v>
      </c>
      <c r="G14" s="1" t="n">
        <v>2900</v>
      </c>
      <c r="H14" s="1" t="n">
        <v>3782</v>
      </c>
      <c r="I14" s="3" t="n">
        <v>3814</v>
      </c>
      <c r="J14" s="3" t="n">
        <v>3650</v>
      </c>
      <c r="K14" s="3" t="n">
        <v>3541</v>
      </c>
      <c r="L14" s="3" t="n">
        <v>3359</v>
      </c>
      <c r="M14" s="3" t="n">
        <v>3156</v>
      </c>
      <c r="P14" s="1" t="s">
        <v>22</v>
      </c>
      <c r="Q14" s="1" t="n">
        <v>562</v>
      </c>
      <c r="R14" s="1" t="n">
        <v>562</v>
      </c>
      <c r="S14" s="1" t="n">
        <v>456</v>
      </c>
      <c r="T14" s="1" t="n">
        <v>428</v>
      </c>
      <c r="U14" s="1" t="n">
        <v>448</v>
      </c>
      <c r="V14" s="1" t="n">
        <v>471</v>
      </c>
      <c r="W14" s="3" t="n">
        <v>487</v>
      </c>
      <c r="X14" s="3" t="n">
        <v>427</v>
      </c>
      <c r="Y14" s="3" t="n">
        <v>485</v>
      </c>
      <c r="Z14" s="3" t="n">
        <v>546</v>
      </c>
      <c r="AA14" s="3" t="n">
        <v>499</v>
      </c>
    </row>
    <row r="15" customFormat="false" ht="15" hidden="false" customHeight="false" outlineLevel="0" collapsed="false">
      <c r="A15" s="1" t="s">
        <v>26</v>
      </c>
      <c r="B15" s="1" t="s">
        <v>17</v>
      </c>
      <c r="C15" s="1" t="n">
        <v>6077</v>
      </c>
      <c r="D15" s="1" t="n">
        <v>5865</v>
      </c>
      <c r="E15" s="1" t="n">
        <v>5305</v>
      </c>
      <c r="F15" s="1" t="n">
        <v>5189</v>
      </c>
      <c r="G15" s="1" t="n">
        <v>5201</v>
      </c>
      <c r="H15" s="1" t="n">
        <v>5394</v>
      </c>
      <c r="I15" s="3" t="n">
        <v>5489</v>
      </c>
      <c r="J15" s="3" t="n">
        <v>5085</v>
      </c>
      <c r="K15" s="3" t="n">
        <v>4830</v>
      </c>
      <c r="L15" s="3" t="n">
        <v>4991</v>
      </c>
      <c r="M15" s="3" t="n">
        <v>4917</v>
      </c>
      <c r="O15" s="1" t="s">
        <v>27</v>
      </c>
      <c r="P15" s="1" t="s">
        <v>18</v>
      </c>
      <c r="Q15" s="1" t="n">
        <v>502</v>
      </c>
      <c r="R15" s="1" t="n">
        <v>414</v>
      </c>
      <c r="S15" s="1" t="n">
        <v>400</v>
      </c>
      <c r="T15" s="1" t="n">
        <v>355</v>
      </c>
      <c r="U15" s="1" t="n">
        <v>370</v>
      </c>
      <c r="V15" s="1" t="n">
        <v>347</v>
      </c>
      <c r="W15" s="3" t="n">
        <v>318</v>
      </c>
      <c r="X15" s="3" t="n">
        <v>332</v>
      </c>
      <c r="Y15" s="3" t="n">
        <v>332</v>
      </c>
      <c r="Z15" s="3" t="n">
        <v>318</v>
      </c>
      <c r="AA15" s="3" t="n">
        <v>274</v>
      </c>
    </row>
    <row r="16" customFormat="false" ht="15" hidden="false" customHeight="false" outlineLevel="0" collapsed="false">
      <c r="B16" s="1" t="s">
        <v>19</v>
      </c>
      <c r="C16" s="1" t="n">
        <v>10</v>
      </c>
      <c r="D16" s="1" t="n">
        <v>7</v>
      </c>
      <c r="E16" s="1" t="n">
        <v>0</v>
      </c>
      <c r="F16" s="1" t="n">
        <v>8</v>
      </c>
      <c r="G16" s="1" t="n">
        <v>5</v>
      </c>
      <c r="H16" s="1" t="n">
        <v>6</v>
      </c>
      <c r="I16" s="3" t="n">
        <v>5</v>
      </c>
      <c r="J16" s="3" t="n">
        <v>1</v>
      </c>
      <c r="K16" s="3" t="n">
        <v>3</v>
      </c>
      <c r="L16" s="3" t="n">
        <v>5</v>
      </c>
      <c r="M16" s="3" t="n">
        <v>13</v>
      </c>
      <c r="P16" s="1" t="s">
        <v>20</v>
      </c>
      <c r="Q16" s="1" t="n">
        <v>390</v>
      </c>
      <c r="R16" s="1" t="n">
        <v>346</v>
      </c>
      <c r="S16" s="1" t="n">
        <v>323</v>
      </c>
      <c r="T16" s="1" t="n">
        <v>278</v>
      </c>
      <c r="U16" s="1" t="n">
        <v>303</v>
      </c>
      <c r="V16" s="1" t="n">
        <v>269</v>
      </c>
      <c r="W16" s="3" t="n">
        <v>245</v>
      </c>
      <c r="X16" s="3" t="n">
        <v>257</v>
      </c>
      <c r="Y16" s="3" t="n">
        <v>264</v>
      </c>
      <c r="Z16" s="3" t="n">
        <v>258</v>
      </c>
      <c r="AA16" s="3" t="n">
        <v>218</v>
      </c>
    </row>
    <row r="17" customFormat="false" ht="15" hidden="false" customHeight="false" outlineLevel="0" collapsed="false">
      <c r="B17" s="1" t="s">
        <v>21</v>
      </c>
      <c r="C17" s="1" t="n">
        <v>4689</v>
      </c>
      <c r="D17" s="1" t="n">
        <v>4577</v>
      </c>
      <c r="E17" s="1" t="n">
        <v>4175</v>
      </c>
      <c r="F17" s="1" t="n">
        <v>4126</v>
      </c>
      <c r="G17" s="1" t="n">
        <v>3905</v>
      </c>
      <c r="H17" s="1" t="n">
        <v>3716</v>
      </c>
      <c r="I17" s="3" t="n">
        <v>3790</v>
      </c>
      <c r="J17" s="3" t="n">
        <v>3478</v>
      </c>
      <c r="K17" s="3" t="n">
        <v>3371</v>
      </c>
      <c r="L17" s="3" t="n">
        <v>3517</v>
      </c>
      <c r="M17" s="3" t="n">
        <v>3554</v>
      </c>
      <c r="P17" s="1" t="s">
        <v>22</v>
      </c>
      <c r="Q17" s="1" t="n">
        <v>112</v>
      </c>
      <c r="R17" s="1" t="n">
        <v>68</v>
      </c>
      <c r="S17" s="1" t="n">
        <v>77</v>
      </c>
      <c r="T17" s="1" t="n">
        <v>77</v>
      </c>
      <c r="U17" s="1" t="n">
        <v>67</v>
      </c>
      <c r="V17" s="1" t="n">
        <v>78</v>
      </c>
      <c r="W17" s="3" t="n">
        <v>73</v>
      </c>
      <c r="X17" s="3" t="n">
        <v>75</v>
      </c>
      <c r="Y17" s="3" t="n">
        <v>68</v>
      </c>
      <c r="Z17" s="3" t="n">
        <v>60</v>
      </c>
      <c r="AA17" s="3" t="n">
        <v>56</v>
      </c>
    </row>
    <row r="18" customFormat="false" ht="15" hidden="false" customHeight="false" outlineLevel="0" collapsed="false">
      <c r="B18" s="1" t="s">
        <v>23</v>
      </c>
      <c r="C18" s="1" t="n">
        <v>1449</v>
      </c>
      <c r="D18" s="1" t="n">
        <v>1329</v>
      </c>
      <c r="E18" s="1" t="n">
        <v>1176</v>
      </c>
      <c r="F18" s="1" t="n">
        <v>1099</v>
      </c>
      <c r="G18" s="1" t="n">
        <v>1346</v>
      </c>
      <c r="H18" s="1" t="n">
        <v>1758</v>
      </c>
      <c r="I18" s="3" t="n">
        <v>1773</v>
      </c>
      <c r="J18" s="3" t="n">
        <v>1680</v>
      </c>
      <c r="K18" s="3" t="n">
        <v>1517</v>
      </c>
      <c r="L18" s="3" t="n">
        <v>1518</v>
      </c>
      <c r="M18" s="3" t="n">
        <v>1424</v>
      </c>
    </row>
    <row r="19" customFormat="false" ht="15" hidden="false" customHeight="false" outlineLevel="0" collapsed="false">
      <c r="A19" s="1" t="s">
        <v>27</v>
      </c>
      <c r="B19" s="1" t="s">
        <v>17</v>
      </c>
      <c r="C19" s="1" t="n">
        <v>1576</v>
      </c>
      <c r="D19" s="1" t="n">
        <v>1491</v>
      </c>
      <c r="E19" s="1" t="n">
        <v>1374</v>
      </c>
      <c r="F19" s="1" t="n">
        <v>1279</v>
      </c>
      <c r="G19" s="1" t="n">
        <v>1374</v>
      </c>
      <c r="H19" s="1" t="n">
        <v>1371</v>
      </c>
      <c r="I19" s="3" t="n">
        <v>1355</v>
      </c>
      <c r="J19" s="3" t="n">
        <v>1343</v>
      </c>
      <c r="K19" s="3" t="n">
        <v>1260</v>
      </c>
      <c r="L19" s="3" t="n">
        <v>1354</v>
      </c>
      <c r="M19" s="3" t="n">
        <v>1323</v>
      </c>
    </row>
    <row r="20" customFormat="false" ht="15" hidden="false" customHeight="false" outlineLevel="0" collapsed="false">
      <c r="B20" s="1" t="s">
        <v>19</v>
      </c>
      <c r="C20" s="1" t="n">
        <v>2</v>
      </c>
      <c r="D20" s="1" t="n">
        <v>3</v>
      </c>
      <c r="E20" s="1" t="n">
        <v>1</v>
      </c>
      <c r="F20" s="1" t="n">
        <v>2</v>
      </c>
      <c r="G20" s="1" t="n">
        <v>2</v>
      </c>
      <c r="H20" s="1" t="n">
        <v>0</v>
      </c>
      <c r="I20" s="3" t="n">
        <v>1</v>
      </c>
      <c r="J20" s="3" t="n">
        <v>0</v>
      </c>
      <c r="K20" s="3" t="n">
        <v>3</v>
      </c>
      <c r="L20" s="3" t="n">
        <v>1</v>
      </c>
      <c r="M20" s="3" t="n">
        <v>0</v>
      </c>
    </row>
    <row r="21" customFormat="false" ht="15" hidden="false" customHeight="false" outlineLevel="0" collapsed="false">
      <c r="B21" s="1" t="s">
        <v>21</v>
      </c>
      <c r="C21" s="1" t="n">
        <v>1160</v>
      </c>
      <c r="D21" s="1" t="n">
        <v>1118</v>
      </c>
      <c r="E21" s="1" t="n">
        <v>1035</v>
      </c>
      <c r="F21" s="1" t="n">
        <v>1017</v>
      </c>
      <c r="G21" s="1" t="n">
        <v>1004</v>
      </c>
      <c r="H21" s="1" t="n">
        <v>973</v>
      </c>
      <c r="I21" s="3" t="n">
        <v>914</v>
      </c>
      <c r="J21" s="3" t="n">
        <v>915</v>
      </c>
      <c r="K21" s="3" t="n">
        <v>869</v>
      </c>
      <c r="L21" s="3" t="n">
        <v>915</v>
      </c>
      <c r="M21" s="3" t="n">
        <v>952</v>
      </c>
    </row>
    <row r="22" customFormat="false" ht="15" hidden="false" customHeight="false" outlineLevel="0" collapsed="false">
      <c r="B22" s="1" t="s">
        <v>23</v>
      </c>
      <c r="C22" s="1" t="n">
        <v>430</v>
      </c>
      <c r="D22" s="1" t="n">
        <v>382</v>
      </c>
      <c r="E22" s="1" t="n">
        <v>350</v>
      </c>
      <c r="F22" s="1" t="n">
        <v>273</v>
      </c>
      <c r="G22" s="1" t="n">
        <v>381</v>
      </c>
      <c r="H22" s="1" t="n">
        <v>416</v>
      </c>
      <c r="I22" s="3" t="n">
        <v>458</v>
      </c>
      <c r="J22" s="3" t="n">
        <v>443</v>
      </c>
      <c r="K22" s="3" t="n">
        <v>402</v>
      </c>
      <c r="L22" s="3" t="n">
        <v>457</v>
      </c>
      <c r="M22" s="3" t="n">
        <v>388</v>
      </c>
    </row>
    <row r="23" customFormat="false" ht="15" hidden="false" customHeight="false" outlineLevel="0" collapsed="false">
      <c r="I23" s="3"/>
      <c r="J23" s="3"/>
      <c r="K23" s="3"/>
      <c r="L23" s="3"/>
      <c r="M23" s="3"/>
    </row>
    <row r="24" customFormat="false" ht="15" hidden="false" customHeight="false" outlineLevel="0" collapsed="false">
      <c r="A24" s="2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" hidden="false" customHeight="false" outlineLevel="0" collapsed="false">
      <c r="A25" s="1" t="s">
        <v>2</v>
      </c>
      <c r="B25" s="1" t="s">
        <v>30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10</v>
      </c>
      <c r="J25" s="1" t="s">
        <v>11</v>
      </c>
      <c r="K25" s="1" t="s">
        <v>12</v>
      </c>
      <c r="L25" s="1" t="s">
        <v>13</v>
      </c>
      <c r="M25" s="1" t="s">
        <v>14</v>
      </c>
      <c r="O25" s="1" t="s">
        <v>2</v>
      </c>
      <c r="P25" s="1" t="s">
        <v>3</v>
      </c>
      <c r="Q25" s="1" t="s">
        <v>4</v>
      </c>
      <c r="R25" s="1" t="s">
        <v>5</v>
      </c>
      <c r="S25" s="1" t="s">
        <v>6</v>
      </c>
      <c r="T25" s="1" t="s">
        <v>7</v>
      </c>
      <c r="U25" s="1" t="s">
        <v>8</v>
      </c>
      <c r="V25" s="1" t="s">
        <v>9</v>
      </c>
      <c r="W25" s="1" t="s">
        <v>10</v>
      </c>
      <c r="X25" s="1" t="s">
        <v>11</v>
      </c>
      <c r="Y25" s="1" t="s">
        <v>12</v>
      </c>
      <c r="Z25" s="1" t="s">
        <v>13</v>
      </c>
      <c r="AA25" s="1" t="s">
        <v>14</v>
      </c>
    </row>
    <row r="26" customFormat="false" ht="15" hidden="false" customHeight="false" outlineLevel="0" collapsed="false">
      <c r="A26" s="1" t="s">
        <v>16</v>
      </c>
      <c r="B26" s="1" t="s">
        <v>17</v>
      </c>
      <c r="C26" s="1" t="n">
        <v>3871</v>
      </c>
      <c r="D26" s="1" t="n">
        <v>4102</v>
      </c>
      <c r="E26" s="1" t="n">
        <v>4298</v>
      </c>
      <c r="F26" s="1" t="n">
        <v>4691</v>
      </c>
      <c r="G26" s="1" t="n">
        <v>4796</v>
      </c>
      <c r="H26" s="1" t="n">
        <v>4753</v>
      </c>
      <c r="I26" s="1" t="n">
        <v>4607</v>
      </c>
      <c r="J26" s="1" t="n">
        <v>4619</v>
      </c>
      <c r="K26" s="1" t="n">
        <v>4783</v>
      </c>
      <c r="L26" s="1" t="n">
        <v>4678</v>
      </c>
      <c r="M26" s="1" t="n">
        <v>4688</v>
      </c>
      <c r="O26" s="1" t="s">
        <v>16</v>
      </c>
      <c r="P26" s="1" t="s">
        <v>17</v>
      </c>
      <c r="Q26" s="1" t="n">
        <v>38209</v>
      </c>
      <c r="R26" s="1" t="n">
        <v>36615</v>
      </c>
      <c r="S26" s="1" t="n">
        <v>35806</v>
      </c>
      <c r="T26" s="1" t="n">
        <v>35255</v>
      </c>
      <c r="U26" s="1" t="n">
        <v>33964</v>
      </c>
      <c r="V26" s="1" t="n">
        <v>31404</v>
      </c>
      <c r="W26" s="1" t="n">
        <v>29921</v>
      </c>
      <c r="X26" s="1" t="n">
        <v>28865</v>
      </c>
      <c r="Y26" s="1" t="n">
        <v>28705</v>
      </c>
      <c r="Z26" s="1" t="n">
        <v>27802</v>
      </c>
      <c r="AA26" s="1" t="n">
        <v>27104</v>
      </c>
    </row>
    <row r="27" customFormat="false" ht="15" hidden="false" customHeight="false" outlineLevel="0" collapsed="false">
      <c r="B27" s="1" t="s">
        <v>19</v>
      </c>
      <c r="C27" s="1" t="n">
        <v>1</v>
      </c>
      <c r="D27" s="1" t="n">
        <v>1</v>
      </c>
      <c r="E27" s="1" t="n">
        <v>2</v>
      </c>
      <c r="F27" s="1" t="n">
        <v>1</v>
      </c>
      <c r="G27" s="1" t="n">
        <v>1</v>
      </c>
      <c r="H27" s="1" t="n">
        <v>2</v>
      </c>
      <c r="I27" s="1" t="n">
        <v>0</v>
      </c>
      <c r="J27" s="1" t="n">
        <v>4</v>
      </c>
      <c r="K27" s="1" t="n">
        <v>9</v>
      </c>
      <c r="L27" s="1" t="n">
        <v>10</v>
      </c>
      <c r="M27" s="1" t="n">
        <v>9</v>
      </c>
      <c r="P27" s="1" t="s">
        <v>19</v>
      </c>
      <c r="Q27" s="1" t="n">
        <v>20</v>
      </c>
      <c r="R27" s="1" t="n">
        <v>15</v>
      </c>
      <c r="S27" s="1" t="n">
        <v>15</v>
      </c>
      <c r="T27" s="1" t="n">
        <v>27</v>
      </c>
      <c r="U27" s="1" t="n">
        <v>19</v>
      </c>
      <c r="V27" s="1" t="n">
        <v>31</v>
      </c>
      <c r="W27" s="1" t="n">
        <v>32</v>
      </c>
      <c r="X27" s="1" t="n">
        <v>24</v>
      </c>
      <c r="Y27" s="1" t="n">
        <v>49</v>
      </c>
      <c r="Z27" s="1" t="n">
        <v>55</v>
      </c>
      <c r="AA27" s="1" t="n">
        <v>61</v>
      </c>
    </row>
    <row r="28" customFormat="false" ht="15" hidden="false" customHeight="false" outlineLevel="0" collapsed="false">
      <c r="B28" s="1" t="s">
        <v>21</v>
      </c>
      <c r="C28" s="1" t="n">
        <v>1546</v>
      </c>
      <c r="D28" s="1" t="n">
        <v>1590</v>
      </c>
      <c r="E28" s="1" t="n">
        <v>1587</v>
      </c>
      <c r="F28" s="1" t="n">
        <v>1734</v>
      </c>
      <c r="G28" s="1" t="n">
        <v>1767</v>
      </c>
      <c r="H28" s="1" t="n">
        <v>1862</v>
      </c>
      <c r="I28" s="1" t="n">
        <v>1783</v>
      </c>
      <c r="J28" s="1" t="n">
        <v>1718</v>
      </c>
      <c r="K28" s="1" t="n">
        <v>1848</v>
      </c>
      <c r="L28" s="1" t="n">
        <v>1928</v>
      </c>
      <c r="M28" s="1" t="n">
        <v>1955</v>
      </c>
      <c r="P28" s="1" t="s">
        <v>21</v>
      </c>
      <c r="Q28" s="1" t="n">
        <v>26030</v>
      </c>
      <c r="R28" s="1" t="n">
        <v>23850</v>
      </c>
      <c r="S28" s="1" t="n">
        <v>22750</v>
      </c>
      <c r="T28" s="1" t="n">
        <v>22012</v>
      </c>
      <c r="U28" s="1" t="n">
        <v>21151</v>
      </c>
      <c r="V28" s="1" t="n">
        <v>19945</v>
      </c>
      <c r="W28" s="1" t="n">
        <v>19615</v>
      </c>
      <c r="X28" s="1" t="n">
        <v>18972</v>
      </c>
      <c r="Y28" s="1" t="n">
        <v>19268</v>
      </c>
      <c r="Z28" s="1" t="n">
        <v>19133</v>
      </c>
      <c r="AA28" s="1" t="n">
        <v>18986</v>
      </c>
    </row>
    <row r="29" customFormat="false" ht="15" hidden="false" customHeight="false" outlineLevel="0" collapsed="false">
      <c r="B29" s="1" t="s">
        <v>23</v>
      </c>
      <c r="C29" s="1" t="n">
        <v>2407</v>
      </c>
      <c r="D29" s="1" t="n">
        <v>2572</v>
      </c>
      <c r="E29" s="1" t="n">
        <v>2789</v>
      </c>
      <c r="F29" s="1" t="n">
        <v>3047</v>
      </c>
      <c r="G29" s="1" t="n">
        <v>3095</v>
      </c>
      <c r="H29" s="1" t="n">
        <v>2971</v>
      </c>
      <c r="I29" s="1" t="n">
        <v>2893</v>
      </c>
      <c r="J29" s="1" t="n">
        <v>2979</v>
      </c>
      <c r="K29" s="1" t="n">
        <v>3009</v>
      </c>
      <c r="L29" s="1" t="n">
        <v>2812</v>
      </c>
      <c r="M29" s="1" t="n">
        <v>2783</v>
      </c>
      <c r="P29" s="1" t="s">
        <v>23</v>
      </c>
      <c r="Q29" s="1" t="n">
        <v>13335</v>
      </c>
      <c r="R29" s="1" t="n">
        <v>13852</v>
      </c>
      <c r="S29" s="1" t="n">
        <v>14119</v>
      </c>
      <c r="T29" s="1" t="n">
        <v>14301</v>
      </c>
      <c r="U29" s="1" t="n">
        <v>13844</v>
      </c>
      <c r="V29" s="1" t="n">
        <v>12378</v>
      </c>
      <c r="W29" s="1" t="n">
        <v>11162</v>
      </c>
      <c r="X29" s="1" t="n">
        <v>10689</v>
      </c>
      <c r="Y29" s="1" t="n">
        <v>10177</v>
      </c>
      <c r="Z29" s="1" t="n">
        <v>9349</v>
      </c>
      <c r="AA29" s="1" t="n">
        <v>8736</v>
      </c>
    </row>
    <row r="30" customFormat="false" ht="15" hidden="false" customHeight="false" outlineLevel="0" collapsed="false">
      <c r="A30" s="1" t="s">
        <v>24</v>
      </c>
      <c r="B30" s="1" t="s">
        <v>17</v>
      </c>
      <c r="C30" s="1" t="n">
        <v>2103</v>
      </c>
      <c r="D30" s="1" t="n">
        <v>2207</v>
      </c>
      <c r="E30" s="1" t="n">
        <v>2231</v>
      </c>
      <c r="F30" s="1" t="n">
        <v>2444</v>
      </c>
      <c r="G30" s="1" t="n">
        <v>2484</v>
      </c>
      <c r="H30" s="1" t="n">
        <v>2412</v>
      </c>
      <c r="I30" s="1" t="n">
        <v>2383</v>
      </c>
      <c r="J30" s="1" t="n">
        <v>2414</v>
      </c>
      <c r="K30" s="1" t="n">
        <v>2453</v>
      </c>
      <c r="L30" s="1" t="n">
        <v>2427</v>
      </c>
      <c r="M30" s="1" t="n">
        <v>2458</v>
      </c>
      <c r="O30" s="1" t="s">
        <v>24</v>
      </c>
      <c r="P30" s="1" t="s">
        <v>17</v>
      </c>
      <c r="Q30" s="1" t="n">
        <v>18433</v>
      </c>
      <c r="R30" s="1" t="n">
        <v>17616</v>
      </c>
      <c r="S30" s="1" t="n">
        <v>17270</v>
      </c>
      <c r="T30" s="1" t="n">
        <v>17020</v>
      </c>
      <c r="U30" s="1" t="n">
        <v>16392</v>
      </c>
      <c r="V30" s="1" t="n">
        <v>15034</v>
      </c>
      <c r="W30" s="1" t="n">
        <v>14327</v>
      </c>
      <c r="X30" s="1" t="n">
        <v>13733</v>
      </c>
      <c r="Y30" s="1" t="n">
        <v>13701</v>
      </c>
      <c r="Z30" s="1" t="n">
        <v>13369</v>
      </c>
      <c r="AA30" s="1" t="n">
        <v>13068</v>
      </c>
    </row>
    <row r="31" customFormat="false" ht="15" hidden="false" customHeight="false" outlineLevel="0" collapsed="false">
      <c r="B31" s="1" t="s">
        <v>19</v>
      </c>
      <c r="C31" s="1" t="n">
        <v>1</v>
      </c>
      <c r="D31" s="1" t="n">
        <v>1</v>
      </c>
      <c r="E31" s="1" t="n">
        <v>2</v>
      </c>
      <c r="F31" s="1" t="n">
        <v>1</v>
      </c>
      <c r="G31" s="1" t="n">
        <v>0</v>
      </c>
      <c r="H31" s="1" t="n">
        <v>1</v>
      </c>
      <c r="I31" s="1" t="n">
        <v>0</v>
      </c>
      <c r="J31" s="1" t="n">
        <v>0</v>
      </c>
      <c r="K31" s="1" t="n">
        <v>5</v>
      </c>
      <c r="L31" s="1" t="n">
        <v>4</v>
      </c>
      <c r="M31" s="1" t="n">
        <v>7</v>
      </c>
      <c r="P31" s="1" t="s">
        <v>19</v>
      </c>
      <c r="Q31" s="1" t="n">
        <v>8</v>
      </c>
      <c r="R31" s="1" t="n">
        <v>8</v>
      </c>
      <c r="S31" s="1" t="n">
        <v>8</v>
      </c>
      <c r="T31" s="1" t="n">
        <v>17</v>
      </c>
      <c r="U31" s="1" t="n">
        <v>10</v>
      </c>
      <c r="V31" s="1" t="n">
        <v>14</v>
      </c>
      <c r="W31" s="1" t="n">
        <v>17</v>
      </c>
      <c r="X31" s="1" t="n">
        <v>10</v>
      </c>
      <c r="Y31" s="1" t="n">
        <v>28</v>
      </c>
      <c r="Z31" s="1" t="n">
        <v>20</v>
      </c>
      <c r="AA31" s="1" t="n">
        <v>40</v>
      </c>
    </row>
    <row r="32" customFormat="false" ht="15" hidden="false" customHeight="false" outlineLevel="0" collapsed="false">
      <c r="B32" s="1" t="s">
        <v>21</v>
      </c>
      <c r="C32" s="1" t="n">
        <v>874</v>
      </c>
      <c r="D32" s="1" t="n">
        <v>902</v>
      </c>
      <c r="E32" s="1" t="n">
        <v>836</v>
      </c>
      <c r="F32" s="1" t="n">
        <v>929</v>
      </c>
      <c r="G32" s="1" t="n">
        <v>954</v>
      </c>
      <c r="H32" s="1" t="n">
        <v>988</v>
      </c>
      <c r="I32" s="1" t="n">
        <v>962</v>
      </c>
      <c r="J32" s="1" t="n">
        <v>909</v>
      </c>
      <c r="K32" s="1" t="n">
        <v>1010</v>
      </c>
      <c r="L32" s="1" t="n">
        <v>1019</v>
      </c>
      <c r="M32" s="1" t="n">
        <v>1064</v>
      </c>
      <c r="P32" s="1" t="s">
        <v>21</v>
      </c>
      <c r="Q32" s="1" t="n">
        <v>12252</v>
      </c>
      <c r="R32" s="1" t="n">
        <v>11181</v>
      </c>
      <c r="S32" s="1" t="n">
        <v>10682</v>
      </c>
      <c r="T32" s="1" t="n">
        <v>10318</v>
      </c>
      <c r="U32" s="1" t="n">
        <v>9962</v>
      </c>
      <c r="V32" s="1" t="n">
        <v>9339</v>
      </c>
      <c r="W32" s="1" t="n">
        <v>9198</v>
      </c>
      <c r="X32" s="1" t="n">
        <v>8804</v>
      </c>
      <c r="Y32" s="1" t="n">
        <v>9093</v>
      </c>
      <c r="Z32" s="1" t="n">
        <v>8999</v>
      </c>
      <c r="AA32" s="1" t="n">
        <v>8925</v>
      </c>
    </row>
    <row r="33" customFormat="false" ht="15" hidden="false" customHeight="false" outlineLevel="0" collapsed="false">
      <c r="B33" s="1" t="s">
        <v>23</v>
      </c>
      <c r="C33" s="1" t="n">
        <v>1263</v>
      </c>
      <c r="D33" s="1" t="n">
        <v>1343</v>
      </c>
      <c r="E33" s="1" t="n">
        <v>1441</v>
      </c>
      <c r="F33" s="1" t="n">
        <v>1567</v>
      </c>
      <c r="G33" s="1" t="n">
        <v>1567</v>
      </c>
      <c r="H33" s="1" t="n">
        <v>1463</v>
      </c>
      <c r="I33" s="1" t="n">
        <v>1461</v>
      </c>
      <c r="J33" s="1" t="n">
        <v>1553</v>
      </c>
      <c r="K33" s="1" t="n">
        <v>1493</v>
      </c>
      <c r="L33" s="1" t="n">
        <v>1446</v>
      </c>
      <c r="M33" s="1" t="n">
        <v>1422</v>
      </c>
      <c r="P33" s="1" t="s">
        <v>23</v>
      </c>
      <c r="Q33" s="1" t="n">
        <v>6752</v>
      </c>
      <c r="R33" s="1" t="n">
        <v>6985</v>
      </c>
      <c r="S33" s="1" t="n">
        <v>7119</v>
      </c>
      <c r="T33" s="1" t="n">
        <v>7229</v>
      </c>
      <c r="U33" s="1" t="n">
        <v>6914</v>
      </c>
      <c r="V33" s="1" t="n">
        <v>6153</v>
      </c>
      <c r="W33" s="1" t="n">
        <v>5546</v>
      </c>
      <c r="X33" s="1" t="n">
        <v>5303</v>
      </c>
      <c r="Y33" s="1" t="n">
        <v>4988</v>
      </c>
      <c r="Z33" s="1" t="n">
        <v>4719</v>
      </c>
      <c r="AA33" s="1" t="n">
        <v>4434</v>
      </c>
    </row>
    <row r="34" customFormat="false" ht="15" hidden="false" customHeight="false" outlineLevel="0" collapsed="false">
      <c r="A34" s="1" t="s">
        <v>25</v>
      </c>
      <c r="B34" s="1" t="s">
        <v>17</v>
      </c>
      <c r="C34" s="1" t="n">
        <v>1042</v>
      </c>
      <c r="D34" s="1" t="n">
        <v>1144</v>
      </c>
      <c r="E34" s="1" t="n">
        <v>1259</v>
      </c>
      <c r="F34" s="1" t="n">
        <v>1374</v>
      </c>
      <c r="G34" s="1" t="n">
        <v>1415</v>
      </c>
      <c r="H34" s="1" t="n">
        <v>1427</v>
      </c>
      <c r="I34" s="1" t="n">
        <v>1380</v>
      </c>
      <c r="J34" s="1" t="n">
        <v>1367</v>
      </c>
      <c r="K34" s="1" t="n">
        <v>1418</v>
      </c>
      <c r="L34" s="1" t="n">
        <v>1345</v>
      </c>
      <c r="M34" s="1" t="n">
        <v>1364</v>
      </c>
      <c r="O34" s="1" t="s">
        <v>25</v>
      </c>
      <c r="P34" s="1" t="s">
        <v>17</v>
      </c>
      <c r="Q34" s="1" t="n">
        <v>12573</v>
      </c>
      <c r="R34" s="1" t="n">
        <v>12041</v>
      </c>
      <c r="S34" s="1" t="n">
        <v>11874</v>
      </c>
      <c r="T34" s="1" t="n">
        <v>11818</v>
      </c>
      <c r="U34" s="1" t="n">
        <v>11209</v>
      </c>
      <c r="V34" s="1" t="n">
        <v>10645</v>
      </c>
      <c r="W34" s="1" t="n">
        <v>10116</v>
      </c>
      <c r="X34" s="1" t="n">
        <v>9808</v>
      </c>
      <c r="Y34" s="1" t="n">
        <v>9751</v>
      </c>
      <c r="Z34" s="1" t="n">
        <v>9224</v>
      </c>
      <c r="AA34" s="1" t="n">
        <v>9146</v>
      </c>
    </row>
    <row r="35" customFormat="false" ht="15" hidden="false" customHeight="false" outlineLevel="0" collapsed="false">
      <c r="B35" s="1" t="s">
        <v>19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1</v>
      </c>
      <c r="H35" s="1" t="n">
        <v>1</v>
      </c>
      <c r="I35" s="1" t="n">
        <v>0</v>
      </c>
      <c r="J35" s="1" t="n">
        <v>3</v>
      </c>
      <c r="K35" s="1" t="n">
        <v>3</v>
      </c>
      <c r="L35" s="1" t="n">
        <v>2</v>
      </c>
      <c r="M35" s="1" t="n">
        <v>1</v>
      </c>
      <c r="P35" s="1" t="s">
        <v>19</v>
      </c>
      <c r="Q35" s="1" t="n">
        <v>7</v>
      </c>
      <c r="R35" s="1" t="n">
        <v>2</v>
      </c>
      <c r="S35" s="1" t="n">
        <v>4</v>
      </c>
      <c r="T35" s="1" t="n">
        <v>3</v>
      </c>
      <c r="U35" s="1" t="n">
        <v>5</v>
      </c>
      <c r="V35" s="1" t="n">
        <v>10</v>
      </c>
      <c r="W35" s="1" t="n">
        <v>7</v>
      </c>
      <c r="X35" s="1" t="n">
        <v>12</v>
      </c>
      <c r="Y35" s="1" t="n">
        <v>13</v>
      </c>
      <c r="Z35" s="1" t="n">
        <v>19</v>
      </c>
      <c r="AA35" s="1" t="n">
        <v>12</v>
      </c>
    </row>
    <row r="36" customFormat="false" ht="15" hidden="false" customHeight="false" outlineLevel="0" collapsed="false">
      <c r="B36" s="1" t="s">
        <v>21</v>
      </c>
      <c r="C36" s="1" t="n">
        <v>368</v>
      </c>
      <c r="D36" s="1" t="n">
        <v>402</v>
      </c>
      <c r="E36" s="1" t="n">
        <v>439</v>
      </c>
      <c r="F36" s="1" t="n">
        <v>472</v>
      </c>
      <c r="G36" s="1" t="n">
        <v>486</v>
      </c>
      <c r="H36" s="1" t="n">
        <v>506</v>
      </c>
      <c r="I36" s="1" t="n">
        <v>496</v>
      </c>
      <c r="J36" s="1" t="n">
        <v>505</v>
      </c>
      <c r="K36" s="1" t="n">
        <v>498</v>
      </c>
      <c r="L36" s="1" t="n">
        <v>523</v>
      </c>
      <c r="M36" s="1" t="n">
        <v>536</v>
      </c>
      <c r="P36" s="1" t="s">
        <v>21</v>
      </c>
      <c r="Q36" s="1" t="n">
        <v>8846</v>
      </c>
      <c r="R36" s="1" t="n">
        <v>8043</v>
      </c>
      <c r="S36" s="1" t="n">
        <v>7862</v>
      </c>
      <c r="T36" s="1" t="n">
        <v>7686</v>
      </c>
      <c r="U36" s="1" t="n">
        <v>7191</v>
      </c>
      <c r="V36" s="1" t="n">
        <v>7015</v>
      </c>
      <c r="W36" s="1" t="n">
        <v>6857</v>
      </c>
      <c r="X36" s="1" t="n">
        <v>6700</v>
      </c>
      <c r="Y36" s="1" t="n">
        <v>6679</v>
      </c>
      <c r="Z36" s="1" t="n">
        <v>6523</v>
      </c>
      <c r="AA36" s="1" t="n">
        <v>6643</v>
      </c>
    </row>
    <row r="37" customFormat="false" ht="15" hidden="false" customHeight="false" outlineLevel="0" collapsed="false">
      <c r="B37" s="1" t="s">
        <v>23</v>
      </c>
      <c r="C37" s="1" t="n">
        <v>696</v>
      </c>
      <c r="D37" s="1" t="n">
        <v>754</v>
      </c>
      <c r="E37" s="1" t="n">
        <v>834</v>
      </c>
      <c r="F37" s="1" t="n">
        <v>923</v>
      </c>
      <c r="G37" s="1" t="n">
        <v>942</v>
      </c>
      <c r="H37" s="1" t="n">
        <v>940</v>
      </c>
      <c r="I37" s="1" t="n">
        <v>897</v>
      </c>
      <c r="J37" s="1" t="n">
        <v>878</v>
      </c>
      <c r="K37" s="1" t="n">
        <v>932</v>
      </c>
      <c r="L37" s="1" t="n">
        <v>837</v>
      </c>
      <c r="M37" s="1" t="n">
        <v>838</v>
      </c>
      <c r="P37" s="1" t="s">
        <v>23</v>
      </c>
      <c r="Q37" s="1" t="n">
        <v>4081</v>
      </c>
      <c r="R37" s="1" t="n">
        <v>4334</v>
      </c>
      <c r="S37" s="1" t="n">
        <v>4336</v>
      </c>
      <c r="T37" s="1" t="n">
        <v>4486</v>
      </c>
      <c r="U37" s="1" t="n">
        <v>4361</v>
      </c>
      <c r="V37" s="1" t="n">
        <v>3938</v>
      </c>
      <c r="W37" s="1" t="n">
        <v>3536</v>
      </c>
      <c r="X37" s="1" t="n">
        <v>3366</v>
      </c>
      <c r="Y37" s="1" t="n">
        <v>3309</v>
      </c>
      <c r="Z37" s="1" t="n">
        <v>2915</v>
      </c>
      <c r="AA37" s="1" t="n">
        <v>2719</v>
      </c>
    </row>
    <row r="38" customFormat="false" ht="15" hidden="false" customHeight="false" outlineLevel="0" collapsed="false">
      <c r="A38" s="1" t="s">
        <v>26</v>
      </c>
      <c r="B38" s="1" t="s">
        <v>17</v>
      </c>
      <c r="C38" s="1" t="n">
        <v>630</v>
      </c>
      <c r="D38" s="1" t="n">
        <v>649</v>
      </c>
      <c r="E38" s="1" t="n">
        <v>710</v>
      </c>
      <c r="F38" s="1" t="n">
        <v>734</v>
      </c>
      <c r="G38" s="1" t="n">
        <v>762</v>
      </c>
      <c r="H38" s="1" t="n">
        <v>768</v>
      </c>
      <c r="I38" s="1" t="n">
        <v>713</v>
      </c>
      <c r="J38" s="1" t="n">
        <v>714</v>
      </c>
      <c r="K38" s="1" t="n">
        <v>769</v>
      </c>
      <c r="L38" s="1" t="n">
        <v>737</v>
      </c>
      <c r="M38" s="1" t="n">
        <v>717</v>
      </c>
      <c r="O38" s="1" t="s">
        <v>26</v>
      </c>
      <c r="P38" s="1" t="s">
        <v>17</v>
      </c>
      <c r="Q38" s="1" t="n">
        <v>5654</v>
      </c>
      <c r="R38" s="1" t="n">
        <v>5509</v>
      </c>
      <c r="S38" s="1" t="n">
        <v>5250</v>
      </c>
      <c r="T38" s="1" t="n">
        <v>5099</v>
      </c>
      <c r="U38" s="1" t="n">
        <v>4942</v>
      </c>
      <c r="V38" s="1" t="n">
        <v>4507</v>
      </c>
      <c r="W38" s="1" t="n">
        <v>4268</v>
      </c>
      <c r="X38" s="1" t="n">
        <v>4122</v>
      </c>
      <c r="Y38" s="1" t="n">
        <v>4086</v>
      </c>
      <c r="Z38" s="1" t="n">
        <v>4059</v>
      </c>
      <c r="AA38" s="1" t="n">
        <v>3811</v>
      </c>
    </row>
    <row r="39" customFormat="false" ht="15" hidden="false" customHeight="false" outlineLevel="0" collapsed="false">
      <c r="B39" s="1" t="s">
        <v>19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1</v>
      </c>
      <c r="K39" s="1" t="n">
        <v>1</v>
      </c>
      <c r="L39" s="1" t="n">
        <v>3</v>
      </c>
      <c r="M39" s="1" t="n">
        <v>0</v>
      </c>
      <c r="P39" s="1" t="s">
        <v>19</v>
      </c>
      <c r="Q39" s="1" t="n">
        <v>2</v>
      </c>
      <c r="R39" s="1" t="n">
        <v>4</v>
      </c>
      <c r="S39" s="1" t="n">
        <v>2</v>
      </c>
      <c r="T39" s="1" t="n">
        <v>5</v>
      </c>
      <c r="U39" s="1" t="n">
        <v>4</v>
      </c>
      <c r="V39" s="1" t="n">
        <v>6</v>
      </c>
      <c r="W39" s="1" t="n">
        <v>6</v>
      </c>
      <c r="X39" s="1" t="n">
        <v>2</v>
      </c>
      <c r="Y39" s="1" t="n">
        <v>6</v>
      </c>
      <c r="Z39" s="1" t="n">
        <v>15</v>
      </c>
      <c r="AA39" s="1" t="n">
        <v>7</v>
      </c>
    </row>
    <row r="40" customFormat="false" ht="15" hidden="false" customHeight="false" outlineLevel="0" collapsed="false">
      <c r="B40" s="1" t="s">
        <v>21</v>
      </c>
      <c r="C40" s="1" t="n">
        <v>270</v>
      </c>
      <c r="D40" s="1" t="n">
        <v>251</v>
      </c>
      <c r="E40" s="1" t="n">
        <v>282</v>
      </c>
      <c r="F40" s="1" t="n">
        <v>291</v>
      </c>
      <c r="G40" s="1" t="n">
        <v>283</v>
      </c>
      <c r="H40" s="1" t="n">
        <v>322</v>
      </c>
      <c r="I40" s="1" t="n">
        <v>280</v>
      </c>
      <c r="J40" s="1" t="n">
        <v>262</v>
      </c>
      <c r="K40" s="1" t="n">
        <v>291</v>
      </c>
      <c r="L40" s="1" t="n">
        <v>324</v>
      </c>
      <c r="M40" s="1" t="n">
        <v>299</v>
      </c>
      <c r="P40" s="1" t="s">
        <v>21</v>
      </c>
      <c r="Q40" s="1" t="n">
        <v>3711</v>
      </c>
      <c r="R40" s="1" t="n">
        <v>3556</v>
      </c>
      <c r="S40" s="1" t="n">
        <v>3209</v>
      </c>
      <c r="T40" s="1" t="n">
        <v>3097</v>
      </c>
      <c r="U40" s="1" t="n">
        <v>2986</v>
      </c>
      <c r="V40" s="1" t="n">
        <v>2753</v>
      </c>
      <c r="W40" s="1" t="n">
        <v>2696</v>
      </c>
      <c r="X40" s="1" t="n">
        <v>2585</v>
      </c>
      <c r="Y40" s="1" t="n">
        <v>2621</v>
      </c>
      <c r="Z40" s="1" t="n">
        <v>2744</v>
      </c>
      <c r="AA40" s="1" t="n">
        <v>2590</v>
      </c>
    </row>
    <row r="41" customFormat="false" ht="15" hidden="false" customHeight="false" outlineLevel="0" collapsed="false">
      <c r="B41" s="1" t="s">
        <v>23</v>
      </c>
      <c r="C41" s="1" t="n">
        <v>382</v>
      </c>
      <c r="D41" s="1" t="n">
        <v>408</v>
      </c>
      <c r="E41" s="1" t="n">
        <v>445</v>
      </c>
      <c r="F41" s="1" t="n">
        <v>459</v>
      </c>
      <c r="G41" s="1" t="n">
        <v>494</v>
      </c>
      <c r="H41" s="1" t="n">
        <v>467</v>
      </c>
      <c r="I41" s="1" t="n">
        <v>447</v>
      </c>
      <c r="J41" s="1" t="n">
        <v>464</v>
      </c>
      <c r="K41" s="1" t="n">
        <v>490</v>
      </c>
      <c r="L41" s="1" t="n">
        <v>422</v>
      </c>
      <c r="M41" s="1" t="n">
        <v>430</v>
      </c>
      <c r="P41" s="1" t="s">
        <v>23</v>
      </c>
      <c r="Q41" s="1" t="n">
        <v>2137</v>
      </c>
      <c r="R41" s="1" t="n">
        <v>2124</v>
      </c>
      <c r="S41" s="1" t="n">
        <v>2214</v>
      </c>
      <c r="T41" s="1" t="n">
        <v>2140</v>
      </c>
      <c r="U41" s="1" t="n">
        <v>2116</v>
      </c>
      <c r="V41" s="1" t="n">
        <v>1871</v>
      </c>
      <c r="W41" s="1" t="n">
        <v>1699</v>
      </c>
      <c r="X41" s="1" t="n">
        <v>1663</v>
      </c>
      <c r="Y41" s="1" t="n">
        <v>1564</v>
      </c>
      <c r="Z41" s="1" t="n">
        <v>1416</v>
      </c>
      <c r="AA41" s="1" t="n">
        <v>1301</v>
      </c>
    </row>
    <row r="42" customFormat="false" ht="15" hidden="false" customHeight="false" outlineLevel="0" collapsed="false">
      <c r="A42" s="1" t="s">
        <v>27</v>
      </c>
      <c r="B42" s="1" t="s">
        <v>17</v>
      </c>
      <c r="C42" s="1" t="n">
        <v>96</v>
      </c>
      <c r="D42" s="1" t="n">
        <v>102</v>
      </c>
      <c r="E42" s="1" t="n">
        <v>98</v>
      </c>
      <c r="F42" s="1" t="n">
        <v>139</v>
      </c>
      <c r="G42" s="1" t="n">
        <v>135</v>
      </c>
      <c r="H42" s="1" t="n">
        <v>146</v>
      </c>
      <c r="I42" s="1" t="n">
        <v>131</v>
      </c>
      <c r="J42" s="1" t="n">
        <v>124</v>
      </c>
      <c r="K42" s="1" t="n">
        <v>143</v>
      </c>
      <c r="L42" s="1" t="n">
        <v>169</v>
      </c>
      <c r="M42" s="1" t="n">
        <v>149</v>
      </c>
      <c r="O42" s="1" t="s">
        <v>27</v>
      </c>
      <c r="P42" s="1" t="s">
        <v>17</v>
      </c>
      <c r="Q42" s="1" t="n">
        <v>1549</v>
      </c>
      <c r="R42" s="1" t="n">
        <v>1450</v>
      </c>
      <c r="S42" s="1" t="n">
        <v>1412</v>
      </c>
      <c r="T42" s="1" t="n">
        <v>1318</v>
      </c>
      <c r="U42" s="1" t="n">
        <v>1421</v>
      </c>
      <c r="V42" s="1" t="n">
        <v>1218</v>
      </c>
      <c r="W42" s="1" t="n">
        <v>1210</v>
      </c>
      <c r="X42" s="1" t="n">
        <v>1203</v>
      </c>
      <c r="Y42" s="1" t="n">
        <v>1169</v>
      </c>
      <c r="Z42" s="1" t="n">
        <v>1150</v>
      </c>
      <c r="AA42" s="1" t="n">
        <v>1079</v>
      </c>
    </row>
    <row r="43" customFormat="false" ht="15" hidden="false" customHeight="false" outlineLevel="0" collapsed="false">
      <c r="B43" s="1" t="s">
        <v>19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1</v>
      </c>
      <c r="M43" s="1" t="n">
        <v>1</v>
      </c>
      <c r="P43" s="1" t="s">
        <v>19</v>
      </c>
      <c r="Q43" s="1" t="n">
        <v>3</v>
      </c>
      <c r="R43" s="1" t="n">
        <v>1</v>
      </c>
      <c r="S43" s="1" t="n">
        <v>1</v>
      </c>
      <c r="T43" s="1" t="n">
        <v>2</v>
      </c>
      <c r="U43" s="1" t="n">
        <v>0</v>
      </c>
      <c r="V43" s="1" t="n">
        <v>1</v>
      </c>
      <c r="W43" s="1" t="n">
        <v>2</v>
      </c>
      <c r="X43" s="1" t="n">
        <v>0</v>
      </c>
      <c r="Y43" s="1" t="n">
        <v>2</v>
      </c>
      <c r="Z43" s="1" t="n">
        <v>1</v>
      </c>
      <c r="AA43" s="1" t="n">
        <v>2</v>
      </c>
    </row>
    <row r="44" customFormat="false" ht="15" hidden="false" customHeight="false" outlineLevel="0" collapsed="false">
      <c r="B44" s="1" t="s">
        <v>21</v>
      </c>
      <c r="C44" s="1" t="n">
        <v>34</v>
      </c>
      <c r="D44" s="1" t="n">
        <v>35</v>
      </c>
      <c r="E44" s="1" t="n">
        <v>30</v>
      </c>
      <c r="F44" s="1" t="n">
        <v>42</v>
      </c>
      <c r="G44" s="1" t="n">
        <v>44</v>
      </c>
      <c r="H44" s="1" t="n">
        <v>46</v>
      </c>
      <c r="I44" s="1" t="n">
        <v>45</v>
      </c>
      <c r="J44" s="1" t="n">
        <v>42</v>
      </c>
      <c r="K44" s="1" t="n">
        <v>49</v>
      </c>
      <c r="L44" s="1" t="n">
        <v>62</v>
      </c>
      <c r="M44" s="1" t="n">
        <v>56</v>
      </c>
      <c r="P44" s="1" t="s">
        <v>21</v>
      </c>
      <c r="Q44" s="1" t="n">
        <v>1221</v>
      </c>
      <c r="R44" s="1" t="n">
        <v>1070</v>
      </c>
      <c r="S44" s="1" t="n">
        <v>997</v>
      </c>
      <c r="T44" s="1" t="n">
        <v>911</v>
      </c>
      <c r="U44" s="1" t="n">
        <v>1012</v>
      </c>
      <c r="V44" s="1" t="n">
        <v>838</v>
      </c>
      <c r="W44" s="1" t="n">
        <v>864</v>
      </c>
      <c r="X44" s="1" t="n">
        <v>883</v>
      </c>
      <c r="Y44" s="1" t="n">
        <v>877</v>
      </c>
      <c r="Z44" s="1" t="n">
        <v>867</v>
      </c>
      <c r="AA44" s="1" t="n">
        <v>828</v>
      </c>
    </row>
    <row r="45" customFormat="false" ht="15" hidden="false" customHeight="false" outlineLevel="0" collapsed="false">
      <c r="B45" s="1" t="s">
        <v>23</v>
      </c>
      <c r="C45" s="1" t="n">
        <v>66</v>
      </c>
      <c r="D45" s="1" t="n">
        <v>67</v>
      </c>
      <c r="E45" s="1" t="n">
        <v>69</v>
      </c>
      <c r="F45" s="1" t="n">
        <v>98</v>
      </c>
      <c r="G45" s="1" t="n">
        <v>92</v>
      </c>
      <c r="H45" s="1" t="n">
        <v>101</v>
      </c>
      <c r="I45" s="1" t="n">
        <v>88</v>
      </c>
      <c r="J45" s="1" t="n">
        <v>84</v>
      </c>
      <c r="K45" s="1" t="n">
        <v>94</v>
      </c>
      <c r="L45" s="1" t="n">
        <v>107</v>
      </c>
      <c r="M45" s="1" t="n">
        <v>93</v>
      </c>
      <c r="P45" s="1" t="s">
        <v>23</v>
      </c>
      <c r="Q45" s="1" t="n">
        <v>365</v>
      </c>
      <c r="R45" s="1" t="n">
        <v>410</v>
      </c>
      <c r="S45" s="1" t="n">
        <v>450</v>
      </c>
      <c r="T45" s="1" t="n">
        <v>446</v>
      </c>
      <c r="U45" s="1" t="n">
        <v>453</v>
      </c>
      <c r="V45" s="1" t="n">
        <v>416</v>
      </c>
      <c r="W45" s="1" t="n">
        <v>381</v>
      </c>
      <c r="X45" s="1" t="n">
        <v>357</v>
      </c>
      <c r="Y45" s="1" t="n">
        <v>316</v>
      </c>
      <c r="Z45" s="1" t="n">
        <v>299</v>
      </c>
      <c r="AA45" s="1" t="n">
        <v>282</v>
      </c>
    </row>
    <row r="47" customFormat="false" ht="15" hidden="false" customHeight="false" outlineLevel="0" collapsed="false">
      <c r="A47" s="4" t="s">
        <v>31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2" t="s">
        <v>32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" hidden="false" customHeight="false" outlineLevel="0" collapsed="false">
      <c r="A48" s="1" t="s">
        <v>2</v>
      </c>
      <c r="B48" s="1" t="s">
        <v>3</v>
      </c>
      <c r="C48" s="1" t="s">
        <v>4</v>
      </c>
      <c r="D48" s="1" t="s">
        <v>5</v>
      </c>
      <c r="E48" s="1" t="s">
        <v>6</v>
      </c>
      <c r="F48" s="1" t="s">
        <v>7</v>
      </c>
      <c r="G48" s="1" t="s">
        <v>8</v>
      </c>
      <c r="H48" s="1" t="s">
        <v>9</v>
      </c>
      <c r="I48" s="1" t="s">
        <v>10</v>
      </c>
      <c r="J48" s="1" t="s">
        <v>11</v>
      </c>
      <c r="K48" s="1" t="s">
        <v>12</v>
      </c>
      <c r="L48" s="1" t="s">
        <v>13</v>
      </c>
      <c r="M48" s="1" t="s">
        <v>14</v>
      </c>
      <c r="O48" s="1" t="s">
        <v>2</v>
      </c>
      <c r="P48" s="1" t="s">
        <v>3</v>
      </c>
      <c r="Q48" s="1" t="s">
        <v>4</v>
      </c>
      <c r="R48" s="1" t="s">
        <v>5</v>
      </c>
      <c r="S48" s="1" t="s">
        <v>6</v>
      </c>
      <c r="T48" s="1" t="s">
        <v>7</v>
      </c>
      <c r="U48" s="1" t="s">
        <v>8</v>
      </c>
      <c r="V48" s="1" t="s">
        <v>9</v>
      </c>
      <c r="W48" s="1" t="s">
        <v>10</v>
      </c>
      <c r="X48" s="1" t="s">
        <v>11</v>
      </c>
      <c r="Y48" s="1" t="s">
        <v>12</v>
      </c>
      <c r="Z48" s="1" t="s">
        <v>13</v>
      </c>
      <c r="AA48" s="1" t="s">
        <v>14</v>
      </c>
    </row>
    <row r="49" customFormat="false" ht="15" hidden="false" customHeight="false" outlineLevel="0" collapsed="false">
      <c r="A49" s="1" t="s">
        <v>16</v>
      </c>
      <c r="B49" s="1" t="s">
        <v>17</v>
      </c>
      <c r="C49" s="1" t="n">
        <v>23401</v>
      </c>
      <c r="D49" s="1" t="n">
        <v>21167</v>
      </c>
      <c r="E49" s="1" t="n">
        <v>19849</v>
      </c>
      <c r="F49" s="1" t="n">
        <v>19060</v>
      </c>
      <c r="G49" s="1" t="n">
        <v>17878</v>
      </c>
      <c r="H49" s="1" t="n">
        <v>17108</v>
      </c>
      <c r="I49" s="1" t="n">
        <v>16896</v>
      </c>
      <c r="J49" s="1" t="n">
        <v>16487</v>
      </c>
      <c r="K49" s="1" t="n">
        <v>16816</v>
      </c>
      <c r="L49" s="1" t="n">
        <v>16900</v>
      </c>
      <c r="M49" s="1" t="n">
        <v>16829</v>
      </c>
      <c r="O49" s="1" t="s">
        <v>16</v>
      </c>
      <c r="P49" s="1" t="s">
        <v>17</v>
      </c>
      <c r="Q49" s="1" t="n">
        <f aca="false">Q26-C26-Tabella7[[#This Row],[2019]]</f>
        <v>10937</v>
      </c>
      <c r="R49" s="1" t="n">
        <f aca="false">R26-D26-Tabella7[[#This Row],[2018]]</f>
        <v>11346</v>
      </c>
      <c r="S49" s="1" t="n">
        <f aca="false">S26-E26-Tabella7[[#This Row],[2017]]</f>
        <v>11659</v>
      </c>
      <c r="T49" s="1" t="n">
        <f aca="false">T26-F26-Tabella7[[#This Row],[2016]]</f>
        <v>11504</v>
      </c>
      <c r="U49" s="1" t="n">
        <f aca="false">U26-G26-Tabella7[[#This Row],[2015]]</f>
        <v>11290</v>
      </c>
      <c r="V49" s="1" t="n">
        <f aca="false">V26-H26-Tabella7[[#This Row],[2014]]</f>
        <v>9543</v>
      </c>
      <c r="W49" s="1" t="n">
        <f aca="false">W26-I26-Tabella7[[#This Row],[2013]]</f>
        <v>8418</v>
      </c>
      <c r="X49" s="1" t="n">
        <f aca="false">X26-J26-Tabella7[[#This Row],[2012]]</f>
        <v>7759</v>
      </c>
      <c r="Y49" s="1" t="n">
        <f aca="false">Y26-K26-Tabella7[[#This Row],[2011]]</f>
        <v>7106</v>
      </c>
      <c r="Z49" s="1" t="n">
        <f aca="false">Z26-L26-Tabella7[[#This Row],[2010]]</f>
        <v>6224</v>
      </c>
      <c r="AA49" s="1" t="n">
        <f aca="false">AA26-M26-Tabella7[[#This Row],[2009]]</f>
        <v>5587</v>
      </c>
    </row>
    <row r="50" customFormat="false" ht="15" hidden="false" customHeight="false" outlineLevel="0" collapsed="false">
      <c r="B50" s="1" t="s">
        <v>19</v>
      </c>
      <c r="C50" s="1" t="n">
        <v>17</v>
      </c>
      <c r="D50" s="1" t="n">
        <v>13</v>
      </c>
      <c r="E50" s="1" t="n">
        <v>11</v>
      </c>
      <c r="F50" s="1" t="n">
        <v>18</v>
      </c>
      <c r="G50" s="1" t="n">
        <v>16</v>
      </c>
      <c r="H50" s="1" t="n">
        <v>24</v>
      </c>
      <c r="I50" s="1" t="n">
        <v>28</v>
      </c>
      <c r="J50" s="1" t="n">
        <v>17</v>
      </c>
      <c r="K50" s="1" t="n">
        <v>32</v>
      </c>
      <c r="L50" s="1" t="n">
        <v>36</v>
      </c>
      <c r="M50" s="1" t="n">
        <v>40</v>
      </c>
      <c r="P50" s="1" t="s">
        <v>19</v>
      </c>
      <c r="Q50" s="1" t="n">
        <f aca="false">Q27-C27-Tabella7[[#This Row],[2019]]</f>
        <v>2</v>
      </c>
      <c r="R50" s="1" t="n">
        <f aca="false">R27-D27-Tabella7[[#This Row],[2018]]</f>
        <v>1</v>
      </c>
      <c r="S50" s="1" t="n">
        <f aca="false">S27-E27-Tabella7[[#This Row],[2017]]</f>
        <v>2</v>
      </c>
      <c r="T50" s="1" t="n">
        <f aca="false">T27-F27-Tabella7[[#This Row],[2016]]</f>
        <v>8</v>
      </c>
      <c r="U50" s="1" t="n">
        <f aca="false">U27-G27-Tabella7[[#This Row],[2015]]</f>
        <v>2</v>
      </c>
      <c r="V50" s="1" t="n">
        <f aca="false">V27-H27-Tabella7[[#This Row],[2014]]</f>
        <v>5</v>
      </c>
      <c r="W50" s="1" t="n">
        <f aca="false">W27-I27-Tabella7[[#This Row],[2013]]</f>
        <v>4</v>
      </c>
      <c r="X50" s="1" t="n">
        <f aca="false">X27-J27-Tabella7[[#This Row],[2012]]</f>
        <v>3</v>
      </c>
      <c r="Y50" s="1" t="n">
        <f aca="false">Y27-K27-Tabella7[[#This Row],[2011]]</f>
        <v>8</v>
      </c>
      <c r="Z50" s="1" t="n">
        <f aca="false">Z27-L27-Tabella7[[#This Row],[2010]]</f>
        <v>9</v>
      </c>
      <c r="AA50" s="1" t="n">
        <f aca="false">AA27-M27-Tabella7[[#This Row],[2009]]</f>
        <v>12</v>
      </c>
    </row>
    <row r="51" customFormat="false" ht="15" hidden="false" customHeight="false" outlineLevel="0" collapsed="false">
      <c r="B51" s="1" t="s">
        <v>21</v>
      </c>
      <c r="C51" s="1" t="n">
        <v>21491</v>
      </c>
      <c r="D51" s="1" t="n">
        <v>19341</v>
      </c>
      <c r="E51" s="1" t="n">
        <v>18152</v>
      </c>
      <c r="F51" s="1" t="n">
        <v>17437</v>
      </c>
      <c r="G51" s="1" t="n">
        <v>16351</v>
      </c>
      <c r="H51" s="1" t="n">
        <v>15445</v>
      </c>
      <c r="I51" s="1" t="n">
        <v>15123</v>
      </c>
      <c r="J51" s="1" t="n">
        <v>14743</v>
      </c>
      <c r="K51" s="1" t="n">
        <v>14898</v>
      </c>
      <c r="L51" s="1" t="n">
        <v>14734</v>
      </c>
      <c r="M51" s="1" t="n">
        <v>14626</v>
      </c>
      <c r="P51" s="1" t="s">
        <v>21</v>
      </c>
      <c r="Q51" s="1" t="n">
        <f aca="false">Q28-C28-Tabella7[[#This Row],[2019]]</f>
        <v>2993</v>
      </c>
      <c r="R51" s="1" t="n">
        <f aca="false">R28-D28-Tabella7[[#This Row],[2018]]</f>
        <v>2919</v>
      </c>
      <c r="S51" s="1" t="n">
        <f aca="false">S28-E28-Tabella7[[#This Row],[2017]]</f>
        <v>3011</v>
      </c>
      <c r="T51" s="1" t="n">
        <f aca="false">T28-F28-Tabella7[[#This Row],[2016]]</f>
        <v>2841</v>
      </c>
      <c r="U51" s="1" t="n">
        <f aca="false">U28-G28-Tabella7[[#This Row],[2015]]</f>
        <v>3033</v>
      </c>
      <c r="V51" s="1" t="n">
        <f aca="false">V28-H28-Tabella7[[#This Row],[2014]]</f>
        <v>2638</v>
      </c>
      <c r="W51" s="1" t="n">
        <f aca="false">W28-I28-Tabella7[[#This Row],[2013]]</f>
        <v>2709</v>
      </c>
      <c r="X51" s="1" t="n">
        <f aca="false">X28-J28-Tabella7[[#This Row],[2012]]</f>
        <v>2511</v>
      </c>
      <c r="Y51" s="1" t="n">
        <f aca="false">Y28-K28-Tabella7[[#This Row],[2011]]</f>
        <v>2522</v>
      </c>
      <c r="Z51" s="1" t="n">
        <f aca="false">Z28-L28-Tabella7[[#This Row],[2010]]</f>
        <v>2471</v>
      </c>
      <c r="AA51" s="1" t="n">
        <f aca="false">AA28-M28-Tabella7[[#This Row],[2009]]</f>
        <v>2405</v>
      </c>
    </row>
    <row r="52" customFormat="false" ht="15" hidden="false" customHeight="false" outlineLevel="0" collapsed="false">
      <c r="B52" s="1" t="s">
        <v>23</v>
      </c>
      <c r="C52" s="1" t="n">
        <v>1793</v>
      </c>
      <c r="D52" s="1" t="n">
        <v>1717</v>
      </c>
      <c r="E52" s="1" t="n">
        <v>1586</v>
      </c>
      <c r="F52" s="1" t="n">
        <v>1501</v>
      </c>
      <c r="G52" s="1" t="n">
        <v>1389</v>
      </c>
      <c r="H52" s="1" t="n">
        <v>1290</v>
      </c>
      <c r="I52" s="1" t="n">
        <v>1178</v>
      </c>
      <c r="J52" s="1" t="n">
        <v>1104</v>
      </c>
      <c r="K52" s="1" t="n">
        <v>1151</v>
      </c>
      <c r="L52" s="1" t="n">
        <v>1156</v>
      </c>
      <c r="M52" s="1" t="n">
        <v>985</v>
      </c>
      <c r="P52" s="1" t="s">
        <v>23</v>
      </c>
      <c r="Q52" s="1" t="n">
        <f aca="false">Q29-C29-Tabella7[[#This Row],[2019]]</f>
        <v>9135</v>
      </c>
      <c r="R52" s="1" t="n">
        <f aca="false">R29-D29-Tabella7[[#This Row],[2018]]</f>
        <v>9563</v>
      </c>
      <c r="S52" s="1" t="n">
        <f aca="false">S29-E29-Tabella7[[#This Row],[2017]]</f>
        <v>9744</v>
      </c>
      <c r="T52" s="1" t="n">
        <f aca="false">T29-F29-Tabella7[[#This Row],[2016]]</f>
        <v>9753</v>
      </c>
      <c r="U52" s="1" t="n">
        <f aca="false">U29-G29-Tabella7[[#This Row],[2015]]</f>
        <v>9360</v>
      </c>
      <c r="V52" s="1" t="n">
        <f aca="false">V29-H29-Tabella7[[#This Row],[2014]]</f>
        <v>8117</v>
      </c>
      <c r="W52" s="1" t="n">
        <f aca="false">W29-I29-Tabella7[[#This Row],[2013]]</f>
        <v>7091</v>
      </c>
      <c r="X52" s="1" t="n">
        <f aca="false">X29-J29-Tabella7[[#This Row],[2012]]</f>
        <v>6606</v>
      </c>
      <c r="Y52" s="1" t="n">
        <f aca="false">Y29-K29-Tabella7[[#This Row],[2011]]</f>
        <v>6017</v>
      </c>
      <c r="Z52" s="1" t="n">
        <f aca="false">Z29-L29-Tabella7[[#This Row],[2010]]</f>
        <v>5381</v>
      </c>
      <c r="AA52" s="1" t="n">
        <f aca="false">AA29-M29-Tabella7[[#This Row],[2009]]</f>
        <v>4968</v>
      </c>
    </row>
    <row r="53" customFormat="false" ht="15" hidden="false" customHeight="false" outlineLevel="0" collapsed="false">
      <c r="A53" s="1" t="s">
        <v>24</v>
      </c>
      <c r="B53" s="1" t="s">
        <v>17</v>
      </c>
      <c r="C53" s="1" t="n">
        <v>10616</v>
      </c>
      <c r="D53" s="1" t="n">
        <v>9523</v>
      </c>
      <c r="E53" s="1" t="n">
        <v>8995</v>
      </c>
      <c r="F53" s="1" t="n">
        <v>8612</v>
      </c>
      <c r="G53" s="1" t="n">
        <v>8088</v>
      </c>
      <c r="H53" s="1" t="n">
        <v>7659</v>
      </c>
      <c r="I53" s="1" t="n">
        <v>7631</v>
      </c>
      <c r="J53" s="1" t="n">
        <v>7314</v>
      </c>
      <c r="K53" s="1" t="n">
        <v>7606</v>
      </c>
      <c r="L53" s="1" t="n">
        <v>7637</v>
      </c>
      <c r="M53" s="1" t="n">
        <v>7604</v>
      </c>
      <c r="O53" s="1" t="s">
        <v>24</v>
      </c>
      <c r="P53" s="1" t="s">
        <v>17</v>
      </c>
      <c r="Q53" s="1" t="n">
        <f aca="false">Q30-C30-Tabella7[[#This Row],[2019]]</f>
        <v>5714</v>
      </c>
      <c r="R53" s="1" t="n">
        <f aca="false">R30-D30-Tabella7[[#This Row],[2018]]</f>
        <v>5886</v>
      </c>
      <c r="S53" s="1" t="n">
        <f aca="false">S30-E30-Tabella7[[#This Row],[2017]]</f>
        <v>6044</v>
      </c>
      <c r="T53" s="1" t="n">
        <f aca="false">T30-F30-Tabella7[[#This Row],[2016]]</f>
        <v>5964</v>
      </c>
      <c r="U53" s="1" t="n">
        <f aca="false">U30-G30-Tabella7[[#This Row],[2015]]</f>
        <v>5820</v>
      </c>
      <c r="V53" s="1" t="n">
        <f aca="false">V30-H30-Tabella7[[#This Row],[2014]]</f>
        <v>4963</v>
      </c>
      <c r="W53" s="1" t="n">
        <f aca="false">W30-I30-Tabella7[[#This Row],[2013]]</f>
        <v>4313</v>
      </c>
      <c r="X53" s="1" t="n">
        <f aca="false">X30-J30-Tabella7[[#This Row],[2012]]</f>
        <v>4005</v>
      </c>
      <c r="Y53" s="1" t="n">
        <f aca="false">Y30-K30-Tabella7[[#This Row],[2011]]</f>
        <v>3642</v>
      </c>
      <c r="Z53" s="1" t="n">
        <f aca="false">Z30-L30-Tabella7[[#This Row],[2010]]</f>
        <v>3305</v>
      </c>
      <c r="AA53" s="1" t="n">
        <f aca="false">AA30-M30-Tabella7[[#This Row],[2009]]</f>
        <v>3006</v>
      </c>
    </row>
    <row r="54" customFormat="false" ht="15" hidden="false" customHeight="false" outlineLevel="0" collapsed="false">
      <c r="B54" s="1" t="s">
        <v>19</v>
      </c>
      <c r="C54" s="1" t="n">
        <v>7</v>
      </c>
      <c r="D54" s="1" t="n">
        <v>7</v>
      </c>
      <c r="E54" s="1" t="n">
        <v>4</v>
      </c>
      <c r="F54" s="1" t="n">
        <v>11</v>
      </c>
      <c r="G54" s="1" t="n">
        <v>8</v>
      </c>
      <c r="H54" s="1" t="n">
        <v>8</v>
      </c>
      <c r="I54" s="1" t="n">
        <v>17</v>
      </c>
      <c r="J54" s="1" t="n">
        <v>8</v>
      </c>
      <c r="K54" s="1" t="n">
        <v>18</v>
      </c>
      <c r="L54" s="1" t="n">
        <v>12</v>
      </c>
      <c r="M54" s="1" t="n">
        <v>23</v>
      </c>
      <c r="P54" s="1" t="s">
        <v>19</v>
      </c>
      <c r="Q54" s="1" t="n">
        <f aca="false">Q31-C31-Tabella7[[#This Row],[2019]]</f>
        <v>0</v>
      </c>
      <c r="R54" s="1" t="n">
        <f aca="false">R31-D31-Tabella7[[#This Row],[2018]]</f>
        <v>0</v>
      </c>
      <c r="S54" s="1" t="n">
        <f aca="false">S31-E31-Tabella7[[#This Row],[2017]]</f>
        <v>2</v>
      </c>
      <c r="T54" s="1" t="n">
        <f aca="false">T31-F31-Tabella7[[#This Row],[2016]]</f>
        <v>5</v>
      </c>
      <c r="U54" s="1" t="n">
        <f aca="false">U31-G31-Tabella7[[#This Row],[2015]]</f>
        <v>2</v>
      </c>
      <c r="V54" s="1" t="n">
        <f aca="false">V31-H31-Tabella7[[#This Row],[2014]]</f>
        <v>5</v>
      </c>
      <c r="W54" s="1" t="n">
        <f aca="false">W31-I31-Tabella7[[#This Row],[2013]]</f>
        <v>0</v>
      </c>
      <c r="X54" s="1" t="n">
        <f aca="false">X31-J31-Tabella7[[#This Row],[2012]]</f>
        <v>2</v>
      </c>
      <c r="Y54" s="1" t="n">
        <f aca="false">Y31-K31-Tabella7[[#This Row],[2011]]</f>
        <v>5</v>
      </c>
      <c r="Z54" s="1" t="n">
        <f aca="false">Z31-L31-Tabella7[[#This Row],[2010]]</f>
        <v>4</v>
      </c>
      <c r="AA54" s="1" t="n">
        <f aca="false">AA31-M31-Tabella7[[#This Row],[2009]]</f>
        <v>10</v>
      </c>
    </row>
    <row r="55" customFormat="false" ht="15" hidden="false" customHeight="false" outlineLevel="0" collapsed="false">
      <c r="B55" s="1" t="s">
        <v>21</v>
      </c>
      <c r="C55" s="1" t="n">
        <v>9814</v>
      </c>
      <c r="D55" s="1" t="n">
        <v>8761</v>
      </c>
      <c r="E55" s="1" t="n">
        <v>8280</v>
      </c>
      <c r="F55" s="1" t="n">
        <v>7896</v>
      </c>
      <c r="G55" s="1" t="n">
        <v>7427</v>
      </c>
      <c r="H55" s="1" t="n">
        <v>6944</v>
      </c>
      <c r="I55" s="1" t="n">
        <v>6876</v>
      </c>
      <c r="J55" s="1" t="n">
        <v>6588</v>
      </c>
      <c r="K55" s="1" t="n">
        <v>6785</v>
      </c>
      <c r="L55" s="1" t="n">
        <v>6679</v>
      </c>
      <c r="M55" s="1" t="n">
        <v>6642</v>
      </c>
      <c r="P55" s="1" t="s">
        <v>21</v>
      </c>
      <c r="Q55" s="1" t="n">
        <f aca="false">Q32-C32-Tabella7[[#This Row],[2019]]</f>
        <v>1564</v>
      </c>
      <c r="R55" s="1" t="n">
        <f aca="false">R32-D32-Tabella7[[#This Row],[2018]]</f>
        <v>1518</v>
      </c>
      <c r="S55" s="1" t="n">
        <f aca="false">S32-E32-Tabella7[[#This Row],[2017]]</f>
        <v>1566</v>
      </c>
      <c r="T55" s="1" t="n">
        <f aca="false">T32-F32-Tabella7[[#This Row],[2016]]</f>
        <v>1493</v>
      </c>
      <c r="U55" s="1" t="n">
        <f aca="false">U32-G32-Tabella7[[#This Row],[2015]]</f>
        <v>1581</v>
      </c>
      <c r="V55" s="1" t="n">
        <f aca="false">V32-H32-Tabella7[[#This Row],[2014]]</f>
        <v>1407</v>
      </c>
      <c r="W55" s="1" t="n">
        <f aca="false">W32-I32-Tabella7[[#This Row],[2013]]</f>
        <v>1360</v>
      </c>
      <c r="X55" s="1" t="n">
        <f aca="false">X32-J32-Tabella7[[#This Row],[2012]]</f>
        <v>1307</v>
      </c>
      <c r="Y55" s="1" t="n">
        <f aca="false">Y32-K32-Tabella7[[#This Row],[2011]]</f>
        <v>1298</v>
      </c>
      <c r="Z55" s="1" t="n">
        <f aca="false">Z32-L32-Tabella7[[#This Row],[2010]]</f>
        <v>1301</v>
      </c>
      <c r="AA55" s="1" t="n">
        <f aca="false">AA32-M32-Tabella7[[#This Row],[2009]]</f>
        <v>1219</v>
      </c>
    </row>
    <row r="56" customFormat="false" ht="15" hidden="false" customHeight="false" outlineLevel="0" collapsed="false">
      <c r="B56" s="1" t="s">
        <v>23</v>
      </c>
      <c r="C56" s="1" t="n">
        <v>753</v>
      </c>
      <c r="D56" s="1" t="n">
        <v>717</v>
      </c>
      <c r="E56" s="1" t="n">
        <v>670</v>
      </c>
      <c r="F56" s="1" t="n">
        <v>663</v>
      </c>
      <c r="G56" s="1" t="n">
        <v>592</v>
      </c>
      <c r="H56" s="1" t="n">
        <v>548</v>
      </c>
      <c r="I56" s="1" t="n">
        <v>508</v>
      </c>
      <c r="J56" s="1" t="n">
        <v>441</v>
      </c>
      <c r="K56" s="1" t="n">
        <v>482</v>
      </c>
      <c r="L56" s="1" t="n">
        <v>516</v>
      </c>
      <c r="M56" s="1" t="n">
        <v>436</v>
      </c>
      <c r="P56" s="1" t="s">
        <v>23</v>
      </c>
      <c r="Q56" s="1" t="n">
        <f aca="false">Q33-C33-Tabella7[[#This Row],[2019]]</f>
        <v>4736</v>
      </c>
      <c r="R56" s="1" t="n">
        <f aca="false">R33-D33-Tabella7[[#This Row],[2018]]</f>
        <v>4925</v>
      </c>
      <c r="S56" s="1" t="n">
        <f aca="false">S33-E33-Tabella7[[#This Row],[2017]]</f>
        <v>5008</v>
      </c>
      <c r="T56" s="1" t="n">
        <f aca="false">T33-F33-Tabella7[[#This Row],[2016]]</f>
        <v>4999</v>
      </c>
      <c r="U56" s="1" t="n">
        <f aca="false">U33-G33-Tabella7[[#This Row],[2015]]</f>
        <v>4755</v>
      </c>
      <c r="V56" s="1" t="n">
        <f aca="false">V33-H33-Tabella7[[#This Row],[2014]]</f>
        <v>4142</v>
      </c>
      <c r="W56" s="1" t="n">
        <f aca="false">W33-I33-Tabella7[[#This Row],[2013]]</f>
        <v>3577</v>
      </c>
      <c r="X56" s="1" t="n">
        <f aca="false">X33-J33-Tabella7[[#This Row],[2012]]</f>
        <v>3309</v>
      </c>
      <c r="Y56" s="1" t="n">
        <f aca="false">Y33-K33-Tabella7[[#This Row],[2011]]</f>
        <v>3013</v>
      </c>
      <c r="Z56" s="1" t="n">
        <f aca="false">Z33-L33-Tabella7[[#This Row],[2010]]</f>
        <v>2757</v>
      </c>
      <c r="AA56" s="1" t="n">
        <f aca="false">AA33-M33-Tabella7[[#This Row],[2009]]</f>
        <v>2576</v>
      </c>
    </row>
    <row r="57" customFormat="false" ht="15" hidden="false" customHeight="false" outlineLevel="0" collapsed="false">
      <c r="A57" s="1" t="s">
        <v>25</v>
      </c>
      <c r="B57" s="1" t="s">
        <v>17</v>
      </c>
      <c r="C57" s="1" t="n">
        <v>8372</v>
      </c>
      <c r="D57" s="1" t="n">
        <v>7553</v>
      </c>
      <c r="E57" s="1" t="n">
        <v>7214</v>
      </c>
      <c r="F57" s="1" t="n">
        <v>7001</v>
      </c>
      <c r="G57" s="1" t="n">
        <v>6470</v>
      </c>
      <c r="H57" s="1" t="n">
        <v>6364</v>
      </c>
      <c r="I57" s="1" t="n">
        <v>6254</v>
      </c>
      <c r="J57" s="1" t="n">
        <v>6150</v>
      </c>
      <c r="K57" s="1" t="n">
        <v>6227</v>
      </c>
      <c r="L57" s="1" t="n">
        <v>6124</v>
      </c>
      <c r="M57" s="1" t="n">
        <v>6236</v>
      </c>
      <c r="O57" s="1" t="s">
        <v>25</v>
      </c>
      <c r="P57" s="1" t="s">
        <v>17</v>
      </c>
      <c r="Q57" s="1" t="n">
        <f aca="false">Q34-C34-Tabella7[[#This Row],[2019]]</f>
        <v>3159</v>
      </c>
      <c r="R57" s="1" t="n">
        <f aca="false">R34-D34-Tabella7[[#This Row],[2018]]</f>
        <v>3344</v>
      </c>
      <c r="S57" s="1" t="n">
        <f aca="false">S34-E34-Tabella7[[#This Row],[2017]]</f>
        <v>3401</v>
      </c>
      <c r="T57" s="1" t="n">
        <f aca="false">T34-F34-Tabella7[[#This Row],[2016]]</f>
        <v>3443</v>
      </c>
      <c r="U57" s="1" t="n">
        <f aca="false">U34-G34-Tabella7[[#This Row],[2015]]</f>
        <v>3324</v>
      </c>
      <c r="V57" s="1" t="n">
        <f aca="false">V34-H34-Tabella7[[#This Row],[2014]]</f>
        <v>2854</v>
      </c>
      <c r="W57" s="1" t="n">
        <f aca="false">W34-I34-Tabella7[[#This Row],[2013]]</f>
        <v>2482</v>
      </c>
      <c r="X57" s="1" t="n">
        <f aca="false">X34-J34-Tabella7[[#This Row],[2012]]</f>
        <v>2291</v>
      </c>
      <c r="Y57" s="1" t="n">
        <f aca="false">Y34-K34-Tabella7[[#This Row],[2011]]</f>
        <v>2106</v>
      </c>
      <c r="Z57" s="1" t="n">
        <f aca="false">Z34-L34-Tabella7[[#This Row],[2010]]</f>
        <v>1755</v>
      </c>
      <c r="AA57" s="1" t="n">
        <f aca="false">AA34-M34-Tabella7[[#This Row],[2009]]</f>
        <v>1546</v>
      </c>
    </row>
    <row r="58" customFormat="false" ht="15" hidden="false" customHeight="false" outlineLevel="0" collapsed="false">
      <c r="B58" s="1" t="s">
        <v>19</v>
      </c>
      <c r="C58" s="1" t="n">
        <v>5</v>
      </c>
      <c r="D58" s="1" t="n">
        <v>2</v>
      </c>
      <c r="E58" s="1" t="n">
        <v>4</v>
      </c>
      <c r="F58" s="1" t="n">
        <v>2</v>
      </c>
      <c r="G58" s="1" t="n">
        <v>4</v>
      </c>
      <c r="H58" s="1" t="n">
        <v>9</v>
      </c>
      <c r="I58" s="1" t="n">
        <v>4</v>
      </c>
      <c r="J58" s="1" t="n">
        <v>8</v>
      </c>
      <c r="K58" s="1" t="n">
        <v>8</v>
      </c>
      <c r="L58" s="1" t="n">
        <v>14</v>
      </c>
      <c r="M58" s="1" t="n">
        <v>10</v>
      </c>
      <c r="P58" s="1" t="s">
        <v>19</v>
      </c>
      <c r="Q58" s="1" t="n">
        <f aca="false">Q35-C35-Tabella7[[#This Row],[2019]]</f>
        <v>2</v>
      </c>
      <c r="R58" s="1" t="n">
        <f aca="false">R35-D35-Tabella7[[#This Row],[2018]]</f>
        <v>0</v>
      </c>
      <c r="S58" s="1" t="n">
        <f aca="false">S35-E35-Tabella7[[#This Row],[2017]]</f>
        <v>0</v>
      </c>
      <c r="T58" s="1" t="n">
        <f aca="false">T35-F35-Tabella7[[#This Row],[2016]]</f>
        <v>1</v>
      </c>
      <c r="U58" s="1" t="n">
        <f aca="false">U35-G35-Tabella7[[#This Row],[2015]]</f>
        <v>0</v>
      </c>
      <c r="V58" s="1" t="n">
        <f aca="false">V35-H35-Tabella7[[#This Row],[2014]]</f>
        <v>0</v>
      </c>
      <c r="W58" s="1" t="n">
        <f aca="false">W35-I35-Tabella7[[#This Row],[2013]]</f>
        <v>3</v>
      </c>
      <c r="X58" s="1" t="n">
        <f aca="false">X35-J35-Tabella7[[#This Row],[2012]]</f>
        <v>1</v>
      </c>
      <c r="Y58" s="1" t="n">
        <f aca="false">Y35-K35-Tabella7[[#This Row],[2011]]</f>
        <v>2</v>
      </c>
      <c r="Z58" s="1" t="n">
        <f aca="false">Z35-L35-Tabella7[[#This Row],[2010]]</f>
        <v>3</v>
      </c>
      <c r="AA58" s="1" t="n">
        <f aca="false">AA35-M35-Tabella7[[#This Row],[2009]]</f>
        <v>1</v>
      </c>
    </row>
    <row r="59" customFormat="false" ht="15" hidden="false" customHeight="false" outlineLevel="0" collapsed="false">
      <c r="B59" s="1" t="s">
        <v>21</v>
      </c>
      <c r="C59" s="1" t="n">
        <v>7614</v>
      </c>
      <c r="D59" s="1" t="n">
        <v>6801</v>
      </c>
      <c r="E59" s="1" t="n">
        <v>6506</v>
      </c>
      <c r="F59" s="1" t="n">
        <v>6367</v>
      </c>
      <c r="G59" s="1" t="n">
        <v>5863</v>
      </c>
      <c r="H59" s="1" t="n">
        <v>5699</v>
      </c>
      <c r="I59" s="1" t="n">
        <v>5526</v>
      </c>
      <c r="J59" s="1" t="n">
        <v>5439</v>
      </c>
      <c r="K59" s="1" t="n">
        <v>5422</v>
      </c>
      <c r="L59" s="1" t="n">
        <v>5283</v>
      </c>
      <c r="M59" s="1" t="n">
        <v>5358</v>
      </c>
      <c r="P59" s="1" t="s">
        <v>21</v>
      </c>
      <c r="Q59" s="1" t="n">
        <f aca="false">Q36-C36-Tabella7[[#This Row],[2019]]</f>
        <v>864</v>
      </c>
      <c r="R59" s="1" t="n">
        <f aca="false">R36-D36-Tabella7[[#This Row],[2018]]</f>
        <v>840</v>
      </c>
      <c r="S59" s="1" t="n">
        <f aca="false">S36-E36-Tabella7[[#This Row],[2017]]</f>
        <v>917</v>
      </c>
      <c r="T59" s="1" t="n">
        <f aca="false">T36-F36-Tabella7[[#This Row],[2016]]</f>
        <v>847</v>
      </c>
      <c r="U59" s="1" t="n">
        <f aca="false">U36-G36-Tabella7[[#This Row],[2015]]</f>
        <v>842</v>
      </c>
      <c r="V59" s="1" t="n">
        <f aca="false">V36-H36-Tabella7[[#This Row],[2014]]</f>
        <v>810</v>
      </c>
      <c r="W59" s="1" t="n">
        <f aca="false">W36-I36-Tabella7[[#This Row],[2013]]</f>
        <v>835</v>
      </c>
      <c r="X59" s="1" t="n">
        <f aca="false">X36-J36-Tabella7[[#This Row],[2012]]</f>
        <v>756</v>
      </c>
      <c r="Y59" s="1" t="n">
        <f aca="false">Y36-K36-Tabella7[[#This Row],[2011]]</f>
        <v>759</v>
      </c>
      <c r="Z59" s="1" t="n">
        <f aca="false">Z36-L36-Tabella7[[#This Row],[2010]]</f>
        <v>717</v>
      </c>
      <c r="AA59" s="1" t="n">
        <f aca="false">AA36-M36-Tabella7[[#This Row],[2009]]</f>
        <v>749</v>
      </c>
    </row>
    <row r="60" customFormat="false" ht="15" hidden="false" customHeight="false" outlineLevel="0" collapsed="false">
      <c r="B60" s="1" t="s">
        <v>23</v>
      </c>
      <c r="C60" s="1" t="n">
        <v>715</v>
      </c>
      <c r="D60" s="1" t="n">
        <v>708</v>
      </c>
      <c r="E60" s="1" t="n">
        <v>661</v>
      </c>
      <c r="F60" s="1" t="n">
        <v>597</v>
      </c>
      <c r="G60" s="1" t="n">
        <v>557</v>
      </c>
      <c r="H60" s="1" t="n">
        <v>514</v>
      </c>
      <c r="I60" s="1" t="n">
        <v>485</v>
      </c>
      <c r="J60" s="1" t="n">
        <v>460</v>
      </c>
      <c r="K60" s="1" t="n">
        <v>485</v>
      </c>
      <c r="L60" s="1" t="n">
        <v>434</v>
      </c>
      <c r="M60" s="1" t="n">
        <v>387</v>
      </c>
      <c r="P60" s="1" t="s">
        <v>23</v>
      </c>
      <c r="Q60" s="1" t="n">
        <f aca="false">Q37-C37-Tabella7[[#This Row],[2019]]</f>
        <v>2670</v>
      </c>
      <c r="R60" s="1" t="n">
        <f aca="false">R37-D37-Tabella7[[#This Row],[2018]]</f>
        <v>2872</v>
      </c>
      <c r="S60" s="1" t="n">
        <f aca="false">S37-E37-Tabella7[[#This Row],[2017]]</f>
        <v>2841</v>
      </c>
      <c r="T60" s="1" t="n">
        <f aca="false">T37-F37-Tabella7[[#This Row],[2016]]</f>
        <v>2966</v>
      </c>
      <c r="U60" s="1" t="n">
        <f aca="false">U37-G37-Tabella7[[#This Row],[2015]]</f>
        <v>2862</v>
      </c>
      <c r="V60" s="1" t="n">
        <f aca="false">V37-H37-Tabella7[[#This Row],[2014]]</f>
        <v>2484</v>
      </c>
      <c r="W60" s="1" t="n">
        <f aca="false">W37-I37-Tabella7[[#This Row],[2013]]</f>
        <v>2154</v>
      </c>
      <c r="X60" s="1" t="n">
        <f aca="false">X37-J37-Tabella7[[#This Row],[2012]]</f>
        <v>2028</v>
      </c>
      <c r="Y60" s="1" t="n">
        <f aca="false">Y37-K37-Tabella7[[#This Row],[2011]]</f>
        <v>1892</v>
      </c>
      <c r="Z60" s="1" t="n">
        <f aca="false">Z37-L37-Tabella7[[#This Row],[2010]]</f>
        <v>1644</v>
      </c>
      <c r="AA60" s="1" t="n">
        <f aca="false">AA37-M37-Tabella7[[#This Row],[2009]]</f>
        <v>1494</v>
      </c>
    </row>
    <row r="61" customFormat="false" ht="15" hidden="false" customHeight="false" outlineLevel="0" collapsed="false">
      <c r="A61" s="1" t="s">
        <v>26</v>
      </c>
      <c r="B61" s="1" t="s">
        <v>17</v>
      </c>
      <c r="C61" s="1" t="n">
        <v>3233</v>
      </c>
      <c r="D61" s="1" t="n">
        <v>3061</v>
      </c>
      <c r="E61" s="1" t="n">
        <v>2672</v>
      </c>
      <c r="F61" s="1" t="n">
        <v>2587</v>
      </c>
      <c r="G61" s="1" t="n">
        <v>2366</v>
      </c>
      <c r="H61" s="1" t="n">
        <v>2284</v>
      </c>
      <c r="I61" s="1" t="n">
        <v>2196</v>
      </c>
      <c r="J61" s="1" t="n">
        <v>2164</v>
      </c>
      <c r="K61" s="1" t="n">
        <v>2164</v>
      </c>
      <c r="L61" s="1" t="n">
        <v>2314</v>
      </c>
      <c r="M61" s="1" t="n">
        <v>2191</v>
      </c>
      <c r="O61" s="1" t="s">
        <v>26</v>
      </c>
      <c r="P61" s="1" t="s">
        <v>17</v>
      </c>
      <c r="Q61" s="1" t="n">
        <f aca="false">Q38-C38-Tabella7[[#This Row],[2019]]</f>
        <v>1791</v>
      </c>
      <c r="R61" s="1" t="n">
        <f aca="false">R38-D38-Tabella7[[#This Row],[2018]]</f>
        <v>1799</v>
      </c>
      <c r="S61" s="1" t="n">
        <f aca="false">S38-E38-Tabella7[[#This Row],[2017]]</f>
        <v>1868</v>
      </c>
      <c r="T61" s="1" t="n">
        <f aca="false">T38-F38-Tabella7[[#This Row],[2016]]</f>
        <v>1778</v>
      </c>
      <c r="U61" s="1" t="n">
        <f aca="false">U38-G38-Tabella7[[#This Row],[2015]]</f>
        <v>1814</v>
      </c>
      <c r="V61" s="1" t="n">
        <f aca="false">V38-H38-Tabella7[[#This Row],[2014]]</f>
        <v>1455</v>
      </c>
      <c r="W61" s="1" t="n">
        <f aca="false">W38-I38-Tabella7[[#This Row],[2013]]</f>
        <v>1359</v>
      </c>
      <c r="X61" s="1" t="n">
        <f aca="false">X38-J38-Tabella7[[#This Row],[2012]]</f>
        <v>1244</v>
      </c>
      <c r="Y61" s="1" t="n">
        <f aca="false">Y38-K38-Tabella7[[#This Row],[2011]]</f>
        <v>1153</v>
      </c>
      <c r="Z61" s="1" t="n">
        <f aca="false">Z38-L38-Tabella7[[#This Row],[2010]]</f>
        <v>1008</v>
      </c>
      <c r="AA61" s="1" t="n">
        <f aca="false">AA38-M38-Tabella7[[#This Row],[2009]]</f>
        <v>903</v>
      </c>
    </row>
    <row r="62" customFormat="false" ht="15" hidden="false" customHeight="false" outlineLevel="0" collapsed="false">
      <c r="B62" s="1" t="s">
        <v>19</v>
      </c>
      <c r="C62" s="1" t="n">
        <v>2</v>
      </c>
      <c r="D62" s="1" t="n">
        <v>4</v>
      </c>
      <c r="E62" s="1" t="n">
        <v>2</v>
      </c>
      <c r="F62" s="1" t="n">
        <v>5</v>
      </c>
      <c r="G62" s="1" t="n">
        <v>4</v>
      </c>
      <c r="H62" s="1" t="n">
        <v>6</v>
      </c>
      <c r="I62" s="1" t="n">
        <v>5</v>
      </c>
      <c r="J62" s="1" t="n">
        <v>1</v>
      </c>
      <c r="K62" s="1" t="n">
        <v>4</v>
      </c>
      <c r="L62" s="1" t="n">
        <v>10</v>
      </c>
      <c r="M62" s="1" t="n">
        <v>6</v>
      </c>
      <c r="P62" s="1" t="s">
        <v>19</v>
      </c>
      <c r="Q62" s="1" t="n">
        <f aca="false">Q39-C39-Tabella7[[#This Row],[2019]]</f>
        <v>0</v>
      </c>
      <c r="R62" s="1" t="n">
        <f aca="false">R39-D39-Tabella7[[#This Row],[2018]]</f>
        <v>0</v>
      </c>
      <c r="S62" s="1" t="n">
        <f aca="false">S39-E39-Tabella7[[#This Row],[2017]]</f>
        <v>0</v>
      </c>
      <c r="T62" s="1" t="n">
        <f aca="false">T39-F39-Tabella7[[#This Row],[2016]]</f>
        <v>0</v>
      </c>
      <c r="U62" s="1" t="n">
        <f aca="false">U39-G39-Tabella7[[#This Row],[2015]]</f>
        <v>0</v>
      </c>
      <c r="V62" s="1" t="n">
        <f aca="false">V39-H39-Tabella7[[#This Row],[2014]]</f>
        <v>0</v>
      </c>
      <c r="W62" s="1" t="n">
        <f aca="false">W39-I39-Tabella7[[#This Row],[2013]]</f>
        <v>1</v>
      </c>
      <c r="X62" s="1" t="n">
        <f aca="false">X39-J39-Tabella7[[#This Row],[2012]]</f>
        <v>0</v>
      </c>
      <c r="Y62" s="1" t="n">
        <f aca="false">Y39-K39-Tabella7[[#This Row],[2011]]</f>
        <v>1</v>
      </c>
      <c r="Z62" s="1" t="n">
        <f aca="false">Z39-L39-Tabella7[[#This Row],[2010]]</f>
        <v>2</v>
      </c>
      <c r="AA62" s="1" t="n">
        <f aca="false">AA39-M39-Tabella7[[#This Row],[2009]]</f>
        <v>1</v>
      </c>
    </row>
    <row r="63" customFormat="false" ht="15" hidden="false" customHeight="false" outlineLevel="0" collapsed="false">
      <c r="B63" s="1" t="s">
        <v>21</v>
      </c>
      <c r="C63" s="1" t="n">
        <v>2963</v>
      </c>
      <c r="D63" s="1" t="n">
        <v>2827</v>
      </c>
      <c r="E63" s="1" t="n">
        <v>2470</v>
      </c>
      <c r="F63" s="1" t="n">
        <v>2377</v>
      </c>
      <c r="G63" s="1" t="n">
        <v>2178</v>
      </c>
      <c r="H63" s="1" t="n">
        <v>2074</v>
      </c>
      <c r="I63" s="1" t="n">
        <v>1977</v>
      </c>
      <c r="J63" s="1" t="n">
        <v>1943</v>
      </c>
      <c r="K63" s="1" t="n">
        <v>1945</v>
      </c>
      <c r="L63" s="1" t="n">
        <v>2041</v>
      </c>
      <c r="M63" s="1" t="n">
        <v>1919</v>
      </c>
      <c r="P63" s="1" t="s">
        <v>21</v>
      </c>
      <c r="Q63" s="1" t="n">
        <f aca="false">Q40-C40-Tabella7[[#This Row],[2019]]</f>
        <v>478</v>
      </c>
      <c r="R63" s="1" t="n">
        <f aca="false">R40-D40-Tabella7[[#This Row],[2018]]</f>
        <v>478</v>
      </c>
      <c r="S63" s="1" t="n">
        <f aca="false">S40-E40-Tabella7[[#This Row],[2017]]</f>
        <v>457</v>
      </c>
      <c r="T63" s="1" t="n">
        <f aca="false">T40-F40-Tabella7[[#This Row],[2016]]</f>
        <v>429</v>
      </c>
      <c r="U63" s="1" t="n">
        <f aca="false">U40-G40-Tabella7[[#This Row],[2015]]</f>
        <v>525</v>
      </c>
      <c r="V63" s="1" t="n">
        <f aca="false">V40-H40-Tabella7[[#This Row],[2014]]</f>
        <v>357</v>
      </c>
      <c r="W63" s="1" t="n">
        <f aca="false">W40-I40-Tabella7[[#This Row],[2013]]</f>
        <v>439</v>
      </c>
      <c r="X63" s="1" t="n">
        <f aca="false">X40-J40-Tabella7[[#This Row],[2012]]</f>
        <v>380</v>
      </c>
      <c r="Y63" s="1" t="n">
        <f aca="false">Y40-K40-Tabella7[[#This Row],[2011]]</f>
        <v>385</v>
      </c>
      <c r="Z63" s="1" t="n">
        <f aca="false">Z40-L40-Tabella7[[#This Row],[2010]]</f>
        <v>379</v>
      </c>
      <c r="AA63" s="1" t="n">
        <f aca="false">AA40-M40-Tabella7[[#This Row],[2009]]</f>
        <v>372</v>
      </c>
    </row>
    <row r="64" customFormat="false" ht="15" hidden="false" customHeight="false" outlineLevel="0" collapsed="false">
      <c r="B64" s="1" t="s">
        <v>23</v>
      </c>
      <c r="C64" s="1" t="n">
        <v>257</v>
      </c>
      <c r="D64" s="1" t="n">
        <v>217</v>
      </c>
      <c r="E64" s="1" t="n">
        <v>185</v>
      </c>
      <c r="F64" s="1" t="n">
        <v>185</v>
      </c>
      <c r="G64" s="1" t="n">
        <v>172</v>
      </c>
      <c r="H64" s="1" t="n">
        <v>173</v>
      </c>
      <c r="I64" s="1" t="n">
        <v>136</v>
      </c>
      <c r="J64" s="1" t="n">
        <v>143</v>
      </c>
      <c r="K64" s="1" t="n">
        <v>134</v>
      </c>
      <c r="L64" s="1" t="n">
        <v>149</v>
      </c>
      <c r="M64" s="1" t="n">
        <v>120</v>
      </c>
      <c r="P64" s="1" t="s">
        <v>23</v>
      </c>
      <c r="Q64" s="1" t="n">
        <f aca="false">Q41-C41-Tabella7[[#This Row],[2019]]</f>
        <v>1498</v>
      </c>
      <c r="R64" s="1" t="n">
        <f aca="false">R41-D41-Tabella7[[#This Row],[2018]]</f>
        <v>1499</v>
      </c>
      <c r="S64" s="1" t="n">
        <f aca="false">S41-E41-Tabella7[[#This Row],[2017]]</f>
        <v>1584</v>
      </c>
      <c r="T64" s="1" t="n">
        <f aca="false">T41-F41-Tabella7[[#This Row],[2016]]</f>
        <v>1496</v>
      </c>
      <c r="U64" s="1" t="n">
        <f aca="false">U41-G41-Tabella7[[#This Row],[2015]]</f>
        <v>1450</v>
      </c>
      <c r="V64" s="1" t="n">
        <f aca="false">V41-H41-Tabella7[[#This Row],[2014]]</f>
        <v>1231</v>
      </c>
      <c r="W64" s="1" t="n">
        <f aca="false">W41-I41-Tabella7[[#This Row],[2013]]</f>
        <v>1116</v>
      </c>
      <c r="X64" s="1" t="n">
        <f aca="false">X41-J41-Tabella7[[#This Row],[2012]]</f>
        <v>1056</v>
      </c>
      <c r="Y64" s="1" t="n">
        <f aca="false">Y41-K41-Tabella7[[#This Row],[2011]]</f>
        <v>940</v>
      </c>
      <c r="Z64" s="1" t="n">
        <f aca="false">Z41-L41-Tabella7[[#This Row],[2010]]</f>
        <v>845</v>
      </c>
      <c r="AA64" s="1" t="n">
        <f aca="false">AA41-M41-Tabella7[[#This Row],[2009]]</f>
        <v>751</v>
      </c>
    </row>
    <row r="65" customFormat="false" ht="15" hidden="false" customHeight="false" outlineLevel="0" collapsed="false">
      <c r="A65" s="1" t="s">
        <v>27</v>
      </c>
      <c r="B65" s="1" t="s">
        <v>17</v>
      </c>
      <c r="C65" s="1" t="n">
        <v>1180</v>
      </c>
      <c r="D65" s="1" t="n">
        <v>1030</v>
      </c>
      <c r="E65" s="1" t="n">
        <v>968</v>
      </c>
      <c r="F65" s="1" t="n">
        <v>860</v>
      </c>
      <c r="G65" s="1" t="n">
        <v>954</v>
      </c>
      <c r="H65" s="1" t="n">
        <v>801</v>
      </c>
      <c r="I65" s="1" t="n">
        <v>815</v>
      </c>
      <c r="J65" s="1" t="n">
        <v>859</v>
      </c>
      <c r="K65" s="1" t="n">
        <v>819</v>
      </c>
      <c r="L65" s="1" t="n">
        <v>825</v>
      </c>
      <c r="M65" s="1" t="n">
        <v>798</v>
      </c>
      <c r="O65" s="1" t="s">
        <v>27</v>
      </c>
      <c r="P65" s="1" t="s">
        <v>17</v>
      </c>
      <c r="Q65" s="1" t="n">
        <f aca="false">Q42-C42-Tabella7[[#This Row],[2019]]</f>
        <v>273</v>
      </c>
      <c r="R65" s="1" t="n">
        <f aca="false">R42-D42-Tabella7[[#This Row],[2018]]</f>
        <v>318</v>
      </c>
      <c r="S65" s="1" t="n">
        <f aca="false">S42-E42-Tabella7[[#This Row],[2017]]</f>
        <v>346</v>
      </c>
      <c r="T65" s="1" t="n">
        <f aca="false">T42-F42-Tabella7[[#This Row],[2016]]</f>
        <v>319</v>
      </c>
      <c r="U65" s="1" t="n">
        <f aca="false">U42-G42-Tabella7[[#This Row],[2015]]</f>
        <v>332</v>
      </c>
      <c r="V65" s="1" t="n">
        <f aca="false">V42-H42-Tabella7[[#This Row],[2014]]</f>
        <v>271</v>
      </c>
      <c r="W65" s="1" t="n">
        <f aca="false">W42-I42-Tabella7[[#This Row],[2013]]</f>
        <v>264</v>
      </c>
      <c r="X65" s="1" t="n">
        <f aca="false">X42-J42-Tabella7[[#This Row],[2012]]</f>
        <v>220</v>
      </c>
      <c r="Y65" s="1" t="n">
        <f aca="false">Y42-K42-Tabella7[[#This Row],[2011]]</f>
        <v>207</v>
      </c>
      <c r="Z65" s="1" t="n">
        <f aca="false">Z42-L42-Tabella7[[#This Row],[2010]]</f>
        <v>156</v>
      </c>
      <c r="AA65" s="1" t="n">
        <f aca="false">AA42-M42-Tabella7[[#This Row],[2009]]</f>
        <v>132</v>
      </c>
    </row>
    <row r="66" customFormat="false" ht="15" hidden="false" customHeight="false" outlineLevel="0" collapsed="false">
      <c r="B66" s="1" t="s">
        <v>19</v>
      </c>
      <c r="C66" s="1" t="n">
        <v>3</v>
      </c>
      <c r="D66" s="1" t="n">
        <v>0</v>
      </c>
      <c r="E66" s="1" t="n">
        <v>1</v>
      </c>
      <c r="F66" s="1" t="n">
        <v>0</v>
      </c>
      <c r="G66" s="1" t="n">
        <v>0</v>
      </c>
      <c r="H66" s="1" t="n">
        <v>1</v>
      </c>
      <c r="I66" s="1" t="n">
        <v>2</v>
      </c>
      <c r="J66" s="1" t="n">
        <v>0</v>
      </c>
      <c r="K66" s="1" t="n">
        <v>2</v>
      </c>
      <c r="L66" s="1" t="n">
        <v>0</v>
      </c>
      <c r="M66" s="1" t="n">
        <v>1</v>
      </c>
      <c r="P66" s="1" t="s">
        <v>19</v>
      </c>
      <c r="Q66" s="1" t="n">
        <f aca="false">Q43-C43-Tabella7[[#This Row],[2019]]</f>
        <v>0</v>
      </c>
      <c r="R66" s="1" t="n">
        <f aca="false">R43-D43-Tabella7[[#This Row],[2018]]</f>
        <v>1</v>
      </c>
      <c r="S66" s="1" t="n">
        <f aca="false">S43-E43-Tabella7[[#This Row],[2017]]</f>
        <v>0</v>
      </c>
      <c r="T66" s="1" t="n">
        <f aca="false">T43-F43-Tabella7[[#This Row],[2016]]</f>
        <v>2</v>
      </c>
      <c r="U66" s="1" t="n">
        <f aca="false">U43-G43-Tabella7[[#This Row],[2015]]</f>
        <v>0</v>
      </c>
      <c r="V66" s="1" t="n">
        <f aca="false">V43-H43-Tabella7[[#This Row],[2014]]</f>
        <v>0</v>
      </c>
      <c r="W66" s="1" t="n">
        <f aca="false">W43-I43-Tabella7[[#This Row],[2013]]</f>
        <v>0</v>
      </c>
      <c r="X66" s="1" t="n">
        <f aca="false">X43-J43-Tabella7[[#This Row],[2012]]</f>
        <v>0</v>
      </c>
      <c r="Y66" s="1" t="n">
        <f aca="false">Y43-K43-Tabella7[[#This Row],[2011]]</f>
        <v>0</v>
      </c>
      <c r="Z66" s="1" t="n">
        <f aca="false">Z43-L43-Tabella7[[#This Row],[2010]]</f>
        <v>0</v>
      </c>
      <c r="AA66" s="1" t="n">
        <f aca="false">AA43-M43-Tabella7[[#This Row],[2009]]</f>
        <v>0</v>
      </c>
    </row>
    <row r="67" customFormat="false" ht="15" hidden="false" customHeight="false" outlineLevel="0" collapsed="false">
      <c r="B67" s="1" t="s">
        <v>21</v>
      </c>
      <c r="C67" s="1" t="n">
        <v>1100</v>
      </c>
      <c r="D67" s="1" t="n">
        <v>952</v>
      </c>
      <c r="E67" s="1" t="n">
        <v>896</v>
      </c>
      <c r="F67" s="1" t="n">
        <v>797</v>
      </c>
      <c r="G67" s="1" t="n">
        <v>883</v>
      </c>
      <c r="H67" s="1" t="n">
        <v>728</v>
      </c>
      <c r="I67" s="1" t="n">
        <v>744</v>
      </c>
      <c r="J67" s="1" t="n">
        <v>773</v>
      </c>
      <c r="K67" s="1" t="n">
        <v>746</v>
      </c>
      <c r="L67" s="1" t="n">
        <v>731</v>
      </c>
      <c r="M67" s="1" t="n">
        <v>707</v>
      </c>
      <c r="P67" s="1" t="s">
        <v>21</v>
      </c>
      <c r="Q67" s="1" t="n">
        <f aca="false">Q44-C44-Tabella7[[#This Row],[2019]]</f>
        <v>87</v>
      </c>
      <c r="R67" s="1" t="n">
        <f aca="false">R44-D44-Tabella7[[#This Row],[2018]]</f>
        <v>83</v>
      </c>
      <c r="S67" s="1" t="n">
        <f aca="false">S44-E44-Tabella7[[#This Row],[2017]]</f>
        <v>71</v>
      </c>
      <c r="T67" s="1" t="n">
        <f aca="false">T44-F44-Tabella7[[#This Row],[2016]]</f>
        <v>72</v>
      </c>
      <c r="U67" s="1" t="n">
        <f aca="false">U44-G44-Tabella7[[#This Row],[2015]]</f>
        <v>85</v>
      </c>
      <c r="V67" s="1" t="n">
        <f aca="false">V44-H44-Tabella7[[#This Row],[2014]]</f>
        <v>64</v>
      </c>
      <c r="W67" s="1" t="n">
        <f aca="false">W44-I44-Tabella7[[#This Row],[2013]]</f>
        <v>75</v>
      </c>
      <c r="X67" s="1" t="n">
        <f aca="false">X44-J44-Tabella7[[#This Row],[2012]]</f>
        <v>68</v>
      </c>
      <c r="Y67" s="1" t="n">
        <f aca="false">Y44-K44-Tabella7[[#This Row],[2011]]</f>
        <v>82</v>
      </c>
      <c r="Z67" s="1" t="n">
        <f aca="false">Z44-L44-Tabella7[[#This Row],[2010]]</f>
        <v>74</v>
      </c>
      <c r="AA67" s="1" t="n">
        <f aca="false">AA44-M44-Tabella7[[#This Row],[2009]]</f>
        <v>65</v>
      </c>
    </row>
    <row r="68" customFormat="false" ht="15" hidden="false" customHeight="false" outlineLevel="0" collapsed="false">
      <c r="B68" s="1" t="s">
        <v>23</v>
      </c>
      <c r="C68" s="1" t="n">
        <v>68</v>
      </c>
      <c r="D68" s="1" t="n">
        <v>75</v>
      </c>
      <c r="E68" s="1" t="n">
        <v>70</v>
      </c>
      <c r="F68" s="1" t="n">
        <v>56</v>
      </c>
      <c r="G68" s="1" t="n">
        <v>68</v>
      </c>
      <c r="H68" s="1" t="n">
        <v>55</v>
      </c>
      <c r="I68" s="1" t="n">
        <v>49</v>
      </c>
      <c r="J68" s="1" t="n">
        <v>60</v>
      </c>
      <c r="K68" s="1" t="n">
        <v>50</v>
      </c>
      <c r="L68" s="1" t="n">
        <v>57</v>
      </c>
      <c r="M68" s="1" t="n">
        <v>42</v>
      </c>
      <c r="P68" s="1" t="s">
        <v>23</v>
      </c>
      <c r="Q68" s="1" t="n">
        <f aca="false">Q45-C45-Tabella7[[#This Row],[2019]]</f>
        <v>231</v>
      </c>
      <c r="R68" s="1" t="n">
        <f aca="false">R45-D45-Tabella7[[#This Row],[2018]]</f>
        <v>268</v>
      </c>
      <c r="S68" s="1" t="n">
        <f aca="false">S45-E45-Tabella7[[#This Row],[2017]]</f>
        <v>311</v>
      </c>
      <c r="T68" s="1" t="n">
        <f aca="false">T45-F45-Tabella7[[#This Row],[2016]]</f>
        <v>292</v>
      </c>
      <c r="U68" s="1" t="n">
        <f aca="false">U45-G45-Tabella7[[#This Row],[2015]]</f>
        <v>293</v>
      </c>
      <c r="V68" s="1" t="n">
        <f aca="false">V45-H45-Tabella7[[#This Row],[2014]]</f>
        <v>260</v>
      </c>
      <c r="W68" s="1" t="n">
        <f aca="false">W45-I45-Tabella7[[#This Row],[2013]]</f>
        <v>244</v>
      </c>
      <c r="X68" s="1" t="n">
        <f aca="false">X45-J45-Tabella7[[#This Row],[2012]]</f>
        <v>213</v>
      </c>
      <c r="Y68" s="1" t="n">
        <f aca="false">Y45-K45-Tabella7[[#This Row],[2011]]</f>
        <v>172</v>
      </c>
      <c r="Z68" s="1" t="n">
        <f aca="false">Z45-L45-Tabella7[[#This Row],[2010]]</f>
        <v>135</v>
      </c>
      <c r="AA68" s="1" t="n">
        <f aca="false">AA45-M45-Tabella7[[#This Row],[2009]]</f>
        <v>147</v>
      </c>
    </row>
    <row r="70" customFormat="false" ht="15" hidden="false" customHeight="false" outlineLevel="0" collapsed="false">
      <c r="A70" s="5" t="s">
        <v>33</v>
      </c>
      <c r="B70" s="5"/>
      <c r="C70" s="5"/>
      <c r="D70" s="5"/>
      <c r="E70" s="5"/>
    </row>
    <row r="71" customFormat="false" ht="15" hidden="false" customHeight="false" outlineLevel="0" collapsed="false">
      <c r="A71" s="1" t="s">
        <v>2</v>
      </c>
      <c r="B71" s="1" t="s">
        <v>34</v>
      </c>
      <c r="C71" s="1" t="s">
        <v>35</v>
      </c>
      <c r="D71" s="1" t="s">
        <v>36</v>
      </c>
      <c r="E71" s="1" t="s">
        <v>37</v>
      </c>
    </row>
    <row r="72" customFormat="false" ht="15" hidden="false" customHeight="false" outlineLevel="0" collapsed="false">
      <c r="A72" s="1" t="s">
        <v>16</v>
      </c>
      <c r="B72" s="1" t="n">
        <v>1</v>
      </c>
      <c r="C72" s="1" t="n">
        <v>64123</v>
      </c>
      <c r="D72" s="3" t="n">
        <v>0.946</v>
      </c>
      <c r="E72" s="3" t="n">
        <f aca="false">1-Tabella6[[#This Row],[P(successo)]]</f>
        <v>0.0539999999999999</v>
      </c>
    </row>
    <row r="73" customFormat="false" ht="15" hidden="false" customHeight="false" outlineLevel="0" collapsed="false">
      <c r="B73" s="1" t="n">
        <v>3</v>
      </c>
      <c r="C73" s="1" t="n">
        <v>56240</v>
      </c>
      <c r="D73" s="3" t="n">
        <v>0.878</v>
      </c>
      <c r="E73" s="3" t="n">
        <f aca="false">1-Tabella6[[#This Row],[P(successo)]]</f>
        <v>0.122</v>
      </c>
    </row>
    <row r="74" customFormat="false" ht="15" hidden="false" customHeight="false" outlineLevel="0" collapsed="false">
      <c r="B74" s="1" t="n">
        <v>5</v>
      </c>
      <c r="C74" s="1" t="n">
        <v>47638</v>
      </c>
      <c r="D74" s="3" t="n">
        <v>0.78675</v>
      </c>
      <c r="E74" s="3" t="n">
        <f aca="false">1-Tabella6[[#This Row],[P(successo)]]</f>
        <v>0.21325</v>
      </c>
    </row>
    <row r="75" customFormat="false" ht="15" hidden="false" customHeight="false" outlineLevel="0" collapsed="false">
      <c r="A75" s="1" t="s">
        <v>24</v>
      </c>
      <c r="B75" s="1" t="n">
        <v>1</v>
      </c>
      <c r="C75" s="1" t="n">
        <v>28779</v>
      </c>
      <c r="D75" s="3" t="n">
        <v>0.946</v>
      </c>
      <c r="E75" s="3" t="n">
        <f aca="false">1-Tabella6[[#This Row],[P(successo)]]</f>
        <v>0.0540000000000001</v>
      </c>
    </row>
    <row r="76" customFormat="false" ht="15" hidden="false" customHeight="false" outlineLevel="0" collapsed="false">
      <c r="B76" s="1" t="n">
        <v>3</v>
      </c>
      <c r="C76" s="1" t="n">
        <v>25312</v>
      </c>
      <c r="D76" s="3" t="n">
        <v>0.876</v>
      </c>
      <c r="E76" s="3" t="n">
        <f aca="false">1-Tabella6[[#This Row],[P(successo)]]</f>
        <v>0.124</v>
      </c>
    </row>
    <row r="77" customFormat="false" ht="15" hidden="false" customHeight="false" outlineLevel="0" collapsed="false">
      <c r="B77" s="1" t="n">
        <v>5</v>
      </c>
      <c r="C77" s="1" t="n">
        <v>21429</v>
      </c>
      <c r="D77" s="3" t="n">
        <v>0.785</v>
      </c>
      <c r="E77" s="3" t="n">
        <f aca="false">1-Tabella6[[#This Row],[P(successo)]]</f>
        <v>0.215</v>
      </c>
    </row>
    <row r="78" customFormat="false" ht="15" hidden="false" customHeight="false" outlineLevel="0" collapsed="false">
      <c r="A78" s="1" t="s">
        <v>25</v>
      </c>
      <c r="B78" s="1" t="n">
        <v>1</v>
      </c>
      <c r="C78" s="1" t="n">
        <v>23687</v>
      </c>
      <c r="D78" s="3" t="n">
        <v>0.947</v>
      </c>
      <c r="E78" s="3" t="n">
        <f aca="false">1-Tabella6[[#This Row],[P(successo)]]</f>
        <v>0.0529999999999999</v>
      </c>
    </row>
    <row r="79" customFormat="false" ht="15" hidden="false" customHeight="false" outlineLevel="0" collapsed="false">
      <c r="B79" s="1" t="n">
        <v>3</v>
      </c>
      <c r="C79" s="1" t="n">
        <v>20747</v>
      </c>
      <c r="D79" s="3" t="n">
        <v>0.878</v>
      </c>
      <c r="E79" s="3" t="n">
        <f aca="false">1-Tabella6[[#This Row],[P(successo)]]</f>
        <v>0.122</v>
      </c>
    </row>
    <row r="80" customFormat="false" ht="15" hidden="false" customHeight="false" outlineLevel="0" collapsed="false">
      <c r="B80" s="1" t="n">
        <v>5</v>
      </c>
      <c r="C80" s="1" t="n">
        <v>17602</v>
      </c>
      <c r="D80" s="3" t="n">
        <v>0.785</v>
      </c>
      <c r="E80" s="3" t="n">
        <f aca="false">1-Tabella6[[#This Row],[P(successo)]]</f>
        <v>0.215</v>
      </c>
    </row>
    <row r="81" customFormat="false" ht="15" hidden="false" customHeight="false" outlineLevel="0" collapsed="false">
      <c r="A81" s="1" t="s">
        <v>26</v>
      </c>
      <c r="B81" s="1" t="n">
        <v>1</v>
      </c>
      <c r="C81" s="1" t="n">
        <v>8436</v>
      </c>
      <c r="D81" s="3" t="n">
        <v>0.944</v>
      </c>
      <c r="E81" s="3" t="n">
        <f aca="false">1-Tabella6[[#This Row],[P(successo)]]</f>
        <v>0.0559999999999999</v>
      </c>
    </row>
    <row r="82" customFormat="false" ht="15" hidden="false" customHeight="false" outlineLevel="0" collapsed="false">
      <c r="B82" s="1" t="n">
        <v>3</v>
      </c>
      <c r="C82" s="1" t="n">
        <v>7380</v>
      </c>
      <c r="D82" s="3" t="n">
        <v>0.876</v>
      </c>
      <c r="E82" s="3" t="n">
        <f aca="false">1-Tabella6[[#This Row],[P(successo)]]</f>
        <v>0.124</v>
      </c>
    </row>
    <row r="83" customFormat="false" ht="15" hidden="false" customHeight="false" outlineLevel="0" collapsed="false">
      <c r="B83" s="1" t="n">
        <v>5</v>
      </c>
      <c r="C83" s="1" t="n">
        <v>6279</v>
      </c>
      <c r="D83" s="3" t="n">
        <v>0.776</v>
      </c>
      <c r="E83" s="3" t="n">
        <f aca="false">1-Tabella6[[#This Row],[P(successo)]]</f>
        <v>0.224</v>
      </c>
    </row>
    <row r="84" customFormat="false" ht="15" hidden="false" customHeight="false" outlineLevel="0" collapsed="false">
      <c r="A84" s="1" t="s">
        <v>27</v>
      </c>
      <c r="B84" s="1" t="n">
        <v>1</v>
      </c>
      <c r="C84" s="1" t="n">
        <v>3221</v>
      </c>
      <c r="D84" s="3" t="n">
        <v>0.947</v>
      </c>
      <c r="E84" s="3" t="n">
        <f aca="false">1-Tabella6[[#This Row],[P(successo)]]</f>
        <v>0.0529999999999999</v>
      </c>
    </row>
    <row r="85" customFormat="false" ht="15" hidden="false" customHeight="false" outlineLevel="0" collapsed="false">
      <c r="B85" s="1" t="n">
        <v>3</v>
      </c>
      <c r="C85" s="1" t="n">
        <v>2801</v>
      </c>
      <c r="D85" s="3" t="n">
        <v>0.882</v>
      </c>
      <c r="E85" s="3" t="n">
        <f aca="false">1-Tabella6[[#This Row],[P(successo)]]</f>
        <v>0.118</v>
      </c>
    </row>
    <row r="86" customFormat="false" ht="15" hidden="false" customHeight="false" outlineLevel="0" collapsed="false">
      <c r="B86" s="1" t="n">
        <v>5</v>
      </c>
      <c r="C86" s="1" t="n">
        <v>2328</v>
      </c>
      <c r="D86" s="3" t="n">
        <v>0.801</v>
      </c>
      <c r="E86" s="3" t="n">
        <f aca="false">1-Tabella6[[#This Row],[P(successo)]]</f>
        <v>0.199</v>
      </c>
    </row>
  </sheetData>
  <mergeCells count="7">
    <mergeCell ref="A1:M1"/>
    <mergeCell ref="O1:AA1"/>
    <mergeCell ref="A24:M24"/>
    <mergeCell ref="O24:AA24"/>
    <mergeCell ref="A47:M47"/>
    <mergeCell ref="O47:AA47"/>
    <mergeCell ref="A70:E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2.14"/>
    <col collapsed="false" customWidth="true" hidden="false" outlineLevel="0" max="3" min="3" style="0" width="19.85"/>
    <col collapsed="false" customWidth="true" hidden="false" outlineLevel="0" max="4" min="4" style="0" width="21.43"/>
    <col collapsed="false" customWidth="true" hidden="false" outlineLevel="0" max="5" min="5" style="0" width="21.86"/>
    <col collapsed="false" customWidth="true" hidden="false" outlineLevel="0" max="6" min="6" style="0" width="20.86"/>
  </cols>
  <sheetData>
    <row r="1" customFormat="false" ht="15" hidden="false" customHeight="false" outlineLevel="0" collapsed="false">
      <c r="A1" s="6" t="s">
        <v>38</v>
      </c>
      <c r="B1" s="6" t="s">
        <v>3</v>
      </c>
      <c r="C1" s="6" t="s">
        <v>39</v>
      </c>
      <c r="D1" s="6" t="s">
        <v>40</v>
      </c>
      <c r="E1" s="6" t="s">
        <v>41</v>
      </c>
      <c r="F1" s="6" t="s">
        <v>42</v>
      </c>
    </row>
    <row r="2" customFormat="false" ht="15" hidden="false" customHeight="false" outlineLevel="0" collapsed="false">
      <c r="A2" s="7" t="s">
        <v>24</v>
      </c>
      <c r="B2" s="1" t="s">
        <v>19</v>
      </c>
      <c r="C2" s="3" t="n">
        <f aca="false">AVERAGE(Dati_OPTN!C8:H8)</f>
        <v>19</v>
      </c>
      <c r="D2" s="3" t="n">
        <f aca="false">Tabella3[[#This Row],[p/anno (2014-2019)]]/365</f>
        <v>0.052054794520548</v>
      </c>
      <c r="E2" s="3" t="n">
        <f aca="false">AVERAGE(Dati_OPTN!I8:M8)</f>
        <v>16</v>
      </c>
      <c r="F2" s="3" t="n">
        <f aca="false">Tabella3[[#This Row],[p/anno (2009-2013)]]/365</f>
        <v>0.0438356164383562</v>
      </c>
    </row>
    <row r="3" customFormat="false" ht="15" hidden="false" customHeight="false" outlineLevel="0" collapsed="false">
      <c r="A3" s="7"/>
      <c r="B3" s="1" t="s">
        <v>21</v>
      </c>
      <c r="C3" s="3" t="n">
        <f aca="false">AVERAGE(Dati_OPTN!C9:H9)</f>
        <v>13753.3333333333</v>
      </c>
      <c r="D3" s="3" t="n">
        <f aca="false">Tabella3[[#This Row],[p/anno (2014-2019)]]/365</f>
        <v>37.6803652968037</v>
      </c>
      <c r="E3" s="3" t="n">
        <f aca="false">AVERAGE(Dati_OPTN!I9:M9)</f>
        <v>11798</v>
      </c>
      <c r="F3" s="3" t="n">
        <f aca="false">Tabella3[[#This Row],[p/anno (2009-2013)]]/365</f>
        <v>32.3232876712329</v>
      </c>
    </row>
    <row r="4" customFormat="false" ht="15" hidden="false" customHeight="false" outlineLevel="0" collapsed="false">
      <c r="A4" s="7"/>
      <c r="B4" s="1" t="s">
        <v>23</v>
      </c>
      <c r="C4" s="3" t="n">
        <f aca="false">AVERAGE(Dati_OPTN!C10:H10)</f>
        <v>4465</v>
      </c>
      <c r="D4" s="3" t="n">
        <f aca="false">Tabella3[[#This Row],[p/anno (2014-2019)]]/365</f>
        <v>12.2328767123288</v>
      </c>
      <c r="E4" s="3" t="n">
        <f aca="false">AVERAGE(Dati_OPTN!I10:M10)</f>
        <v>5149.8</v>
      </c>
      <c r="F4" s="3" t="n">
        <f aca="false">Tabella3[[#This Row],[p/anno (2009-2013)]]/365</f>
        <v>14.1090410958904</v>
      </c>
    </row>
    <row r="5" customFormat="false" ht="15" hidden="false" customHeight="false" outlineLevel="0" collapsed="false">
      <c r="A5" s="7" t="s">
        <v>25</v>
      </c>
      <c r="B5" s="1" t="s">
        <v>19</v>
      </c>
      <c r="C5" s="3" t="n">
        <f aca="false">AVERAGE(Dati_OPTN!C12:H12)</f>
        <v>10.6666666666667</v>
      </c>
      <c r="D5" s="3" t="n">
        <f aca="false">Tabella3[[#This Row],[p/anno (2014-2019)]]/365</f>
        <v>0.0292237442922374</v>
      </c>
      <c r="E5" s="3" t="n">
        <f aca="false">AVERAGE(Dati_OPTN!I12:M12)</f>
        <v>8.6</v>
      </c>
      <c r="F5" s="3" t="n">
        <f aca="false">Tabella3[[#This Row],[p/anno (2009-2013)]]/365</f>
        <v>0.0235616438356164</v>
      </c>
    </row>
    <row r="6" customFormat="false" ht="15" hidden="false" customHeight="false" outlineLevel="0" collapsed="false">
      <c r="A6" s="7"/>
      <c r="B6" s="1" t="s">
        <v>21</v>
      </c>
      <c r="C6" s="3" t="n">
        <f aca="false">AVERAGE(Dati_OPTN!C13:H13)</f>
        <v>9003.16666666667</v>
      </c>
      <c r="D6" s="3" t="n">
        <f aca="false">Tabella3[[#This Row],[p/anno (2014-2019)]]/365</f>
        <v>24.6662100456621</v>
      </c>
      <c r="E6" s="3" t="n">
        <f aca="false">AVERAGE(Dati_OPTN!I13:M13)</f>
        <v>8030.6</v>
      </c>
      <c r="F6" s="3" t="n">
        <f aca="false">Tabella3[[#This Row],[p/anno (2009-2013)]]/365</f>
        <v>22.0016438356164</v>
      </c>
    </row>
    <row r="7" customFormat="false" ht="15" hidden="false" customHeight="false" outlineLevel="0" collapsed="false">
      <c r="A7" s="7"/>
      <c r="B7" s="1" t="s">
        <v>23</v>
      </c>
      <c r="C7" s="3" t="n">
        <f aca="false">AVERAGE(Dati_OPTN!C14:H14)</f>
        <v>3154.33333333333</v>
      </c>
      <c r="D7" s="3" t="n">
        <f aca="false">Tabella3[[#This Row],[p/anno (2014-2019)]]/365</f>
        <v>8.64200913242009</v>
      </c>
      <c r="E7" s="3" t="n">
        <f aca="false">AVERAGE(Dati_OPTN!I14:M14)</f>
        <v>3504</v>
      </c>
      <c r="F7" s="3" t="n">
        <f aca="false">Tabella3[[#This Row],[p/anno (2009-2013)]]/365</f>
        <v>9.6</v>
      </c>
    </row>
    <row r="8" customFormat="false" ht="15" hidden="false" customHeight="false" outlineLevel="0" collapsed="false">
      <c r="A8" s="7" t="s">
        <v>26</v>
      </c>
      <c r="B8" s="1" t="s">
        <v>19</v>
      </c>
      <c r="C8" s="3" t="n">
        <f aca="false">AVERAGE(Dati_OPTN!C16:H16)</f>
        <v>6</v>
      </c>
      <c r="D8" s="3" t="n">
        <f aca="false">Tabella3[[#This Row],[p/anno (2014-2019)]]/365</f>
        <v>0.0164383561643836</v>
      </c>
      <c r="E8" s="3" t="n">
        <f aca="false">AVERAGE(Dati_OPTN!I16:M16)</f>
        <v>5.4</v>
      </c>
      <c r="F8" s="3" t="n">
        <f aca="false">Tabella3[[#This Row],[p/anno (2009-2013)]]/365</f>
        <v>0.0147945205479452</v>
      </c>
    </row>
    <row r="9" customFormat="false" ht="15" hidden="false" customHeight="false" outlineLevel="0" collapsed="false">
      <c r="A9" s="7"/>
      <c r="B9" s="1" t="s">
        <v>21</v>
      </c>
      <c r="C9" s="3" t="n">
        <f aca="false">AVERAGE(Dati_OPTN!C17:H17)</f>
        <v>4198</v>
      </c>
      <c r="D9" s="3" t="n">
        <f aca="false">Tabella3[[#This Row],[p/anno (2014-2019)]]/365</f>
        <v>11.5013698630137</v>
      </c>
      <c r="E9" s="3" t="n">
        <f aca="false">AVERAGE(Dati_OPTN!I17:M17)</f>
        <v>3542</v>
      </c>
      <c r="F9" s="3" t="n">
        <f aca="false">Tabella3[[#This Row],[p/anno (2009-2013)]]/365</f>
        <v>9.7041095890411</v>
      </c>
    </row>
    <row r="10" customFormat="false" ht="15" hidden="false" customHeight="false" outlineLevel="0" collapsed="false">
      <c r="A10" s="7"/>
      <c r="B10" s="1" t="s">
        <v>23</v>
      </c>
      <c r="C10" s="3" t="n">
        <f aca="false">AVERAGE(Dati_OPTN!C18:H18)</f>
        <v>1359.5</v>
      </c>
      <c r="D10" s="3" t="n">
        <f aca="false">Tabella3[[#This Row],[p/anno (2014-2019)]]/365</f>
        <v>3.72465753424658</v>
      </c>
      <c r="E10" s="3" t="n">
        <f aca="false">AVERAGE(Dati_OPTN!I18:M18)</f>
        <v>1582.4</v>
      </c>
      <c r="F10" s="3" t="n">
        <f aca="false">Tabella3[[#This Row],[p/anno (2009-2013)]]/365</f>
        <v>4.33534246575343</v>
      </c>
    </row>
    <row r="11" customFormat="false" ht="15" hidden="false" customHeight="false" outlineLevel="0" collapsed="false">
      <c r="A11" s="7" t="s">
        <v>27</v>
      </c>
      <c r="B11" s="1" t="s">
        <v>19</v>
      </c>
      <c r="C11" s="3" t="n">
        <f aca="false">AVERAGE(Dati_OPTN!C20:H20)</f>
        <v>1.66666666666667</v>
      </c>
      <c r="D11" s="3" t="n">
        <f aca="false">Tabella3[[#This Row],[p/anno (2014-2019)]]/365</f>
        <v>0.0045662100456621</v>
      </c>
      <c r="E11" s="3" t="n">
        <f aca="false">AVERAGE(Dati_OPTN!I20:M20)</f>
        <v>1</v>
      </c>
      <c r="F11" s="3" t="n">
        <f aca="false">Tabella3[[#This Row],[p/anno (2009-2013)]]/365</f>
        <v>0.00273972602739726</v>
      </c>
    </row>
    <row r="12" customFormat="false" ht="15" hidden="false" customHeight="false" outlineLevel="0" collapsed="false">
      <c r="A12" s="7"/>
      <c r="B12" s="1" t="s">
        <v>21</v>
      </c>
      <c r="C12" s="3" t="n">
        <f aca="false">AVERAGE(Dati_OPTN!C21:H21)</f>
        <v>1051.16666666667</v>
      </c>
      <c r="D12" s="3" t="n">
        <f aca="false">Tabella3[[#This Row],[p/anno (2014-2019)]]/365</f>
        <v>2.87990867579909</v>
      </c>
      <c r="E12" s="3" t="n">
        <f aca="false">AVERAGE(Dati_OPTN!I21:M21)</f>
        <v>913</v>
      </c>
      <c r="F12" s="3" t="n">
        <f aca="false">Tabella3[[#This Row],[p/anno (2009-2013)]]/365</f>
        <v>2.5013698630137</v>
      </c>
    </row>
    <row r="13" customFormat="false" ht="15" hidden="false" customHeight="false" outlineLevel="0" collapsed="false">
      <c r="A13" s="7"/>
      <c r="B13" s="1" t="s">
        <v>23</v>
      </c>
      <c r="C13" s="3" t="n">
        <f aca="false">AVERAGE(Dati_OPTN!C22:H22)</f>
        <v>372</v>
      </c>
      <c r="D13" s="3" t="n">
        <f aca="false">Tabella3[[#This Row],[p/anno (2014-2019)]]/365</f>
        <v>1.01917808219178</v>
      </c>
      <c r="E13" s="3" t="n">
        <f aca="false">AVERAGE(Dati_OPTN!I22:M22)</f>
        <v>429.6</v>
      </c>
      <c r="F13" s="3" t="n">
        <f aca="false">Tabella3[[#This Row],[p/anno (2009-2013)]]/365</f>
        <v>1.17698630136986</v>
      </c>
    </row>
    <row r="15" customFormat="false" ht="15" hidden="false" customHeight="false" outlineLevel="0" collapsed="false">
      <c r="A15" s="6" t="s">
        <v>43</v>
      </c>
      <c r="B15" s="6" t="s">
        <v>44</v>
      </c>
      <c r="C15" s="6" t="s">
        <v>45</v>
      </c>
      <c r="D15" s="6" t="s">
        <v>46</v>
      </c>
      <c r="E15" s="6" t="s">
        <v>47</v>
      </c>
      <c r="F15" s="6" t="s">
        <v>48</v>
      </c>
    </row>
    <row r="16" customFormat="false" ht="15" hidden="false" customHeight="false" outlineLevel="0" collapsed="false">
      <c r="A16" s="0" t="s">
        <v>24</v>
      </c>
      <c r="B16" s="0" t="s">
        <v>18</v>
      </c>
      <c r="C16" s="3" t="n">
        <f aca="false">AVERAGE(Dati_OPTN!Q6:V6)</f>
        <v>8180.33333333333</v>
      </c>
      <c r="D16" s="3" t="n">
        <f aca="false">C16/365</f>
        <v>22.4118721461187</v>
      </c>
      <c r="E16" s="3" t="n">
        <f aca="false">AVERAGE(Dati_OPTN!W6:AA6)</f>
        <v>7320.6</v>
      </c>
      <c r="F16" s="3" t="n">
        <f aca="false">E16/365</f>
        <v>20.0564383561644</v>
      </c>
    </row>
    <row r="17" customFormat="false" ht="15" hidden="false" customHeight="false" outlineLevel="0" collapsed="false">
      <c r="B17" s="0" t="s">
        <v>20</v>
      </c>
      <c r="C17" s="3" t="n">
        <f aca="false">AVERAGE(Dati_OPTN!Q7:V7)</f>
        <v>4419</v>
      </c>
      <c r="D17" s="3" t="n">
        <f aca="false">C17/365</f>
        <v>12.1068493150685</v>
      </c>
      <c r="E17" s="3" t="n">
        <f aca="false">AVERAGE(Dati_OPTN!W7:AA7)</f>
        <v>3510</v>
      </c>
      <c r="F17" s="3" t="n">
        <f aca="false">E17/365</f>
        <v>9.61643835616438</v>
      </c>
    </row>
    <row r="18" customFormat="false" ht="15" hidden="false" customHeight="false" outlineLevel="0" collapsed="false">
      <c r="B18" s="0" t="s">
        <v>22</v>
      </c>
      <c r="C18" s="3" t="n">
        <f aca="false">AVERAGE(Dati_OPTN!Q8:V8)</f>
        <v>3761.33333333333</v>
      </c>
      <c r="D18" s="3" t="n">
        <f aca="false">C18/365</f>
        <v>10.3050228310502</v>
      </c>
      <c r="E18" s="3" t="n">
        <f aca="false">AVERAGE(Dati_OPTN!W8:AA8)</f>
        <v>3810.6</v>
      </c>
      <c r="F18" s="3" t="n">
        <f aca="false">E18/365</f>
        <v>10.44</v>
      </c>
    </row>
    <row r="19" customFormat="false" ht="15" hidden="false" customHeight="false" outlineLevel="0" collapsed="false">
      <c r="A19" s="0" t="s">
        <v>25</v>
      </c>
      <c r="B19" s="0" t="s">
        <v>18</v>
      </c>
      <c r="C19" s="3" t="n">
        <f aca="false">AVERAGE(Dati_OPTN!Q9:V9)</f>
        <v>5087.5</v>
      </c>
      <c r="D19" s="3" t="n">
        <f aca="false">C19/365</f>
        <v>13.9383561643836</v>
      </c>
      <c r="E19" s="3" t="n">
        <f aca="false">AVERAGE(Dati_OPTN!W9:AA9)</f>
        <v>4323.8</v>
      </c>
      <c r="F19" s="3" t="n">
        <f aca="false">E19/365</f>
        <v>11.8460273972603</v>
      </c>
    </row>
    <row r="20" customFormat="false" ht="15" hidden="false" customHeight="false" outlineLevel="0" collapsed="false">
      <c r="B20" s="0" t="s">
        <v>20</v>
      </c>
      <c r="C20" s="3" t="n">
        <f aca="false">AVERAGE(Dati_OPTN!Q10:V10)</f>
        <v>3430.5</v>
      </c>
      <c r="D20" s="3" t="n">
        <f aca="false">C20/365</f>
        <v>9.3986301369863</v>
      </c>
      <c r="E20" s="3" t="n">
        <f aca="false">AVERAGE(Dati_OPTN!W10:AA10)</f>
        <v>2731.2</v>
      </c>
      <c r="F20" s="3" t="n">
        <f aca="false">E20/365</f>
        <v>7.4827397260274</v>
      </c>
    </row>
    <row r="21" customFormat="false" ht="15" hidden="false" customHeight="false" outlineLevel="0" collapsed="false">
      <c r="B21" s="0" t="s">
        <v>22</v>
      </c>
      <c r="C21" s="3" t="n">
        <f aca="false">AVERAGE(Dati_OPTN!Q11:V11)</f>
        <v>1657</v>
      </c>
      <c r="D21" s="3" t="n">
        <f aca="false">C21/365</f>
        <v>4.53972602739726</v>
      </c>
      <c r="E21" s="3" t="n">
        <f aca="false">AVERAGE(Dati_OPTN!W11:AA11)</f>
        <v>1592.6</v>
      </c>
      <c r="F21" s="3" t="n">
        <f aca="false">E21/365</f>
        <v>4.36328767123288</v>
      </c>
    </row>
    <row r="22" customFormat="false" ht="15" hidden="false" customHeight="false" outlineLevel="0" collapsed="false">
      <c r="A22" s="0" t="s">
        <v>26</v>
      </c>
      <c r="B22" s="0" t="s">
        <v>18</v>
      </c>
      <c r="C22" s="3" t="n">
        <f aca="false">AVERAGE(Dati_OPTN!Q12:V12)</f>
        <v>1578.33333333333</v>
      </c>
      <c r="D22" s="3" t="n">
        <f aca="false">C22/365</f>
        <v>4.32420091324201</v>
      </c>
      <c r="E22" s="3" t="n">
        <f aca="false">AVERAGE(Dati_OPTN!W12:AA12)</f>
        <v>1377.6</v>
      </c>
      <c r="F22" s="3" t="n">
        <f aca="false">E22/365</f>
        <v>3.77424657534247</v>
      </c>
    </row>
    <row r="23" customFormat="false" ht="15" hidden="false" customHeight="false" outlineLevel="0" collapsed="false">
      <c r="B23" s="0" t="s">
        <v>20</v>
      </c>
      <c r="C23" s="3" t="n">
        <f aca="false">AVERAGE(Dati_OPTN!Q13:V13)</f>
        <v>1090.5</v>
      </c>
      <c r="D23" s="3" t="n">
        <f aca="false">C23/365</f>
        <v>2.98767123287671</v>
      </c>
      <c r="E23" s="3" t="n">
        <f aca="false">AVERAGE(Dati_OPTN!W13:AA13)</f>
        <v>888.8</v>
      </c>
      <c r="F23" s="3" t="n">
        <f aca="false">E23/365</f>
        <v>2.43506849315068</v>
      </c>
    </row>
    <row r="24" customFormat="false" ht="15" hidden="false" customHeight="false" outlineLevel="0" collapsed="false">
      <c r="B24" s="0" t="s">
        <v>22</v>
      </c>
      <c r="C24" s="3" t="n">
        <f aca="false">AVERAGE(Dati_OPTN!Q14:V14)</f>
        <v>487.833333333333</v>
      </c>
      <c r="D24" s="3" t="n">
        <f aca="false">C24/365</f>
        <v>1.3365296803653</v>
      </c>
      <c r="E24" s="3" t="n">
        <f aca="false">AVERAGE(Dati_OPTN!W14:AA14)</f>
        <v>488.8</v>
      </c>
      <c r="F24" s="3" t="n">
        <f aca="false">E24/365</f>
        <v>1.33917808219178</v>
      </c>
    </row>
    <row r="25" customFormat="false" ht="15" hidden="false" customHeight="false" outlineLevel="0" collapsed="false">
      <c r="A25" s="0" t="s">
        <v>27</v>
      </c>
      <c r="B25" s="0" t="s">
        <v>18</v>
      </c>
      <c r="C25" s="3" t="n">
        <f aca="false">AVERAGE(Dati_OPTN!Q15:V15)</f>
        <v>398</v>
      </c>
      <c r="D25" s="3" t="n">
        <f aca="false">C25/365</f>
        <v>1.09041095890411</v>
      </c>
      <c r="E25" s="3" t="n">
        <f aca="false">AVERAGE(Dati_OPTN!W15:AA15)</f>
        <v>314.8</v>
      </c>
      <c r="F25" s="3" t="n">
        <f aca="false">E25/365</f>
        <v>0.862465753424658</v>
      </c>
    </row>
    <row r="26" customFormat="false" ht="15" hidden="false" customHeight="false" outlineLevel="0" collapsed="false">
      <c r="B26" s="0" t="s">
        <v>20</v>
      </c>
      <c r="C26" s="3" t="n">
        <f aca="false">AVERAGE(Dati_OPTN!Q16:V16)</f>
        <v>318.166666666667</v>
      </c>
      <c r="D26" s="3" t="n">
        <f aca="false">C26/365</f>
        <v>0.871689497716895</v>
      </c>
      <c r="E26" s="3" t="n">
        <f aca="false">AVERAGE(Dati_OPTN!W16:AA16)</f>
        <v>248.4</v>
      </c>
      <c r="F26" s="3" t="n">
        <f aca="false">E26/365</f>
        <v>0.680547945205479</v>
      </c>
    </row>
    <row r="27" customFormat="false" ht="15" hidden="false" customHeight="false" outlineLevel="0" collapsed="false">
      <c r="B27" s="0" t="s">
        <v>22</v>
      </c>
      <c r="C27" s="3" t="n">
        <f aca="false">AVERAGE(Dati_OPTN!Q17:V17)</f>
        <v>79.8333333333333</v>
      </c>
      <c r="D27" s="3" t="n">
        <f aca="false">C27/365</f>
        <v>0.218721461187215</v>
      </c>
      <c r="E27" s="3" t="n">
        <f aca="false">AVERAGE(Dati_OPTN!W17:AA17)</f>
        <v>66.4</v>
      </c>
      <c r="F27" s="3" t="n">
        <f aca="false">E27/365</f>
        <v>0.181917808219178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1.42"/>
    <col collapsed="false" customWidth="true" hidden="false" outlineLevel="0" max="4" min="3" style="1" width="21.43"/>
    <col collapsed="false" customWidth="true" hidden="false" outlineLevel="0" max="5" min="5" style="1" width="13.7"/>
    <col collapsed="false" customWidth="true" hidden="false" outlineLevel="0" max="6" min="6" style="1" width="14.01"/>
    <col collapsed="false" customWidth="true" hidden="false" outlineLevel="0" max="7" min="7" style="1" width="11.57"/>
    <col collapsed="false" customWidth="true" hidden="false" outlineLevel="0" max="8" min="8" style="1" width="11.42"/>
    <col collapsed="false" customWidth="true" hidden="false" outlineLevel="0" max="9" min="9" style="1" width="21.43"/>
    <col collapsed="false" customWidth="true" hidden="false" outlineLevel="0" max="10" min="10" style="1" width="21.57"/>
    <col collapsed="false" customWidth="true" hidden="false" outlineLevel="0" max="11" min="11" style="1" width="11.86"/>
    <col collapsed="false" customWidth="false" hidden="false" outlineLevel="0" max="13" min="12" style="1" width="9.14"/>
    <col collapsed="false" customWidth="true" hidden="false" outlineLevel="0" max="14" min="14" style="1" width="11.71"/>
    <col collapsed="false" customWidth="false" hidden="false" outlineLevel="0" max="1024" min="15" style="1" width="9.14"/>
  </cols>
  <sheetData>
    <row r="1" customFormat="false" ht="15" hidden="false" customHeight="false" outlineLevel="0" collapsed="false">
      <c r="A1" s="8" t="s">
        <v>28</v>
      </c>
      <c r="B1" s="8"/>
      <c r="C1" s="8"/>
      <c r="D1" s="8"/>
      <c r="E1" s="8"/>
      <c r="G1" s="8" t="s">
        <v>32</v>
      </c>
      <c r="H1" s="8"/>
      <c r="I1" s="8"/>
      <c r="J1" s="8"/>
      <c r="K1" s="8"/>
    </row>
    <row r="2" customFormat="false" ht="15" hidden="false" customHeight="false" outlineLevel="0" collapsed="false">
      <c r="A2" s="9" t="s">
        <v>2</v>
      </c>
      <c r="B2" s="9" t="s">
        <v>3</v>
      </c>
      <c r="C2" s="9" t="s">
        <v>49</v>
      </c>
      <c r="D2" s="9" t="s">
        <v>50</v>
      </c>
      <c r="E2" s="9" t="s">
        <v>51</v>
      </c>
      <c r="G2" s="9" t="s">
        <v>2</v>
      </c>
      <c r="H2" s="9" t="s">
        <v>3</v>
      </c>
      <c r="I2" s="9" t="s">
        <v>52</v>
      </c>
      <c r="J2" s="9" t="s">
        <v>53</v>
      </c>
      <c r="K2" s="9" t="s">
        <v>51</v>
      </c>
    </row>
    <row r="3" customFormat="false" ht="15" hidden="false" customHeight="false" outlineLevel="0" collapsed="false">
      <c r="A3" s="6" t="s">
        <v>16</v>
      </c>
      <c r="B3" s="6" t="s">
        <v>17</v>
      </c>
      <c r="C3" s="10" t="n">
        <f aca="false">AVERAGE(Dati_OPTN!C26:H26)</f>
        <v>4418.5</v>
      </c>
      <c r="D3" s="10" t="n">
        <f aca="false">Tabella5[[#This Row],[d/anno (2014-2019)]]/365</f>
        <v>12.1054794520548</v>
      </c>
      <c r="E3" s="10" t="n">
        <f aca="false">C3/$C$3</f>
        <v>1</v>
      </c>
      <c r="G3" s="6" t="s">
        <v>16</v>
      </c>
      <c r="H3" s="6" t="s">
        <v>17</v>
      </c>
      <c r="I3" s="10" t="n">
        <f aca="false">AVERAGE(Dati_OPTN!Q49:V49)</f>
        <v>11046.5</v>
      </c>
      <c r="J3" s="10" t="n">
        <f aca="false">Tabella511[[#This Row],[r/anno (2014-2019)]]/365</f>
        <v>30.2643835616438</v>
      </c>
      <c r="K3" s="10" t="n">
        <f aca="false">Tabella511[[#This Row],[r/anno (2014-2019)]]/$I$3</f>
        <v>1</v>
      </c>
    </row>
    <row r="4" customFormat="false" ht="15" hidden="false" customHeight="false" outlineLevel="0" collapsed="false">
      <c r="A4" s="6"/>
      <c r="B4" s="6" t="s">
        <v>19</v>
      </c>
      <c r="C4" s="10" t="n">
        <f aca="false">AVERAGE(Dati_OPTN!C27:H27)</f>
        <v>1.33333333333333</v>
      </c>
      <c r="D4" s="10" t="n">
        <f aca="false">Tabella5[[#This Row],[d/anno (2014-2019)]]/365</f>
        <v>0.00365296803652968</v>
      </c>
      <c r="E4" s="10" t="n">
        <f aca="false">C4/$C$3</f>
        <v>0.000301761532948587</v>
      </c>
      <c r="G4" s="6"/>
      <c r="H4" s="6" t="s">
        <v>19</v>
      </c>
      <c r="I4" s="10" t="n">
        <f aca="false">AVERAGE(Dati_OPTN!Q50:V50)</f>
        <v>3.33333333333333</v>
      </c>
      <c r="J4" s="10" t="n">
        <f aca="false">Tabella511[[#This Row],[r/anno (2014-2019)]]/365</f>
        <v>0.0091324200913242</v>
      </c>
      <c r="K4" s="10" t="n">
        <f aca="false">Tabella511[[#This Row],[r/anno (2014-2019)]]/$I$3</f>
        <v>0.000301754703601442</v>
      </c>
    </row>
    <row r="5" customFormat="false" ht="15" hidden="false" customHeight="false" outlineLevel="0" collapsed="false">
      <c r="A5" s="6"/>
      <c r="B5" s="6" t="s">
        <v>21</v>
      </c>
      <c r="C5" s="10" t="n">
        <f aca="false">AVERAGE(Dati_OPTN!C28:H28)</f>
        <v>1681</v>
      </c>
      <c r="D5" s="10" t="n">
        <f aca="false">Tabella5[[#This Row],[d/anno (2014-2019)]]/365</f>
        <v>4.60547945205479</v>
      </c>
      <c r="E5" s="10" t="n">
        <f aca="false">C5/$C$3</f>
        <v>0.380445852664932</v>
      </c>
      <c r="G5" s="6"/>
      <c r="H5" s="6" t="s">
        <v>21</v>
      </c>
      <c r="I5" s="10" t="n">
        <f aca="false">AVERAGE(Dati_OPTN!Q51:V51)</f>
        <v>2905.83333333333</v>
      </c>
      <c r="J5" s="10" t="n">
        <f aca="false">Tabella511[[#This Row],[r/anno (2014-2019)]]/365</f>
        <v>7.96118721461187</v>
      </c>
      <c r="K5" s="10" t="n">
        <f aca="false">Tabella511[[#This Row],[r/anno (2014-2019)]]/$I$3</f>
        <v>0.263054662864557</v>
      </c>
    </row>
    <row r="6" customFormat="false" ht="15" hidden="false" customHeight="false" outlineLevel="0" collapsed="false">
      <c r="A6" s="6"/>
      <c r="B6" s="6" t="s">
        <v>23</v>
      </c>
      <c r="C6" s="10" t="n">
        <f aca="false">AVERAGE(Dati_OPTN!C29:H29)</f>
        <v>2813.5</v>
      </c>
      <c r="D6" s="10" t="n">
        <f aca="false">Tabella5[[#This Row],[d/anno (2014-2019)]]/365</f>
        <v>7.70821917808219</v>
      </c>
      <c r="E6" s="10" t="n">
        <f aca="false">C6/$C$3</f>
        <v>0.636754554713138</v>
      </c>
      <c r="G6" s="6"/>
      <c r="H6" s="6" t="s">
        <v>23</v>
      </c>
      <c r="I6" s="10" t="n">
        <f aca="false">AVERAGE(Dati_OPTN!Q52:V52)</f>
        <v>9278.66666666667</v>
      </c>
      <c r="J6" s="10" t="n">
        <f aca="false">Tabella511[[#This Row],[r/anno (2014-2019)]]/365</f>
        <v>25.42100456621</v>
      </c>
      <c r="K6" s="10" t="n">
        <f aca="false">Tabella511[[#This Row],[r/anno (2014-2019)]]/$I$3</f>
        <v>0.839964392944975</v>
      </c>
    </row>
    <row r="7" customFormat="false" ht="15" hidden="false" customHeight="false" outlineLevel="0" collapsed="false">
      <c r="A7" s="6" t="s">
        <v>24</v>
      </c>
      <c r="B7" s="6" t="s">
        <v>17</v>
      </c>
      <c r="C7" s="10" t="n">
        <f aca="false">AVERAGE(Dati_OPTN!C30:H30)</f>
        <v>2313.5</v>
      </c>
      <c r="D7" s="10" t="n">
        <f aca="false">Tabella5[[#This Row],[d/anno (2014-2019)]]/365</f>
        <v>6.33835616438356</v>
      </c>
      <c r="E7" s="10" t="n">
        <f aca="false">C7/$C$3</f>
        <v>0.523593979857418</v>
      </c>
      <c r="G7" s="6" t="s">
        <v>24</v>
      </c>
      <c r="H7" s="6" t="s">
        <v>17</v>
      </c>
      <c r="I7" s="10" t="n">
        <f aca="false">AVERAGE(Dati_OPTN!Q53:V53)</f>
        <v>5731.83333333333</v>
      </c>
      <c r="J7" s="10" t="n">
        <f aca="false">Tabella511[[#This Row],[r/anno (2014-2019)]]/365</f>
        <v>15.7036529680365</v>
      </c>
      <c r="K7" s="10" t="n">
        <f aca="false">Tabella511[[#This Row],[r/anno (2014-2019)]]/$I$3</f>
        <v>0.51888230057786</v>
      </c>
    </row>
    <row r="8" customFormat="false" ht="15" hidden="false" customHeight="false" outlineLevel="0" collapsed="false">
      <c r="A8" s="6"/>
      <c r="B8" s="6" t="s">
        <v>19</v>
      </c>
      <c r="C8" s="10" t="n">
        <f aca="false">AVERAGE(Dati_OPTN!C31:H31)</f>
        <v>1</v>
      </c>
      <c r="D8" s="10" t="n">
        <f aca="false">Tabella5[[#This Row],[d/anno (2014-2019)]]/365</f>
        <v>0.00273972602739726</v>
      </c>
      <c r="E8" s="10" t="n">
        <f aca="false">C8/$C$3</f>
        <v>0.000226321149711441</v>
      </c>
      <c r="G8" s="6"/>
      <c r="H8" s="6" t="s">
        <v>19</v>
      </c>
      <c r="I8" s="10" t="n">
        <f aca="false">AVERAGE(Dati_OPTN!Q54:V54)</f>
        <v>2.33333333333333</v>
      </c>
      <c r="J8" s="10" t="n">
        <f aca="false">Tabella511[[#This Row],[r/anno (2014-2019)]]/365</f>
        <v>0.00639269406392694</v>
      </c>
      <c r="K8" s="10" t="n">
        <f aca="false">Tabella511[[#This Row],[r/anno (2014-2019)]]/$I$3</f>
        <v>0.00021122829252101</v>
      </c>
    </row>
    <row r="9" customFormat="false" ht="15" hidden="false" customHeight="false" outlineLevel="0" collapsed="false">
      <c r="A9" s="6"/>
      <c r="B9" s="6" t="s">
        <v>21</v>
      </c>
      <c r="C9" s="10" t="n">
        <f aca="false">AVERAGE(Dati_OPTN!C32:H32)</f>
        <v>913.833333333333</v>
      </c>
      <c r="D9" s="10" t="n">
        <f aca="false">Tabella5[[#This Row],[d/anno (2014-2019)]]/365</f>
        <v>2.50365296803653</v>
      </c>
      <c r="E9" s="10" t="n">
        <f aca="false">C9/$C$3</f>
        <v>0.206819810644638</v>
      </c>
      <c r="G9" s="6"/>
      <c r="H9" s="6" t="s">
        <v>21</v>
      </c>
      <c r="I9" s="10" t="n">
        <f aca="false">AVERAGE(Dati_OPTN!Q55:V55)</f>
        <v>1521.5</v>
      </c>
      <c r="J9" s="10" t="n">
        <f aca="false">Tabella511[[#This Row],[r/anno (2014-2019)]]/365</f>
        <v>4.16849315068493</v>
      </c>
      <c r="K9" s="10" t="n">
        <f aca="false">Tabella511[[#This Row],[r/anno (2014-2019)]]/$I$3</f>
        <v>0.137735934458878</v>
      </c>
    </row>
    <row r="10" customFormat="false" ht="15" hidden="false" customHeight="false" outlineLevel="0" collapsed="false">
      <c r="A10" s="6"/>
      <c r="B10" s="6" t="s">
        <v>23</v>
      </c>
      <c r="C10" s="10" t="n">
        <f aca="false">AVERAGE(Dati_OPTN!C33:H33)</f>
        <v>1440.66666666667</v>
      </c>
      <c r="D10" s="10" t="n">
        <f aca="false">Tabella5[[#This Row],[d/anno (2014-2019)]]/365</f>
        <v>3.94703196347032</v>
      </c>
      <c r="E10" s="10" t="n">
        <f aca="false">C10/$C$3</f>
        <v>0.326053336350949</v>
      </c>
      <c r="G10" s="6"/>
      <c r="H10" s="6" t="s">
        <v>23</v>
      </c>
      <c r="I10" s="10" t="n">
        <f aca="false">AVERAGE(Dati_OPTN!Q56:V56)</f>
        <v>4760.83333333333</v>
      </c>
      <c r="J10" s="10" t="n">
        <f aca="false">Tabella511[[#This Row],[r/anno (2014-2019)]]/365</f>
        <v>13.0433789954338</v>
      </c>
      <c r="K10" s="10" t="n">
        <f aca="false">Tabella511[[#This Row],[r/anno (2014-2019)]]/$I$3</f>
        <v>0.43098115541876</v>
      </c>
    </row>
    <row r="11" customFormat="false" ht="15" hidden="false" customHeight="false" outlineLevel="0" collapsed="false">
      <c r="A11" s="6" t="s">
        <v>25</v>
      </c>
      <c r="B11" s="6" t="s">
        <v>17</v>
      </c>
      <c r="C11" s="10" t="n">
        <f aca="false">AVERAGE(Dati_OPTN!C34:H34)</f>
        <v>1276.83333333333</v>
      </c>
      <c r="D11" s="10" t="n">
        <f aca="false">Tabella5[[#This Row],[d/anno (2014-2019)]]/365</f>
        <v>3.49817351598173</v>
      </c>
      <c r="E11" s="10" t="n">
        <f aca="false">C11/$C$3</f>
        <v>0.288974387989891</v>
      </c>
      <c r="G11" s="6" t="s">
        <v>25</v>
      </c>
      <c r="H11" s="6" t="s">
        <v>17</v>
      </c>
      <c r="I11" s="10" t="n">
        <f aca="false">AVERAGE(Dati_OPTN!Q57:V57)</f>
        <v>3254.16666666667</v>
      </c>
      <c r="J11" s="10" t="n">
        <f aca="false">Tabella511[[#This Row],[r/anno (2014-2019)]]/365</f>
        <v>8.91552511415525</v>
      </c>
      <c r="K11" s="10" t="n">
        <f aca="false">Tabella511[[#This Row],[r/anno (2014-2019)]]/$I$3</f>
        <v>0.294588029390908</v>
      </c>
    </row>
    <row r="12" customFormat="false" ht="15" hidden="false" customHeight="false" outlineLevel="0" collapsed="false">
      <c r="A12" s="6"/>
      <c r="B12" s="6" t="s">
        <v>19</v>
      </c>
      <c r="C12" s="10" t="n">
        <f aca="false">AVERAGE(Dati_OPTN!C35:H35)</f>
        <v>0.333333333333333</v>
      </c>
      <c r="D12" s="10" t="n">
        <f aca="false">Tabella5[[#This Row],[d/anno (2014-2019)]]/365</f>
        <v>0.00091324200913242</v>
      </c>
      <c r="E12" s="10" t="n">
        <f aca="false">C12/$C$3</f>
        <v>7.54403832371468E-005</v>
      </c>
      <c r="G12" s="6"/>
      <c r="H12" s="6" t="s">
        <v>19</v>
      </c>
      <c r="I12" s="10" t="n">
        <f aca="false">AVERAGE(Dati_OPTN!Q58:V58)</f>
        <v>0.5</v>
      </c>
      <c r="J12" s="10" t="n">
        <f aca="false">Tabella511[[#This Row],[r/anno (2014-2019)]]/365</f>
        <v>0.00136986301369863</v>
      </c>
      <c r="K12" s="10" t="n">
        <f aca="false">Tabella511[[#This Row],[r/anno (2014-2019)]]/$I$3</f>
        <v>4.52632055402164E-005</v>
      </c>
    </row>
    <row r="13" customFormat="false" ht="15" hidden="false" customHeight="false" outlineLevel="0" collapsed="false">
      <c r="A13" s="6"/>
      <c r="B13" s="6" t="s">
        <v>21</v>
      </c>
      <c r="C13" s="10" t="n">
        <f aca="false">AVERAGE(Dati_OPTN!C36:H36)</f>
        <v>445.5</v>
      </c>
      <c r="D13" s="10" t="n">
        <f aca="false">Tabella5[[#This Row],[d/anno (2014-2019)]]/365</f>
        <v>1.22054794520548</v>
      </c>
      <c r="E13" s="10" t="n">
        <f aca="false">C13/$C$3</f>
        <v>0.100826072196447</v>
      </c>
      <c r="G13" s="6"/>
      <c r="H13" s="6" t="s">
        <v>21</v>
      </c>
      <c r="I13" s="10" t="n">
        <f aca="false">AVERAGE(Dati_OPTN!Q59:V59)</f>
        <v>853.333333333333</v>
      </c>
      <c r="J13" s="10" t="n">
        <f aca="false">Tabella511[[#This Row],[r/anno (2014-2019)]]/365</f>
        <v>2.337899543379</v>
      </c>
      <c r="K13" s="10" t="n">
        <f aca="false">Tabella511[[#This Row],[r/anno (2014-2019)]]/$I$3</f>
        <v>0.0772492041219693</v>
      </c>
    </row>
    <row r="14" customFormat="false" ht="15" hidden="false" customHeight="false" outlineLevel="0" collapsed="false">
      <c r="A14" s="6"/>
      <c r="B14" s="6" t="s">
        <v>23</v>
      </c>
      <c r="C14" s="10" t="n">
        <f aca="false">AVERAGE(Dati_OPTN!C37:H37)</f>
        <v>848.166666666667</v>
      </c>
      <c r="D14" s="10" t="n">
        <f aca="false">Tabella5[[#This Row],[d/anno (2014-2019)]]/365</f>
        <v>2.32374429223744</v>
      </c>
      <c r="E14" s="10" t="n">
        <f aca="false">C14/$C$3</f>
        <v>0.19195805514692</v>
      </c>
      <c r="G14" s="6"/>
      <c r="H14" s="6" t="s">
        <v>23</v>
      </c>
      <c r="I14" s="10" t="n">
        <f aca="false">AVERAGE(Dati_OPTN!Q60:V60)</f>
        <v>2782.5</v>
      </c>
      <c r="J14" s="10" t="n">
        <f aca="false">Tabella511[[#This Row],[r/anno (2014-2019)]]/365</f>
        <v>7.62328767123288</v>
      </c>
      <c r="K14" s="10" t="n">
        <f aca="false">Tabella511[[#This Row],[r/anno (2014-2019)]]/$I$3</f>
        <v>0.251889738831304</v>
      </c>
    </row>
    <row r="15" customFormat="false" ht="15" hidden="false" customHeight="false" outlineLevel="0" collapsed="false">
      <c r="A15" s="6" t="s">
        <v>26</v>
      </c>
      <c r="B15" s="6" t="s">
        <v>17</v>
      </c>
      <c r="C15" s="10" t="n">
        <f aca="false">AVERAGE(Dati_OPTN!C38:H38)</f>
        <v>708.833333333333</v>
      </c>
      <c r="D15" s="10" t="n">
        <f aca="false">Tabella5[[#This Row],[d/anno (2014-2019)]]/365</f>
        <v>1.94200913242009</v>
      </c>
      <c r="E15" s="10" t="n">
        <f aca="false">C15/$C$3</f>
        <v>0.160423974953793</v>
      </c>
      <c r="G15" s="6" t="s">
        <v>26</v>
      </c>
      <c r="H15" s="6" t="s">
        <v>17</v>
      </c>
      <c r="I15" s="10" t="n">
        <f aca="false">AVERAGE(Dati_OPTN!Q61:V61)</f>
        <v>1750.83333333333</v>
      </c>
      <c r="J15" s="10" t="n">
        <f aca="false">Tabella511[[#This Row],[r/anno (2014-2019)]]/365</f>
        <v>4.79680365296804</v>
      </c>
      <c r="K15" s="10" t="n">
        <f aca="false">Tabella511[[#This Row],[r/anno (2014-2019)]]/$I$3</f>
        <v>0.158496658066658</v>
      </c>
    </row>
    <row r="16" customFormat="false" ht="15" hidden="false" customHeight="false" outlineLevel="0" collapsed="false">
      <c r="A16" s="6"/>
      <c r="B16" s="6" t="s">
        <v>19</v>
      </c>
      <c r="C16" s="10" t="n">
        <f aca="false">AVERAGE(Dati_OPTN!C39:H39)</f>
        <v>0</v>
      </c>
      <c r="D16" s="10" t="n">
        <f aca="false">Tabella5[[#This Row],[d/anno (2014-2019)]]/365</f>
        <v>0</v>
      </c>
      <c r="E16" s="10" t="n">
        <f aca="false">C16/$C$3</f>
        <v>0</v>
      </c>
      <c r="G16" s="6"/>
      <c r="H16" s="6" t="s">
        <v>19</v>
      </c>
      <c r="I16" s="10" t="n">
        <f aca="false">AVERAGE(Dati_OPTN!Q62:V62)</f>
        <v>0</v>
      </c>
      <c r="J16" s="10" t="n">
        <f aca="false">Tabella511[[#This Row],[r/anno (2014-2019)]]/365</f>
        <v>0</v>
      </c>
      <c r="K16" s="10" t="n">
        <f aca="false">Tabella511[[#This Row],[r/anno (2014-2019)]]/$I$3</f>
        <v>0</v>
      </c>
    </row>
    <row r="17" customFormat="false" ht="15" hidden="false" customHeight="false" outlineLevel="0" collapsed="false">
      <c r="A17" s="6"/>
      <c r="B17" s="6" t="s">
        <v>21</v>
      </c>
      <c r="C17" s="10" t="n">
        <f aca="false">AVERAGE(Dati_OPTN!C40:H40)</f>
        <v>283.166666666667</v>
      </c>
      <c r="D17" s="10" t="n">
        <f aca="false">Tabella5[[#This Row],[d/anno (2014-2019)]]/365</f>
        <v>0.775799086757991</v>
      </c>
      <c r="E17" s="10" t="n">
        <f aca="false">C17/$C$3</f>
        <v>0.0640866055599563</v>
      </c>
      <c r="G17" s="6"/>
      <c r="H17" s="6" t="s">
        <v>21</v>
      </c>
      <c r="I17" s="10" t="n">
        <f aca="false">AVERAGE(Dati_OPTN!Q63:V63)</f>
        <v>454</v>
      </c>
      <c r="J17" s="10" t="n">
        <f aca="false">Tabella511[[#This Row],[r/anno (2014-2019)]]/365</f>
        <v>1.24383561643836</v>
      </c>
      <c r="K17" s="10" t="n">
        <f aca="false">Tabella511[[#This Row],[r/anno (2014-2019)]]/$I$3</f>
        <v>0.0410989906305165</v>
      </c>
    </row>
    <row r="18" customFormat="false" ht="15" hidden="false" customHeight="false" outlineLevel="0" collapsed="false">
      <c r="A18" s="6"/>
      <c r="B18" s="6" t="s">
        <v>23</v>
      </c>
      <c r="C18" s="10" t="n">
        <f aca="false">AVERAGE(Dati_OPTN!C41:H41)</f>
        <v>442.5</v>
      </c>
      <c r="D18" s="10" t="n">
        <f aca="false">Tabella5[[#This Row],[d/anno (2014-2019)]]/365</f>
        <v>1.21232876712329</v>
      </c>
      <c r="E18" s="10" t="n">
        <f aca="false">C18/$C$3</f>
        <v>0.100147108747312</v>
      </c>
      <c r="G18" s="6"/>
      <c r="H18" s="6" t="s">
        <v>23</v>
      </c>
      <c r="I18" s="10" t="n">
        <f aca="false">AVERAGE(Dati_OPTN!Q64:V64)</f>
        <v>1459.66666666667</v>
      </c>
      <c r="J18" s="10" t="n">
        <f aca="false">Tabella511[[#This Row],[r/anno (2014-2019)]]/365</f>
        <v>3.99908675799087</v>
      </c>
      <c r="K18" s="11" t="n">
        <f aca="false">Tabella511[[#This Row],[r/anno (2014-2019)]]/$I$3</f>
        <v>0.132138384707072</v>
      </c>
      <c r="L18" s="11"/>
      <c r="M18" s="11"/>
      <c r="N18" s="11"/>
      <c r="O18" s="11"/>
    </row>
    <row r="19" customFormat="false" ht="15" hidden="false" customHeight="false" outlineLevel="0" collapsed="false">
      <c r="A19" s="6" t="s">
        <v>27</v>
      </c>
      <c r="B19" s="6" t="s">
        <v>17</v>
      </c>
      <c r="C19" s="10" t="n">
        <f aca="false">AVERAGE(Dati_OPTN!C42:H42)</f>
        <v>119.333333333333</v>
      </c>
      <c r="D19" s="10" t="n">
        <f aca="false">Tabella5[[#This Row],[d/anno (2014-2019)]]/365</f>
        <v>0.326940639269406</v>
      </c>
      <c r="E19" s="10" t="n">
        <f aca="false">C19/$C$3</f>
        <v>0.0270076571988986</v>
      </c>
      <c r="G19" s="6" t="s">
        <v>27</v>
      </c>
      <c r="H19" s="6" t="s">
        <v>17</v>
      </c>
      <c r="I19" s="10" t="n">
        <f aca="false">AVERAGE(Dati_OPTN!Q65:V65)</f>
        <v>309.833333333333</v>
      </c>
      <c r="J19" s="10" t="n">
        <f aca="false">Tabella511[[#This Row],[r/anno (2014-2019)]]/365</f>
        <v>0.848858447488584</v>
      </c>
      <c r="K19" s="11" t="n">
        <f aca="false">Tabella511[[#This Row],[r/anno (2014-2019)]]/$I$3</f>
        <v>0.0280480996997541</v>
      </c>
      <c r="L19" s="11"/>
      <c r="M19" s="11"/>
      <c r="N19" s="11"/>
      <c r="O19" s="11"/>
    </row>
    <row r="20" customFormat="false" ht="15" hidden="false" customHeight="false" outlineLevel="0" collapsed="false">
      <c r="A20" s="6"/>
      <c r="B20" s="6" t="s">
        <v>19</v>
      </c>
      <c r="C20" s="10" t="n">
        <f aca="false">AVERAGE(Dati_OPTN!C43:H43)</f>
        <v>0</v>
      </c>
      <c r="D20" s="10" t="n">
        <f aca="false">Tabella5[[#This Row],[d/anno (2014-2019)]]/365</f>
        <v>0</v>
      </c>
      <c r="E20" s="10" t="n">
        <f aca="false">C20/$C$3</f>
        <v>0</v>
      </c>
      <c r="G20" s="6"/>
      <c r="H20" s="6" t="s">
        <v>19</v>
      </c>
      <c r="I20" s="10" t="n">
        <f aca="false">AVERAGE(Dati_OPTN!Q66:V66)</f>
        <v>0.5</v>
      </c>
      <c r="J20" s="10" t="n">
        <f aca="false">Tabella511[[#This Row],[r/anno (2014-2019)]]/365</f>
        <v>0.00136986301369863</v>
      </c>
      <c r="K20" s="11" t="n">
        <f aca="false">Tabella511[[#This Row],[r/anno (2014-2019)]]/$I$3</f>
        <v>4.52632055402164E-005</v>
      </c>
      <c r="L20" s="11"/>
      <c r="M20" s="11"/>
      <c r="N20" s="11"/>
      <c r="O20" s="11"/>
    </row>
    <row r="21" customFormat="false" ht="15" hidden="false" customHeight="false" outlineLevel="0" collapsed="false">
      <c r="A21" s="6"/>
      <c r="B21" s="6" t="s">
        <v>21</v>
      </c>
      <c r="C21" s="10" t="n">
        <f aca="false">AVERAGE(Dati_OPTN!C44:H44)</f>
        <v>38.5</v>
      </c>
      <c r="D21" s="10" t="n">
        <f aca="false">Tabella5[[#This Row],[d/anno (2014-2019)]]/365</f>
        <v>0.105479452054795</v>
      </c>
      <c r="E21" s="10" t="n">
        <f aca="false">C21/$C$3</f>
        <v>0.00871336426389046</v>
      </c>
      <c r="G21" s="6"/>
      <c r="H21" s="6" t="s">
        <v>21</v>
      </c>
      <c r="I21" s="10" t="n">
        <f aca="false">AVERAGE(Dati_OPTN!Q67:V67)</f>
        <v>77</v>
      </c>
      <c r="J21" s="10" t="n">
        <f aca="false">Tabella511[[#This Row],[r/anno (2014-2019)]]/365</f>
        <v>0.210958904109589</v>
      </c>
      <c r="K21" s="11" t="n">
        <f aca="false">Tabella511[[#This Row],[r/anno (2014-2019)]]/$I$3</f>
        <v>0.00697053365319332</v>
      </c>
      <c r="L21" s="11"/>
      <c r="M21" s="11"/>
      <c r="N21" s="11"/>
      <c r="O21" s="11"/>
    </row>
    <row r="22" customFormat="false" ht="15" hidden="false" customHeight="false" outlineLevel="0" collapsed="false">
      <c r="A22" s="6"/>
      <c r="B22" s="6" t="s">
        <v>23</v>
      </c>
      <c r="C22" s="10" t="n">
        <f aca="false">AVERAGE(Dati_OPTN!C45:H45)</f>
        <v>82.1666666666667</v>
      </c>
      <c r="D22" s="10" t="n">
        <f aca="false">Tabella5[[#This Row],[d/anno (2014-2019)]]/365</f>
        <v>0.225114155251142</v>
      </c>
      <c r="E22" s="10" t="n">
        <f aca="false">C22/$C$3</f>
        <v>0.0185960544679567</v>
      </c>
      <c r="G22" s="6"/>
      <c r="H22" s="6" t="s">
        <v>23</v>
      </c>
      <c r="I22" s="10" t="n">
        <f aca="false">AVERAGE(Dati_OPTN!Q68:V68)</f>
        <v>275.833333333333</v>
      </c>
      <c r="J22" s="10" t="n">
        <f aca="false">Tabella511[[#This Row],[r/anno (2014-2019)]]/365</f>
        <v>0.755707762557078</v>
      </c>
      <c r="K22" s="11" t="n">
        <f aca="false">Tabella511[[#This Row],[r/anno (2014-2019)]]/$I$3</f>
        <v>0.0249702017230194</v>
      </c>
      <c r="L22" s="11"/>
      <c r="M22" s="11"/>
      <c r="N22" s="11"/>
      <c r="O22" s="11"/>
    </row>
    <row r="23" customFormat="false" ht="15" hidden="false" customHeight="false" outlineLevel="0" collapsed="false">
      <c r="A23" s="6"/>
      <c r="B23" s="6"/>
      <c r="C23" s="10"/>
      <c r="D23" s="10"/>
      <c r="E23" s="10"/>
      <c r="F23" s="10"/>
      <c r="G23" s="10"/>
      <c r="I23" s="11"/>
      <c r="J23" s="11"/>
      <c r="K23" s="11"/>
      <c r="L23" s="11"/>
      <c r="M23" s="11"/>
      <c r="N23" s="11"/>
      <c r="O23" s="11"/>
      <c r="P23" s="11"/>
      <c r="Q23" s="11"/>
    </row>
    <row r="24" customFormat="false" ht="15" hidden="false" customHeight="false" outlineLevel="0" collapsed="false">
      <c r="A24" s="8" t="s">
        <v>54</v>
      </c>
      <c r="B24" s="8"/>
      <c r="C24" s="8"/>
      <c r="D24" s="8"/>
      <c r="E24" s="8"/>
    </row>
    <row r="25" customFormat="false" ht="15" hidden="false" customHeight="false" outlineLevel="0" collapsed="false">
      <c r="A25" s="9" t="s">
        <v>2</v>
      </c>
      <c r="B25" s="9" t="s">
        <v>3</v>
      </c>
      <c r="C25" s="9" t="s">
        <v>55</v>
      </c>
      <c r="D25" s="9" t="s">
        <v>56</v>
      </c>
      <c r="E25" s="9" t="s">
        <v>51</v>
      </c>
    </row>
    <row r="26" customFormat="false" ht="15" hidden="false" customHeight="false" outlineLevel="0" collapsed="false">
      <c r="A26" s="6" t="s">
        <v>16</v>
      </c>
      <c r="B26" s="6" t="s">
        <v>17</v>
      </c>
      <c r="C26" s="10" t="n">
        <f aca="false">AVERAGE(Dati_OPTN!C49:H49)</f>
        <v>19743.8333333333</v>
      </c>
      <c r="D26" s="10" t="n">
        <f aca="false">Tabella512[[#This Row],[t/anno (2014-2019)]]/365</f>
        <v>54.0926940639269</v>
      </c>
      <c r="E26" s="10" t="n">
        <f aca="false">Tabella512[[#This Row],[t/anno (2014-2019)]]/$C$26</f>
        <v>1</v>
      </c>
    </row>
    <row r="27" customFormat="false" ht="15" hidden="false" customHeight="false" outlineLevel="0" collapsed="false">
      <c r="A27" s="6"/>
      <c r="B27" s="6" t="s">
        <v>19</v>
      </c>
      <c r="C27" s="10" t="n">
        <f aca="false">AVERAGE(Dati_OPTN!C50:H50)</f>
        <v>16.5</v>
      </c>
      <c r="D27" s="10" t="n">
        <f aca="false">Tabella512[[#This Row],[t/anno (2014-2019)]]/365</f>
        <v>0.0452054794520548</v>
      </c>
      <c r="E27" s="10" t="n">
        <f aca="false">Tabella512[[#This Row],[t/anno (2014-2019)]]/$C$26</f>
        <v>0.000835703975080827</v>
      </c>
    </row>
    <row r="28" customFormat="false" ht="15" hidden="false" customHeight="false" outlineLevel="0" collapsed="false">
      <c r="A28" s="6"/>
      <c r="B28" s="6" t="s">
        <v>21</v>
      </c>
      <c r="C28" s="10" t="n">
        <f aca="false">AVERAGE(Dati_OPTN!C51:H51)</f>
        <v>18036.1666666667</v>
      </c>
      <c r="D28" s="10" t="n">
        <f aca="false">Tabella512[[#This Row],[t/anno (2014-2019)]]/365</f>
        <v>49.4141552511416</v>
      </c>
      <c r="E28" s="10" t="n">
        <f aca="false">Tabella512[[#This Row],[t/anno (2014-2019)]]/$C$26</f>
        <v>0.913508859306281</v>
      </c>
    </row>
    <row r="29" customFormat="false" ht="15" hidden="false" customHeight="false" outlineLevel="0" collapsed="false">
      <c r="A29" s="6"/>
      <c r="B29" s="6" t="s">
        <v>23</v>
      </c>
      <c r="C29" s="10" t="n">
        <f aca="false">AVERAGE(Dati_OPTN!C52:H52)</f>
        <v>1546</v>
      </c>
      <c r="D29" s="10" t="n">
        <f aca="false">Tabella512[[#This Row],[t/anno (2014-2019)]]/365</f>
        <v>4.23561643835616</v>
      </c>
      <c r="E29" s="10" t="n">
        <f aca="false">Tabella512[[#This Row],[t/anno (2014-2019)]]/$C$26</f>
        <v>0.0783029300287854</v>
      </c>
    </row>
    <row r="30" customFormat="false" ht="15" hidden="false" customHeight="false" outlineLevel="0" collapsed="false">
      <c r="A30" s="6" t="s">
        <v>24</v>
      </c>
      <c r="B30" s="6" t="s">
        <v>17</v>
      </c>
      <c r="C30" s="10" t="n">
        <f aca="false">AVERAGE(Dati_OPTN!C53:H53)</f>
        <v>8915.5</v>
      </c>
      <c r="D30" s="10" t="n">
        <f aca="false">Tabella512[[#This Row],[t/anno (2014-2019)]]/365</f>
        <v>24.4260273972603</v>
      </c>
      <c r="E30" s="10" t="n">
        <f aca="false">Tabella512[[#This Row],[t/anno (2014-2019)]]/$C$26</f>
        <v>0.45155871453534</v>
      </c>
    </row>
    <row r="31" customFormat="false" ht="15" hidden="false" customHeight="false" outlineLevel="0" collapsed="false">
      <c r="A31" s="6"/>
      <c r="B31" s="6" t="s">
        <v>19</v>
      </c>
      <c r="C31" s="10" t="n">
        <f aca="false">AVERAGE(Dati_OPTN!C54:H54)</f>
        <v>7.5</v>
      </c>
      <c r="D31" s="10" t="n">
        <f aca="false">Tabella512[[#This Row],[t/anno (2014-2019)]]/365</f>
        <v>0.0205479452054794</v>
      </c>
      <c r="E31" s="10" t="n">
        <f aca="false">Tabella512[[#This Row],[t/anno (2014-2019)]]/$C$26</f>
        <v>0.000379865443218558</v>
      </c>
    </row>
    <row r="32" customFormat="false" ht="15" hidden="false" customHeight="false" outlineLevel="0" collapsed="false">
      <c r="A32" s="6"/>
      <c r="B32" s="6" t="s">
        <v>21</v>
      </c>
      <c r="C32" s="10" t="n">
        <f aca="false">AVERAGE(Dati_OPTN!C55:H55)</f>
        <v>8187</v>
      </c>
      <c r="D32" s="10" t="n">
        <f aca="false">Tabella512[[#This Row],[t/anno (2014-2019)]]/365</f>
        <v>22.4301369863014</v>
      </c>
      <c r="E32" s="10" t="n">
        <f aca="false">Tabella512[[#This Row],[t/anno (2014-2019)]]/$C$26</f>
        <v>0.414661117817378</v>
      </c>
    </row>
    <row r="33" customFormat="false" ht="15" hidden="false" customHeight="false" outlineLevel="0" collapsed="false">
      <c r="A33" s="6"/>
      <c r="B33" s="6" t="s">
        <v>23</v>
      </c>
      <c r="C33" s="10" t="n">
        <f aca="false">AVERAGE(Dati_OPTN!C56:H56)</f>
        <v>657.166666666667</v>
      </c>
      <c r="D33" s="10" t="n">
        <f aca="false">Tabella512[[#This Row],[t/anno (2014-2019)]]/365</f>
        <v>1.80045662100457</v>
      </c>
      <c r="E33" s="10" t="n">
        <f aca="false">Tabella512[[#This Row],[t/anno (2014-2019)]]/$C$26</f>
        <v>0.0332846542802394</v>
      </c>
    </row>
    <row r="34" customFormat="false" ht="15" hidden="false" customHeight="false" outlineLevel="0" collapsed="false">
      <c r="A34" s="6" t="s">
        <v>25</v>
      </c>
      <c r="B34" s="6" t="s">
        <v>17</v>
      </c>
      <c r="C34" s="10" t="n">
        <f aca="false">AVERAGE(Dati_OPTN!C57:H57)</f>
        <v>7162.33333333333</v>
      </c>
      <c r="D34" s="10" t="n">
        <f aca="false">Tabella512[[#This Row],[t/anno (2014-2019)]]/365</f>
        <v>19.6228310502283</v>
      </c>
      <c r="E34" s="10" t="n">
        <f aca="false">Tabella512[[#This Row],[t/anno (2014-2019)]]/$C$26</f>
        <v>0.362763056819429</v>
      </c>
    </row>
    <row r="35" customFormat="false" ht="15" hidden="false" customHeight="false" outlineLevel="0" collapsed="false">
      <c r="A35" s="6"/>
      <c r="B35" s="6" t="s">
        <v>19</v>
      </c>
      <c r="C35" s="10" t="n">
        <f aca="false">AVERAGE(Dati_OPTN!C58:H58)</f>
        <v>4.33333333333333</v>
      </c>
      <c r="D35" s="10" t="n">
        <f aca="false">Tabella512[[#This Row],[t/anno (2014-2019)]]/365</f>
        <v>0.0118721461187215</v>
      </c>
      <c r="E35" s="10" t="n">
        <f aca="false">Tabella512[[#This Row],[t/anno (2014-2019)]]/$C$26</f>
        <v>0.000219477811637389</v>
      </c>
    </row>
    <row r="36" customFormat="false" ht="15" hidden="false" customHeight="false" outlineLevel="0" collapsed="false">
      <c r="A36" s="6"/>
      <c r="B36" s="6" t="s">
        <v>21</v>
      </c>
      <c r="C36" s="10" t="n">
        <f aca="false">AVERAGE(Dati_OPTN!C59:H59)</f>
        <v>6475</v>
      </c>
      <c r="D36" s="10" t="n">
        <f aca="false">Tabella512[[#This Row],[t/anno (2014-2019)]]/365</f>
        <v>17.7397260273973</v>
      </c>
      <c r="E36" s="10" t="n">
        <f aca="false">Tabella512[[#This Row],[t/anno (2014-2019)]]/$C$26</f>
        <v>0.327950499312021</v>
      </c>
    </row>
    <row r="37" customFormat="false" ht="15" hidden="false" customHeight="false" outlineLevel="0" collapsed="false">
      <c r="A37" s="6"/>
      <c r="B37" s="6" t="s">
        <v>23</v>
      </c>
      <c r="C37" s="10" t="n">
        <f aca="false">AVERAGE(Dati_OPTN!C60:H60)</f>
        <v>625.333333333333</v>
      </c>
      <c r="D37" s="10" t="n">
        <f aca="false">Tabella512[[#This Row],[t/anno (2014-2019)]]/365</f>
        <v>1.71324200913242</v>
      </c>
      <c r="E37" s="10" t="n">
        <f aca="false">Tabella512[[#This Row],[t/anno (2014-2019)]]/$C$26</f>
        <v>0.031672336510134</v>
      </c>
    </row>
    <row r="38" customFormat="false" ht="15" hidden="false" customHeight="false" outlineLevel="0" collapsed="false">
      <c r="A38" s="6" t="s">
        <v>26</v>
      </c>
      <c r="B38" s="6" t="s">
        <v>17</v>
      </c>
      <c r="C38" s="10" t="n">
        <f aca="false">AVERAGE(Dati_OPTN!C61:H61)</f>
        <v>2700.5</v>
      </c>
      <c r="D38" s="10" t="n">
        <f aca="false">Tabella512[[#This Row],[t/anno (2014-2019)]]/365</f>
        <v>7.3986301369863</v>
      </c>
      <c r="E38" s="10" t="n">
        <f aca="false">Tabella512[[#This Row],[t/anno (2014-2019)]]/$C$26</f>
        <v>0.136776883921562</v>
      </c>
    </row>
    <row r="39" customFormat="false" ht="15" hidden="false" customHeight="false" outlineLevel="0" collapsed="false">
      <c r="A39" s="6"/>
      <c r="B39" s="6" t="s">
        <v>19</v>
      </c>
      <c r="C39" s="10" t="n">
        <f aca="false">AVERAGE(Dati_OPTN!C62:H62)</f>
        <v>3.83333333333333</v>
      </c>
      <c r="D39" s="10" t="n">
        <f aca="false">Tabella512[[#This Row],[t/anno (2014-2019)]]/365</f>
        <v>0.0105022831050228</v>
      </c>
      <c r="E39" s="10" t="n">
        <f aca="false">Tabella512[[#This Row],[t/anno (2014-2019)]]/$C$26</f>
        <v>0.000194153448756152</v>
      </c>
    </row>
    <row r="40" customFormat="false" ht="15" hidden="false" customHeight="false" outlineLevel="0" collapsed="false">
      <c r="A40" s="6"/>
      <c r="B40" s="6" t="s">
        <v>21</v>
      </c>
      <c r="C40" s="10" t="n">
        <f aca="false">AVERAGE(Dati_OPTN!C63:H63)</f>
        <v>2481.5</v>
      </c>
      <c r="D40" s="10" t="n">
        <f aca="false">Tabella512[[#This Row],[t/anno (2014-2019)]]/365</f>
        <v>6.7986301369863</v>
      </c>
      <c r="E40" s="10" t="n">
        <f aca="false">Tabella512[[#This Row],[t/anno (2014-2019)]]/$C$26</f>
        <v>0.12568481297958</v>
      </c>
    </row>
    <row r="41" customFormat="false" ht="15" hidden="false" customHeight="false" outlineLevel="0" collapsed="false">
      <c r="A41" s="6"/>
      <c r="B41" s="6" t="s">
        <v>23</v>
      </c>
      <c r="C41" s="10" t="n">
        <f aca="false">AVERAGE(Dati_OPTN!C64:H64)</f>
        <v>198.166666666667</v>
      </c>
      <c r="D41" s="10" t="n">
        <f aca="false">Tabella512[[#This Row],[t/anno (2014-2019)]]/365</f>
        <v>0.542922374429224</v>
      </c>
      <c r="E41" s="10" t="n">
        <f aca="false">Tabella512[[#This Row],[t/anno (2014-2019)]]/$C$26</f>
        <v>0.0100368891552637</v>
      </c>
    </row>
    <row r="42" customFormat="false" ht="15" hidden="false" customHeight="false" outlineLevel="0" collapsed="false">
      <c r="A42" s="6" t="s">
        <v>27</v>
      </c>
      <c r="B42" s="6" t="s">
        <v>17</v>
      </c>
      <c r="C42" s="10" t="n">
        <f aca="false">AVERAGE(Dati_OPTN!C65:H65)</f>
        <v>965.5</v>
      </c>
      <c r="D42" s="10" t="n">
        <f aca="false">Tabella512[[#This Row],[t/anno (2014-2019)]]/365</f>
        <v>2.64520547945205</v>
      </c>
      <c r="E42" s="10" t="n">
        <f aca="false">Tabella512[[#This Row],[t/anno (2014-2019)]]/$C$26</f>
        <v>0.048901344723669</v>
      </c>
    </row>
    <row r="43" customFormat="false" ht="15" hidden="false" customHeight="false" outlineLevel="0" collapsed="false">
      <c r="A43" s="6"/>
      <c r="B43" s="6" t="s">
        <v>19</v>
      </c>
      <c r="C43" s="10" t="n">
        <f aca="false">AVERAGE(Dati_OPTN!C66:H66)</f>
        <v>0.833333333333333</v>
      </c>
      <c r="D43" s="10" t="n">
        <f aca="false">Tabella512[[#This Row],[t/anno (2014-2019)]]/365</f>
        <v>0.00228310502283105</v>
      </c>
      <c r="E43" s="10" t="n">
        <f aca="false">Tabella512[[#This Row],[t/anno (2014-2019)]]/$C$26</f>
        <v>4.22072714687286E-005</v>
      </c>
    </row>
    <row r="44" customFormat="false" ht="15" hidden="false" customHeight="false" outlineLevel="0" collapsed="false">
      <c r="A44" s="6"/>
      <c r="B44" s="6" t="s">
        <v>21</v>
      </c>
      <c r="C44" s="10" t="n">
        <f aca="false">AVERAGE(Dati_OPTN!C67:H67)</f>
        <v>892.666666666667</v>
      </c>
      <c r="D44" s="10" t="n">
        <f aca="false">Tabella512[[#This Row],[t/anno (2014-2019)]]/365</f>
        <v>2.44566210045662</v>
      </c>
      <c r="E44" s="10" t="n">
        <f aca="false">Tabella512[[#This Row],[t/anno (2014-2019)]]/$C$26</f>
        <v>0.0452124291973021</v>
      </c>
    </row>
    <row r="45" customFormat="false" ht="15" hidden="false" customHeight="false" outlineLevel="0" collapsed="false">
      <c r="A45" s="6"/>
      <c r="B45" s="6" t="s">
        <v>23</v>
      </c>
      <c r="C45" s="10" t="n">
        <f aca="false">AVERAGE(Dati_OPTN!C68:H68)</f>
        <v>65.3333333333333</v>
      </c>
      <c r="D45" s="10" t="n">
        <f aca="false">Tabella512[[#This Row],[t/anno (2014-2019)]]/365</f>
        <v>0.178995433789954</v>
      </c>
      <c r="E45" s="10" t="n">
        <f aca="false">Tabella512[[#This Row],[t/anno (2014-2019)]]/$C$26</f>
        <v>0.00330905008314832</v>
      </c>
    </row>
  </sheetData>
  <mergeCells count="3">
    <mergeCell ref="A1:E1"/>
    <mergeCell ref="G1:K1"/>
    <mergeCell ref="A24:E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10.71"/>
    <col collapsed="false" customWidth="true" hidden="false" outlineLevel="0" max="3" min="3" style="0" width="18"/>
    <col collapsed="false" customWidth="true" hidden="false" outlineLevel="0" max="4" min="4" style="0" width="17.58"/>
    <col collapsed="false" customWidth="true" hidden="false" outlineLevel="0" max="5" min="5" style="0" width="17.14"/>
    <col collapsed="false" customWidth="true" hidden="false" outlineLevel="0" max="6" min="6" style="0" width="20.29"/>
    <col collapsed="false" customWidth="true" hidden="false" outlineLevel="0" max="7" min="7" style="0" width="14.15"/>
    <col collapsed="false" customWidth="true" hidden="false" outlineLevel="0" max="8" min="8" style="0" width="11.57"/>
    <col collapsed="false" customWidth="true" hidden="false" outlineLevel="0" max="9" min="9" style="0" width="15.86"/>
    <col collapsed="false" customWidth="true" hidden="false" outlineLevel="0" max="10" min="10" style="0" width="8.57"/>
    <col collapsed="false" customWidth="true" hidden="false" outlineLevel="0" max="14" min="14" style="0" width="8.42"/>
    <col collapsed="false" customWidth="true" hidden="false" outlineLevel="0" max="15" min="15" style="0" width="9.58"/>
    <col collapsed="false" customWidth="true" hidden="false" outlineLevel="0" max="16" min="16" style="0" width="10.14"/>
  </cols>
  <sheetData>
    <row r="1" customFormat="false" ht="15.75" hidden="false" customHeight="false" outlineLevel="0" collapsed="false">
      <c r="A1" s="12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customFormat="false" ht="15.75" hidden="false" customHeight="false" outlineLevel="0" collapsed="false">
      <c r="A2" s="13" t="s">
        <v>58</v>
      </c>
      <c r="B2" s="13"/>
      <c r="C2" s="13"/>
      <c r="D2" s="13"/>
      <c r="E2" s="13"/>
      <c r="F2" s="13"/>
      <c r="G2" s="14" t="s">
        <v>59</v>
      </c>
      <c r="H2" s="14"/>
      <c r="I2" s="14"/>
      <c r="J2" s="15" t="s">
        <v>60</v>
      </c>
      <c r="K2" s="16" t="s">
        <v>61</v>
      </c>
      <c r="L2" s="16"/>
      <c r="M2" s="16" t="s">
        <v>62</v>
      </c>
      <c r="N2" s="16" t="s">
        <v>63</v>
      </c>
      <c r="O2" s="16" t="s">
        <v>64</v>
      </c>
      <c r="P2" s="16" t="s">
        <v>65</v>
      </c>
    </row>
    <row r="3" customFormat="false" ht="15.75" hidden="false" customHeight="false" outlineLevel="0" collapsed="false">
      <c r="A3" s="17" t="s">
        <v>2</v>
      </c>
      <c r="B3" s="18" t="s">
        <v>3</v>
      </c>
      <c r="C3" s="19" t="s">
        <v>66</v>
      </c>
      <c r="D3" s="19" t="s">
        <v>67</v>
      </c>
      <c r="E3" s="19" t="s">
        <v>68</v>
      </c>
      <c r="F3" s="19" t="s">
        <v>69</v>
      </c>
      <c r="G3" s="20" t="s">
        <v>2</v>
      </c>
      <c r="H3" s="21" t="s">
        <v>44</v>
      </c>
      <c r="I3" s="19" t="s">
        <v>70</v>
      </c>
      <c r="J3" s="22"/>
      <c r="K3" s="23" t="s">
        <v>71</v>
      </c>
      <c r="L3" s="24" t="s">
        <v>72</v>
      </c>
      <c r="M3" s="22"/>
      <c r="N3" s="22"/>
      <c r="O3" s="22"/>
      <c r="P3" s="22"/>
    </row>
    <row r="4" customFormat="false" ht="15" hidden="false" customHeight="false" outlineLevel="0" collapsed="false">
      <c r="A4" s="25" t="s">
        <v>24</v>
      </c>
      <c r="B4" s="26" t="s">
        <v>19</v>
      </c>
      <c r="C4" s="27" t="n">
        <f aca="false">Arrivi!D2</f>
        <v>0.052054794520548</v>
      </c>
      <c r="D4" s="27" t="n">
        <f aca="false">Uscite!D3</f>
        <v>12.1054794520548</v>
      </c>
      <c r="E4" s="27" t="n">
        <f aca="false">Uscite!J3</f>
        <v>30.2643835616438</v>
      </c>
      <c r="F4" s="27" t="n">
        <f aca="false">C4*(1-Uscite!E8-Uscite!K8)</f>
        <v>0.05203201797424</v>
      </c>
      <c r="G4" s="28" t="s">
        <v>24</v>
      </c>
      <c r="H4" s="29" t="s">
        <v>73</v>
      </c>
      <c r="I4" s="30" t="n">
        <f aca="false">Arrivi!D16</f>
        <v>22.4118721461187</v>
      </c>
      <c r="J4" s="31" t="n">
        <f aca="false">1/(I$4+SUM(F$4:F$6))</f>
        <v>0.0199467620013357</v>
      </c>
      <c r="K4" s="32" t="n">
        <f aca="false">F4*J4</f>
        <v>0.00103787027898139</v>
      </c>
      <c r="L4" s="32" t="n">
        <f aca="false">SUM(K$4:K$6)</f>
        <v>0.552955720297005</v>
      </c>
      <c r="M4" s="31" t="n">
        <f aca="false">IF(MOD(ROW(),3)=1,(L4*J4)/(1-K4),IF(MOD(ROW(),3)=2,(L4*J4)/((1-K4)*(1-K4-K5)), IF(MOD(ROW(),3)=0,(L4*J4)/((1-K4-K5)*(1-L4)))))</f>
        <v>0.0110411354163363</v>
      </c>
      <c r="N4" s="31" t="n">
        <f aca="false">M4+J4</f>
        <v>0.0309878974176721</v>
      </c>
      <c r="O4" s="31" t="n">
        <f aca="false">M4*F4</f>
        <v>0.00057449255643883</v>
      </c>
      <c r="P4" s="31" t="n">
        <f aca="false">N4*F4</f>
        <v>0.00161236283542022</v>
      </c>
      <c r="Q4" s="33" t="n">
        <f aca="false">(D4/E4)</f>
        <v>0.399990947358892</v>
      </c>
    </row>
    <row r="5" customFormat="false" ht="15" hidden="false" customHeight="false" outlineLevel="0" collapsed="false">
      <c r="A5" s="34"/>
      <c r="B5" s="26" t="s">
        <v>21</v>
      </c>
      <c r="C5" s="27" t="n">
        <f aca="false">Arrivi!D3</f>
        <v>37.6803652968037</v>
      </c>
      <c r="D5" s="27" t="n">
        <f aca="false">Uscite!D4</f>
        <v>0.00365296803652968</v>
      </c>
      <c r="E5" s="27" t="n">
        <f aca="false">Uscite!J4</f>
        <v>0.0091324200913242</v>
      </c>
      <c r="F5" s="27" t="n">
        <f aca="false">C5*(1-Uscite!E9-Uscite!K9)</f>
        <v>24.6973789561908</v>
      </c>
      <c r="G5" s="28"/>
      <c r="H5" s="29" t="s">
        <v>74</v>
      </c>
      <c r="I5" s="30" t="n">
        <f aca="false">Arrivi!D17</f>
        <v>12.1068493150685</v>
      </c>
      <c r="J5" s="31" t="n">
        <f aca="false">J4</f>
        <v>0.0199467620013357</v>
      </c>
      <c r="K5" s="32" t="n">
        <f aca="false">F5*J5</f>
        <v>0.492632740095935</v>
      </c>
      <c r="L5" s="32" t="n">
        <f aca="false">L4</f>
        <v>0.552955720297005</v>
      </c>
      <c r="M5" s="31" t="n">
        <f aca="false">IF(MOD(ROW(),3)=1,(L4*J4)/(1-K4),IF(MOD(ROW(),3)=2,(L4*J4)/((1-K4)*(1-K4-K5)), IF(MOD(ROW(),3)=0,(L4*J4)/((1-K4-K5)*(1-L4)))))</f>
        <v>0.0218062305735637</v>
      </c>
      <c r="N5" s="31" t="n">
        <f aca="false">M5+J5</f>
        <v>0.0417529925748994</v>
      </c>
      <c r="O5" s="31" t="n">
        <f aca="false">M5*F5</f>
        <v>0.538556740081376</v>
      </c>
      <c r="P5" s="31" t="n">
        <f aca="false">N5*F5</f>
        <v>1.03118948017731</v>
      </c>
      <c r="Q5" s="33" t="n">
        <f aca="false">(D5/E5)</f>
        <v>0.4</v>
      </c>
    </row>
    <row r="6" customFormat="false" ht="15" hidden="false" customHeight="false" outlineLevel="0" collapsed="false">
      <c r="A6" s="34"/>
      <c r="B6" s="26" t="s">
        <v>23</v>
      </c>
      <c r="C6" s="27" t="n">
        <f aca="false">Arrivi!D4</f>
        <v>12.2328767123288</v>
      </c>
      <c r="D6" s="27" t="n">
        <f aca="false">Uscite!D5</f>
        <v>4.60547945205479</v>
      </c>
      <c r="E6" s="27" t="n">
        <f aca="false">Uscite!J5</f>
        <v>7.96118721461187</v>
      </c>
      <c r="F6" s="27" t="n">
        <f aca="false">C6*(1-Uscite!E10-Uscite!K10)</f>
        <v>2.97216710752945</v>
      </c>
      <c r="G6" s="28"/>
      <c r="H6" s="29" t="s">
        <v>75</v>
      </c>
      <c r="I6" s="30" t="n">
        <f aca="false">Arrivi!D18</f>
        <v>10.3050228310502</v>
      </c>
      <c r="J6" s="31" t="n">
        <f aca="false">J5</f>
        <v>0.0199467620013357</v>
      </c>
      <c r="K6" s="32" t="n">
        <f aca="false">F6*J6</f>
        <v>0.0592851099220884</v>
      </c>
      <c r="L6" s="32" t="n">
        <f aca="false">L5</f>
        <v>0.552955720297005</v>
      </c>
      <c r="M6" s="31" t="n">
        <f aca="false">IF(MOD(ROW(),3)=1,(L4*J4)/(1-K4),IF(MOD(ROW(),3)=2,(L4*J4)/((1-K4)*(1-K4-K5)), IF(MOD(ROW(),3)=0,(L4*J4)/((1-K4-K5)*(1-L4)))))</f>
        <v>0.0487280556400973</v>
      </c>
      <c r="N6" s="31" t="n">
        <f aca="false">M6+J6</f>
        <v>0.068674817641433</v>
      </c>
      <c r="O6" s="31" t="n">
        <f aca="false">M6*F6</f>
        <v>0.144827924187362</v>
      </c>
      <c r="P6" s="31" t="n">
        <f aca="false">N6*F6</f>
        <v>0.204113034109451</v>
      </c>
      <c r="Q6" s="33" t="n">
        <f aca="false">(D6/E6)</f>
        <v>0.578491540005736</v>
      </c>
    </row>
    <row r="7" customFormat="false" ht="15" hidden="false" customHeight="false" outlineLevel="0" collapsed="false">
      <c r="A7" s="25" t="s">
        <v>25</v>
      </c>
      <c r="B7" s="26" t="s">
        <v>19</v>
      </c>
      <c r="C7" s="27" t="n">
        <f aca="false">Arrivi!D5</f>
        <v>0.0292237442922374</v>
      </c>
      <c r="D7" s="27" t="n">
        <f aca="false">Uscite!D6</f>
        <v>7.70821917808219</v>
      </c>
      <c r="E7" s="27" t="n">
        <f aca="false">Uscite!J6</f>
        <v>25.42100456621</v>
      </c>
      <c r="F7" s="27" t="n">
        <f aca="false">C7*(1-Uscite!E12-Uscite!K12)</f>
        <v>0.0292202168814239</v>
      </c>
      <c r="G7" s="28" t="s">
        <v>25</v>
      </c>
      <c r="H7" s="29" t="s">
        <v>73</v>
      </c>
      <c r="I7" s="30" t="n">
        <f aca="false">Arrivi!D19</f>
        <v>13.9383561643836</v>
      </c>
      <c r="J7" s="31" t="n">
        <f aca="false">1/(I$7+SUM(F7:F9))</f>
        <v>0.0256097576367623</v>
      </c>
      <c r="K7" s="32" t="n">
        <f aca="false">F7*J7</f>
        <v>0.000748322672426895</v>
      </c>
      <c r="L7" s="32" t="n">
        <f aca="false">SUM(K$7:K$9)</f>
        <v>0.643042076775265</v>
      </c>
      <c r="M7" s="31" t="n">
        <f aca="false">IF(MOD(ROW(),3)=1,(L7*J7)/(1-K7),IF(MOD(ROW(),3)=2,(L7*J7)/((1-K7)*(1-K7-K8)), IF(MOD(ROW(),3)=0,(L7*J7)/((1-K7-K8)*(1-L7)))))</f>
        <v>0.0164804844566263</v>
      </c>
      <c r="N7" s="31" t="n">
        <f aca="false">M7+J7</f>
        <v>0.0420902420933886</v>
      </c>
      <c r="O7" s="31" t="n">
        <f aca="false">M7*F7</f>
        <v>0.000481563330133555</v>
      </c>
      <c r="P7" s="31" t="n">
        <f aca="false">N7*F7</f>
        <v>0.00122988600256045</v>
      </c>
      <c r="Q7" s="33" t="n">
        <f aca="false">(D7/E7)</f>
        <v>0.3032224457537</v>
      </c>
    </row>
    <row r="8" customFormat="false" ht="15" hidden="false" customHeight="false" outlineLevel="0" collapsed="false">
      <c r="A8" s="34"/>
      <c r="B8" s="26" t="s">
        <v>21</v>
      </c>
      <c r="C8" s="27" t="n">
        <f aca="false">Arrivi!D6</f>
        <v>24.6662100456621</v>
      </c>
      <c r="D8" s="27" t="n">
        <f aca="false">Uscite!D7</f>
        <v>6.33835616438356</v>
      </c>
      <c r="E8" s="27" t="n">
        <f aca="false">Uscite!J7</f>
        <v>15.7036529680365</v>
      </c>
      <c r="F8" s="27" t="n">
        <f aca="false">C8*(1-Uscite!E13-Uscite!K13)</f>
        <v>20.2737678760527</v>
      </c>
      <c r="G8" s="28"/>
      <c r="H8" s="29" t="s">
        <v>74</v>
      </c>
      <c r="I8" s="30" t="n">
        <f aca="false">Arrivi!D20</f>
        <v>9.3986301369863</v>
      </c>
      <c r="J8" s="31" t="n">
        <f aca="false">J7</f>
        <v>0.0256097576367623</v>
      </c>
      <c r="K8" s="32" t="n">
        <f aca="false">F8*J8</f>
        <v>0.519206281689687</v>
      </c>
      <c r="L8" s="32" t="n">
        <f aca="false">L7</f>
        <v>0.643042076775265</v>
      </c>
      <c r="M8" s="31" t="n">
        <f aca="false">IF(MOD(ROW(),3)=1,(L7*J7)/(1-K7),IF(MOD(ROW(),3)=2,(L7*J7)/((1-K7)*(1-K7-K8)), IF(MOD(ROW(),3)=0,(L7*J7)/((1-K7-K8)*(1-L7)))))</f>
        <v>0.0343310957804875</v>
      </c>
      <c r="N8" s="31" t="n">
        <f aca="false">M8+J8</f>
        <v>0.0599408534172498</v>
      </c>
      <c r="O8" s="31" t="n">
        <f aca="false">M8*F8</f>
        <v>0.696020666784138</v>
      </c>
      <c r="P8" s="31" t="n">
        <f aca="false">N8*F8</f>
        <v>1.21522694847383</v>
      </c>
      <c r="Q8" s="33" t="n">
        <f aca="false">(D8/E8)</f>
        <v>0.403623040911867</v>
      </c>
    </row>
    <row r="9" customFormat="false" ht="15" hidden="false" customHeight="false" outlineLevel="0" collapsed="false">
      <c r="A9" s="34"/>
      <c r="B9" s="26" t="s">
        <v>23</v>
      </c>
      <c r="C9" s="27" t="n">
        <f aca="false">Arrivi!D7</f>
        <v>8.64200913242009</v>
      </c>
      <c r="D9" s="27" t="n">
        <f aca="false">Uscite!D8</f>
        <v>0.00273972602739726</v>
      </c>
      <c r="E9" s="27" t="n">
        <f aca="false">Uscite!J8</f>
        <v>0.00639269406392694</v>
      </c>
      <c r="F9" s="27" t="n">
        <f aca="false">C9*(1-Uscite!E14-Uscite!K14)</f>
        <v>4.80627244345577</v>
      </c>
      <c r="G9" s="28"/>
      <c r="H9" s="29" t="s">
        <v>75</v>
      </c>
      <c r="I9" s="30" t="n">
        <f aca="false">Arrivi!D21</f>
        <v>4.53972602739726</v>
      </c>
      <c r="J9" s="31" t="n">
        <f aca="false">J8</f>
        <v>0.0256097576367623</v>
      </c>
      <c r="K9" s="32" t="n">
        <f aca="false">F9*J9</f>
        <v>0.123087472413151</v>
      </c>
      <c r="L9" s="32" t="n">
        <f aca="false">L8</f>
        <v>0.643042076775265</v>
      </c>
      <c r="M9" s="31" t="n">
        <f aca="false">IF(MOD(ROW(),3)=1,(L7*J7)/(1-K7),IF(MOD(ROW(),3)=2,(L7*J7)/((1-K7)*(1-K7-K8)), IF(MOD(ROW(),3)=0,(L7*J7)/((1-K7-K8)*(1-L7)))))</f>
        <v>0.0961048986761044</v>
      </c>
      <c r="N9" s="31" t="n">
        <f aca="false">M9+J9</f>
        <v>0.121714656312867</v>
      </c>
      <c r="O9" s="31" t="n">
        <f aca="false">M9*F9</f>
        <v>0.461906326188069</v>
      </c>
      <c r="P9" s="31" t="n">
        <f aca="false">N9*F9</f>
        <v>0.584993798601221</v>
      </c>
      <c r="Q9" s="33" t="n">
        <f aca="false">(D9/E9)</f>
        <v>0.428571428571429</v>
      </c>
    </row>
    <row r="10" customFormat="false" ht="15" hidden="false" customHeight="false" outlineLevel="0" collapsed="false">
      <c r="A10" s="25" t="s">
        <v>26</v>
      </c>
      <c r="B10" s="26" t="s">
        <v>19</v>
      </c>
      <c r="C10" s="27" t="n">
        <f aca="false">Arrivi!D8</f>
        <v>0.0164383561643836</v>
      </c>
      <c r="D10" s="27" t="n">
        <f aca="false">Uscite!D9</f>
        <v>2.50365296803653</v>
      </c>
      <c r="E10" s="27" t="n">
        <f aca="false">Uscite!J9</f>
        <v>4.16849315068493</v>
      </c>
      <c r="F10" s="27" t="n">
        <f aca="false">C10*(1-Uscite!E16-Uscite!K16)</f>
        <v>0.0164383561643836</v>
      </c>
      <c r="G10" s="28" t="s">
        <v>26</v>
      </c>
      <c r="H10" s="29" t="s">
        <v>73</v>
      </c>
      <c r="I10" s="30" t="n">
        <f aca="false">Arrivi!D22</f>
        <v>4.32420091324201</v>
      </c>
      <c r="J10" s="31" t="n">
        <f aca="false">1/(I$10+SUM(F10:F12))</f>
        <v>0.0571699579657938</v>
      </c>
      <c r="K10" s="32" t="n">
        <f aca="false">F10*J10</f>
        <v>0.000939780130944555</v>
      </c>
      <c r="L10" s="32" t="n">
        <f aca="false">SUM(K$10:K$12)</f>
        <v>0.752785615554307</v>
      </c>
      <c r="M10" s="31" t="n">
        <f aca="false">IF(MOD(ROW(),3)=1,(L10*J10)/(1-K10),IF(MOD(ROW(),3)=2,(L10*J10)/((1-K10)*(1-K10-K11)), IF(MOD(ROW(),3)=0,(L10*J10)/((1-K10-K11)*(1-L10)))))</f>
        <v>0.0430772050999435</v>
      </c>
      <c r="N10" s="31" t="n">
        <f aca="false">M10+J10</f>
        <v>0.100247163065737</v>
      </c>
      <c r="O10" s="31" t="n">
        <f aca="false">M10*F10</f>
        <v>0.000708118439999071</v>
      </c>
      <c r="P10" s="31" t="n">
        <f aca="false">N10*F10</f>
        <v>0.00164789857094363</v>
      </c>
      <c r="Q10" s="33" t="n">
        <f aca="false">(D10/E10)</f>
        <v>0.600613429729434</v>
      </c>
    </row>
    <row r="11" customFormat="false" ht="15" hidden="false" customHeight="false" outlineLevel="0" collapsed="false">
      <c r="A11" s="34"/>
      <c r="B11" s="26" t="s">
        <v>21</v>
      </c>
      <c r="C11" s="27" t="n">
        <f aca="false">Arrivi!D9</f>
        <v>11.5013698630137</v>
      </c>
      <c r="D11" s="27" t="n">
        <f aca="false">Uscite!D10</f>
        <v>3.94703196347032</v>
      </c>
      <c r="E11" s="27" t="n">
        <f aca="false">Uscite!J10</f>
        <v>13.0433789954338</v>
      </c>
      <c r="F11" s="27" t="n">
        <f aca="false">C11*(1-Uscite!E17-Uscite!K17)</f>
        <v>10.2915914169655</v>
      </c>
      <c r="G11" s="28"/>
      <c r="H11" s="29" t="s">
        <v>74</v>
      </c>
      <c r="I11" s="30" t="n">
        <f aca="false">Arrivi!D23</f>
        <v>2.98767123287671</v>
      </c>
      <c r="J11" s="31" t="n">
        <f aca="false">J10</f>
        <v>0.0571699579657938</v>
      </c>
      <c r="K11" s="32" t="n">
        <f aca="false">F11*J11</f>
        <v>0.588369848709039</v>
      </c>
      <c r="L11" s="32" t="n">
        <f aca="false">L10</f>
        <v>0.752785615554307</v>
      </c>
      <c r="M11" s="31" t="n">
        <f aca="false">IF(MOD(ROW(),3)=1,(L10*J10)/(1-K10),IF(MOD(ROW(),3)=2,(L10*J10)/((1-K10)*(1-K10-K11)), IF(MOD(ROW(),3)=0,(L10*J10)/((1-K10-K11)*(1-L10)))))</f>
        <v>0.104889737196102</v>
      </c>
      <c r="N11" s="31" t="n">
        <f aca="false">M11+J11</f>
        <v>0.162059695161895</v>
      </c>
      <c r="O11" s="31" t="n">
        <f aca="false">M11*F11</f>
        <v>1.07948231905516</v>
      </c>
      <c r="P11" s="31" t="n">
        <f aca="false">N11*F11</f>
        <v>1.6678521677642</v>
      </c>
      <c r="Q11" s="33" t="n">
        <f aca="false">(D11/E11)</f>
        <v>0.302608086819534</v>
      </c>
    </row>
    <row r="12" customFormat="false" ht="15" hidden="false" customHeight="false" outlineLevel="0" collapsed="false">
      <c r="A12" s="34"/>
      <c r="B12" s="26" t="s">
        <v>23</v>
      </c>
      <c r="C12" s="27" t="n">
        <f aca="false">Arrivi!D10</f>
        <v>3.72465753424658</v>
      </c>
      <c r="D12" s="27" t="n">
        <f aca="false">Uscite!D11</f>
        <v>3.49817351598173</v>
      </c>
      <c r="E12" s="27" t="n">
        <f aca="false">Uscite!J11</f>
        <v>8.91552511415525</v>
      </c>
      <c r="F12" s="27" t="n">
        <f aca="false">C12*(1-Uscite!E18-Uscite!K18)</f>
        <v>2.85947362095552</v>
      </c>
      <c r="G12" s="28"/>
      <c r="H12" s="29" t="s">
        <v>75</v>
      </c>
      <c r="I12" s="30" t="n">
        <f aca="false">Arrivi!D24</f>
        <v>1.3365296803653</v>
      </c>
      <c r="J12" s="31" t="n">
        <f aca="false">J11</f>
        <v>0.0571699579657938</v>
      </c>
      <c r="K12" s="32" t="n">
        <f aca="false">F12*J12</f>
        <v>0.163475986714323</v>
      </c>
      <c r="L12" s="32" t="n">
        <f aca="false">L11</f>
        <v>0.752785615554307</v>
      </c>
      <c r="M12" s="31" t="n">
        <f aca="false">IF(MOD(ROW(),3)=1,(L10*J10)/(1-K10),IF(MOD(ROW(),3)=2,(L10*J10)/((1-K10)*(1-K10-K11)), IF(MOD(ROW(),3)=0,(L10*J10)/((1-K10-K11)*(1-L10)))))</f>
        <v>0.423887809522527</v>
      </c>
      <c r="N12" s="31" t="n">
        <f aca="false">M12+J12</f>
        <v>0.481057767488321</v>
      </c>
      <c r="O12" s="31" t="n">
        <f aca="false">M12*F12</f>
        <v>1.21209600957429</v>
      </c>
      <c r="P12" s="31" t="n">
        <f aca="false">N12*F12</f>
        <v>1.37557199628861</v>
      </c>
      <c r="Q12" s="33" t="n">
        <f aca="false">(D12/E12)</f>
        <v>0.392368758002561</v>
      </c>
    </row>
    <row r="13" customFormat="false" ht="15" hidden="false" customHeight="false" outlineLevel="0" collapsed="false">
      <c r="A13" s="25" t="s">
        <v>27</v>
      </c>
      <c r="B13" s="26" t="s">
        <v>19</v>
      </c>
      <c r="C13" s="27" t="n">
        <f aca="false">Arrivi!D11</f>
        <v>0.0045662100456621</v>
      </c>
      <c r="D13" s="27" t="n">
        <f aca="false">Uscite!D12</f>
        <v>0.00091324200913242</v>
      </c>
      <c r="E13" s="27" t="n">
        <f aca="false">Uscite!J12</f>
        <v>0.00136986301369863</v>
      </c>
      <c r="F13" s="27" t="n">
        <f aca="false">C13*(1-Uscite!E20-Uscite!K20)</f>
        <v>0.00456600336435827</v>
      </c>
      <c r="G13" s="28" t="s">
        <v>27</v>
      </c>
      <c r="H13" s="29" t="s">
        <v>73</v>
      </c>
      <c r="I13" s="30" t="n">
        <f aca="false">Arrivi!D25</f>
        <v>1.09041095890411</v>
      </c>
      <c r="J13" s="31" t="n">
        <f aca="false">1/(I$13+SUM(F13:F15))</f>
        <v>0.203894642410103</v>
      </c>
      <c r="K13" s="32" t="n">
        <f aca="false">F13*J13</f>
        <v>0.000930983623219157</v>
      </c>
      <c r="L13" s="32" t="n">
        <f aca="false">SUM(K$13:K$15)</f>
        <v>0.777671047454189</v>
      </c>
      <c r="M13" s="31" t="n">
        <f aca="false">IF(MOD(ROW(),3)=1,(L13*J13)/(1-K13),IF(MOD(ROW(),3)=2,(L13*J13)/((1-K13)*(1-K13-K14)), IF(MOD(ROW(),3)=0,(L13*J13)/((1-K13-K14)*(1-L13)))))</f>
        <v>0.158710717211916</v>
      </c>
      <c r="N13" s="31" t="n">
        <f aca="false">M13+J13</f>
        <v>0.362605359622019</v>
      </c>
      <c r="O13" s="31" t="n">
        <f aca="false">M13*F13</f>
        <v>0.000724673668749321</v>
      </c>
      <c r="P13" s="31" t="n">
        <f aca="false">N13*F13</f>
        <v>0.00165565729196848</v>
      </c>
      <c r="Q13" s="33" t="n">
        <f aca="false">(D13/E13)</f>
        <v>0.666666666666667</v>
      </c>
    </row>
    <row r="14" customFormat="false" ht="15" hidden="false" customHeight="false" outlineLevel="0" collapsed="false">
      <c r="A14" s="34"/>
      <c r="B14" s="26" t="s">
        <v>21</v>
      </c>
      <c r="C14" s="27" t="n">
        <f aca="false">Arrivi!D12</f>
        <v>2.87990867579909</v>
      </c>
      <c r="D14" s="27" t="n">
        <f aca="false">Uscite!D13</f>
        <v>1.22054794520548</v>
      </c>
      <c r="E14" s="27" t="n">
        <f aca="false">Uscite!J13</f>
        <v>2.337899543379</v>
      </c>
      <c r="F14" s="27" t="n">
        <f aca="false">C14*(1-Uscite!E21-Uscite!K21)</f>
        <v>2.83474048211733</v>
      </c>
      <c r="G14" s="28"/>
      <c r="H14" s="29" t="s">
        <v>74</v>
      </c>
      <c r="I14" s="30" t="n">
        <f aca="false">Arrivi!D26</f>
        <v>0.871689497716895</v>
      </c>
      <c r="J14" s="31" t="n">
        <f aca="false">J13</f>
        <v>0.203894642410103</v>
      </c>
      <c r="K14" s="32" t="n">
        <f aca="false">F14*J14</f>
        <v>0.577988396926757</v>
      </c>
      <c r="L14" s="32" t="n">
        <f aca="false">L13</f>
        <v>0.777671047454189</v>
      </c>
      <c r="M14" s="31" t="n">
        <f aca="false">IF(MOD(ROW(),3)=1,(L13*J13)/(1-K13),IF(MOD(ROW(),3)=2,(L13*J13)/((1-K13)*(1-K13-K14)), IF(MOD(ROW(),3)=0,(L13*J13)/((1-K13-K14)*(1-L13)))))</f>
        <v>0.376912899527907</v>
      </c>
      <c r="N14" s="31" t="n">
        <f aca="false">M14+J14</f>
        <v>0.580807541938011</v>
      </c>
      <c r="O14" s="31" t="n">
        <f aca="false">M14*F14</f>
        <v>1.06845025452398</v>
      </c>
      <c r="P14" s="31" t="n">
        <f aca="false">N14*F14</f>
        <v>1.64643865145074</v>
      </c>
      <c r="Q14" s="33" t="n">
        <f aca="false">(D14/E14)</f>
        <v>0.5220703125</v>
      </c>
    </row>
    <row r="15" customFormat="false" ht="15" hidden="false" customHeight="false" outlineLevel="0" collapsed="false">
      <c r="A15" s="34"/>
      <c r="B15" s="26" t="s">
        <v>23</v>
      </c>
      <c r="C15" s="27" t="n">
        <f aca="false">Arrivi!D13</f>
        <v>1.01917808219178</v>
      </c>
      <c r="D15" s="27" t="n">
        <f aca="false">Uscite!D14</f>
        <v>2.32374429223744</v>
      </c>
      <c r="E15" s="27" t="n">
        <f aca="false">Uscite!J14</f>
        <v>7.62328767123288</v>
      </c>
      <c r="F15" s="27" t="n">
        <f aca="false">C15*(1-Uscite!E22-Uscite!K22)</f>
        <v>0.974776308758786</v>
      </c>
      <c r="G15" s="28"/>
      <c r="H15" s="29" t="s">
        <v>75</v>
      </c>
      <c r="I15" s="30" t="n">
        <f aca="false">Arrivi!D27</f>
        <v>0.218721461187215</v>
      </c>
      <c r="J15" s="31" t="n">
        <f aca="false">J14</f>
        <v>0.203894642410103</v>
      </c>
      <c r="K15" s="32" t="n">
        <f aca="false">F15*J15</f>
        <v>0.198751666904213</v>
      </c>
      <c r="L15" s="32" t="n">
        <f aca="false">L14</f>
        <v>0.777671047454189</v>
      </c>
      <c r="M15" s="31" t="n">
        <f aca="false">IF(MOD(ROW(),3)=1,(L13*J13)/(1-K13),IF(MOD(ROW(),3)=2,(L13*J13)/((1-K13)*(1-K13-K14)), IF(MOD(ROW(),3)=0,(L13*J13)/((1-K13-K14)*(1-L13)))))</f>
        <v>1.69371553042997</v>
      </c>
      <c r="N15" s="31" t="n">
        <f aca="false">M15+J15</f>
        <v>1.89761017284007</v>
      </c>
      <c r="O15" s="31" t="n">
        <f aca="false">M15*F15</f>
        <v>1.65099377283995</v>
      </c>
      <c r="P15" s="31" t="n">
        <f aca="false">N15*F15</f>
        <v>1.84974543974417</v>
      </c>
      <c r="Q15" s="33" t="n">
        <f aca="false">(D15/E15)</f>
        <v>0.30482180293501</v>
      </c>
    </row>
    <row r="16" customFormat="false" ht="15" hidden="false" customHeight="false" outlineLevel="0" collapsed="false">
      <c r="A16" s="35"/>
      <c r="B16" s="35"/>
      <c r="C16" s="35"/>
      <c r="D16" s="35"/>
      <c r="E16" s="35"/>
      <c r="F16" s="35"/>
      <c r="I16" s="36"/>
      <c r="J16" s="36"/>
      <c r="K16" s="36"/>
      <c r="L16" s="36"/>
    </row>
    <row r="18" customFormat="false" ht="15.75" hidden="false" customHeight="false" outlineLevel="0" collapsed="false">
      <c r="A18" s="37" t="s">
        <v>76</v>
      </c>
      <c r="B18" s="37"/>
      <c r="C18" s="37"/>
      <c r="D18" s="37"/>
      <c r="E18" s="37"/>
      <c r="F18" s="37"/>
      <c r="G18" s="37"/>
      <c r="H18" s="37"/>
      <c r="I18" s="37"/>
    </row>
    <row r="19" customFormat="false" ht="15.75" hidden="false" customHeight="false" outlineLevel="0" collapsed="false">
      <c r="A19" s="38" t="s">
        <v>2</v>
      </c>
      <c r="B19" s="39" t="s">
        <v>3</v>
      </c>
      <c r="C19" s="40" t="s">
        <v>77</v>
      </c>
      <c r="D19" s="40" t="s">
        <v>78</v>
      </c>
      <c r="E19" s="40" t="s">
        <v>79</v>
      </c>
      <c r="F19" s="15" t="s">
        <v>60</v>
      </c>
      <c r="G19" s="41" t="s">
        <v>61</v>
      </c>
      <c r="H19" s="16" t="s">
        <v>63</v>
      </c>
      <c r="I19" s="16" t="s">
        <v>65</v>
      </c>
    </row>
    <row r="20" customFormat="false" ht="15" hidden="false" customHeight="false" outlineLevel="0" collapsed="false">
      <c r="A20" s="42" t="s">
        <v>24</v>
      </c>
      <c r="B20" s="18" t="s">
        <v>19</v>
      </c>
      <c r="C20" s="43" t="n">
        <f aca="false">Uscite!D31</f>
        <v>0.0205479452054794</v>
      </c>
      <c r="D20" s="35"/>
      <c r="E20" s="35"/>
      <c r="F20" s="32" t="n">
        <f aca="false">4/24</f>
        <v>0.166666666666667</v>
      </c>
      <c r="G20" s="32" t="n">
        <f aca="false">F20*C20</f>
        <v>0.00342465753424658</v>
      </c>
      <c r="H20" s="32" t="n">
        <f aca="false">F20</f>
        <v>0.166666666666667</v>
      </c>
      <c r="I20" s="32" t="n">
        <f aca="false">H20*C20</f>
        <v>0.00342465753424658</v>
      </c>
    </row>
    <row r="21" customFormat="false" ht="13.8" hidden="false" customHeight="false" outlineLevel="0" collapsed="false">
      <c r="A21" s="34"/>
      <c r="B21" s="26" t="s">
        <v>21</v>
      </c>
      <c r="C21" s="43" t="n">
        <f aca="false">Uscite!D32</f>
        <v>22.4301369863014</v>
      </c>
      <c r="D21" s="35"/>
      <c r="E21" s="35"/>
      <c r="F21" s="32" t="n">
        <f aca="false">4/24</f>
        <v>0.166666666666667</v>
      </c>
      <c r="G21" s="32" t="n">
        <f aca="false">F21*C21</f>
        <v>3.73835616438356</v>
      </c>
      <c r="H21" s="32" t="n">
        <f aca="false">F21</f>
        <v>0.166666666666667</v>
      </c>
      <c r="I21" s="32" t="n">
        <f aca="false">H21*C21</f>
        <v>3.73835616438356</v>
      </c>
      <c r="M21" s="0" t="n">
        <f aca="false">MOD(ROW(), 3)</f>
        <v>0</v>
      </c>
    </row>
    <row r="22" customFormat="false" ht="15" hidden="false" customHeight="false" outlineLevel="0" collapsed="false">
      <c r="A22" s="34"/>
      <c r="B22" s="26" t="s">
        <v>23</v>
      </c>
      <c r="C22" s="43" t="n">
        <f aca="false">Uscite!D33</f>
        <v>1.80045662100457</v>
      </c>
      <c r="D22" s="35"/>
      <c r="E22" s="35"/>
      <c r="F22" s="32" t="n">
        <f aca="false">4/24</f>
        <v>0.166666666666667</v>
      </c>
      <c r="G22" s="32" t="n">
        <f aca="false">F22*C22</f>
        <v>0.300076103500761</v>
      </c>
      <c r="H22" s="32" t="n">
        <f aca="false">F22</f>
        <v>0.166666666666667</v>
      </c>
      <c r="I22" s="32" t="n">
        <f aca="false">H22*C22</f>
        <v>0.300076103500761</v>
      </c>
    </row>
    <row r="23" customFormat="false" ht="15" hidden="false" customHeight="false" outlineLevel="0" collapsed="false">
      <c r="A23" s="25" t="s">
        <v>25</v>
      </c>
      <c r="B23" s="26" t="s">
        <v>19</v>
      </c>
      <c r="C23" s="27" t="n">
        <f aca="false">Uscite!D35</f>
        <v>0.0118721461187215</v>
      </c>
      <c r="D23" s="35"/>
      <c r="E23" s="35"/>
      <c r="F23" s="32" t="n">
        <f aca="false">4/24</f>
        <v>0.166666666666667</v>
      </c>
      <c r="G23" s="32" t="n">
        <f aca="false">F23*C23</f>
        <v>0.00197869101978691</v>
      </c>
      <c r="H23" s="32" t="n">
        <f aca="false">F23</f>
        <v>0.166666666666667</v>
      </c>
      <c r="I23" s="32" t="n">
        <f aca="false">H23*C23</f>
        <v>0.00197869101978691</v>
      </c>
    </row>
    <row r="24" customFormat="false" ht="15" hidden="false" customHeight="false" outlineLevel="0" collapsed="false">
      <c r="A24" s="34"/>
      <c r="B24" s="26" t="s">
        <v>21</v>
      </c>
      <c r="C24" s="27" t="n">
        <f aca="false">Uscite!D36</f>
        <v>17.7397260273973</v>
      </c>
      <c r="D24" s="35"/>
      <c r="E24" s="35"/>
      <c r="F24" s="32" t="n">
        <f aca="false">4/24</f>
        <v>0.166666666666667</v>
      </c>
      <c r="G24" s="32" t="n">
        <f aca="false">F24*C24</f>
        <v>2.95662100456621</v>
      </c>
      <c r="H24" s="32" t="n">
        <f aca="false">F24</f>
        <v>0.166666666666667</v>
      </c>
      <c r="I24" s="32" t="n">
        <f aca="false">H24*C24</f>
        <v>2.95662100456621</v>
      </c>
    </row>
    <row r="25" customFormat="false" ht="15" hidden="false" customHeight="false" outlineLevel="0" collapsed="false">
      <c r="A25" s="34"/>
      <c r="B25" s="26" t="s">
        <v>23</v>
      </c>
      <c r="C25" s="27" t="n">
        <f aca="false">Uscite!D37</f>
        <v>1.71324200913242</v>
      </c>
      <c r="D25" s="35"/>
      <c r="E25" s="35"/>
      <c r="F25" s="32" t="n">
        <f aca="false">4/24</f>
        <v>0.166666666666667</v>
      </c>
      <c r="G25" s="32" t="n">
        <f aca="false">F25*C25</f>
        <v>0.285540334855403</v>
      </c>
      <c r="H25" s="32" t="n">
        <f aca="false">F25</f>
        <v>0.166666666666667</v>
      </c>
      <c r="I25" s="32" t="n">
        <f aca="false">H25*C25</f>
        <v>0.285540334855403</v>
      </c>
    </row>
    <row r="26" customFormat="false" ht="15" hidden="false" customHeight="false" outlineLevel="0" collapsed="false">
      <c r="A26" s="25" t="s">
        <v>26</v>
      </c>
      <c r="B26" s="26" t="s">
        <v>19</v>
      </c>
      <c r="C26" s="27" t="n">
        <f aca="false">Uscite!D39</f>
        <v>0.0105022831050228</v>
      </c>
      <c r="D26" s="35"/>
      <c r="E26" s="35"/>
      <c r="F26" s="32" t="n">
        <f aca="false">4/24</f>
        <v>0.166666666666667</v>
      </c>
      <c r="G26" s="32" t="n">
        <f aca="false">F26*C26</f>
        <v>0.00175038051750381</v>
      </c>
      <c r="H26" s="32" t="n">
        <f aca="false">F26</f>
        <v>0.166666666666667</v>
      </c>
      <c r="I26" s="32" t="n">
        <f aca="false">H26*C26</f>
        <v>0.00175038051750381</v>
      </c>
    </row>
    <row r="27" customFormat="false" ht="15" hidden="false" customHeight="false" outlineLevel="0" collapsed="false">
      <c r="A27" s="34"/>
      <c r="B27" s="26" t="s">
        <v>21</v>
      </c>
      <c r="C27" s="27" t="n">
        <f aca="false">Uscite!D40</f>
        <v>6.7986301369863</v>
      </c>
      <c r="D27" s="35"/>
      <c r="E27" s="35"/>
      <c r="F27" s="32" t="n">
        <f aca="false">4/24</f>
        <v>0.166666666666667</v>
      </c>
      <c r="G27" s="32" t="n">
        <f aca="false">F27*C27</f>
        <v>1.13310502283105</v>
      </c>
      <c r="H27" s="32" t="n">
        <f aca="false">F27</f>
        <v>0.166666666666667</v>
      </c>
      <c r="I27" s="32" t="n">
        <f aca="false">H27*C27</f>
        <v>1.13310502283105</v>
      </c>
    </row>
    <row r="28" customFormat="false" ht="15" hidden="false" customHeight="false" outlineLevel="0" collapsed="false">
      <c r="A28" s="34"/>
      <c r="B28" s="26" t="s">
        <v>23</v>
      </c>
      <c r="C28" s="27" t="n">
        <f aca="false">Uscite!D41</f>
        <v>0.542922374429224</v>
      </c>
      <c r="D28" s="35"/>
      <c r="E28" s="35"/>
      <c r="F28" s="32" t="n">
        <f aca="false">4/24</f>
        <v>0.166666666666667</v>
      </c>
      <c r="G28" s="32" t="n">
        <f aca="false">F28*C28</f>
        <v>0.0904870624048706</v>
      </c>
      <c r="H28" s="32" t="n">
        <f aca="false">F28</f>
        <v>0.166666666666667</v>
      </c>
      <c r="I28" s="32" t="n">
        <f aca="false">H28*C28</f>
        <v>0.0904870624048706</v>
      </c>
    </row>
    <row r="29" customFormat="false" ht="15" hidden="false" customHeight="false" outlineLevel="0" collapsed="false">
      <c r="A29" s="25" t="s">
        <v>27</v>
      </c>
      <c r="B29" s="26" t="s">
        <v>19</v>
      </c>
      <c r="C29" s="27" t="n">
        <f aca="false">Uscite!D43</f>
        <v>0.00228310502283105</v>
      </c>
      <c r="D29" s="35"/>
      <c r="E29" s="35"/>
      <c r="F29" s="32" t="n">
        <f aca="false">4/24</f>
        <v>0.166666666666667</v>
      </c>
      <c r="G29" s="32" t="n">
        <f aca="false">F29*C29</f>
        <v>0.000380517503805175</v>
      </c>
      <c r="H29" s="32" t="n">
        <f aca="false">F29</f>
        <v>0.166666666666667</v>
      </c>
      <c r="I29" s="32" t="n">
        <f aca="false">H29*C29</f>
        <v>0.000380517503805175</v>
      </c>
    </row>
    <row r="30" customFormat="false" ht="15" hidden="false" customHeight="false" outlineLevel="0" collapsed="false">
      <c r="A30" s="34"/>
      <c r="B30" s="26" t="s">
        <v>21</v>
      </c>
      <c r="C30" s="27" t="n">
        <f aca="false">Uscite!D44</f>
        <v>2.44566210045662</v>
      </c>
      <c r="D30" s="35"/>
      <c r="E30" s="35"/>
      <c r="F30" s="32" t="n">
        <f aca="false">4/24</f>
        <v>0.166666666666667</v>
      </c>
      <c r="G30" s="32" t="n">
        <f aca="false">F30*C30</f>
        <v>0.407610350076103</v>
      </c>
      <c r="H30" s="32" t="n">
        <f aca="false">F30</f>
        <v>0.166666666666667</v>
      </c>
      <c r="I30" s="32" t="n">
        <f aca="false">H30*C30</f>
        <v>0.407610350076103</v>
      </c>
    </row>
    <row r="31" customFormat="false" ht="15" hidden="false" customHeight="false" outlineLevel="0" collapsed="false">
      <c r="A31" s="34"/>
      <c r="B31" s="26" t="s">
        <v>23</v>
      </c>
      <c r="C31" s="27" t="n">
        <f aca="false">Uscite!D45</f>
        <v>0.178995433789954</v>
      </c>
      <c r="D31" s="35"/>
      <c r="E31" s="35"/>
      <c r="F31" s="32" t="n">
        <f aca="false">4/24</f>
        <v>0.166666666666667</v>
      </c>
      <c r="G31" s="32" t="n">
        <f aca="false">F31*C31</f>
        <v>0.0298325722983257</v>
      </c>
      <c r="H31" s="32" t="n">
        <f aca="false">F31</f>
        <v>0.166666666666667</v>
      </c>
      <c r="I31" s="32" t="n">
        <f aca="false">H31*C31</f>
        <v>0.0298325722983257</v>
      </c>
    </row>
  </sheetData>
  <mergeCells count="5">
    <mergeCell ref="A1:P1"/>
    <mergeCell ref="A2:F2"/>
    <mergeCell ref="G2:I2"/>
    <mergeCell ref="K2:L2"/>
    <mergeCell ref="A18:I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875" defaultRowHeight="15" zeroHeight="false" outlineLevelRow="0" outlineLevelCol="0"/>
  <cols>
    <col collapsed="false" customWidth="true" hidden="false" outlineLevel="0" max="9" min="9" style="0" width="17.71"/>
  </cols>
  <sheetData>
    <row r="1" customFormat="false" ht="15.75" hidden="false" customHeight="false" outlineLevel="0" collapsed="false">
      <c r="A1" s="12" t="s">
        <v>80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customFormat="false" ht="15.75" hidden="false" customHeight="false" outlineLevel="0" collapsed="false">
      <c r="A2" s="13" t="s">
        <v>58</v>
      </c>
      <c r="B2" s="13"/>
      <c r="C2" s="13"/>
      <c r="D2" s="13"/>
      <c r="E2" s="13"/>
      <c r="F2" s="13"/>
      <c r="G2" s="14" t="s">
        <v>59</v>
      </c>
      <c r="H2" s="14"/>
      <c r="I2" s="14"/>
      <c r="J2" s="15" t="s">
        <v>60</v>
      </c>
      <c r="K2" s="16" t="s">
        <v>61</v>
      </c>
      <c r="L2" s="16"/>
      <c r="M2" s="16" t="s">
        <v>62</v>
      </c>
      <c r="N2" s="16" t="s">
        <v>63</v>
      </c>
      <c r="O2" s="16" t="s">
        <v>64</v>
      </c>
      <c r="P2" s="16" t="s">
        <v>65</v>
      </c>
    </row>
    <row r="3" customFormat="false" ht="15.75" hidden="false" customHeight="false" outlineLevel="0" collapsed="false">
      <c r="A3" s="17" t="s">
        <v>2</v>
      </c>
      <c r="B3" s="18" t="s">
        <v>3</v>
      </c>
      <c r="C3" s="19" t="s">
        <v>66</v>
      </c>
      <c r="D3" s="19" t="s">
        <v>67</v>
      </c>
      <c r="E3" s="19" t="s">
        <v>68</v>
      </c>
      <c r="F3" s="19" t="s">
        <v>69</v>
      </c>
      <c r="G3" s="20" t="s">
        <v>2</v>
      </c>
      <c r="H3" s="21" t="s">
        <v>44</v>
      </c>
      <c r="I3" s="19" t="s">
        <v>70</v>
      </c>
      <c r="J3" s="22"/>
      <c r="K3" s="23" t="s">
        <v>71</v>
      </c>
      <c r="L3" s="24" t="s">
        <v>72</v>
      </c>
      <c r="M3" s="22"/>
      <c r="N3" s="22"/>
      <c r="O3" s="22"/>
      <c r="P3" s="22"/>
    </row>
    <row r="4" customFormat="false" ht="15" hidden="false" customHeight="false" outlineLevel="0" collapsed="false">
      <c r="A4" s="25" t="s">
        <v>24</v>
      </c>
      <c r="B4" s="26" t="s">
        <v>19</v>
      </c>
      <c r="C4" s="27" t="n">
        <f aca="false">Arrivi!D2</f>
        <v>0.052054794520548</v>
      </c>
      <c r="D4" s="27" t="n">
        <f aca="false">Uscite!C3</f>
        <v>4418.5</v>
      </c>
      <c r="E4" s="27" t="e">
        <f aca="false">uscite!#ref!</f>
        <v>#NAME?</v>
      </c>
      <c r="F4" s="27" t="e">
        <f aca="false">C4*(1-uscite!#ref!-uscite!#ref!)</f>
        <v>#NAME?</v>
      </c>
      <c r="G4" s="28" t="s">
        <v>24</v>
      </c>
      <c r="H4" s="29" t="s">
        <v>73</v>
      </c>
      <c r="I4" s="44" t="n">
        <f aca="false">SUM(I5:I6)</f>
        <v>34.5187214611872</v>
      </c>
      <c r="J4" s="31" t="n">
        <f aca="false">1/I$4</f>
        <v>0.0289697867612043</v>
      </c>
      <c r="K4" s="32" t="e">
        <f aca="false">F4*J4</f>
        <v>#NAME?</v>
      </c>
      <c r="L4" s="32" t="e">
        <f aca="false">SUM(K$4:K$6)</f>
        <v>#NAME?</v>
      </c>
      <c r="M4" s="31" t="e">
        <f aca="false">IF(MOD(ROW(),3)=1,(L4*J4)/(1-K4),IF(MOD(ROW(),3)=2,(L4*J4)/((1-K3)*(1-K3-K4)), IF(MOD(ROW(),3)=0,(L4*J4)/((1-K2-K3)*(1-L4)))))</f>
        <v>#NAME?</v>
      </c>
      <c r="N4" s="31" t="e">
        <f aca="false">M4+J4</f>
        <v>#NAME?</v>
      </c>
      <c r="O4" s="45"/>
      <c r="P4" s="45"/>
    </row>
    <row r="5" customFormat="false" ht="15" hidden="false" customHeight="false" outlineLevel="0" collapsed="false">
      <c r="A5" s="34"/>
      <c r="B5" s="26" t="s">
        <v>21</v>
      </c>
      <c r="C5" s="27" t="n">
        <f aca="false">Arrivi!D3</f>
        <v>37.6803652968037</v>
      </c>
      <c r="D5" s="27" t="n">
        <f aca="false">Uscite!C4</f>
        <v>1.33333333333333</v>
      </c>
      <c r="E5" s="27" t="e">
        <f aca="false">uscite!#ref!</f>
        <v>#NAME?</v>
      </c>
      <c r="F5" s="27" t="e">
        <f aca="false">C5*(1-uscite!#ref!-uscite!#ref!)</f>
        <v>#NAME?</v>
      </c>
      <c r="G5" s="28"/>
      <c r="H5" s="29" t="s">
        <v>74</v>
      </c>
      <c r="I5" s="30" t="n">
        <f aca="false">Arrivi!D16</f>
        <v>22.4118721461187</v>
      </c>
      <c r="J5" s="31" t="n">
        <f aca="false">1/I$4</f>
        <v>0.0289697867612043</v>
      </c>
      <c r="K5" s="32" t="e">
        <f aca="false">F5*J5</f>
        <v>#NAME?</v>
      </c>
      <c r="L5" s="32" t="e">
        <f aca="false">SUM(K$4:K$6)</f>
        <v>#NAME?</v>
      </c>
      <c r="M5" s="31" t="e">
        <f aca="false">IF(MOD(ROW(),3)=1,(L5*J5)/(1-K5),IF(MOD(ROW(),3)=2,(L5*J5)/((1-K4)*(1-K4-K5)), IF(MOD(ROW(),3)=0,(L5*J5)/((1-K3-K4)*(1-L5)))))</f>
        <v>#NAME?</v>
      </c>
      <c r="N5" s="31" t="e">
        <f aca="false">M5+J5</f>
        <v>#NAME?</v>
      </c>
      <c r="O5" s="45"/>
      <c r="P5" s="45"/>
    </row>
    <row r="6" customFormat="false" ht="15" hidden="false" customHeight="false" outlineLevel="0" collapsed="false">
      <c r="A6" s="34"/>
      <c r="B6" s="26" t="s">
        <v>23</v>
      </c>
      <c r="C6" s="27" t="n">
        <f aca="false">Arrivi!D4</f>
        <v>12.2328767123288</v>
      </c>
      <c r="D6" s="27" t="n">
        <f aca="false">Uscite!C5</f>
        <v>1681</v>
      </c>
      <c r="E6" s="27" t="e">
        <f aca="false">uscite!#ref!</f>
        <v>#NAME?</v>
      </c>
      <c r="F6" s="27" t="e">
        <f aca="false">C6*(1-uscite!#ref!-uscite!#ref!)</f>
        <v>#NAME?</v>
      </c>
      <c r="G6" s="28"/>
      <c r="H6" s="29" t="s">
        <v>75</v>
      </c>
      <c r="I6" s="30" t="n">
        <f aca="false">Arrivi!D17</f>
        <v>12.1068493150685</v>
      </c>
      <c r="J6" s="31" t="n">
        <f aca="false">1/I$4</f>
        <v>0.0289697867612043</v>
      </c>
      <c r="K6" s="32" t="e">
        <f aca="false">F6*J6</f>
        <v>#NAME?</v>
      </c>
      <c r="L6" s="32" t="e">
        <f aca="false">SUM(K$4:K$6)</f>
        <v>#NAME?</v>
      </c>
      <c r="M6" s="31" t="e">
        <f aca="false">IF(MOD(ROW(),3)=1,(L6*J6)/(1-K6),IF(MOD(ROW(),3)=2,(L6*J6)/((1-K5)*(1-K5-K6)), IF(MOD(ROW(),3)=0,(L6*J6)/((1-K4-K5)*(1-L6)))))</f>
        <v>#NAME?</v>
      </c>
      <c r="N6" s="31" t="e">
        <f aca="false">M6+J6</f>
        <v>#NAME?</v>
      </c>
      <c r="O6" s="45"/>
      <c r="P6" s="46"/>
    </row>
    <row r="7" customFormat="false" ht="15" hidden="false" customHeight="false" outlineLevel="0" collapsed="false">
      <c r="A7" s="25" t="s">
        <v>25</v>
      </c>
      <c r="B7" s="26" t="s">
        <v>19</v>
      </c>
      <c r="C7" s="27" t="n">
        <f aca="false">Arrivi!D5</f>
        <v>0.0292237442922374</v>
      </c>
      <c r="D7" s="27" t="n">
        <f aca="false">Uscite!C6</f>
        <v>2813.5</v>
      </c>
      <c r="E7" s="27" t="e">
        <f aca="false">uscite!#ref!</f>
        <v>#NAME?</v>
      </c>
      <c r="F7" s="27" t="e">
        <f aca="false">C7*(1-uscite!#ref!-uscite!#ref!)</f>
        <v>#NAME?</v>
      </c>
      <c r="G7" s="28" t="s">
        <v>25</v>
      </c>
      <c r="H7" s="29" t="s">
        <v>73</v>
      </c>
      <c r="I7" s="44" t="n">
        <f aca="false">SUM(I8:I9)</f>
        <v>24.2433789954338</v>
      </c>
      <c r="J7" s="31" t="n">
        <f aca="false">1/(I$7+I$4)</f>
        <v>0.0170177715267039</v>
      </c>
      <c r="K7" s="32" t="e">
        <f aca="false">F7*J7</f>
        <v>#NAME?</v>
      </c>
      <c r="L7" s="32" t="e">
        <f aca="false">SUM(K$7:K$9)</f>
        <v>#NAME?</v>
      </c>
      <c r="M7" s="31" t="e">
        <f aca="false">IF(MOD(ROW(),3)=1,(L7*J7)/(1-K7),IF(MOD(ROW(),3)=2,(L7*J7)/((1-K6)*(1-K6-K7)), IF(MOD(ROW(),3)=0,(L7*J7)/((1-K5-K6)*(1-L7)))))</f>
        <v>#NAME?</v>
      </c>
      <c r="N7" s="31" t="e">
        <f aca="false">M7+J7</f>
        <v>#NAME?</v>
      </c>
      <c r="O7" s="45"/>
      <c r="P7" s="46"/>
    </row>
    <row r="8" customFormat="false" ht="15" hidden="false" customHeight="false" outlineLevel="0" collapsed="false">
      <c r="A8" s="34"/>
      <c r="B8" s="26" t="s">
        <v>21</v>
      </c>
      <c r="C8" s="27" t="n">
        <f aca="false">Arrivi!D6</f>
        <v>24.6662100456621</v>
      </c>
      <c r="D8" s="27" t="n">
        <f aca="false">Uscite!C7</f>
        <v>2313.5</v>
      </c>
      <c r="E8" s="27" t="e">
        <f aca="false">uscite!#ref!</f>
        <v>#NAME?</v>
      </c>
      <c r="F8" s="27" t="e">
        <f aca="false">C8*(1-uscite!#ref!-uscite!#ref!)</f>
        <v>#NAME?</v>
      </c>
      <c r="G8" s="28"/>
      <c r="H8" s="29" t="s">
        <v>74</v>
      </c>
      <c r="I8" s="30" t="n">
        <f aca="false">Arrivi!D18</f>
        <v>10.3050228310502</v>
      </c>
      <c r="J8" s="31" t="n">
        <f aca="false">1/(I$7+I$4)</f>
        <v>0.0170177715267039</v>
      </c>
      <c r="K8" s="32" t="e">
        <f aca="false">F8*J8</f>
        <v>#NAME?</v>
      </c>
      <c r="L8" s="32" t="e">
        <f aca="false">SUM(K$7:K$9)</f>
        <v>#NAME?</v>
      </c>
      <c r="M8" s="31" t="e">
        <f aca="false">IF(MOD(ROW(),3)=1,(L8*J8)/(1-K8),IF(MOD(ROW(),3)=2,(L8*J8)/((1-K7)*(1-K7-K8)), IF(MOD(ROW(),3)=0,(L8*J8)/((1-K6-K7)*(1-L8)))))</f>
        <v>#NAME?</v>
      </c>
      <c r="N8" s="31" t="e">
        <f aca="false">M8+J8</f>
        <v>#NAME?</v>
      </c>
      <c r="O8" s="45"/>
      <c r="P8" s="45"/>
    </row>
    <row r="9" customFormat="false" ht="15" hidden="false" customHeight="false" outlineLevel="0" collapsed="false">
      <c r="A9" s="34"/>
      <c r="B9" s="26" t="s">
        <v>23</v>
      </c>
      <c r="C9" s="27" t="n">
        <f aca="false">Arrivi!D7</f>
        <v>8.64200913242009</v>
      </c>
      <c r="D9" s="27" t="n">
        <f aca="false">Uscite!C8</f>
        <v>1</v>
      </c>
      <c r="E9" s="27" t="e">
        <f aca="false">uscite!#ref!</f>
        <v>#NAME?</v>
      </c>
      <c r="F9" s="27" t="e">
        <f aca="false">C9*(1-uscite!#ref!-uscite!#ref!)</f>
        <v>#NAME?</v>
      </c>
      <c r="G9" s="28"/>
      <c r="H9" s="29" t="s">
        <v>75</v>
      </c>
      <c r="I9" s="30" t="n">
        <f aca="false">Arrivi!D19</f>
        <v>13.9383561643836</v>
      </c>
      <c r="J9" s="31" t="n">
        <f aca="false">1/(I$7+I$4)</f>
        <v>0.0170177715267039</v>
      </c>
      <c r="K9" s="32" t="e">
        <f aca="false">F9*J9</f>
        <v>#NAME?</v>
      </c>
      <c r="L9" s="32" t="e">
        <f aca="false">SUM(K$7:K$9)</f>
        <v>#NAME?</v>
      </c>
      <c r="M9" s="31" t="e">
        <f aca="false">IF(MOD(ROW(),3)=1,(L9*J9)/(1-K9),IF(MOD(ROW(),3)=2,(L9*J9)/((1-K8)*(1-K8-K9)), IF(MOD(ROW(),3)=0,(L9*J9)/((1-K7-K8)*(1-L9)))))</f>
        <v>#NAME?</v>
      </c>
      <c r="N9" s="31" t="e">
        <f aca="false">M9+J9</f>
        <v>#NAME?</v>
      </c>
      <c r="O9" s="45"/>
      <c r="P9" s="45"/>
    </row>
    <row r="10" customFormat="false" ht="15" hidden="false" customHeight="false" outlineLevel="0" collapsed="false">
      <c r="A10" s="25" t="s">
        <v>26</v>
      </c>
      <c r="B10" s="26" t="s">
        <v>19</v>
      </c>
      <c r="C10" s="27" t="n">
        <f aca="false">Arrivi!D8</f>
        <v>0.0164383561643836</v>
      </c>
      <c r="D10" s="27" t="n">
        <f aca="false">Uscite!C9</f>
        <v>913.833333333333</v>
      </c>
      <c r="E10" s="27" t="e">
        <f aca="false">uscite!#ref!</f>
        <v>#NAME?</v>
      </c>
      <c r="F10" s="27" t="e">
        <f aca="false">C10*(1-uscite!#ref!-uscite!#ref!)</f>
        <v>#NAME?</v>
      </c>
      <c r="G10" s="28" t="s">
        <v>26</v>
      </c>
      <c r="H10" s="29" t="s">
        <v>73</v>
      </c>
      <c r="I10" s="44" t="n">
        <f aca="false">SUM(I11:I12)</f>
        <v>13.9383561643836</v>
      </c>
      <c r="J10" s="31" t="n">
        <f aca="false">1/(I$10+I$4)</f>
        <v>0.020636820233507</v>
      </c>
      <c r="K10" s="32" t="e">
        <f aca="false">F10*J10</f>
        <v>#NAME?</v>
      </c>
      <c r="L10" s="32" t="e">
        <f aca="false">SUM(K$10:K$12)</f>
        <v>#NAME?</v>
      </c>
      <c r="M10" s="31" t="e">
        <f aca="false">IF(MOD(ROW(),3)=1,(L10*J10)/(1-K10),IF(MOD(ROW(),3)=2,(L10*J10)/((1-K9)*(1-K9-K10)), IF(MOD(ROW(),3)=0,(L10*J10)/((1-K8-K9)*(1-L10)))))</f>
        <v>#NAME?</v>
      </c>
      <c r="N10" s="31" t="e">
        <f aca="false">M10+J10</f>
        <v>#NAME?</v>
      </c>
      <c r="O10" s="45"/>
      <c r="P10" s="45"/>
    </row>
    <row r="11" customFormat="false" ht="15" hidden="false" customHeight="false" outlineLevel="0" collapsed="false">
      <c r="A11" s="34"/>
      <c r="B11" s="26" t="s">
        <v>21</v>
      </c>
      <c r="C11" s="27" t="n">
        <f aca="false">Arrivi!D9</f>
        <v>11.5013698630137</v>
      </c>
      <c r="D11" s="27" t="n">
        <f aca="false">Uscite!C10</f>
        <v>1440.66666666667</v>
      </c>
      <c r="E11" s="27" t="e">
        <f aca="false">uscite!#ref!</f>
        <v>#NAME?</v>
      </c>
      <c r="F11" s="27" t="e">
        <f aca="false">C11*(1-uscite!#ref!-uscite!#ref!)</f>
        <v>#NAME?</v>
      </c>
      <c r="G11" s="28"/>
      <c r="H11" s="29" t="s">
        <v>74</v>
      </c>
      <c r="I11" s="30" t="n">
        <f aca="false">Arrivi!D20</f>
        <v>9.3986301369863</v>
      </c>
      <c r="J11" s="31" t="n">
        <f aca="false">1/(I$10+I$4)</f>
        <v>0.020636820233507</v>
      </c>
      <c r="K11" s="32" t="e">
        <f aca="false">F11*J11</f>
        <v>#NAME?</v>
      </c>
      <c r="L11" s="32" t="e">
        <f aca="false">SUM(K$10:K$12)</f>
        <v>#NAME?</v>
      </c>
      <c r="M11" s="31" t="e">
        <f aca="false">IF(MOD(ROW(),3)=1,(L11*J11)/(1-K11),IF(MOD(ROW(),3)=2,(L11*J11)/((1-K10)*(1-K10-K11)), IF(MOD(ROW(),3)=0,(L11*J11)/((1-K9-K10)*(1-L11)))))</f>
        <v>#NAME?</v>
      </c>
      <c r="N11" s="31" t="e">
        <f aca="false">M11+J11</f>
        <v>#NAME?</v>
      </c>
      <c r="O11" s="45"/>
      <c r="P11" s="45"/>
    </row>
    <row r="12" customFormat="false" ht="15" hidden="false" customHeight="false" outlineLevel="0" collapsed="false">
      <c r="A12" s="34"/>
      <c r="B12" s="26" t="s">
        <v>23</v>
      </c>
      <c r="C12" s="27" t="n">
        <f aca="false">Arrivi!D10</f>
        <v>3.72465753424658</v>
      </c>
      <c r="D12" s="27" t="n">
        <f aca="false">Uscite!C11</f>
        <v>1276.83333333333</v>
      </c>
      <c r="E12" s="27" t="e">
        <f aca="false">uscite!#ref!</f>
        <v>#NAME?</v>
      </c>
      <c r="F12" s="27" t="e">
        <f aca="false">C12*(1-uscite!#ref!-uscite!#ref!)</f>
        <v>#NAME?</v>
      </c>
      <c r="G12" s="28"/>
      <c r="H12" s="29" t="s">
        <v>75</v>
      </c>
      <c r="I12" s="30" t="n">
        <f aca="false">Arrivi!D21</f>
        <v>4.53972602739726</v>
      </c>
      <c r="J12" s="31" t="n">
        <f aca="false">1/(I$10+I$4)</f>
        <v>0.020636820233507</v>
      </c>
      <c r="K12" s="32" t="e">
        <f aca="false">F12*J12</f>
        <v>#NAME?</v>
      </c>
      <c r="L12" s="32" t="e">
        <f aca="false">SUM(K$10:K$12)</f>
        <v>#NAME?</v>
      </c>
      <c r="M12" s="31" t="e">
        <f aca="false">IF(MOD(ROW(),3)=1,(L12*J12)/(1-K12),IF(MOD(ROW(),3)=2,(L12*J12)/((1-K11)*(1-K11-K12)), IF(MOD(ROW(),3)=0,(L12*J12)/((1-K10-K11)*(1-L12)))))</f>
        <v>#NAME?</v>
      </c>
      <c r="N12" s="31" t="e">
        <f aca="false">M12+J12</f>
        <v>#NAME?</v>
      </c>
      <c r="O12" s="45"/>
      <c r="P12" s="45"/>
    </row>
    <row r="13" customFormat="false" ht="15" hidden="false" customHeight="false" outlineLevel="0" collapsed="false">
      <c r="A13" s="25" t="s">
        <v>27</v>
      </c>
      <c r="B13" s="26" t="s">
        <v>19</v>
      </c>
      <c r="C13" s="27" t="n">
        <f aca="false">Arrivi!D11</f>
        <v>0.0045662100456621</v>
      </c>
      <c r="D13" s="27" t="n">
        <f aca="false">Uscite!C12</f>
        <v>0.333333333333333</v>
      </c>
      <c r="E13" s="27" t="e">
        <f aca="false">uscite!#ref!</f>
        <v>#NAME?</v>
      </c>
      <c r="F13" s="27" t="e">
        <f aca="false">C13*(1-uscite!#ref!-uscite!#ref!)</f>
        <v>#NAME?</v>
      </c>
      <c r="G13" s="28" t="s">
        <v>27</v>
      </c>
      <c r="H13" s="29" t="s">
        <v>73</v>
      </c>
      <c r="I13" s="44" t="n">
        <f aca="false">SUM(I14:I15)</f>
        <v>7.31187214611872</v>
      </c>
      <c r="J13" s="31" t="n">
        <f aca="false">1/(I$13+I$10+I$7+I$4)</f>
        <v>0.0124980739269633</v>
      </c>
      <c r="K13" s="32" t="e">
        <f aca="false">F13*J13</f>
        <v>#NAME?</v>
      </c>
      <c r="L13" s="32" t="e">
        <f aca="false">SUM(K$13:K$15)</f>
        <v>#NAME?</v>
      </c>
      <c r="M13" s="31" t="e">
        <f aca="false">IF(MOD(ROW(),3)=1,(L13*J13)/(1-K13),IF(MOD(ROW(),3)=2,(L13*J13)/((1-K12)*(1-K12-K13)), IF(MOD(ROW(),3)=0,(L13*J13)/((1-K11-K12)*(1-L13)))))</f>
        <v>#NAME?</v>
      </c>
      <c r="N13" s="31" t="e">
        <f aca="false">M13+J13</f>
        <v>#NAME?</v>
      </c>
      <c r="O13" s="45"/>
      <c r="P13" s="45"/>
    </row>
    <row r="14" customFormat="false" ht="15" hidden="false" customHeight="false" outlineLevel="0" collapsed="false">
      <c r="A14" s="34"/>
      <c r="B14" s="26" t="s">
        <v>21</v>
      </c>
      <c r="C14" s="27" t="n">
        <f aca="false">Arrivi!D12</f>
        <v>2.87990867579909</v>
      </c>
      <c r="D14" s="27" t="n">
        <f aca="false">Uscite!C13</f>
        <v>445.5</v>
      </c>
      <c r="E14" s="27" t="e">
        <f aca="false">uscite!#ref!</f>
        <v>#NAME?</v>
      </c>
      <c r="F14" s="27" t="e">
        <f aca="false">C14*(1-uscite!#ref!-uscite!#ref!)</f>
        <v>#NAME?</v>
      </c>
      <c r="G14" s="28"/>
      <c r="H14" s="29" t="s">
        <v>74</v>
      </c>
      <c r="I14" s="30" t="n">
        <f aca="false">Arrivi!D22</f>
        <v>4.32420091324201</v>
      </c>
      <c r="J14" s="31" t="n">
        <f aca="false">1/(I$13+I$10+I$7+I$4)</f>
        <v>0.0124980739269633</v>
      </c>
      <c r="K14" s="32" t="e">
        <f aca="false">F14*J14</f>
        <v>#NAME?</v>
      </c>
      <c r="L14" s="32" t="e">
        <f aca="false">SUM(K$13:K$15)</f>
        <v>#NAME?</v>
      </c>
      <c r="M14" s="31" t="e">
        <f aca="false">IF(MOD(ROW(),3)=1,(L14*J14)/(1-K14),IF(MOD(ROW(),3)=2,(L14*J14)/((1-K13)*(1-K13-K14)), IF(MOD(ROW(),3)=0,(L14*J14)/((1-K12-K13)*(1-L14)))))</f>
        <v>#NAME?</v>
      </c>
      <c r="N14" s="31" t="e">
        <f aca="false">M14+J14</f>
        <v>#NAME?</v>
      </c>
      <c r="O14" s="45"/>
      <c r="P14" s="45"/>
    </row>
    <row r="15" customFormat="false" ht="15" hidden="false" customHeight="false" outlineLevel="0" collapsed="false">
      <c r="A15" s="34"/>
      <c r="B15" s="26" t="s">
        <v>23</v>
      </c>
      <c r="C15" s="27" t="n">
        <f aca="false">Arrivi!D13</f>
        <v>1.01917808219178</v>
      </c>
      <c r="D15" s="27" t="n">
        <f aca="false">Uscite!C14</f>
        <v>848.166666666667</v>
      </c>
      <c r="E15" s="27" t="e">
        <f aca="false">uscite!#ref!</f>
        <v>#NAME?</v>
      </c>
      <c r="F15" s="27" t="e">
        <f aca="false">C15*(1-uscite!#ref!-uscite!#ref!)</f>
        <v>#NAME?</v>
      </c>
      <c r="G15" s="28"/>
      <c r="H15" s="29" t="s">
        <v>75</v>
      </c>
      <c r="I15" s="30" t="n">
        <f aca="false">Arrivi!D23</f>
        <v>2.98767123287671</v>
      </c>
      <c r="J15" s="31" t="n">
        <f aca="false">1/(I$13+I$10+I$7+I$4)</f>
        <v>0.0124980739269633</v>
      </c>
      <c r="K15" s="32" t="e">
        <f aca="false">F15*J15</f>
        <v>#NAME?</v>
      </c>
      <c r="L15" s="32" t="e">
        <f aca="false">SUM(K$13:K$15)</f>
        <v>#NAME?</v>
      </c>
      <c r="M15" s="31" t="e">
        <f aca="false">IF(MOD(ROW(),3)=1,(L15*J15)/(1-K15),IF(MOD(ROW(),3)=2,(L15*J15)/((1-K14)*(1-K14-K15)), IF(MOD(ROW(),3)=0,(L15*J15)/((1-K13-K14)*(1-L15)))))</f>
        <v>#NAME?</v>
      </c>
      <c r="N15" s="31" t="e">
        <f aca="false">M15+J15</f>
        <v>#NAME?</v>
      </c>
      <c r="O15" s="45"/>
      <c r="P15" s="45"/>
    </row>
  </sheetData>
  <mergeCells count="4">
    <mergeCell ref="A1:P1"/>
    <mergeCell ref="A2:F2"/>
    <mergeCell ref="G2:I2"/>
    <mergeCell ref="K2:L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8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F22" activeCellId="0" sqref="F2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19.42"/>
    <col collapsed="false" customWidth="true" hidden="false" outlineLevel="0" max="3" min="3" style="0" width="20.42"/>
    <col collapsed="false" customWidth="true" hidden="false" outlineLevel="0" max="4" min="4" style="0" width="15.71"/>
    <col collapsed="false" customWidth="true" hidden="false" outlineLevel="0" max="5" min="5" style="0" width="13.86"/>
    <col collapsed="false" customWidth="true" hidden="false" outlineLevel="0" max="6" min="6" style="0" width="9.42"/>
    <col collapsed="false" customWidth="true" hidden="false" outlineLevel="0" max="7" min="7" style="0" width="4.14"/>
    <col collapsed="false" customWidth="true" hidden="false" outlineLevel="0" max="8" min="8" style="0" width="14.15"/>
    <col collapsed="false" customWidth="true" hidden="false" outlineLevel="0" max="9" min="9" style="0" width="13.43"/>
    <col collapsed="false" customWidth="true" hidden="false" outlineLevel="0" max="10" min="10" style="0" width="18.58"/>
    <col collapsed="false" customWidth="true" hidden="false" outlineLevel="0" max="11" min="11" style="0" width="24.57"/>
    <col collapsed="false" customWidth="true" hidden="false" outlineLevel="0" max="12" min="12" style="0" width="20.71"/>
    <col collapsed="false" customWidth="true" hidden="false" outlineLevel="0" max="13" min="13" style="0" width="17.71"/>
    <col collapsed="false" customWidth="true" hidden="false" outlineLevel="0" max="14" min="14" style="0" width="16"/>
    <col collapsed="false" customWidth="true" hidden="false" outlineLevel="0" max="15" min="15" style="0" width="16.71"/>
    <col collapsed="false" customWidth="true" hidden="false" outlineLevel="0" max="16" min="16" style="0" width="15.57"/>
    <col collapsed="false" customWidth="true" hidden="false" outlineLevel="0" max="17" min="17" style="0" width="14.86"/>
    <col collapsed="false" customWidth="true" hidden="false" outlineLevel="0" max="18" min="18" style="0" width="10.14"/>
    <col collapsed="false" customWidth="true" hidden="false" outlineLevel="0" max="19" min="19" style="0" width="13.01"/>
    <col collapsed="false" customWidth="true" hidden="false" outlineLevel="0" max="21" min="20" style="0" width="14.43"/>
    <col collapsed="false" customWidth="true" hidden="false" outlineLevel="0" max="22" min="22" style="0" width="18.42"/>
  </cols>
  <sheetData>
    <row r="1" customFormat="false" ht="15.75" hidden="false" customHeight="false" outlineLevel="0" collapsed="false">
      <c r="A1" s="47" t="s">
        <v>81</v>
      </c>
      <c r="B1" s="47"/>
      <c r="H1" s="47" t="s">
        <v>82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48"/>
      <c r="U1" s="48"/>
    </row>
    <row r="2" customFormat="false" ht="15.75" hidden="false" customHeight="false" outlineLevel="0" collapsed="false">
      <c r="A2" s="49" t="s">
        <v>83</v>
      </c>
      <c r="B2" s="50"/>
      <c r="C2" s="0" t="n">
        <f aca="false">ROUND(B2/(B4*60*60),6)</f>
        <v>0</v>
      </c>
      <c r="H2" s="40" t="s">
        <v>84</v>
      </c>
      <c r="I2" s="51" t="s">
        <v>85</v>
      </c>
      <c r="J2" s="6" t="s">
        <v>86</v>
      </c>
      <c r="K2" s="52" t="s">
        <v>87</v>
      </c>
      <c r="L2" s="40" t="s">
        <v>88</v>
      </c>
      <c r="M2" s="53" t="s">
        <v>89</v>
      </c>
      <c r="N2" s="40" t="s">
        <v>90</v>
      </c>
      <c r="O2" s="40" t="s">
        <v>61</v>
      </c>
      <c r="P2" s="40" t="s">
        <v>62</v>
      </c>
      <c r="Q2" s="40" t="s">
        <v>63</v>
      </c>
      <c r="R2" s="40" t="s">
        <v>64</v>
      </c>
      <c r="S2" s="40" t="s">
        <v>91</v>
      </c>
      <c r="T2" s="48"/>
      <c r="U2" s="48"/>
    </row>
    <row r="3" customFormat="false" ht="15" hidden="false" customHeight="false" outlineLevel="0" collapsed="false">
      <c r="A3" s="54" t="s">
        <v>92</v>
      </c>
      <c r="B3" s="55"/>
      <c r="H3" s="56" t="n">
        <v>9</v>
      </c>
      <c r="I3" s="57" t="str">
        <f aca="false">$A$8</f>
        <v>05:00 - 08:00</v>
      </c>
      <c r="J3" s="58" t="n">
        <f aca="false">ROUND(D8/E8,6)</f>
        <v>0</v>
      </c>
      <c r="K3" s="59" t="n">
        <f aca="false">D8</f>
        <v>0</v>
      </c>
      <c r="L3" s="57" t="n">
        <f aca="false">MIN(C14*H3*E8,K3)</f>
        <v>0</v>
      </c>
      <c r="M3" s="60" t="n">
        <f aca="false">MAX(0,K3-L3)</f>
        <v>0</v>
      </c>
      <c r="N3" s="57" t="n">
        <f aca="false">ROUND(L3/E8,6)</f>
        <v>0</v>
      </c>
      <c r="O3" s="58" t="n">
        <f aca="false">MIN(J3/(H3*$C$14),1)</f>
        <v>0</v>
      </c>
      <c r="P3" s="61" t="e">
        <f aca="false">#REF!</f>
        <v>#REF!</v>
      </c>
      <c r="Q3" s="58" t="e">
        <f aca="false">#REF!</f>
        <v>#REF!</v>
      </c>
      <c r="R3" s="58" t="e">
        <f aca="false">#REF!</f>
        <v>#REF!</v>
      </c>
      <c r="S3" s="58" t="e">
        <f aca="false">N3/F8</f>
        <v>#DIV/0!</v>
      </c>
      <c r="T3" s="48"/>
      <c r="U3" s="48"/>
    </row>
    <row r="4" customFormat="false" ht="15.75" hidden="false" customHeight="false" outlineLevel="0" collapsed="false">
      <c r="A4" s="62" t="s">
        <v>93</v>
      </c>
      <c r="B4" s="63" t="n">
        <v>19</v>
      </c>
      <c r="H4" s="64" t="n">
        <v>14</v>
      </c>
      <c r="I4" s="65" t="str">
        <f aca="false">$A$9</f>
        <v>08:00 - 19:00</v>
      </c>
      <c r="J4" s="65" t="n">
        <f aca="false">ROUND(D9/E9,6)</f>
        <v>0</v>
      </c>
      <c r="K4" s="66" t="n">
        <f aca="false">D9+M3</f>
        <v>0</v>
      </c>
      <c r="L4" s="65" t="n">
        <f aca="false">MIN(C14*H4*E9,K4)</f>
        <v>0</v>
      </c>
      <c r="M4" s="67" t="n">
        <f aca="false">MAX(0,K4-L4)</f>
        <v>0</v>
      </c>
      <c r="N4" s="65" t="n">
        <f aca="false">ROUND(L4/E9,6)</f>
        <v>0</v>
      </c>
      <c r="O4" s="65" t="n">
        <f aca="false">MIN(J4/(H4*$C$14),1)</f>
        <v>0</v>
      </c>
      <c r="P4" s="66" t="e">
        <f aca="false">#REF!</f>
        <v>#REF!</v>
      </c>
      <c r="Q4" s="65" t="e">
        <f aca="false">#REF!</f>
        <v>#REF!</v>
      </c>
      <c r="R4" s="65" t="e">
        <f aca="false">#REF!</f>
        <v>#REF!</v>
      </c>
      <c r="S4" s="65" t="e">
        <f aca="false">N4/F9</f>
        <v>#DIV/0!</v>
      </c>
      <c r="T4" s="48"/>
      <c r="U4" s="48"/>
    </row>
    <row r="5" customFormat="false" ht="15.75" hidden="false" customHeight="false" outlineLevel="0" collapsed="false">
      <c r="H5" s="68" t="n">
        <v>9</v>
      </c>
      <c r="I5" s="69" t="str">
        <f aca="false">$A$10</f>
        <v>19:00 - 00:00</v>
      </c>
      <c r="J5" s="69" t="n">
        <f aca="false">ROUND(D10/E10,6)</f>
        <v>0</v>
      </c>
      <c r="K5" s="70" t="n">
        <f aca="false">D10+M4</f>
        <v>0</v>
      </c>
      <c r="L5" s="69" t="n">
        <f aca="false">MIN(C14*H5*E10,K5)</f>
        <v>0</v>
      </c>
      <c r="M5" s="63" t="n">
        <f aca="false">MAX(0,K5-L5)</f>
        <v>0</v>
      </c>
      <c r="N5" s="69" t="n">
        <f aca="false">ROUND(L5/E10,6)</f>
        <v>0</v>
      </c>
      <c r="O5" s="69" t="n">
        <f aca="false">MIN(J5/(H5*$C$14),1)</f>
        <v>0</v>
      </c>
      <c r="P5" s="70" t="e">
        <f aca="false">#REF!</f>
        <v>#REF!</v>
      </c>
      <c r="Q5" s="69" t="e">
        <f aca="false">#REF!</f>
        <v>#REF!</v>
      </c>
      <c r="R5" s="71" t="e">
        <f aca="false">#REF!</f>
        <v>#REF!</v>
      </c>
      <c r="S5" s="69" t="e">
        <f aca="false">N5/F10</f>
        <v>#DIV/0!</v>
      </c>
      <c r="T5" s="48"/>
      <c r="U5" s="48"/>
    </row>
    <row r="6" customFormat="false" ht="15.75" hidden="false" customHeight="false" outlineLevel="0" collapsed="false">
      <c r="A6" s="47" t="s">
        <v>94</v>
      </c>
      <c r="B6" s="47"/>
      <c r="C6" s="47"/>
      <c r="D6" s="47"/>
      <c r="E6" s="47"/>
      <c r="F6" s="47"/>
      <c r="H6" s="48"/>
      <c r="I6" s="48"/>
      <c r="J6" s="48" t="n">
        <f aca="false">(3*J3+11*J4+5*J5)/19</f>
        <v>0</v>
      </c>
      <c r="K6" s="48" t="n">
        <f aca="false">SUM(K3:K5)-SUM(M3:M4)</f>
        <v>0</v>
      </c>
      <c r="L6" s="48"/>
      <c r="M6" s="48"/>
      <c r="N6" s="48" t="n">
        <f aca="false">(3*N3+11*N4+5*N5)/19</f>
        <v>0</v>
      </c>
      <c r="O6" s="48" t="n">
        <f aca="false">(3*O3+11*O4+5*O5)/19</f>
        <v>0</v>
      </c>
      <c r="P6" s="48" t="e">
        <f aca="false">(3*P3+11*P4+5*P5)/19</f>
        <v>#REF!</v>
      </c>
      <c r="Q6" s="48" t="e">
        <f aca="false">(3*Q3+11*Q4+5*Q5)/19</f>
        <v>#REF!</v>
      </c>
      <c r="R6" s="48" t="e">
        <f aca="false">(3*R3+11*R4+5*R5)/19</f>
        <v>#REF!</v>
      </c>
      <c r="S6" s="48"/>
      <c r="T6" s="48"/>
      <c r="U6" s="48"/>
    </row>
    <row r="7" customFormat="false" ht="15.75" hidden="false" customHeight="false" outlineLevel="0" collapsed="false">
      <c r="A7" s="72" t="s">
        <v>85</v>
      </c>
      <c r="B7" s="73" t="s">
        <v>95</v>
      </c>
      <c r="C7" s="40" t="s">
        <v>96</v>
      </c>
      <c r="D7" s="53" t="s">
        <v>97</v>
      </c>
      <c r="E7" s="40" t="s">
        <v>98</v>
      </c>
      <c r="F7" s="40" t="s">
        <v>99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customFormat="false" ht="15.75" hidden="false" customHeight="false" outlineLevel="0" collapsed="false">
      <c r="A8" s="74" t="s">
        <v>100</v>
      </c>
      <c r="B8" s="57" t="n">
        <v>3</v>
      </c>
      <c r="C8" s="57" t="n">
        <v>0.1</v>
      </c>
      <c r="D8" s="60" t="n">
        <f aca="false">C8*B2</f>
        <v>0</v>
      </c>
      <c r="E8" s="57" t="n">
        <f aca="false">(B8*60*60)</f>
        <v>10800</v>
      </c>
      <c r="F8" s="58" t="n">
        <f aca="false">ROUND(D8/E8,6)</f>
        <v>0</v>
      </c>
      <c r="H8" s="47" t="s">
        <v>101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  <c r="T8" s="48"/>
      <c r="U8" s="48"/>
    </row>
    <row r="9" customFormat="false" ht="15.75" hidden="false" customHeight="false" outlineLevel="0" collapsed="false">
      <c r="A9" s="75" t="s">
        <v>102</v>
      </c>
      <c r="B9" s="65" t="n">
        <v>11</v>
      </c>
      <c r="C9" s="65" t="n">
        <v>0.75</v>
      </c>
      <c r="D9" s="67" t="n">
        <f aca="false">C9*B2</f>
        <v>0</v>
      </c>
      <c r="E9" s="65" t="n">
        <f aca="false">(B9*60*60)</f>
        <v>39600</v>
      </c>
      <c r="F9" s="65" t="n">
        <f aca="false">ROUND(D9/E9,6)</f>
        <v>0</v>
      </c>
      <c r="H9" s="40" t="s">
        <v>84</v>
      </c>
      <c r="I9" s="40" t="s">
        <v>85</v>
      </c>
      <c r="J9" s="52" t="s">
        <v>86</v>
      </c>
      <c r="K9" s="52" t="s">
        <v>87</v>
      </c>
      <c r="L9" s="40" t="s">
        <v>88</v>
      </c>
      <c r="M9" s="53" t="s">
        <v>89</v>
      </c>
      <c r="N9" s="40" t="s">
        <v>90</v>
      </c>
      <c r="O9" s="40" t="s">
        <v>61</v>
      </c>
      <c r="P9" s="40" t="s">
        <v>62</v>
      </c>
      <c r="Q9" s="40" t="s">
        <v>63</v>
      </c>
      <c r="R9" s="40" t="s">
        <v>64</v>
      </c>
      <c r="S9" s="40" t="s">
        <v>91</v>
      </c>
      <c r="T9" s="48"/>
      <c r="U9" s="48"/>
    </row>
    <row r="10" customFormat="false" ht="15.75" hidden="false" customHeight="false" outlineLevel="0" collapsed="false">
      <c r="A10" s="76" t="s">
        <v>103</v>
      </c>
      <c r="B10" s="69" t="n">
        <v>5</v>
      </c>
      <c r="C10" s="69" t="n">
        <v>0.15</v>
      </c>
      <c r="D10" s="63" t="n">
        <f aca="false">C10*B2</f>
        <v>0</v>
      </c>
      <c r="E10" s="69" t="n">
        <f aca="false">(B10*60*60)</f>
        <v>18000</v>
      </c>
      <c r="F10" s="69" t="n">
        <f aca="false">ROUND(D10/E10,6)</f>
        <v>0</v>
      </c>
      <c r="H10" s="56" t="n">
        <v>22</v>
      </c>
      <c r="I10" s="57" t="str">
        <f aca="false">$A$8</f>
        <v>05:00 - 08:00</v>
      </c>
      <c r="J10" s="59" t="n">
        <f aca="false">ROUND(N3*$B$22,6)</f>
        <v>0</v>
      </c>
      <c r="K10" s="59" t="n">
        <f aca="false">L3*B22</f>
        <v>0</v>
      </c>
      <c r="L10" s="57" t="n">
        <f aca="false">MIN(C15*H10*E8,K10)</f>
        <v>0</v>
      </c>
      <c r="M10" s="60" t="n">
        <f aca="false">MAX(0,K10-L10)</f>
        <v>0</v>
      </c>
      <c r="N10" s="57" t="n">
        <f aca="false">ROUND(L10/E8,6)</f>
        <v>0</v>
      </c>
      <c r="O10" s="58" t="n">
        <f aca="false">MIN(J10/(H10*$C$15),1)</f>
        <v>0</v>
      </c>
      <c r="P10" s="61" t="e">
        <f aca="false">#REF!</f>
        <v>#REF!</v>
      </c>
      <c r="Q10" s="58" t="e">
        <f aca="false">#REF!</f>
        <v>#REF!</v>
      </c>
      <c r="R10" s="58" t="e">
        <f aca="false">#REF!</f>
        <v>#REF!</v>
      </c>
      <c r="S10" s="58" t="e">
        <f aca="false">J10 /F8</f>
        <v>#DIV/0!</v>
      </c>
      <c r="U10" s="48"/>
    </row>
    <row r="11" customFormat="false" ht="15.75" hidden="false" customHeight="false" outlineLevel="0" collapsed="false">
      <c r="H11" s="64" t="n">
        <v>42</v>
      </c>
      <c r="I11" s="65" t="str">
        <f aca="false">$A$9</f>
        <v>08:00 - 19:00</v>
      </c>
      <c r="J11" s="66" t="n">
        <f aca="false">ROUND(N4*$B$22,6)</f>
        <v>0</v>
      </c>
      <c r="K11" s="66" t="n">
        <f aca="false">L4*$B$22+M10</f>
        <v>0</v>
      </c>
      <c r="L11" s="65" t="n">
        <f aca="false">MIN(C15*H11*E9,K11)</f>
        <v>0</v>
      </c>
      <c r="M11" s="67" t="n">
        <f aca="false">MAX(0,K11-L11)</f>
        <v>0</v>
      </c>
      <c r="N11" s="65" t="n">
        <f aca="false">ROUND(L11/E9,6)</f>
        <v>0</v>
      </c>
      <c r="O11" s="65" t="n">
        <f aca="false">MIN(J11/(H11*$C$15),1)</f>
        <v>0</v>
      </c>
      <c r="P11" s="66" t="e">
        <f aca="false">#REF!</f>
        <v>#REF!</v>
      </c>
      <c r="Q11" s="65" t="e">
        <f aca="false">#REF!</f>
        <v>#REF!</v>
      </c>
      <c r="R11" s="65" t="e">
        <f aca="false">#REF!</f>
        <v>#REF!</v>
      </c>
      <c r="S11" s="65" t="e">
        <f aca="false">J11 /F9</f>
        <v>#DIV/0!</v>
      </c>
      <c r="U11" s="48"/>
    </row>
    <row r="12" customFormat="false" ht="15.75" hidden="false" customHeight="false" outlineLevel="0" collapsed="false">
      <c r="A12" s="47" t="s">
        <v>104</v>
      </c>
      <c r="B12" s="47"/>
      <c r="C12" s="47"/>
      <c r="D12" s="77"/>
      <c r="E12" s="77"/>
      <c r="H12" s="68" t="n">
        <v>20</v>
      </c>
      <c r="I12" s="69" t="str">
        <f aca="false">$A$10</f>
        <v>19:00 - 00:00</v>
      </c>
      <c r="J12" s="70" t="n">
        <f aca="false">ROUND(N5*$B$22,6)</f>
        <v>0</v>
      </c>
      <c r="K12" s="70" t="n">
        <f aca="false">L5*$B$22+M11</f>
        <v>0</v>
      </c>
      <c r="L12" s="69" t="n">
        <f aca="false">MIN(C15*H12*E10,K12)</f>
        <v>0</v>
      </c>
      <c r="M12" s="63" t="n">
        <f aca="false">MAX(0,K12-L12)</f>
        <v>0</v>
      </c>
      <c r="N12" s="69" t="n">
        <f aca="false">ROUND(L12/E10,6)</f>
        <v>0</v>
      </c>
      <c r="O12" s="69" t="n">
        <f aca="false">MIN(J12/(H12*$C$15),1)</f>
        <v>0</v>
      </c>
      <c r="P12" s="70" t="e">
        <f aca="false">#REF!</f>
        <v>#REF!</v>
      </c>
      <c r="Q12" s="69" t="e">
        <f aca="false">#REF!</f>
        <v>#REF!</v>
      </c>
      <c r="R12" s="69" t="e">
        <f aca="false">#REF!</f>
        <v>#REF!</v>
      </c>
      <c r="S12" s="69" t="e">
        <f aca="false">J12 /F10</f>
        <v>#DIV/0!</v>
      </c>
      <c r="U12" s="48"/>
    </row>
    <row r="13" customFormat="false" ht="15.75" hidden="false" customHeight="false" outlineLevel="0" collapsed="false">
      <c r="A13" s="78"/>
      <c r="B13" s="40" t="s">
        <v>105</v>
      </c>
      <c r="C13" s="40" t="s">
        <v>106</v>
      </c>
      <c r="H13" s="48"/>
      <c r="I13" s="48"/>
      <c r="J13" s="48" t="n">
        <f aca="false">(3*J10+11*J11+5*J12)/19</f>
        <v>0</v>
      </c>
      <c r="K13" s="48" t="n">
        <f aca="false">SUM(K10:K12)-SUM(M10:M11)</f>
        <v>0</v>
      </c>
      <c r="L13" s="48"/>
      <c r="M13" s="48"/>
      <c r="N13" s="48" t="n">
        <f aca="false">(3*N10+11*N11+5*N12)/19</f>
        <v>0</v>
      </c>
      <c r="O13" s="48" t="n">
        <f aca="false">(3*O10+11*O11+5*O12)/19</f>
        <v>0</v>
      </c>
      <c r="P13" s="48" t="e">
        <f aca="false">(3*P10+11*P11+5*P12)/19</f>
        <v>#REF!</v>
      </c>
      <c r="Q13" s="48" t="e">
        <f aca="false">(3*Q10+11*Q11+5*Q12)/19</f>
        <v>#REF!</v>
      </c>
      <c r="R13" s="48" t="e">
        <f aca="false">(3*R10+11*R11+5*R12)/19</f>
        <v>#REF!</v>
      </c>
      <c r="S13" s="48"/>
      <c r="T13" s="48"/>
      <c r="U13" s="48"/>
    </row>
    <row r="14" customFormat="false" ht="15.75" hidden="false" customHeight="false" outlineLevel="0" collapsed="false">
      <c r="A14" s="54" t="s">
        <v>107</v>
      </c>
      <c r="B14" s="56" t="n">
        <v>15</v>
      </c>
      <c r="C14" s="57" t="n">
        <f aca="false">ROUND(1/B14,6)</f>
        <v>0.066667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customFormat="false" ht="15.75" hidden="false" customHeight="false" outlineLevel="0" collapsed="false">
      <c r="A15" s="79" t="s">
        <v>108</v>
      </c>
      <c r="B15" s="64" t="n">
        <v>90</v>
      </c>
      <c r="C15" s="65" t="n">
        <f aca="false">ROUND(1/B15,6)</f>
        <v>0.011111</v>
      </c>
      <c r="H15" s="47" t="s">
        <v>109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48"/>
      <c r="U15" s="48"/>
    </row>
    <row r="16" customFormat="false" ht="15.75" hidden="false" customHeight="false" outlineLevel="0" collapsed="false">
      <c r="A16" s="79" t="s">
        <v>110</v>
      </c>
      <c r="B16" s="64" t="n">
        <v>10</v>
      </c>
      <c r="C16" s="65" t="n">
        <f aca="false">ROUND(1/B16,6)</f>
        <v>0.1</v>
      </c>
      <c r="H16" s="40" t="s">
        <v>84</v>
      </c>
      <c r="I16" s="40" t="s">
        <v>85</v>
      </c>
      <c r="J16" s="52" t="s">
        <v>86</v>
      </c>
      <c r="K16" s="52" t="s">
        <v>87</v>
      </c>
      <c r="L16" s="40" t="s">
        <v>88</v>
      </c>
      <c r="M16" s="53" t="s">
        <v>89</v>
      </c>
      <c r="N16" s="40" t="s">
        <v>90</v>
      </c>
      <c r="O16" s="40" t="s">
        <v>61</v>
      </c>
      <c r="P16" s="40" t="s">
        <v>62</v>
      </c>
      <c r="Q16" s="40" t="s">
        <v>63</v>
      </c>
      <c r="R16" s="40" t="s">
        <v>64</v>
      </c>
      <c r="S16" s="40" t="s">
        <v>91</v>
      </c>
      <c r="T16" s="48"/>
      <c r="U16" s="48"/>
    </row>
    <row r="17" customFormat="false" ht="15" hidden="false" customHeight="false" outlineLevel="0" collapsed="false">
      <c r="A17" s="79" t="s">
        <v>111</v>
      </c>
      <c r="B17" s="64" t="n">
        <v>25</v>
      </c>
      <c r="C17" s="65" t="n">
        <f aca="false">ROUND(1/B17,6)</f>
        <v>0.04</v>
      </c>
      <c r="H17" s="56" t="n">
        <v>3</v>
      </c>
      <c r="I17" s="57" t="str">
        <f aca="false">$A$8</f>
        <v>05:00 - 08:00</v>
      </c>
      <c r="J17" s="59" t="n">
        <f aca="false">ROUND(N3*$B$24,6)</f>
        <v>0</v>
      </c>
      <c r="K17" s="59" t="n">
        <f aca="false">L3*$B$24</f>
        <v>0</v>
      </c>
      <c r="L17" s="57" t="n">
        <f aca="false">MIN($C$16*H17*E8,K17)</f>
        <v>0</v>
      </c>
      <c r="M17" s="60" t="n">
        <f aca="false">MAX(0,K17-L17)</f>
        <v>0</v>
      </c>
      <c r="N17" s="57" t="n">
        <f aca="false">ROUND(L17/E8,6)</f>
        <v>0</v>
      </c>
      <c r="O17" s="58" t="n">
        <f aca="false">MIN(J17/(H17*$C$16),1)</f>
        <v>0</v>
      </c>
      <c r="P17" s="61" t="e">
        <f aca="false">#REF!</f>
        <v>#REF!</v>
      </c>
      <c r="Q17" s="58" t="e">
        <f aca="false">#REF!</f>
        <v>#REF!</v>
      </c>
      <c r="R17" s="58" t="e">
        <f aca="false">#REF!</f>
        <v>#REF!</v>
      </c>
      <c r="S17" s="58" t="e">
        <f aca="false">J17 /F8</f>
        <v>#DIV/0!</v>
      </c>
      <c r="U17" s="48"/>
    </row>
    <row r="18" customFormat="false" ht="15.75" hidden="false" customHeight="false" outlineLevel="0" collapsed="false">
      <c r="A18" s="80" t="s">
        <v>112</v>
      </c>
      <c r="B18" s="68" t="n">
        <v>30</v>
      </c>
      <c r="C18" s="69" t="n">
        <f aca="false">ROUND(1/B18,6)</f>
        <v>0.033333</v>
      </c>
      <c r="H18" s="64" t="n">
        <v>4</v>
      </c>
      <c r="I18" s="65" t="str">
        <f aca="false">$A$9</f>
        <v>08:00 - 19:00</v>
      </c>
      <c r="J18" s="66" t="n">
        <f aca="false">ROUND(N4*$B$24,6)</f>
        <v>0</v>
      </c>
      <c r="K18" s="66" t="n">
        <f aca="false">L4*$B$24+M17</f>
        <v>0</v>
      </c>
      <c r="L18" s="65" t="n">
        <f aca="false">MIN($C$16*H18*E9,K18)</f>
        <v>0</v>
      </c>
      <c r="M18" s="67" t="n">
        <f aca="false">MAX(0,K18-L18)</f>
        <v>0</v>
      </c>
      <c r="N18" s="65" t="n">
        <f aca="false">ROUND(L18/E9,6)</f>
        <v>0</v>
      </c>
      <c r="O18" s="65" t="n">
        <f aca="false">MIN(J18/(H18*$C$16),1)</f>
        <v>0</v>
      </c>
      <c r="P18" s="66" t="e">
        <f aca="false">#REF!</f>
        <v>#REF!</v>
      </c>
      <c r="Q18" s="65" t="e">
        <f aca="false">#REF!</f>
        <v>#REF!</v>
      </c>
      <c r="R18" s="65" t="e">
        <f aca="false">#REF!</f>
        <v>#REF!</v>
      </c>
      <c r="S18" s="65" t="e">
        <f aca="false">J18 /F9</f>
        <v>#DIV/0!</v>
      </c>
      <c r="U18" s="48"/>
    </row>
    <row r="19" customFormat="false" ht="15.75" hidden="false" customHeight="false" outlineLevel="0" collapsed="false">
      <c r="H19" s="68" t="n">
        <v>3</v>
      </c>
      <c r="I19" s="69" t="str">
        <f aca="false">$A$10</f>
        <v>19:00 - 00:00</v>
      </c>
      <c r="J19" s="70" t="n">
        <f aca="false">ROUND(N5*$B$24,6)</f>
        <v>0</v>
      </c>
      <c r="K19" s="70" t="n">
        <f aca="false">L5*$B$24+M18</f>
        <v>0</v>
      </c>
      <c r="L19" s="69" t="n">
        <f aca="false">MIN($C$16*H19*E10,K19)</f>
        <v>0</v>
      </c>
      <c r="M19" s="63" t="n">
        <f aca="false">MAX(0,K19-L19)</f>
        <v>0</v>
      </c>
      <c r="N19" s="69" t="n">
        <f aca="false">ROUND(L19/E10,6)</f>
        <v>0</v>
      </c>
      <c r="O19" s="69" t="n">
        <f aca="false">MIN(J19/(H19*$C$16),1)</f>
        <v>0</v>
      </c>
      <c r="P19" s="70" t="e">
        <f aca="false">#REF!</f>
        <v>#REF!</v>
      </c>
      <c r="Q19" s="69" t="e">
        <f aca="false">#REF!</f>
        <v>#REF!</v>
      </c>
      <c r="R19" s="69" t="e">
        <f aca="false">#REF!</f>
        <v>#REF!</v>
      </c>
      <c r="S19" s="69" t="e">
        <f aca="false">J19 /F10</f>
        <v>#DIV/0!</v>
      </c>
      <c r="U19" s="48"/>
    </row>
    <row r="20" customFormat="false" ht="15.75" hidden="false" customHeight="false" outlineLevel="0" collapsed="false">
      <c r="A20" s="47" t="s">
        <v>113</v>
      </c>
      <c r="B20" s="47"/>
      <c r="H20" s="48"/>
      <c r="I20" s="48"/>
      <c r="J20" s="48" t="n">
        <f aca="false">(3*J17+11*J18+5*J19)/19</f>
        <v>0</v>
      </c>
      <c r="K20" s="48" t="n">
        <f aca="false">SUM(K17:K19)-SUM(M17:M18)</f>
        <v>0</v>
      </c>
      <c r="L20" s="48"/>
      <c r="M20" s="48"/>
      <c r="N20" s="48" t="n">
        <f aca="false">(3*N17+11*N18+5*N19)/19</f>
        <v>0</v>
      </c>
      <c r="O20" s="48" t="n">
        <f aca="false">(3*O17+11*O18+5*O19)/19</f>
        <v>0</v>
      </c>
      <c r="P20" s="48" t="e">
        <f aca="false">(3*P17+11*P18+5*P19)/19</f>
        <v>#REF!</v>
      </c>
      <c r="Q20" s="48" t="e">
        <f aca="false">(3*Q17+11*Q18+5*Q19)/19</f>
        <v>#REF!</v>
      </c>
      <c r="R20" s="48" t="e">
        <f aca="false">(3*R17+11*R18+5*R19)/19</f>
        <v>#REF!</v>
      </c>
      <c r="S20" s="48"/>
      <c r="T20" s="48"/>
      <c r="U20" s="48"/>
    </row>
    <row r="21" customFormat="false" ht="15.75" hidden="false" customHeight="false" outlineLevel="0" collapsed="false">
      <c r="A21" s="54" t="s">
        <v>114</v>
      </c>
      <c r="B21" s="56" t="n">
        <v>0.002</v>
      </c>
      <c r="C21" s="48" t="s">
        <v>115</v>
      </c>
      <c r="D21" s="81" t="n">
        <f aca="false">1-B21</f>
        <v>0.998</v>
      </c>
      <c r="E21" s="81" t="n">
        <f aca="false">B21</f>
        <v>0.002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customFormat="false" ht="15.75" hidden="false" customHeight="false" outlineLevel="0" collapsed="false">
      <c r="A22" s="79" t="s">
        <v>116</v>
      </c>
      <c r="B22" s="64" t="n">
        <f aca="false">ROUND(D21*E22*E23,6)</f>
        <v>0.481984</v>
      </c>
      <c r="C22" s="48" t="s">
        <v>117</v>
      </c>
      <c r="D22" s="81" t="n">
        <v>0.257</v>
      </c>
      <c r="E22" s="81" t="n">
        <f aca="false">1-D22</f>
        <v>0.743</v>
      </c>
      <c r="H22" s="47" t="s">
        <v>118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  <c r="T22" s="48"/>
      <c r="U22" s="48"/>
    </row>
    <row r="23" customFormat="false" ht="15.75" hidden="false" customHeight="false" outlineLevel="0" collapsed="false">
      <c r="A23" s="54" t="s">
        <v>119</v>
      </c>
      <c r="B23" s="64" t="n">
        <f aca="false">ROUND(D21*E22*D23,6)</f>
        <v>0.25953</v>
      </c>
      <c r="C23" s="48" t="s">
        <v>120</v>
      </c>
      <c r="D23" s="81" t="n">
        <v>0.35</v>
      </c>
      <c r="E23" s="81" t="n">
        <f aca="false">1-D23</f>
        <v>0.65</v>
      </c>
      <c r="H23" s="40" t="s">
        <v>84</v>
      </c>
      <c r="I23" s="40" t="s">
        <v>85</v>
      </c>
      <c r="J23" s="52" t="s">
        <v>86</v>
      </c>
      <c r="K23" s="52" t="s">
        <v>87</v>
      </c>
      <c r="L23" s="40" t="s">
        <v>88</v>
      </c>
      <c r="M23" s="53" t="s">
        <v>89</v>
      </c>
      <c r="N23" s="40" t="s">
        <v>90</v>
      </c>
      <c r="O23" s="40" t="s">
        <v>61</v>
      </c>
      <c r="P23" s="40" t="s">
        <v>62</v>
      </c>
      <c r="Q23" s="40" t="s">
        <v>63</v>
      </c>
      <c r="R23" s="40" t="s">
        <v>64</v>
      </c>
      <c r="S23" s="40" t="s">
        <v>91</v>
      </c>
      <c r="T23" s="48"/>
      <c r="U23" s="48"/>
    </row>
    <row r="24" customFormat="false" ht="15" hidden="false" customHeight="false" outlineLevel="0" collapsed="false">
      <c r="A24" s="79" t="s">
        <v>121</v>
      </c>
      <c r="B24" s="64" t="n">
        <f aca="false">ROUND(D21*D22,6)</f>
        <v>0.256486</v>
      </c>
      <c r="H24" s="56" t="n">
        <v>11</v>
      </c>
      <c r="I24" s="57" t="str">
        <f aca="false">$A$8</f>
        <v>05:00 - 08:00</v>
      </c>
      <c r="J24" s="59" t="n">
        <f aca="false">ROUND(N3*$B$23+N10,6)</f>
        <v>0</v>
      </c>
      <c r="K24" s="59" t="n">
        <f aca="false">L10+L3*$B$23</f>
        <v>0</v>
      </c>
      <c r="L24" s="57" t="n">
        <f aca="false">MIN($C$17*H24*E8,K24)</f>
        <v>0</v>
      </c>
      <c r="M24" s="60" t="n">
        <f aca="false">MAX(0,K24-L24)</f>
        <v>0</v>
      </c>
      <c r="N24" s="57" t="n">
        <f aca="false">ROUND(L24/E8,6)</f>
        <v>0</v>
      </c>
      <c r="O24" s="58" t="n">
        <f aca="false">MIN(J24/(H24*$C$17),1)</f>
        <v>0</v>
      </c>
      <c r="P24" s="61" t="e">
        <f aca="false">#REF!</f>
        <v>#REF!</v>
      </c>
      <c r="Q24" s="58" t="e">
        <f aca="false">#REF!</f>
        <v>#REF!</v>
      </c>
      <c r="R24" s="58" t="e">
        <f aca="false">#REF!</f>
        <v>#REF!</v>
      </c>
      <c r="S24" s="58" t="e">
        <f aca="false">J24 /F8</f>
        <v>#DIV/0!</v>
      </c>
      <c r="U24" s="48"/>
    </row>
    <row r="25" customFormat="false" ht="15.75" hidden="false" customHeight="false" outlineLevel="0" collapsed="false">
      <c r="A25" s="80" t="s">
        <v>122</v>
      </c>
      <c r="B25" s="68" t="n">
        <v>0.0005</v>
      </c>
      <c r="C25" s="48" t="n">
        <f aca="false">SUM(B21:B24)</f>
        <v>1</v>
      </c>
      <c r="H25" s="64" t="n">
        <v>20</v>
      </c>
      <c r="I25" s="65" t="str">
        <f aca="false">$A$9</f>
        <v>08:00 - 19:00</v>
      </c>
      <c r="J25" s="66" t="n">
        <f aca="false">ROUND(N11+N4*$B$23,6)</f>
        <v>0</v>
      </c>
      <c r="K25" s="66" t="n">
        <f aca="false">L11+L4*$B$23+M24</f>
        <v>0</v>
      </c>
      <c r="L25" s="65" t="n">
        <f aca="false">MIN($C$17*H25*E9,K25)</f>
        <v>0</v>
      </c>
      <c r="M25" s="67" t="n">
        <f aca="false">MAX(0,K25-L25)</f>
        <v>0</v>
      </c>
      <c r="N25" s="65" t="n">
        <f aca="false">ROUND(L25/E9,6)</f>
        <v>0</v>
      </c>
      <c r="O25" s="65" t="n">
        <f aca="false">MIN(J25/(H25*$C$17),1)</f>
        <v>0</v>
      </c>
      <c r="P25" s="66" t="e">
        <f aca="false">#REF!</f>
        <v>#REF!</v>
      </c>
      <c r="Q25" s="65" t="e">
        <f aca="false">#REF!</f>
        <v>#REF!</v>
      </c>
      <c r="R25" s="65" t="e">
        <f aca="false">#REF!</f>
        <v>#REF!</v>
      </c>
      <c r="S25" s="65" t="e">
        <f aca="false">J25 /F9</f>
        <v>#DIV/0!</v>
      </c>
      <c r="U25" s="48"/>
    </row>
    <row r="26" customFormat="false" ht="15.75" hidden="false" customHeight="false" outlineLevel="0" collapsed="false">
      <c r="H26" s="68" t="n">
        <v>12</v>
      </c>
      <c r="I26" s="69" t="str">
        <f aca="false">$A$10</f>
        <v>19:00 - 00:00</v>
      </c>
      <c r="J26" s="70" t="n">
        <f aca="false">ROUND(N12+N5*$B$23,6)</f>
        <v>0</v>
      </c>
      <c r="K26" s="70" t="n">
        <f aca="false">L12+L5*$B$23+M25</f>
        <v>0</v>
      </c>
      <c r="L26" s="69" t="n">
        <f aca="false">MIN($C$17*H26*E10,K26)</f>
        <v>0</v>
      </c>
      <c r="M26" s="63" t="n">
        <f aca="false">MAX(0,K26-L26)</f>
        <v>0</v>
      </c>
      <c r="N26" s="69" t="n">
        <f aca="false">ROUND(L26/E10,6)</f>
        <v>0</v>
      </c>
      <c r="O26" s="69" t="n">
        <f aca="false">MIN(J26/(H26*$C$17),1)</f>
        <v>0</v>
      </c>
      <c r="P26" s="70" t="e">
        <f aca="false">#REF!</f>
        <v>#REF!</v>
      </c>
      <c r="Q26" s="69" t="e">
        <f aca="false">#REF!</f>
        <v>#REF!</v>
      </c>
      <c r="R26" s="69" t="e">
        <f aca="false">#REF!</f>
        <v>#REF!</v>
      </c>
      <c r="S26" s="69" t="e">
        <f aca="false">J26 /F10</f>
        <v>#DIV/0!</v>
      </c>
      <c r="U26" s="48"/>
    </row>
    <row r="27" customFormat="false" ht="15.75" hidden="false" customHeight="false" outlineLevel="0" collapsed="false">
      <c r="A27" s="47" t="s">
        <v>123</v>
      </c>
      <c r="B27" s="47"/>
      <c r="C27" s="47"/>
      <c r="D27" s="47"/>
      <c r="H27" s="48"/>
      <c r="I27" s="48"/>
      <c r="J27" s="48" t="n">
        <f aca="false">(3*J24+11*J25+5*J26)/19</f>
        <v>0</v>
      </c>
      <c r="K27" s="48" t="n">
        <f aca="false">SUM(K24:K26)-SUM(M24:M25)</f>
        <v>0</v>
      </c>
      <c r="L27" s="48"/>
      <c r="M27" s="48"/>
      <c r="N27" s="48" t="n">
        <f aca="false">(3*N24+11*N25+5*N26)/19</f>
        <v>0</v>
      </c>
      <c r="O27" s="48" t="n">
        <f aca="false">(3*O24+11*O25+5*O26)/19</f>
        <v>0</v>
      </c>
      <c r="P27" s="48" t="e">
        <f aca="false">(3*P24+11*P25+5*P26)/19</f>
        <v>#REF!</v>
      </c>
      <c r="Q27" s="48" t="e">
        <f aca="false">(3*Q24+11*Q25+5*Q26)/19</f>
        <v>#REF!</v>
      </c>
      <c r="R27" s="48" t="e">
        <f aca="false">(3*R24+11*R25+5*R26)/19</f>
        <v>#REF!</v>
      </c>
      <c r="S27" s="48"/>
      <c r="T27" s="48"/>
      <c r="U27" s="48"/>
    </row>
    <row r="28" customFormat="false" ht="15.75" hidden="false" customHeight="false" outlineLevel="0" collapsed="false">
      <c r="A28" s="76" t="s">
        <v>124</v>
      </c>
      <c r="B28" s="62" t="s">
        <v>125</v>
      </c>
      <c r="C28" s="82" t="s">
        <v>126</v>
      </c>
      <c r="D28" s="83" t="s">
        <v>127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customFormat="false" ht="15.75" hidden="false" customHeight="false" outlineLevel="0" collapsed="false">
      <c r="A29" s="84" t="s">
        <v>128</v>
      </c>
      <c r="B29" s="56" t="n">
        <v>300</v>
      </c>
      <c r="C29" s="58" t="n">
        <f aca="false">B29/(60*60*19*30)</f>
        <v>0.000146198830409357</v>
      </c>
      <c r="D29" s="60" t="n">
        <f aca="false">B29*($B$8*H3+$B$9*H4+$B$10*H5)/30</f>
        <v>2260</v>
      </c>
      <c r="H29" s="47" t="s">
        <v>112</v>
      </c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48"/>
      <c r="T29" s="48"/>
      <c r="U29" s="48"/>
    </row>
    <row r="30" customFormat="false" ht="15.75" hidden="false" customHeight="false" outlineLevel="0" collapsed="false">
      <c r="A30" s="85" t="s">
        <v>129</v>
      </c>
      <c r="B30" s="64" t="n">
        <v>200</v>
      </c>
      <c r="C30" s="65" t="n">
        <f aca="false">B30/(60*60*19*30)</f>
        <v>9.74658869395711E-005</v>
      </c>
      <c r="D30" s="67" t="n">
        <f aca="false">B30*($B$8*H10+$B$9*H11+$B$10*H12)/30</f>
        <v>4186.66666666667</v>
      </c>
      <c r="H30" s="40" t="s">
        <v>84</v>
      </c>
      <c r="I30" s="40" t="s">
        <v>85</v>
      </c>
      <c r="J30" s="52" t="s">
        <v>86</v>
      </c>
      <c r="K30" s="52" t="s">
        <v>87</v>
      </c>
      <c r="L30" s="40" t="s">
        <v>88</v>
      </c>
      <c r="M30" s="53" t="s">
        <v>130</v>
      </c>
      <c r="N30" s="40" t="s">
        <v>90</v>
      </c>
      <c r="O30" s="40" t="s">
        <v>61</v>
      </c>
      <c r="P30" s="40" t="s">
        <v>62</v>
      </c>
      <c r="Q30" s="40" t="s">
        <v>63</v>
      </c>
      <c r="R30" s="40" t="s">
        <v>131</v>
      </c>
      <c r="S30" s="40" t="s">
        <v>132</v>
      </c>
      <c r="T30" s="40" t="s">
        <v>133</v>
      </c>
      <c r="U30" s="48" t="s">
        <v>134</v>
      </c>
    </row>
    <row r="31" customFormat="false" ht="15" hidden="false" customHeight="false" outlineLevel="0" collapsed="false">
      <c r="A31" s="84" t="s">
        <v>135</v>
      </c>
      <c r="B31" s="56" t="n">
        <v>50</v>
      </c>
      <c r="C31" s="57" t="n">
        <f aca="false">B31/(60*60*19*30)</f>
        <v>2.43664717348928E-005</v>
      </c>
      <c r="D31" s="60" t="n">
        <f aca="false">B31*($B$8*H17+$B$9*H18+$B$10*H19)/30</f>
        <v>113.333333333333</v>
      </c>
      <c r="H31" s="56" t="n">
        <v>10</v>
      </c>
      <c r="I31" s="57" t="str">
        <f aca="false">$A$8</f>
        <v>05:00 - 08:00</v>
      </c>
      <c r="J31" s="59" t="n">
        <f aca="false">ROUND(K31/E8,6)</f>
        <v>0</v>
      </c>
      <c r="K31" s="59" t="n">
        <f aca="false">L24+L17</f>
        <v>0</v>
      </c>
      <c r="L31" s="57" t="e">
        <f aca="false">MIN(S31*E8,K31)</f>
        <v>#REF!</v>
      </c>
      <c r="M31" s="60" t="e">
        <f aca="false">MAX(0,K31-L31)</f>
        <v>#REF!</v>
      </c>
      <c r="N31" s="57" t="e">
        <f aca="false">ROUND(L31/E8,6)</f>
        <v>#REF!</v>
      </c>
      <c r="O31" s="58" t="e">
        <f aca="false">MIN(S31/(H31*$C$18),1)</f>
        <v>#REF!</v>
      </c>
      <c r="P31" s="61" t="e">
        <f aca="false">#REF!</f>
        <v>#REF!</v>
      </c>
      <c r="Q31" s="58" t="e">
        <f aca="false">#REF!</f>
        <v>#REF!</v>
      </c>
      <c r="R31" s="57" t="e">
        <f aca="false">#REF!</f>
        <v>#REF!</v>
      </c>
      <c r="S31" s="57" t="e">
        <f aca="false">J31*(1-R31)</f>
        <v>#REF!</v>
      </c>
      <c r="T31" s="57" t="n">
        <f aca="false">$C$18*H31*E8</f>
        <v>3599.964</v>
      </c>
      <c r="U31" s="0" t="e">
        <f aca="false">(L31*Q31+M31*0)/K31</f>
        <v>#REF!</v>
      </c>
      <c r="V31" s="0" t="e">
        <f aca="false">J31/F8</f>
        <v>#DIV/0!</v>
      </c>
    </row>
    <row r="32" customFormat="false" ht="15" hidden="false" customHeight="false" outlineLevel="0" collapsed="false">
      <c r="A32" s="85" t="s">
        <v>136</v>
      </c>
      <c r="B32" s="64" t="n">
        <v>1300</v>
      </c>
      <c r="C32" s="65" t="n">
        <f aca="false">B32/(60*60*19*30)</f>
        <v>0.000633528265107212</v>
      </c>
      <c r="D32" s="67" t="n">
        <f aca="false">B32*($B$8*H24+$B$9*H25+$B$10*H26)/30</f>
        <v>13563.3333333333</v>
      </c>
      <c r="H32" s="64" t="n">
        <v>20</v>
      </c>
      <c r="I32" s="65" t="str">
        <f aca="false">$A$9</f>
        <v>08:00 - 19:00</v>
      </c>
      <c r="J32" s="66" t="n">
        <f aca="false">ROUND(K32/E9,6)</f>
        <v>0</v>
      </c>
      <c r="K32" s="66" t="n">
        <f aca="false">L25+L18</f>
        <v>0</v>
      </c>
      <c r="L32" s="65" t="e">
        <f aca="false">MIN(S32*E9,K32)</f>
        <v>#REF!</v>
      </c>
      <c r="M32" s="67" t="e">
        <f aca="false">MAX(0,K32-L32)</f>
        <v>#REF!</v>
      </c>
      <c r="N32" s="65" t="e">
        <f aca="false">ROUND(L32/E9,6)</f>
        <v>#REF!</v>
      </c>
      <c r="O32" s="65" t="e">
        <f aca="false">MIN(S32/(H32*$C$18),1)</f>
        <v>#REF!</v>
      </c>
      <c r="P32" s="66" t="e">
        <f aca="false">#REF!</f>
        <v>#REF!</v>
      </c>
      <c r="Q32" s="65" t="e">
        <f aca="false">#REF!</f>
        <v>#REF!</v>
      </c>
      <c r="R32" s="65" t="e">
        <f aca="false">#REF!</f>
        <v>#REF!</v>
      </c>
      <c r="S32" s="65" t="e">
        <f aca="false">J32*(1-R32)</f>
        <v>#REF!</v>
      </c>
      <c r="T32" s="65" t="n">
        <f aca="false">$C$18*H32*E9</f>
        <v>26399.736</v>
      </c>
      <c r="U32" s="0" t="e">
        <f aca="false">(L32*Q32+M32*0)/K32</f>
        <v>#REF!</v>
      </c>
      <c r="V32" s="0" t="e">
        <f aca="false">J32/F9</f>
        <v>#DIV/0!</v>
      </c>
    </row>
    <row r="33" customFormat="false" ht="15.75" hidden="false" customHeight="false" outlineLevel="0" collapsed="false">
      <c r="A33" s="86" t="s">
        <v>137</v>
      </c>
      <c r="B33" s="68" t="n">
        <v>800</v>
      </c>
      <c r="C33" s="69" t="n">
        <f aca="false">B33/(60*60*19*30)</f>
        <v>0.000389863547758285</v>
      </c>
      <c r="D33" s="63" t="n">
        <f aca="false">B33*($B$8*H31+$B$9*H32+$B$10*H33)/30</f>
        <v>8000</v>
      </c>
      <c r="H33" s="68" t="n">
        <v>10</v>
      </c>
      <c r="I33" s="69" t="str">
        <f aca="false">$A$10</f>
        <v>19:00 - 00:00</v>
      </c>
      <c r="J33" s="70" t="n">
        <f aca="false">ROUND(K33/E10,6)</f>
        <v>0</v>
      </c>
      <c r="K33" s="70" t="n">
        <f aca="false">L26+L19</f>
        <v>0</v>
      </c>
      <c r="L33" s="69" t="e">
        <f aca="false">MIN(S33*E10,K33)</f>
        <v>#REF!</v>
      </c>
      <c r="M33" s="63" t="e">
        <f aca="false">MAX(0,K33-L33)</f>
        <v>#REF!</v>
      </c>
      <c r="N33" s="69" t="e">
        <f aca="false">ROUND(L33/E10,6)</f>
        <v>#REF!</v>
      </c>
      <c r="O33" s="69" t="e">
        <f aca="false">MIN(S33/(H33*$C$18),1)</f>
        <v>#REF!</v>
      </c>
      <c r="P33" s="70" t="e">
        <f aca="false">#REF!</f>
        <v>#REF!</v>
      </c>
      <c r="Q33" s="69" t="e">
        <f aca="false">#REF!</f>
        <v>#REF!</v>
      </c>
      <c r="R33" s="69" t="e">
        <f aca="false">#REF!</f>
        <v>#REF!</v>
      </c>
      <c r="S33" s="69" t="e">
        <f aca="false">J33*(1-R33)</f>
        <v>#REF!</v>
      </c>
      <c r="T33" s="69" t="n">
        <f aca="false">$C$18*H33*E10</f>
        <v>5999.94</v>
      </c>
      <c r="U33" s="0" t="e">
        <f aca="false">(L33*Q33+M33*0)/K33</f>
        <v>#REF!</v>
      </c>
      <c r="V33" s="0" t="e">
        <f aca="false">J33/F10</f>
        <v>#DIV/0!</v>
      </c>
    </row>
    <row r="34" customFormat="false" ht="15.75" hidden="false" customHeight="false" outlineLevel="0" collapsed="false">
      <c r="B34" s="87"/>
      <c r="J34" s="48" t="n">
        <f aca="false">(3*J31+11*J32+5*J33)/19</f>
        <v>0</v>
      </c>
      <c r="K34" s="48" t="n">
        <f aca="false">SUM(K31:K33)</f>
        <v>0</v>
      </c>
      <c r="M34" s="0" t="e">
        <f aca="false">SUM(M31:M33)</f>
        <v>#REF!</v>
      </c>
      <c r="N34" s="48" t="e">
        <f aca="false">(3*N31+11*N32+5*N33)/19</f>
        <v>#REF!</v>
      </c>
      <c r="O34" s="48" t="e">
        <f aca="false">(3*O31+11*O32+5*O33)/19</f>
        <v>#REF!</v>
      </c>
      <c r="P34" s="48" t="e">
        <f aca="false">(3*P31+11*P32+5*P33)/19</f>
        <v>#REF!</v>
      </c>
      <c r="Q34" s="48" t="e">
        <f aca="false">(3*Q31+11*Q32+5*Q33)/19</f>
        <v>#REF!</v>
      </c>
      <c r="R34" s="48" t="e">
        <f aca="false">(3*R31+11*R32+5*R33)/19</f>
        <v>#REF!</v>
      </c>
    </row>
    <row r="35" customFormat="false" ht="15.75" hidden="false" customHeight="false" outlineLevel="0" collapsed="false">
      <c r="A35" s="88"/>
      <c r="B35" s="89" t="s">
        <v>138</v>
      </c>
      <c r="C35" s="81" t="s">
        <v>139</v>
      </c>
      <c r="L35" s="87"/>
      <c r="M35" s="87"/>
      <c r="N35" s="87"/>
    </row>
    <row r="36" customFormat="false" ht="15" hidden="false" customHeight="false" outlineLevel="0" collapsed="false">
      <c r="A36" s="90" t="str">
        <f aca="false">A8</f>
        <v>05:00 - 08:00</v>
      </c>
      <c r="B36" s="59" t="n">
        <f aca="false">(C29*H3 + C30*H10 + C31*H17 + C32*H24+C33*H31)*E8</f>
        <v>155.526315789474</v>
      </c>
      <c r="C36" s="57" t="e">
        <f aca="false">Q3+Q10*S10+Q17*S17+Q24*S24+U31*V31</f>
        <v>#REF!</v>
      </c>
      <c r="S36" s="0" t="e">
        <f aca="false">30*(1-R31) + 0*R31</f>
        <v>#REF!</v>
      </c>
    </row>
    <row r="37" customFormat="false" ht="15" hidden="false" customHeight="false" outlineLevel="0" collapsed="false">
      <c r="A37" s="91" t="str">
        <f aca="false">A9</f>
        <v>08:00 - 19:00</v>
      </c>
      <c r="B37" s="66" t="n">
        <f aca="false">(C29*H4 + C30*H11 + C31*H18 + C32*H25+C33*H32)*E9</f>
        <v>1057.54385964912</v>
      </c>
      <c r="C37" s="65" t="e">
        <f aca="false">Q4+Q11*S11+Q18*S18+Q25*S25+U32*V32</f>
        <v>#REF!</v>
      </c>
      <c r="N37" s="92"/>
    </row>
    <row r="38" customFormat="false" ht="15.75" hidden="false" customHeight="false" outlineLevel="0" collapsed="false">
      <c r="A38" s="93" t="str">
        <f aca="false">A10</f>
        <v>19:00 - 00:00</v>
      </c>
      <c r="B38" s="70" t="n">
        <f aca="false">(C30*H5 + C31*H12 + C32*H19 + C33*H26+C34*H33)*E10</f>
        <v>142.982456140351</v>
      </c>
      <c r="C38" s="69" t="e">
        <f aca="false">Q5+Q12*S12+Q19*S19+Q26*S26+U33*V33</f>
        <v>#REF!</v>
      </c>
    </row>
  </sheetData>
  <mergeCells count="10">
    <mergeCell ref="A1:B1"/>
    <mergeCell ref="H1:R1"/>
    <mergeCell ref="A6:F6"/>
    <mergeCell ref="H8:R8"/>
    <mergeCell ref="A12:C12"/>
    <mergeCell ref="H15:R15"/>
    <mergeCell ref="A20:B20"/>
    <mergeCell ref="H22:R22"/>
    <mergeCell ref="A27:D27"/>
    <mergeCell ref="H29: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5" min="5" style="0" width="12.71"/>
  </cols>
  <sheetData>
    <row r="6" customFormat="false" ht="15" hidden="false" customHeight="false" outlineLevel="0" collapsed="false">
      <c r="A6" s="94" t="s">
        <v>140</v>
      </c>
      <c r="B6" s="94"/>
      <c r="C6" s="94"/>
    </row>
  </sheetData>
  <mergeCells count="1">
    <mergeCell ref="A6:C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Danilo Dell'Orco</dc:creator>
  <dc:description/>
  <dc:language>it-IT</dc:language>
  <cp:lastModifiedBy/>
  <dcterms:modified xsi:type="dcterms:W3CDTF">2023-07-23T18:21:33Z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